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filterPrivacy="1" codeName="ThisWorkbook" defaultThemeVersion="124226"/>
  <xr:revisionPtr revIDLastSave="0" documentId="13_ncr:1_{29BBFA51-9E3E-4526-B254-D8773E57BA4C}" xr6:coauthVersionLast="43" xr6:coauthVersionMax="43" xr10:uidLastSave="{00000000-0000-0000-0000-000000000000}"/>
  <bookViews>
    <workbookView xWindow="-26625" yWindow="345" windowWidth="23715" windowHeight="13860" tabRatio="897" firstSheet="1" activeTab="1" xr2:uid="{00000000-000D-0000-FFFF-FFFF00000000}"/>
  </bookViews>
  <sheets>
    <sheet name="README" sheetId="34" r:id="rId1"/>
    <sheet name="Mark" sheetId="107" r:id="rId2"/>
    <sheet name="FCSTG INPUT" sheetId="70" r:id="rId3"/>
    <sheet name="Res Summary" sheetId="69" r:id="rId4"/>
    <sheet name="ComInd Summary" sheetId="68" r:id="rId5"/>
    <sheet name="Savings Summary" sheetId="72" r:id="rId6"/>
    <sheet name="CompareFcsts" sheetId="56" r:id="rId7"/>
    <sheet name="Conversion Factors" sheetId="71" r:id="rId8"/>
    <sheet name="RES Audit Alt" sheetId="1" r:id="rId9"/>
    <sheet name="RES Assist." sheetId="23" r:id="rId10"/>
    <sheet name="RES Audit RCS" sheetId="4" r:id="rId11"/>
    <sheet name="RES CI" sheetId="96" r:id="rId12"/>
    <sheet name="RES DR" sheetId="7" r:id="rId13"/>
    <sheet name="RES ECM" sheetId="80" r:id="rId14"/>
    <sheet name="RES Educ" sheetId="90" r:id="rId15"/>
    <sheet name="RES EnergyStar" sheetId="35" r:id="rId16"/>
    <sheet name="RES HC" sheetId="36" r:id="rId17"/>
    <sheet name="RES WEA" sheetId="58" r:id="rId18"/>
    <sheet name="RES WI" sheetId="98" r:id="rId19"/>
    <sheet name="RES WR" sheetId="97" r:id="rId20"/>
    <sheet name="C-I FREE" sheetId="38" r:id="rId21"/>
    <sheet name="C-I Paid" sheetId="39" r:id="rId22"/>
    <sheet name="COM CI" sheetId="100" r:id="rId23"/>
    <sheet name="COM Chillers" sheetId="64" r:id="rId24"/>
    <sheet name="COM CV" sheetId="43" r:id="rId25"/>
    <sheet name="COM Cool Roof" sheetId="86" r:id="rId26"/>
    <sheet name="COM Cooling" sheetId="41" r:id="rId27"/>
    <sheet name="COM Duct" sheetId="60" r:id="rId28"/>
    <sheet name="COM ECM" sheetId="85" r:id="rId29"/>
    <sheet name="COM Cond. Light" sheetId="103" r:id="rId30"/>
    <sheet name="COM Non Cond. Light" sheetId="102" r:id="rId31"/>
    <sheet name="COM Occ. Sens." sheetId="65" r:id="rId32"/>
    <sheet name="COM Ref" sheetId="66" r:id="rId33"/>
    <sheet name="COM TES" sheetId="101" r:id="rId34"/>
    <sheet name="COM WI" sheetId="99" r:id="rId35"/>
    <sheet name="COM WH" sheetId="67" r:id="rId36"/>
    <sheet name="RES EP (RSVP)" sheetId="59" r:id="rId37"/>
    <sheet name="COM LM (ext)" sheetId="47" r:id="rId38"/>
    <sheet name="COM LM (cyc)" sheetId="46" r:id="rId39"/>
    <sheet name="COM SB Gen" sheetId="48" r:id="rId40"/>
    <sheet name="COM DMD Response" sheetId="63" r:id="rId41"/>
    <sheet name="RES Prime Time" sheetId="45" r:id="rId42"/>
    <sheet name="RES HVAC Re-com" sheetId="81" r:id="rId43"/>
    <sheet name="RES WF" sheetId="37" r:id="rId44"/>
    <sheet name="RES PV" sheetId="83" r:id="rId45"/>
    <sheet name="RES Solar DHW" sheetId="82" r:id="rId46"/>
    <sheet name="COM School PV" sheetId="104" r:id="rId47"/>
    <sheet name="COM Bldg Envel" sheetId="61" r:id="rId48"/>
    <sheet name="C-I Mail-In" sheetId="40" r:id="rId49"/>
    <sheet name="COM EEMotors" sheetId="62" r:id="rId50"/>
    <sheet name="COM Lighting" sheetId="42" r:id="rId51"/>
    <sheet name="COM HVAC ReCommissioning" sheetId="87" r:id="rId52"/>
    <sheet name="COM ERV" sheetId="88" r:id="rId53"/>
    <sheet name="COM ECM HVAC" sheetId="84" r:id="rId54"/>
    <sheet name="COM PV" sheetId="89" r:id="rId55"/>
    <sheet name="Street Light Conv" sheetId="44" r:id="rId56"/>
    <sheet name="IND Load Management" sheetId="74" r:id="rId57"/>
    <sheet name="TEMPLATE" sheetId="75" r:id="rId58"/>
    <sheet name="EIA861_InputforDSMgroup" sheetId="105" r:id="rId59"/>
    <sheet name="FCSTG INPUT @METER" sheetId="92" r:id="rId60"/>
  </sheets>
  <definedNames>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40407.5826851852</definedName>
    <definedName name="IQ_NTM" hidden="1">6000</definedName>
    <definedName name="IQ_TODAY" hidden="1">0</definedName>
    <definedName name="IQ_WEEK" hidden="1">50000</definedName>
    <definedName name="IQ_YTD" hidden="1">3000</definedName>
    <definedName name="IQ_YTDMONTH" hidden="1">130000</definedName>
    <definedName name="_xlnm.Print_Area" localSheetId="20">'C-I FREE'!$A$1:$U$64</definedName>
    <definedName name="_xlnm.Print_Area" localSheetId="48">'C-I Mail-In'!$A$1:$U$69</definedName>
    <definedName name="_xlnm.Print_Area" localSheetId="21">'C-I Paid'!$A$1:$U$93</definedName>
    <definedName name="_xlnm.Print_Area" localSheetId="47">'COM Bldg Envel'!$A$1:$U$98</definedName>
    <definedName name="_xlnm.Print_Area" localSheetId="23">'COM Chillers'!$A$1:$U$93</definedName>
    <definedName name="_xlnm.Print_Area" localSheetId="26">'COM Cooling'!$A$1:$U$98</definedName>
    <definedName name="_xlnm.Print_Area" localSheetId="24">'COM CV'!$A$1:$U$66</definedName>
    <definedName name="_xlnm.Print_Area" localSheetId="40">'COM DMD Response'!$A$1:$U$93</definedName>
    <definedName name="_xlnm.Print_Area" localSheetId="27">'COM Duct'!$A$1:$U$93</definedName>
    <definedName name="_xlnm.Print_Area" localSheetId="49">'COM EEMotors'!$A$1:$U$93</definedName>
    <definedName name="_xlnm.Print_Area" localSheetId="50">'COM Lighting'!$A$1:$U$66</definedName>
    <definedName name="_xlnm.Print_Area" localSheetId="38">'COM LM (cyc)'!$A$1:$AA$66</definedName>
    <definedName name="_xlnm.Print_Area" localSheetId="37">'COM LM (ext)'!$A$1:$Z$63</definedName>
    <definedName name="_xlnm.Print_Area" localSheetId="31">'COM Occ. Sens.'!$A$1:$U$93</definedName>
    <definedName name="_xlnm.Print_Area" localSheetId="32">'COM Ref'!$A$1:$U$93</definedName>
    <definedName name="_xlnm.Print_Area" localSheetId="39">'COM SB Gen'!$A$1:$AA$61</definedName>
    <definedName name="_xlnm.Print_Area" localSheetId="35">'COM WH'!$A$1:$U$93</definedName>
    <definedName name="_xlnm.Print_Area" localSheetId="4">'ComInd Summary'!$A$1:$DA$91</definedName>
    <definedName name="_xlnm.Print_Area" localSheetId="6">CompareFcsts!$R$61:$AG$108</definedName>
    <definedName name="_xlnm.Print_Area" localSheetId="7">'Conversion Factors'!$A$1:$Q$45</definedName>
    <definedName name="_xlnm.Print_Area" localSheetId="2">'FCSTG INPUT'!$A$2:$R$47</definedName>
    <definedName name="_xlnm.Print_Area" localSheetId="59">'FCSTG INPUT @METER'!$A$2:$R$46</definedName>
    <definedName name="_xlnm.Print_Area" localSheetId="0">README!$A$16:$P$43</definedName>
    <definedName name="_xlnm.Print_Area" localSheetId="9">'RES Assist.'!$A$1:$U$63</definedName>
    <definedName name="_xlnm.Print_Area" localSheetId="8">'RES Audit Alt'!$A$1:$U$59</definedName>
    <definedName name="_xlnm.Print_Area" localSheetId="10">'RES Audit RCS'!$A$1:$U$60</definedName>
    <definedName name="_xlnm.Print_Area" localSheetId="12">'RES DR'!$A$1:$Y$70</definedName>
    <definedName name="_xlnm.Print_Area" localSheetId="15">'RES EnergyStar'!$A$1:$U$60</definedName>
    <definedName name="_xlnm.Print_Area" localSheetId="36">'RES EP (RSVP)'!$A$1:$U$60</definedName>
    <definedName name="_xlnm.Print_Area" localSheetId="16">'RES HC'!$A$1:$U$68</definedName>
    <definedName name="_xlnm.Print_Area" localSheetId="41">'RES Prime Time'!$K$1:$P$42</definedName>
    <definedName name="_xlnm.Print_Area" localSheetId="3">'Res Summary'!$A$1:$BQ$91</definedName>
    <definedName name="_xlnm.Print_Area" localSheetId="17">'RES WEA'!$A$1:$U$59</definedName>
    <definedName name="_xlnm.Print_Area" localSheetId="43">'RES WF'!$A$1:$N$83</definedName>
    <definedName name="_xlnm.Print_Area" localSheetId="5">'Savings Summary'!$A$1:$Q$54</definedName>
    <definedName name="_xlnm.Print_Titles" localSheetId="41">'RES Prime Time'!$A:$D,'RES Prime Time'!$1:$5</definedName>
    <definedName name="_xlnm.Print_Titles" localSheetId="3">'Res Summary'!$A:$A</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 i="107" l="1"/>
  <c r="H5" i="107" s="1"/>
  <c r="H6" i="107" s="1"/>
  <c r="H7" i="107" s="1"/>
  <c r="H8" i="107" s="1"/>
  <c r="H9" i="107" s="1"/>
  <c r="H10" i="107" s="1"/>
  <c r="H11" i="107" s="1"/>
  <c r="H12" i="107" s="1"/>
  <c r="H13" i="107" s="1"/>
  <c r="H14" i="107" s="1"/>
  <c r="H15" i="107" s="1"/>
  <c r="H16" i="107" s="1"/>
  <c r="H17" i="107" s="1"/>
  <c r="H18" i="107" s="1"/>
  <c r="H19" i="107" s="1"/>
  <c r="H20" i="107" s="1"/>
  <c r="H21" i="107" s="1"/>
  <c r="H22" i="107" s="1"/>
  <c r="H23" i="107" s="1"/>
  <c r="H24" i="107" s="1"/>
  <c r="H25" i="107" s="1"/>
  <c r="H26" i="107" s="1"/>
  <c r="H27" i="107" s="1"/>
  <c r="H28" i="107" s="1"/>
  <c r="H29" i="107" s="1"/>
  <c r="H30" i="107" s="1"/>
  <c r="H31" i="107" s="1"/>
  <c r="H32" i="107" s="1"/>
  <c r="H33" i="107" s="1"/>
  <c r="H34" i="107" s="1"/>
  <c r="H35" i="107" s="1"/>
  <c r="H36" i="107" s="1"/>
  <c r="H37" i="107" s="1"/>
  <c r="H38" i="107" s="1"/>
  <c r="H39" i="107" s="1"/>
  <c r="H40" i="107" s="1"/>
  <c r="H41" i="107" s="1"/>
  <c r="H42" i="107" s="1"/>
  <c r="H43" i="107" s="1"/>
  <c r="H44" i="107" s="1"/>
  <c r="H45" i="107" s="1"/>
  <c r="H46" i="107" s="1"/>
  <c r="H47" i="107" s="1"/>
  <c r="H48" i="107" s="1"/>
  <c r="H49" i="107" s="1"/>
  <c r="H50" i="107" s="1"/>
  <c r="H51" i="107" s="1"/>
  <c r="H52" i="107" s="1"/>
  <c r="G4" i="107"/>
  <c r="G5" i="107" s="1"/>
  <c r="G6" i="107" s="1"/>
  <c r="G7" i="107" s="1"/>
  <c r="G8" i="107" s="1"/>
  <c r="G9" i="107" s="1"/>
  <c r="G10" i="107" s="1"/>
  <c r="G11" i="107" s="1"/>
  <c r="G12" i="107" s="1"/>
  <c r="G13" i="107" s="1"/>
  <c r="G14" i="107" s="1"/>
  <c r="G15" i="107" s="1"/>
  <c r="G16" i="107" s="1"/>
  <c r="G17" i="107" s="1"/>
  <c r="G18" i="107" s="1"/>
  <c r="G19" i="107" s="1"/>
  <c r="G20" i="107" s="1"/>
  <c r="G21" i="107" s="1"/>
  <c r="G22" i="107" s="1"/>
  <c r="G23" i="107" s="1"/>
  <c r="G24" i="107" s="1"/>
  <c r="G25" i="107" s="1"/>
  <c r="G26" i="107" s="1"/>
  <c r="F4" i="107"/>
  <c r="F5" i="107" s="1"/>
  <c r="F6" i="107" s="1"/>
  <c r="F7" i="107" s="1"/>
  <c r="F8" i="107" s="1"/>
  <c r="F9" i="107" s="1"/>
  <c r="F10" i="107" s="1"/>
  <c r="F11" i="107" s="1"/>
  <c r="F12" i="107" s="1"/>
  <c r="F13" i="107" s="1"/>
  <c r="F14" i="107" s="1"/>
  <c r="F15" i="107" s="1"/>
  <c r="F16" i="107" s="1"/>
  <c r="F17" i="107" s="1"/>
  <c r="F18" i="107" s="1"/>
  <c r="F19" i="107" s="1"/>
  <c r="F20" i="107" s="1"/>
  <c r="F21" i="107" s="1"/>
  <c r="F22" i="107" s="1"/>
  <c r="F23" i="107" s="1"/>
  <c r="F24" i="107" s="1"/>
  <c r="F25" i="107" s="1"/>
  <c r="F26" i="107" s="1"/>
  <c r="C29" i="45" l="1"/>
  <c r="D29" i="45" s="1"/>
  <c r="L54" i="45"/>
  <c r="B24" i="71"/>
  <c r="B25" i="71"/>
  <c r="B26" i="71" s="1"/>
  <c r="B27" i="71" s="1"/>
  <c r="B28" i="71" s="1"/>
  <c r="B29" i="71" s="1"/>
  <c r="B30" i="71" s="1"/>
  <c r="B31" i="71" s="1"/>
  <c r="B32" i="71" s="1"/>
  <c r="B33" i="71" s="1"/>
  <c r="B34" i="71" s="1"/>
  <c r="B35" i="71" s="1"/>
  <c r="B36" i="71" s="1"/>
  <c r="B37" i="71" s="1"/>
  <c r="B38" i="71" s="1"/>
  <c r="B39" i="71" s="1"/>
  <c r="B40" i="71" s="1"/>
  <c r="B41" i="71" s="1"/>
  <c r="B42" i="71" s="1"/>
  <c r="B43" i="71" s="1"/>
  <c r="B44" i="71" s="1"/>
  <c r="B45" i="71" s="1"/>
  <c r="B46" i="71" s="1"/>
  <c r="B47" i="71" s="1"/>
  <c r="B48" i="71" s="1"/>
  <c r="B49" i="71" s="1"/>
  <c r="B50" i="71" s="1"/>
  <c r="B51" i="71" s="1"/>
  <c r="B52" i="71" s="1"/>
  <c r="M7" i="59"/>
  <c r="J8" i="59"/>
  <c r="L8" i="59" s="1"/>
  <c r="M8" i="59" s="1"/>
  <c r="K8" i="59"/>
  <c r="J9" i="59"/>
  <c r="L9" i="59" s="1"/>
  <c r="K9" i="59"/>
  <c r="J10" i="59"/>
  <c r="K10" i="59"/>
  <c r="L10" i="59"/>
  <c r="J11" i="59"/>
  <c r="K11" i="59"/>
  <c r="L11" i="59"/>
  <c r="J12" i="59"/>
  <c r="L12" i="59" s="1"/>
  <c r="K12" i="59"/>
  <c r="J13" i="59"/>
  <c r="K13" i="59"/>
  <c r="J14" i="59"/>
  <c r="K14" i="59"/>
  <c r="L14" i="59"/>
  <c r="J15" i="59"/>
  <c r="K15" i="59"/>
  <c r="L15" i="59"/>
  <c r="J16" i="59"/>
  <c r="L16" i="59" s="1"/>
  <c r="K16" i="59"/>
  <c r="J17" i="59"/>
  <c r="L17" i="59" s="1"/>
  <c r="K17" i="59"/>
  <c r="J18" i="59"/>
  <c r="K18" i="59"/>
  <c r="L18" i="59"/>
  <c r="J19" i="59"/>
  <c r="K19" i="59"/>
  <c r="L19" i="59"/>
  <c r="J20" i="59"/>
  <c r="L20" i="59" s="1"/>
  <c r="K20" i="59"/>
  <c r="J21" i="59"/>
  <c r="K21" i="59"/>
  <c r="J22" i="59"/>
  <c r="K22" i="59"/>
  <c r="L22" i="59"/>
  <c r="J23" i="59"/>
  <c r="K23" i="59"/>
  <c r="L23" i="59"/>
  <c r="J24" i="59"/>
  <c r="L24" i="59" s="1"/>
  <c r="K24" i="59"/>
  <c r="J25" i="59"/>
  <c r="L25" i="59" s="1"/>
  <c r="K25" i="59"/>
  <c r="J26" i="59"/>
  <c r="K26" i="59"/>
  <c r="L26" i="59"/>
  <c r="J27" i="59"/>
  <c r="K27" i="59"/>
  <c r="L27" i="59"/>
  <c r="J28" i="59"/>
  <c r="D61" i="59"/>
  <c r="D28" i="59"/>
  <c r="K28" i="59" s="1"/>
  <c r="J29" i="59"/>
  <c r="K29" i="59"/>
  <c r="J30" i="59"/>
  <c r="D30" i="59"/>
  <c r="G30" i="59" s="1"/>
  <c r="J31" i="59"/>
  <c r="J32" i="59"/>
  <c r="J33" i="59"/>
  <c r="B34" i="59"/>
  <c r="D7" i="46"/>
  <c r="D8" i="46" s="1"/>
  <c r="D9" i="46" s="1"/>
  <c r="D10" i="46" s="1"/>
  <c r="D11" i="46"/>
  <c r="D12" i="46" s="1"/>
  <c r="D13" i="46" s="1"/>
  <c r="D14" i="46" s="1"/>
  <c r="D15" i="46" s="1"/>
  <c r="D16" i="46" s="1"/>
  <c r="D17" i="46" s="1"/>
  <c r="D18" i="46" s="1"/>
  <c r="D19" i="46" s="1"/>
  <c r="D20" i="46" s="1"/>
  <c r="D21" i="46" s="1"/>
  <c r="D22" i="46" s="1"/>
  <c r="D23" i="46" s="1"/>
  <c r="D24" i="46" s="1"/>
  <c r="D25" i="46" s="1"/>
  <c r="D26" i="46" s="1"/>
  <c r="D27" i="46" s="1"/>
  <c r="D28" i="46" s="1"/>
  <c r="Q29" i="46" s="1"/>
  <c r="E29" i="46"/>
  <c r="E30" i="46"/>
  <c r="E31" i="46" s="1"/>
  <c r="C33" i="46"/>
  <c r="C34" i="46" s="1"/>
  <c r="C35" i="46"/>
  <c r="C36" i="46" s="1"/>
  <c r="C37" i="46" s="1"/>
  <c r="C38" i="46" s="1"/>
  <c r="C39" i="46" s="1"/>
  <c r="C40" i="46" s="1"/>
  <c r="C41" i="46" s="1"/>
  <c r="C42" i="46" s="1"/>
  <c r="C43" i="46" s="1"/>
  <c r="C44" i="46" s="1"/>
  <c r="C45" i="46" s="1"/>
  <c r="C46" i="46" s="1"/>
  <c r="C47" i="46" s="1"/>
  <c r="C48" i="46" s="1"/>
  <c r="C49" i="46" s="1"/>
  <c r="C50" i="46" s="1"/>
  <c r="C51" i="46" s="1"/>
  <c r="C52" i="46" s="1"/>
  <c r="C53" i="46" s="1"/>
  <c r="C54" i="46" s="1"/>
  <c r="F24" i="71"/>
  <c r="F25" i="71" s="1"/>
  <c r="F26" i="71" s="1"/>
  <c r="F27" i="71" s="1"/>
  <c r="F28" i="71" s="1"/>
  <c r="F29" i="71" s="1"/>
  <c r="F30" i="71" s="1"/>
  <c r="F31" i="71" s="1"/>
  <c r="F32" i="71" s="1"/>
  <c r="F33" i="71" s="1"/>
  <c r="F34" i="71" s="1"/>
  <c r="F35" i="71" s="1"/>
  <c r="F36" i="71" s="1"/>
  <c r="F37" i="71" s="1"/>
  <c r="F38" i="71" s="1"/>
  <c r="F39" i="71" s="1"/>
  <c r="F40" i="71" s="1"/>
  <c r="F41" i="71" s="1"/>
  <c r="F42" i="71" s="1"/>
  <c r="F43" i="71" s="1"/>
  <c r="F44" i="71" s="1"/>
  <c r="F45" i="71" s="1"/>
  <c r="F46" i="71" s="1"/>
  <c r="F47" i="71" s="1"/>
  <c r="F48" i="71" s="1"/>
  <c r="F49" i="71" s="1"/>
  <c r="F50" i="71" s="1"/>
  <c r="F51" i="71" s="1"/>
  <c r="F52" i="71" s="1"/>
  <c r="D7" i="47"/>
  <c r="D8" i="47" s="1"/>
  <c r="D9" i="47"/>
  <c r="D10" i="47" s="1"/>
  <c r="D11" i="47" s="1"/>
  <c r="D12" i="47" s="1"/>
  <c r="D13" i="47" s="1"/>
  <c r="D14" i="47" s="1"/>
  <c r="D15" i="47" s="1"/>
  <c r="D16" i="47" s="1"/>
  <c r="D17" i="47" s="1"/>
  <c r="D18" i="47" s="1"/>
  <c r="D19" i="47" s="1"/>
  <c r="D20" i="47" s="1"/>
  <c r="D21" i="47" s="1"/>
  <c r="D22" i="47" s="1"/>
  <c r="D23" i="47" s="1"/>
  <c r="D24" i="47" s="1"/>
  <c r="D25" i="47" s="1"/>
  <c r="D26" i="47" s="1"/>
  <c r="C33" i="47"/>
  <c r="C34" i="47"/>
  <c r="C35" i="47"/>
  <c r="C36" i="47" s="1"/>
  <c r="C37" i="47" s="1"/>
  <c r="C38" i="47" s="1"/>
  <c r="C39" i="47" s="1"/>
  <c r="C40" i="47" s="1"/>
  <c r="C41" i="47" s="1"/>
  <c r="C42" i="47" s="1"/>
  <c r="C43" i="47" s="1"/>
  <c r="C44" i="47" s="1"/>
  <c r="C45" i="47" s="1"/>
  <c r="C46" i="47" s="1"/>
  <c r="C47" i="47" s="1"/>
  <c r="C48" i="47" s="1"/>
  <c r="C49" i="47" s="1"/>
  <c r="C50" i="47" s="1"/>
  <c r="C51" i="47" s="1"/>
  <c r="C52" i="47" s="1"/>
  <c r="C53" i="47" s="1"/>
  <c r="C54" i="47" s="1"/>
  <c r="E26" i="47"/>
  <c r="E27" i="47"/>
  <c r="E28" i="47" s="1"/>
  <c r="E29" i="47" s="1"/>
  <c r="E30" i="47" s="1"/>
  <c r="E31" i="47" s="1"/>
  <c r="E32" i="47" s="1"/>
  <c r="D8" i="48"/>
  <c r="D9" i="48" s="1"/>
  <c r="D10" i="48" s="1"/>
  <c r="D11" i="48" s="1"/>
  <c r="D12" i="48" s="1"/>
  <c r="D13" i="48" s="1"/>
  <c r="D14" i="48" s="1"/>
  <c r="D15" i="48" s="1"/>
  <c r="D16" i="48" s="1"/>
  <c r="D17" i="48" s="1"/>
  <c r="D18" i="48" s="1"/>
  <c r="D19" i="48" s="1"/>
  <c r="D20" i="48" s="1"/>
  <c r="D21" i="48" s="1"/>
  <c r="D22" i="48" s="1"/>
  <c r="D23" i="48" s="1"/>
  <c r="D24" i="48" s="1"/>
  <c r="D25" i="48" s="1"/>
  <c r="D26" i="48" s="1"/>
  <c r="D27" i="48" s="1"/>
  <c r="E30" i="48"/>
  <c r="H30" i="48" s="1"/>
  <c r="M29" i="63"/>
  <c r="M30" i="63" s="1"/>
  <c r="M31" i="63" s="1"/>
  <c r="M32" i="63" s="1"/>
  <c r="R54" i="45"/>
  <c r="C24" i="71"/>
  <c r="C25" i="71" s="1"/>
  <c r="C26" i="71" s="1"/>
  <c r="C27" i="71" s="1"/>
  <c r="C28" i="71" s="1"/>
  <c r="C29" i="71" s="1"/>
  <c r="C30" i="71" s="1"/>
  <c r="C31" i="71" s="1"/>
  <c r="C32" i="71" s="1"/>
  <c r="C33" i="71" s="1"/>
  <c r="C34" i="71" s="1"/>
  <c r="C35" i="71" s="1"/>
  <c r="C36" i="71" s="1"/>
  <c r="C37" i="71" s="1"/>
  <c r="C38" i="71" s="1"/>
  <c r="C39" i="71" s="1"/>
  <c r="C40" i="71" s="1"/>
  <c r="C41" i="71" s="1"/>
  <c r="C42" i="71" s="1"/>
  <c r="C43" i="71" s="1"/>
  <c r="C44" i="71" s="1"/>
  <c r="C45" i="71" s="1"/>
  <c r="C46" i="71" s="1"/>
  <c r="C47" i="71" s="1"/>
  <c r="C48" i="71" s="1"/>
  <c r="C49" i="71" s="1"/>
  <c r="C50" i="71" s="1"/>
  <c r="C51" i="71" s="1"/>
  <c r="C52" i="71" s="1"/>
  <c r="Q7" i="59"/>
  <c r="O8" i="59"/>
  <c r="P8" i="59" s="1"/>
  <c r="Q8" i="59" s="1"/>
  <c r="Q9" i="59" s="1"/>
  <c r="N9" i="59"/>
  <c r="O9" i="59"/>
  <c r="P9" i="59"/>
  <c r="N10" i="59"/>
  <c r="P10" i="59" s="1"/>
  <c r="O10" i="59"/>
  <c r="N11" i="59"/>
  <c r="O11" i="59"/>
  <c r="N12" i="59"/>
  <c r="O12" i="59"/>
  <c r="P12" i="59"/>
  <c r="N13" i="59"/>
  <c r="O13" i="59"/>
  <c r="P13" i="59"/>
  <c r="N14" i="59"/>
  <c r="P14" i="59" s="1"/>
  <c r="O14" i="59"/>
  <c r="N15" i="59"/>
  <c r="O15" i="59"/>
  <c r="N16" i="59"/>
  <c r="O16" i="59"/>
  <c r="P16" i="59" s="1"/>
  <c r="N17" i="59"/>
  <c r="O17" i="59"/>
  <c r="P17" i="59"/>
  <c r="N18" i="59"/>
  <c r="P18" i="59" s="1"/>
  <c r="O18" i="59"/>
  <c r="N19" i="59"/>
  <c r="O19" i="59"/>
  <c r="N20" i="59"/>
  <c r="O20" i="59"/>
  <c r="P20" i="59"/>
  <c r="N21" i="59"/>
  <c r="O21" i="59"/>
  <c r="P21" i="59"/>
  <c r="N22" i="59"/>
  <c r="P22" i="59" s="1"/>
  <c r="O22" i="59"/>
  <c r="N23" i="59"/>
  <c r="O23" i="59"/>
  <c r="N24" i="59"/>
  <c r="O24" i="59"/>
  <c r="P24" i="59" s="1"/>
  <c r="N25" i="59"/>
  <c r="O25" i="59"/>
  <c r="P25" i="59"/>
  <c r="N26" i="59"/>
  <c r="E26" i="59"/>
  <c r="O26" i="59"/>
  <c r="N27" i="59"/>
  <c r="O27" i="59"/>
  <c r="N28" i="59"/>
  <c r="E61" i="59"/>
  <c r="E28" i="59" s="1"/>
  <c r="O28" i="59" s="1"/>
  <c r="P28" i="59" s="1"/>
  <c r="N29" i="59"/>
  <c r="O29" i="59"/>
  <c r="N30" i="59"/>
  <c r="E30" i="59"/>
  <c r="O30" i="59" s="1"/>
  <c r="N31" i="59"/>
  <c r="N32" i="59"/>
  <c r="N33" i="59"/>
  <c r="N34" i="59"/>
  <c r="N35" i="59"/>
  <c r="B48" i="46"/>
  <c r="B49" i="46" s="1"/>
  <c r="B50" i="46" s="1"/>
  <c r="F33" i="46"/>
  <c r="F34" i="46" s="1"/>
  <c r="F35" i="46" s="1"/>
  <c r="F36" i="46"/>
  <c r="G24" i="71"/>
  <c r="G25" i="71" s="1"/>
  <c r="G26" i="71" s="1"/>
  <c r="G27" i="71" s="1"/>
  <c r="G28" i="71" s="1"/>
  <c r="G29" i="71" s="1"/>
  <c r="G30" i="71" s="1"/>
  <c r="G31" i="71" s="1"/>
  <c r="G32" i="71" s="1"/>
  <c r="G33" i="71" s="1"/>
  <c r="G34" i="71" s="1"/>
  <c r="G35" i="71" s="1"/>
  <c r="G36" i="71" s="1"/>
  <c r="G37" i="71" s="1"/>
  <c r="G38" i="71" s="1"/>
  <c r="G39" i="71" s="1"/>
  <c r="G40" i="71" s="1"/>
  <c r="G41" i="71" s="1"/>
  <c r="G42" i="71" s="1"/>
  <c r="G43" i="71" s="1"/>
  <c r="G44" i="71" s="1"/>
  <c r="G45" i="71" s="1"/>
  <c r="G46" i="71" s="1"/>
  <c r="G47" i="71" s="1"/>
  <c r="G48" i="71" s="1"/>
  <c r="G49" i="71" s="1"/>
  <c r="G50" i="71" s="1"/>
  <c r="G51" i="71" s="1"/>
  <c r="G52" i="71" s="1"/>
  <c r="F26" i="47"/>
  <c r="F27" i="47" s="1"/>
  <c r="F28" i="47" s="1"/>
  <c r="F29" i="47" s="1"/>
  <c r="F30" i="47" s="1"/>
  <c r="F31" i="47" s="1"/>
  <c r="F32" i="47" s="1"/>
  <c r="I29" i="48"/>
  <c r="F30" i="48"/>
  <c r="I30" i="48" s="1"/>
  <c r="B48" i="48"/>
  <c r="B49" i="48"/>
  <c r="Q29" i="63"/>
  <c r="L53" i="45"/>
  <c r="R53" i="45"/>
  <c r="L52" i="45"/>
  <c r="R52" i="45"/>
  <c r="L51" i="45"/>
  <c r="R51" i="45"/>
  <c r="L50" i="45"/>
  <c r="R50" i="45"/>
  <c r="L49" i="45"/>
  <c r="R49" i="45"/>
  <c r="L48" i="45"/>
  <c r="R48" i="45"/>
  <c r="L47" i="45"/>
  <c r="R47" i="45"/>
  <c r="L46" i="45"/>
  <c r="R46" i="45"/>
  <c r="L45" i="45"/>
  <c r="R45" i="45"/>
  <c r="L44" i="45"/>
  <c r="R44" i="45"/>
  <c r="L43" i="45"/>
  <c r="R43" i="45"/>
  <c r="L42" i="45"/>
  <c r="R42" i="45"/>
  <c r="L41" i="45"/>
  <c r="R41" i="45"/>
  <c r="L40" i="45"/>
  <c r="R40" i="45"/>
  <c r="L39" i="45"/>
  <c r="R39" i="45"/>
  <c r="L38" i="45"/>
  <c r="R38" i="45"/>
  <c r="L37" i="45"/>
  <c r="R37" i="45"/>
  <c r="L36" i="45"/>
  <c r="R36" i="45"/>
  <c r="L35" i="45"/>
  <c r="R35" i="45"/>
  <c r="I35" i="46"/>
  <c r="R35" i="46"/>
  <c r="L34" i="45"/>
  <c r="R34" i="45"/>
  <c r="I34" i="46"/>
  <c r="R34" i="46"/>
  <c r="L33" i="45"/>
  <c r="R33" i="45"/>
  <c r="I33" i="46"/>
  <c r="R33" i="46" s="1"/>
  <c r="L32" i="45"/>
  <c r="R32" i="45"/>
  <c r="I32" i="46"/>
  <c r="R32" i="46" s="1"/>
  <c r="L31" i="45"/>
  <c r="L31" i="47"/>
  <c r="R31" i="45"/>
  <c r="I31" i="46"/>
  <c r="R31" i="46" s="1"/>
  <c r="L30" i="45"/>
  <c r="R30" i="45"/>
  <c r="I30" i="46"/>
  <c r="R30" i="46" s="1"/>
  <c r="K29" i="45"/>
  <c r="E26" i="45"/>
  <c r="E27" i="45" s="1"/>
  <c r="E28" i="45" s="1"/>
  <c r="E29" i="45" s="1"/>
  <c r="L29" i="45" s="1"/>
  <c r="L29" i="47"/>
  <c r="Q29" i="45"/>
  <c r="D7" i="45"/>
  <c r="D8" i="45" s="1"/>
  <c r="D9" i="45" s="1"/>
  <c r="D10" i="45" s="1"/>
  <c r="D11" i="45" s="1"/>
  <c r="D12" i="45" s="1"/>
  <c r="D13" i="45" s="1"/>
  <c r="D14" i="45" s="1"/>
  <c r="D15" i="45" s="1"/>
  <c r="D16" i="45" s="1"/>
  <c r="D17" i="45" s="1"/>
  <c r="D18" i="45" s="1"/>
  <c r="D19" i="45" s="1"/>
  <c r="D20" i="45" s="1"/>
  <c r="D21" i="45" s="1"/>
  <c r="D22" i="45" s="1"/>
  <c r="D23" i="45" s="1"/>
  <c r="D24" i="45" s="1"/>
  <c r="D25" i="45" s="1"/>
  <c r="Q26" i="45" s="1"/>
  <c r="F26" i="45" s="1"/>
  <c r="F27" i="45" s="1"/>
  <c r="F28" i="45" s="1"/>
  <c r="F29" i="45" s="1"/>
  <c r="R29" i="45" s="1"/>
  <c r="I29" i="46"/>
  <c r="R29" i="46" s="1"/>
  <c r="R29" i="47"/>
  <c r="S26" i="69"/>
  <c r="S79" i="69"/>
  <c r="AC26" i="68"/>
  <c r="AE26" i="68"/>
  <c r="AE79" i="68" s="1"/>
  <c r="AF26" i="68"/>
  <c r="AF79" i="68" s="1"/>
  <c r="AP26" i="69"/>
  <c r="AP79" i="69" s="1"/>
  <c r="AP129" i="69" s="1"/>
  <c r="I28" i="46"/>
  <c r="R28" i="46" s="1"/>
  <c r="BN26" i="68"/>
  <c r="BO26" i="68"/>
  <c r="S25" i="69"/>
  <c r="S78" i="69"/>
  <c r="AC25" i="68"/>
  <c r="AC78" i="68" s="1"/>
  <c r="AE25" i="68"/>
  <c r="J27" i="63"/>
  <c r="D27" i="63"/>
  <c r="K27" i="63" s="1"/>
  <c r="AP25" i="69"/>
  <c r="AP78" i="69" s="1"/>
  <c r="BL25" i="68"/>
  <c r="BN25" i="68"/>
  <c r="N27" i="63"/>
  <c r="E27" i="63"/>
  <c r="O27" i="63" s="1"/>
  <c r="S24" i="69"/>
  <c r="S77" i="69" s="1"/>
  <c r="AC24" i="68"/>
  <c r="AE24" i="68"/>
  <c r="AE77" i="68" s="1"/>
  <c r="AF24" i="68"/>
  <c r="AP24" i="69"/>
  <c r="AP77" i="69" s="1"/>
  <c r="BL24" i="68"/>
  <c r="Q26" i="47"/>
  <c r="R26" i="47" s="1"/>
  <c r="T26" i="47" s="1"/>
  <c r="BM24" i="68" s="1"/>
  <c r="BN24" i="68"/>
  <c r="BO24" i="68"/>
  <c r="S23" i="69"/>
  <c r="S76" i="69" s="1"/>
  <c r="AC23" i="68"/>
  <c r="AC76" i="68" s="1"/>
  <c r="AD23" i="68"/>
  <c r="AD76" i="68" s="1"/>
  <c r="AE23" i="68"/>
  <c r="AE76" i="68" s="1"/>
  <c r="AF23" i="68"/>
  <c r="AF76" i="68" s="1"/>
  <c r="AP23" i="69"/>
  <c r="AP76" i="69" s="1"/>
  <c r="BL23" i="68"/>
  <c r="BL76" i="68" s="1"/>
  <c r="BM23" i="68"/>
  <c r="BM76" i="68" s="1"/>
  <c r="BN23" i="68"/>
  <c r="BN76" i="68" s="1"/>
  <c r="BO23" i="68"/>
  <c r="BO76" i="68" s="1"/>
  <c r="BP76" i="68"/>
  <c r="S22" i="69"/>
  <c r="S75" i="69" s="1"/>
  <c r="AC22" i="68"/>
  <c r="AC75" i="68" s="1"/>
  <c r="AD22" i="68"/>
  <c r="AD75" i="68" s="1"/>
  <c r="AE22" i="68"/>
  <c r="AE75" i="68" s="1"/>
  <c r="AF22" i="68"/>
  <c r="AF75" i="68" s="1"/>
  <c r="AP22" i="69"/>
  <c r="AP75" i="69"/>
  <c r="BL22" i="68"/>
  <c r="BL75" i="68" s="1"/>
  <c r="BM22" i="68"/>
  <c r="BM75" i="68" s="1"/>
  <c r="BN22" i="68"/>
  <c r="BN75" i="68" s="1"/>
  <c r="BO22" i="68"/>
  <c r="BO75" i="68" s="1"/>
  <c r="S21" i="69"/>
  <c r="S74" i="69" s="1"/>
  <c r="AC21" i="68"/>
  <c r="AC74" i="68" s="1"/>
  <c r="AD21" i="68"/>
  <c r="AD74" i="68" s="1"/>
  <c r="AE21" i="68"/>
  <c r="AE74" i="68" s="1"/>
  <c r="AF21" i="68"/>
  <c r="AF74" i="68" s="1"/>
  <c r="AP21" i="69"/>
  <c r="AP74" i="69"/>
  <c r="BL21" i="68"/>
  <c r="BL74" i="68" s="1"/>
  <c r="BM21" i="68"/>
  <c r="BM74" i="68" s="1"/>
  <c r="BN21" i="68"/>
  <c r="BN74" i="68" s="1"/>
  <c r="BO21" i="68"/>
  <c r="BO74" i="68" s="1"/>
  <c r="BP74" i="68"/>
  <c r="S20" i="69"/>
  <c r="S73" i="69"/>
  <c r="AC20" i="68"/>
  <c r="AC73" i="68" s="1"/>
  <c r="AD20" i="68"/>
  <c r="AD73" i="68" s="1"/>
  <c r="AG73" i="68" s="1"/>
  <c r="AE20" i="68"/>
  <c r="AE73" i="68" s="1"/>
  <c r="AF20" i="68"/>
  <c r="AF73" i="68" s="1"/>
  <c r="AP20" i="69"/>
  <c r="AP73" i="69"/>
  <c r="BL20" i="68"/>
  <c r="BL73" i="68" s="1"/>
  <c r="BM20" i="68"/>
  <c r="BM73" i="68" s="1"/>
  <c r="BN20" i="68"/>
  <c r="BN73" i="68" s="1"/>
  <c r="BO20" i="68"/>
  <c r="BO73" i="68" s="1"/>
  <c r="S19" i="69"/>
  <c r="S72" i="69"/>
  <c r="AC19" i="68"/>
  <c r="AC72" i="68" s="1"/>
  <c r="AD19" i="68"/>
  <c r="AD72" i="68" s="1"/>
  <c r="AE19" i="68"/>
  <c r="AE72" i="68" s="1"/>
  <c r="AF19" i="68"/>
  <c r="AF72" i="68" s="1"/>
  <c r="AP19" i="69"/>
  <c r="AP72" i="69"/>
  <c r="BL19" i="68"/>
  <c r="BL72" i="68" s="1"/>
  <c r="BM19" i="68"/>
  <c r="BM72" i="68" s="1"/>
  <c r="BN19" i="68"/>
  <c r="BN72" i="68" s="1"/>
  <c r="BO19" i="68"/>
  <c r="BO72" i="68" s="1"/>
  <c r="S18" i="69"/>
  <c r="S71" i="69"/>
  <c r="AC18" i="68"/>
  <c r="AC71" i="68" s="1"/>
  <c r="AD18" i="68"/>
  <c r="AD71" i="68" s="1"/>
  <c r="AE18" i="68"/>
  <c r="AE71" i="68" s="1"/>
  <c r="J8" i="63"/>
  <c r="L8" i="63" s="1"/>
  <c r="M8" i="63" s="1"/>
  <c r="D8" i="63"/>
  <c r="K8" i="63" s="1"/>
  <c r="J9" i="63"/>
  <c r="D9" i="63"/>
  <c r="K9" i="63" s="1"/>
  <c r="L9" i="63" s="1"/>
  <c r="J10" i="63"/>
  <c r="D10" i="63"/>
  <c r="K10" i="63"/>
  <c r="J11" i="63"/>
  <c r="D11" i="63"/>
  <c r="K11" i="63" s="1"/>
  <c r="J12" i="63"/>
  <c r="D12" i="63"/>
  <c r="K12" i="63" s="1"/>
  <c r="J13" i="63"/>
  <c r="D13" i="63"/>
  <c r="K13" i="63" s="1"/>
  <c r="L13" i="63"/>
  <c r="J14" i="63"/>
  <c r="L14" i="63" s="1"/>
  <c r="D14" i="63"/>
  <c r="K14" i="63"/>
  <c r="J15" i="63"/>
  <c r="D15" i="63"/>
  <c r="K15" i="63" s="1"/>
  <c r="J16" i="63"/>
  <c r="D16" i="63"/>
  <c r="K16" i="63"/>
  <c r="J17" i="63"/>
  <c r="L17" i="63" s="1"/>
  <c r="D17" i="63"/>
  <c r="K17" i="63" s="1"/>
  <c r="J18" i="63"/>
  <c r="D18" i="63"/>
  <c r="K18" i="63" s="1"/>
  <c r="J19" i="63"/>
  <c r="D19" i="63"/>
  <c r="K19" i="63" s="1"/>
  <c r="L19" i="63" s="1"/>
  <c r="J20" i="63"/>
  <c r="D20" i="63"/>
  <c r="K20" i="63" s="1"/>
  <c r="AP18" i="69"/>
  <c r="AP71" i="69" s="1"/>
  <c r="BL18" i="68"/>
  <c r="BL71" i="68" s="1"/>
  <c r="BM18" i="68"/>
  <c r="BM71" i="68"/>
  <c r="BN18" i="68"/>
  <c r="BN71" i="68" s="1"/>
  <c r="E8" i="63"/>
  <c r="O8" i="63"/>
  <c r="P8" i="63" s="1"/>
  <c r="Q8" i="63" s="1"/>
  <c r="N9" i="63"/>
  <c r="P9" i="63" s="1"/>
  <c r="E9" i="63"/>
  <c r="O9" i="63" s="1"/>
  <c r="N10" i="63"/>
  <c r="E10" i="63"/>
  <c r="O10" i="63" s="1"/>
  <c r="N11" i="63"/>
  <c r="E11" i="63"/>
  <c r="O11" i="63" s="1"/>
  <c r="P11" i="63" s="1"/>
  <c r="N12" i="63"/>
  <c r="E12" i="63"/>
  <c r="O12" i="63" s="1"/>
  <c r="N13" i="63"/>
  <c r="P13" i="63" s="1"/>
  <c r="E13" i="63"/>
  <c r="O13" i="63" s="1"/>
  <c r="N14" i="63"/>
  <c r="E14" i="63"/>
  <c r="O14" i="63"/>
  <c r="N15" i="63"/>
  <c r="E15" i="63"/>
  <c r="O15" i="63" s="1"/>
  <c r="P15" i="63" s="1"/>
  <c r="N16" i="63"/>
  <c r="E16" i="63"/>
  <c r="O16" i="63" s="1"/>
  <c r="N17" i="63"/>
  <c r="E17" i="63"/>
  <c r="O17" i="63" s="1"/>
  <c r="P17" i="63"/>
  <c r="N18" i="63"/>
  <c r="E18" i="63"/>
  <c r="O18" i="63"/>
  <c r="N19" i="63"/>
  <c r="E19" i="63"/>
  <c r="O19" i="63" s="1"/>
  <c r="N20" i="63"/>
  <c r="E20" i="63"/>
  <c r="O20" i="63"/>
  <c r="S17" i="69"/>
  <c r="S70" i="69" s="1"/>
  <c r="AC17" i="68"/>
  <c r="AC70" i="68" s="1"/>
  <c r="AD17" i="68"/>
  <c r="AD70" i="68" s="1"/>
  <c r="AE17" i="68"/>
  <c r="AE70" i="68" s="1"/>
  <c r="AP17" i="69"/>
  <c r="AP70" i="69"/>
  <c r="BL17" i="68"/>
  <c r="BL70" i="68" s="1"/>
  <c r="BM17" i="68"/>
  <c r="BM70" i="68" s="1"/>
  <c r="BN17" i="68"/>
  <c r="BN70" i="68" s="1"/>
  <c r="N18" i="45"/>
  <c r="S16" i="69" s="1"/>
  <c r="S69" i="69" s="1"/>
  <c r="AC16" i="68"/>
  <c r="AC69" i="68"/>
  <c r="AD16" i="68"/>
  <c r="AD69" i="68" s="1"/>
  <c r="AE16" i="68"/>
  <c r="AE69" i="68"/>
  <c r="AP16" i="69"/>
  <c r="AP69" i="69" s="1"/>
  <c r="BL16" i="68"/>
  <c r="BL69" i="68" s="1"/>
  <c r="BM16" i="68"/>
  <c r="BM69" i="68"/>
  <c r="BN16" i="68"/>
  <c r="BN69" i="68" s="1"/>
  <c r="S15" i="69"/>
  <c r="S68" i="69" s="1"/>
  <c r="N17" i="46"/>
  <c r="AC15" i="68"/>
  <c r="AC68" i="68" s="1"/>
  <c r="AD15" i="68"/>
  <c r="AD68" i="68" s="1"/>
  <c r="AE15" i="68"/>
  <c r="AE68" i="68" s="1"/>
  <c r="AP15" i="69"/>
  <c r="AP68" i="69"/>
  <c r="BL15" i="68"/>
  <c r="BL68" i="68" s="1"/>
  <c r="BM15" i="68"/>
  <c r="BM68" i="68" s="1"/>
  <c r="BN15" i="68"/>
  <c r="BN68" i="68" s="1"/>
  <c r="S14" i="69"/>
  <c r="S67" i="69" s="1"/>
  <c r="N16" i="46"/>
  <c r="AC14" i="68" s="1"/>
  <c r="AC67" i="68"/>
  <c r="AD14" i="68"/>
  <c r="AD67" i="68" s="1"/>
  <c r="AE14" i="68"/>
  <c r="AE67" i="68"/>
  <c r="AP14" i="69"/>
  <c r="AP67" i="69" s="1"/>
  <c r="BL14" i="68"/>
  <c r="BL67" i="68"/>
  <c r="BM14" i="68"/>
  <c r="BM67" i="68" s="1"/>
  <c r="BN14" i="68"/>
  <c r="BN67" i="68"/>
  <c r="S13" i="69"/>
  <c r="S66" i="69" s="1"/>
  <c r="N15" i="46"/>
  <c r="AC13" i="68"/>
  <c r="AC66" i="68" s="1"/>
  <c r="AD13" i="68"/>
  <c r="AD66" i="68" s="1"/>
  <c r="AE13" i="68"/>
  <c r="AE66" i="68" s="1"/>
  <c r="AP13" i="69"/>
  <c r="AP66" i="69"/>
  <c r="BL13" i="68"/>
  <c r="BL66" i="68" s="1"/>
  <c r="BM13" i="68"/>
  <c r="BM66" i="68" s="1"/>
  <c r="BN13" i="68"/>
  <c r="BN66" i="68" s="1"/>
  <c r="S12" i="69"/>
  <c r="S65" i="69" s="1"/>
  <c r="N14" i="46"/>
  <c r="AC12" i="68" s="1"/>
  <c r="AC65" i="68" s="1"/>
  <c r="AD12" i="68"/>
  <c r="AD65" i="68" s="1"/>
  <c r="AE12" i="68"/>
  <c r="AE65" i="68"/>
  <c r="AP12" i="69"/>
  <c r="AP65" i="69" s="1"/>
  <c r="BL12" i="68"/>
  <c r="BL65" i="68" s="1"/>
  <c r="BM12" i="68"/>
  <c r="BM65" i="68"/>
  <c r="BN12" i="68"/>
  <c r="BN65" i="68" s="1"/>
  <c r="S11" i="69"/>
  <c r="S64" i="69" s="1"/>
  <c r="AC11" i="68"/>
  <c r="AC64" i="68"/>
  <c r="AD11" i="68"/>
  <c r="AD64" i="68"/>
  <c r="AE11" i="68"/>
  <c r="AE64" i="68"/>
  <c r="AP11" i="69"/>
  <c r="AP64" i="69" s="1"/>
  <c r="BL11" i="68"/>
  <c r="BL64" i="68"/>
  <c r="BM11" i="68"/>
  <c r="BM64" i="68" s="1"/>
  <c r="BN11" i="68"/>
  <c r="BN64" i="68" s="1"/>
  <c r="J23" i="36"/>
  <c r="L23" i="36" s="1"/>
  <c r="K23" i="36"/>
  <c r="M7" i="36"/>
  <c r="J8" i="36"/>
  <c r="K8" i="36"/>
  <c r="J9" i="36"/>
  <c r="K9" i="36"/>
  <c r="J10" i="36"/>
  <c r="K10" i="36"/>
  <c r="J11" i="36"/>
  <c r="K11" i="36"/>
  <c r="J12" i="36"/>
  <c r="K12" i="36"/>
  <c r="J13" i="36"/>
  <c r="K13" i="36"/>
  <c r="J14" i="36"/>
  <c r="K14" i="36"/>
  <c r="J15" i="36"/>
  <c r="K15" i="36"/>
  <c r="J16" i="36"/>
  <c r="K16" i="36"/>
  <c r="J17" i="36"/>
  <c r="K17" i="36"/>
  <c r="J18" i="36"/>
  <c r="K18" i="36"/>
  <c r="J19" i="36"/>
  <c r="K19" i="36"/>
  <c r="J20" i="36"/>
  <c r="K20" i="36"/>
  <c r="J21" i="36"/>
  <c r="K21" i="36"/>
  <c r="J22" i="36"/>
  <c r="K22" i="36"/>
  <c r="J24" i="36"/>
  <c r="K24" i="36"/>
  <c r="J25" i="36"/>
  <c r="K25" i="36"/>
  <c r="J26" i="36"/>
  <c r="K26" i="36"/>
  <c r="J27" i="36"/>
  <c r="K27" i="36"/>
  <c r="J28" i="36"/>
  <c r="D67" i="36"/>
  <c r="D28" i="36" s="1"/>
  <c r="K28" i="36" s="1"/>
  <c r="L28" i="36" s="1"/>
  <c r="J29" i="36"/>
  <c r="K29" i="36"/>
  <c r="J30" i="36"/>
  <c r="D30" i="36"/>
  <c r="J31" i="36"/>
  <c r="J32" i="36"/>
  <c r="J33" i="36"/>
  <c r="J34" i="36"/>
  <c r="J35" i="36"/>
  <c r="J36" i="36"/>
  <c r="J37" i="36"/>
  <c r="B38" i="36"/>
  <c r="M7" i="1"/>
  <c r="J8" i="1"/>
  <c r="K8" i="1"/>
  <c r="J9" i="1"/>
  <c r="L9" i="1" s="1"/>
  <c r="K9" i="1"/>
  <c r="B10" i="1"/>
  <c r="K10" i="1"/>
  <c r="K11" i="1"/>
  <c r="J12" i="1"/>
  <c r="L12" i="1" s="1"/>
  <c r="K12" i="1"/>
  <c r="J13" i="1"/>
  <c r="K13" i="1"/>
  <c r="J14" i="1"/>
  <c r="L14" i="1" s="1"/>
  <c r="K14" i="1"/>
  <c r="J15" i="1"/>
  <c r="K15" i="1"/>
  <c r="J16" i="1"/>
  <c r="L16" i="1" s="1"/>
  <c r="K16" i="1"/>
  <c r="J17" i="1"/>
  <c r="K17" i="1"/>
  <c r="J18" i="1"/>
  <c r="L18" i="1" s="1"/>
  <c r="K18" i="1"/>
  <c r="J19" i="1"/>
  <c r="K19" i="1"/>
  <c r="J20" i="1"/>
  <c r="L20" i="1" s="1"/>
  <c r="K20" i="1"/>
  <c r="J21" i="1"/>
  <c r="K21" i="1"/>
  <c r="J22" i="1"/>
  <c r="L22" i="1" s="1"/>
  <c r="K22" i="1"/>
  <c r="J23" i="1"/>
  <c r="K23" i="1"/>
  <c r="J24" i="1"/>
  <c r="L24" i="1" s="1"/>
  <c r="K24" i="1"/>
  <c r="J25" i="1"/>
  <c r="K25" i="1"/>
  <c r="J26" i="1"/>
  <c r="L26" i="1" s="1"/>
  <c r="K26" i="1"/>
  <c r="J27" i="1"/>
  <c r="D27" i="1"/>
  <c r="K27" i="1" s="1"/>
  <c r="L27" i="1" s="1"/>
  <c r="J28" i="1"/>
  <c r="K28" i="1"/>
  <c r="J29" i="1"/>
  <c r="D29" i="1"/>
  <c r="J30" i="1"/>
  <c r="J31" i="1"/>
  <c r="J32" i="1"/>
  <c r="J33" i="1"/>
  <c r="J34" i="1"/>
  <c r="J35" i="1"/>
  <c r="J36" i="1"/>
  <c r="J37" i="1"/>
  <c r="J38" i="1"/>
  <c r="J39" i="1"/>
  <c r="J40" i="1"/>
  <c r="J41" i="1"/>
  <c r="J42" i="1"/>
  <c r="J43" i="1"/>
  <c r="J44" i="1"/>
  <c r="J45" i="1"/>
  <c r="J46" i="1"/>
  <c r="J47" i="1"/>
  <c r="B48" i="1"/>
  <c r="M7" i="4"/>
  <c r="J8" i="4"/>
  <c r="L8" i="4" s="1"/>
  <c r="M8" i="4" s="1"/>
  <c r="K8" i="4"/>
  <c r="J9" i="4"/>
  <c r="K9" i="4"/>
  <c r="L9" i="4" s="1"/>
  <c r="J10" i="4"/>
  <c r="K10" i="4"/>
  <c r="L10" i="4"/>
  <c r="J11" i="4"/>
  <c r="L11" i="4" s="1"/>
  <c r="K11" i="4"/>
  <c r="J12" i="4"/>
  <c r="K12" i="4"/>
  <c r="J13" i="4"/>
  <c r="K13" i="4"/>
  <c r="L13" i="4" s="1"/>
  <c r="J14" i="4"/>
  <c r="K14" i="4"/>
  <c r="L14" i="4"/>
  <c r="J15" i="4"/>
  <c r="L15" i="4" s="1"/>
  <c r="K15" i="4"/>
  <c r="J16" i="4"/>
  <c r="L16" i="4" s="1"/>
  <c r="K16" i="4"/>
  <c r="J17" i="4"/>
  <c r="K17" i="4"/>
  <c r="L17" i="4" s="1"/>
  <c r="J18" i="4"/>
  <c r="K18" i="4"/>
  <c r="L18" i="4"/>
  <c r="J19" i="4"/>
  <c r="L19" i="4" s="1"/>
  <c r="K19" i="4"/>
  <c r="J20" i="4"/>
  <c r="K20" i="4"/>
  <c r="J21" i="4"/>
  <c r="K21" i="4"/>
  <c r="L21" i="4" s="1"/>
  <c r="J22" i="4"/>
  <c r="K22" i="4"/>
  <c r="L22" i="4"/>
  <c r="J23" i="4"/>
  <c r="L23" i="4" s="1"/>
  <c r="K23" i="4"/>
  <c r="J24" i="4"/>
  <c r="L24" i="4" s="1"/>
  <c r="K24" i="4"/>
  <c r="J25" i="4"/>
  <c r="K25" i="4"/>
  <c r="L25" i="4" s="1"/>
  <c r="J26" i="4"/>
  <c r="K26" i="4"/>
  <c r="L26" i="4"/>
  <c r="J27" i="4"/>
  <c r="D27" i="4"/>
  <c r="K27" i="4"/>
  <c r="J28" i="4"/>
  <c r="L28" i="4" s="1"/>
  <c r="K28" i="4"/>
  <c r="J29" i="4"/>
  <c r="K29" i="4"/>
  <c r="J30" i="4"/>
  <c r="D30" i="4"/>
  <c r="J31" i="4"/>
  <c r="J32" i="4"/>
  <c r="B33" i="4"/>
  <c r="J9" i="23"/>
  <c r="K9" i="23"/>
  <c r="J10" i="23"/>
  <c r="L10" i="23" s="1"/>
  <c r="K10" i="23"/>
  <c r="J11" i="23"/>
  <c r="K11" i="23"/>
  <c r="J12" i="23"/>
  <c r="L12" i="23" s="1"/>
  <c r="K12" i="23"/>
  <c r="J13" i="23"/>
  <c r="K13" i="23"/>
  <c r="J14" i="23"/>
  <c r="L14" i="23" s="1"/>
  <c r="K14" i="23"/>
  <c r="J15" i="23"/>
  <c r="K15" i="23"/>
  <c r="J16" i="23"/>
  <c r="L16" i="23" s="1"/>
  <c r="K16" i="23"/>
  <c r="J17" i="23"/>
  <c r="K17" i="23"/>
  <c r="J18" i="23"/>
  <c r="L18" i="23" s="1"/>
  <c r="K18" i="23"/>
  <c r="J19" i="23"/>
  <c r="K19" i="23"/>
  <c r="J20" i="23"/>
  <c r="L20" i="23" s="1"/>
  <c r="K20" i="23"/>
  <c r="J21" i="23"/>
  <c r="K21" i="23"/>
  <c r="J22" i="23"/>
  <c r="L22" i="23" s="1"/>
  <c r="K22" i="23"/>
  <c r="J23" i="23"/>
  <c r="K23" i="23"/>
  <c r="J24" i="23"/>
  <c r="L24" i="23" s="1"/>
  <c r="K24" i="23"/>
  <c r="J25" i="23"/>
  <c r="K25" i="23"/>
  <c r="J26" i="23"/>
  <c r="L26" i="23" s="1"/>
  <c r="K26" i="23"/>
  <c r="J27" i="23"/>
  <c r="D27" i="23"/>
  <c r="K27" i="23" s="1"/>
  <c r="L27" i="23" s="1"/>
  <c r="J28" i="23"/>
  <c r="K28" i="23"/>
  <c r="J29" i="23"/>
  <c r="K29" i="23"/>
  <c r="J30" i="23"/>
  <c r="L30" i="23" s="1"/>
  <c r="D30" i="23"/>
  <c r="K30" i="23" s="1"/>
  <c r="J31" i="23"/>
  <c r="J32" i="23"/>
  <c r="J33" i="23"/>
  <c r="J34" i="23"/>
  <c r="J35" i="23"/>
  <c r="J36" i="23"/>
  <c r="J37" i="23"/>
  <c r="J38" i="23"/>
  <c r="J39" i="23"/>
  <c r="J40" i="23"/>
  <c r="J41" i="23"/>
  <c r="J42" i="23"/>
  <c r="J43" i="23"/>
  <c r="J44" i="23"/>
  <c r="J45" i="23"/>
  <c r="J46" i="23"/>
  <c r="J47" i="23"/>
  <c r="B48" i="23"/>
  <c r="M7" i="7"/>
  <c r="B8" i="7"/>
  <c r="J8" i="7" s="1"/>
  <c r="L8" i="7" s="1"/>
  <c r="K8" i="7"/>
  <c r="B9" i="7"/>
  <c r="K9" i="7"/>
  <c r="K10" i="7"/>
  <c r="J11" i="7"/>
  <c r="K11" i="7"/>
  <c r="J12" i="7"/>
  <c r="L12" i="7" s="1"/>
  <c r="K12" i="7"/>
  <c r="J13" i="7"/>
  <c r="K13" i="7"/>
  <c r="J14" i="7"/>
  <c r="L14" i="7" s="1"/>
  <c r="K14" i="7"/>
  <c r="J15" i="7"/>
  <c r="K15" i="7"/>
  <c r="J16" i="7"/>
  <c r="L16" i="7" s="1"/>
  <c r="K16" i="7"/>
  <c r="J17" i="7"/>
  <c r="K17" i="7"/>
  <c r="J18" i="7"/>
  <c r="L18" i="7" s="1"/>
  <c r="K18" i="7"/>
  <c r="J19" i="7"/>
  <c r="K19" i="7"/>
  <c r="J20" i="7"/>
  <c r="L20" i="7" s="1"/>
  <c r="K20" i="7"/>
  <c r="J21" i="7"/>
  <c r="K21" i="7"/>
  <c r="J22" i="7"/>
  <c r="L22" i="7" s="1"/>
  <c r="K22" i="7"/>
  <c r="J23" i="7"/>
  <c r="K23" i="7"/>
  <c r="J24" i="7"/>
  <c r="L24" i="7" s="1"/>
  <c r="K24" i="7"/>
  <c r="J25" i="7"/>
  <c r="K25" i="7"/>
  <c r="J26" i="7"/>
  <c r="D26" i="7"/>
  <c r="K26" i="7" s="1"/>
  <c r="J27" i="7"/>
  <c r="K27" i="7"/>
  <c r="L27" i="7" s="1"/>
  <c r="J28" i="7"/>
  <c r="D67" i="7"/>
  <c r="D28" i="7"/>
  <c r="K28" i="7" s="1"/>
  <c r="L28" i="7" s="1"/>
  <c r="J29" i="7"/>
  <c r="L29" i="7" s="1"/>
  <c r="K29" i="7"/>
  <c r="J30" i="7"/>
  <c r="D30" i="7"/>
  <c r="D31" i="7" s="1"/>
  <c r="K31" i="7" s="1"/>
  <c r="J31" i="7"/>
  <c r="J32" i="7"/>
  <c r="J33" i="7"/>
  <c r="J34" i="7"/>
  <c r="B35" i="7"/>
  <c r="J35" i="7"/>
  <c r="B36" i="7"/>
  <c r="J36" i="7" s="1"/>
  <c r="M7" i="35"/>
  <c r="J8" i="35"/>
  <c r="L8" i="35" s="1"/>
  <c r="M8" i="35" s="1"/>
  <c r="K8" i="35"/>
  <c r="J9" i="35"/>
  <c r="L9" i="35" s="1"/>
  <c r="K9" i="35"/>
  <c r="J10" i="35"/>
  <c r="L10" i="35" s="1"/>
  <c r="K10" i="35"/>
  <c r="J11" i="35"/>
  <c r="K11" i="35"/>
  <c r="L11" i="35" s="1"/>
  <c r="J12" i="35"/>
  <c r="L12" i="35" s="1"/>
  <c r="K12" i="35"/>
  <c r="J13" i="35"/>
  <c r="L13" i="35" s="1"/>
  <c r="K13" i="35"/>
  <c r="J14" i="35"/>
  <c r="L14" i="35" s="1"/>
  <c r="K14" i="35"/>
  <c r="J15" i="35"/>
  <c r="L15" i="35" s="1"/>
  <c r="K15" i="35"/>
  <c r="J16" i="35"/>
  <c r="K16" i="35"/>
  <c r="J17" i="35"/>
  <c r="L17" i="35" s="1"/>
  <c r="K17" i="35"/>
  <c r="J18" i="35"/>
  <c r="K18" i="35"/>
  <c r="J19" i="35"/>
  <c r="L19" i="35" s="1"/>
  <c r="K19" i="35"/>
  <c r="J20" i="35"/>
  <c r="L20" i="35" s="1"/>
  <c r="K20" i="35"/>
  <c r="J21" i="35"/>
  <c r="L21" i="35" s="1"/>
  <c r="K21" i="35"/>
  <c r="J22" i="35"/>
  <c r="L22" i="35" s="1"/>
  <c r="K22" i="35"/>
  <c r="J23" i="35"/>
  <c r="K23" i="35"/>
  <c r="L23" i="35"/>
  <c r="J24" i="35"/>
  <c r="L24" i="35" s="1"/>
  <c r="K24" i="35"/>
  <c r="J25" i="35"/>
  <c r="K25" i="35"/>
  <c r="J26" i="35"/>
  <c r="L26" i="35" s="1"/>
  <c r="K26" i="35"/>
  <c r="J27" i="35"/>
  <c r="K27" i="35"/>
  <c r="L27" i="35" s="1"/>
  <c r="J28" i="35"/>
  <c r="D65" i="35"/>
  <c r="D28" i="35"/>
  <c r="K28" i="35" s="1"/>
  <c r="J29" i="35"/>
  <c r="L29" i="35" s="1"/>
  <c r="K29" i="35"/>
  <c r="J30" i="35"/>
  <c r="D30" i="35"/>
  <c r="J31" i="35"/>
  <c r="J32" i="35"/>
  <c r="J33" i="35"/>
  <c r="J34" i="35"/>
  <c r="J35" i="35"/>
  <c r="J36" i="35"/>
  <c r="J37" i="35"/>
  <c r="J38" i="35"/>
  <c r="J39" i="35"/>
  <c r="J40" i="35"/>
  <c r="J41" i="35"/>
  <c r="J42" i="35"/>
  <c r="J43" i="35"/>
  <c r="J44" i="35"/>
  <c r="J45" i="35"/>
  <c r="J46" i="35"/>
  <c r="J47" i="35"/>
  <c r="B48" i="35"/>
  <c r="J48" i="35" s="1"/>
  <c r="B49" i="35"/>
  <c r="J49" i="35" s="1"/>
  <c r="J21" i="58"/>
  <c r="L21" i="58" s="1"/>
  <c r="M21" i="58" s="1"/>
  <c r="K21" i="58"/>
  <c r="J22" i="58"/>
  <c r="K22" i="58"/>
  <c r="J23" i="58"/>
  <c r="L23" i="58" s="1"/>
  <c r="K23" i="58"/>
  <c r="J24" i="58"/>
  <c r="L24" i="58" s="1"/>
  <c r="K24" i="58"/>
  <c r="J25" i="58"/>
  <c r="K25" i="58"/>
  <c r="J26" i="58"/>
  <c r="L26" i="58" s="1"/>
  <c r="K26" i="58"/>
  <c r="J27" i="58"/>
  <c r="K27" i="58"/>
  <c r="J28" i="58"/>
  <c r="D60" i="58"/>
  <c r="D28" i="58" s="1"/>
  <c r="J29" i="58"/>
  <c r="K29" i="58"/>
  <c r="J30" i="58"/>
  <c r="D30" i="58"/>
  <c r="K30" i="58" s="1"/>
  <c r="J31" i="58"/>
  <c r="D31" i="58"/>
  <c r="J32" i="58"/>
  <c r="B33" i="58"/>
  <c r="J33" i="58" s="1"/>
  <c r="B34" i="58"/>
  <c r="M7" i="37"/>
  <c r="J8" i="37"/>
  <c r="K8" i="37"/>
  <c r="J9" i="37"/>
  <c r="L9" i="37" s="1"/>
  <c r="K9" i="37"/>
  <c r="J10" i="37"/>
  <c r="K10" i="37"/>
  <c r="J11" i="37"/>
  <c r="L11" i="37" s="1"/>
  <c r="K11" i="37"/>
  <c r="J12" i="37"/>
  <c r="K12" i="37"/>
  <c r="J13" i="37"/>
  <c r="L13" i="37" s="1"/>
  <c r="K13" i="37"/>
  <c r="J14" i="37"/>
  <c r="K14" i="37"/>
  <c r="J15" i="37"/>
  <c r="L15" i="37" s="1"/>
  <c r="K15" i="37"/>
  <c r="J16" i="37"/>
  <c r="K16" i="37"/>
  <c r="J17" i="37"/>
  <c r="L17" i="37" s="1"/>
  <c r="K17" i="37"/>
  <c r="J18" i="37"/>
  <c r="K18" i="37"/>
  <c r="J19" i="37"/>
  <c r="L19" i="37" s="1"/>
  <c r="K19" i="37"/>
  <c r="J20" i="37"/>
  <c r="K20" i="37"/>
  <c r="J21" i="37"/>
  <c r="L21" i="37" s="1"/>
  <c r="K21" i="37"/>
  <c r="J22" i="37"/>
  <c r="K22" i="37"/>
  <c r="J23" i="37"/>
  <c r="L23" i="37" s="1"/>
  <c r="K23" i="37"/>
  <c r="J24" i="37"/>
  <c r="K24" i="37"/>
  <c r="J25" i="37"/>
  <c r="L25" i="37" s="1"/>
  <c r="K25" i="37"/>
  <c r="J26" i="37"/>
  <c r="K26" i="37"/>
  <c r="J27" i="37"/>
  <c r="H78" i="37"/>
  <c r="F78" i="37"/>
  <c r="J28" i="37"/>
  <c r="L28" i="37" s="1"/>
  <c r="K28" i="37"/>
  <c r="J29" i="37"/>
  <c r="K29" i="37"/>
  <c r="J30" i="37"/>
  <c r="L30" i="37" s="1"/>
  <c r="K30" i="37"/>
  <c r="J31" i="37"/>
  <c r="K31" i="37"/>
  <c r="J32" i="37"/>
  <c r="L32" i="37" s="1"/>
  <c r="K32" i="37"/>
  <c r="J33" i="37"/>
  <c r="K33" i="37"/>
  <c r="J34" i="37"/>
  <c r="L34" i="37" s="1"/>
  <c r="K34" i="37"/>
  <c r="J35" i="37"/>
  <c r="K35" i="37"/>
  <c r="J36" i="37"/>
  <c r="L36" i="37" s="1"/>
  <c r="K36" i="37"/>
  <c r="J37" i="37"/>
  <c r="K37" i="37"/>
  <c r="J38" i="37"/>
  <c r="L38" i="37" s="1"/>
  <c r="K38" i="37"/>
  <c r="J39" i="37"/>
  <c r="K39" i="37"/>
  <c r="J40" i="37"/>
  <c r="L40" i="37" s="1"/>
  <c r="K40" i="37"/>
  <c r="J41" i="37"/>
  <c r="K41" i="37"/>
  <c r="J42" i="37"/>
  <c r="L42" i="37" s="1"/>
  <c r="K42" i="37"/>
  <c r="J43" i="37"/>
  <c r="K43" i="37"/>
  <c r="J44" i="37"/>
  <c r="L44" i="37" s="1"/>
  <c r="K44" i="37"/>
  <c r="J45" i="37"/>
  <c r="K45" i="37"/>
  <c r="J46" i="37"/>
  <c r="L46" i="37" s="1"/>
  <c r="K46" i="37"/>
  <c r="J47" i="37"/>
  <c r="K47" i="37"/>
  <c r="B48" i="37"/>
  <c r="K48" i="37"/>
  <c r="K49" i="37"/>
  <c r="K50" i="37"/>
  <c r="K51" i="37"/>
  <c r="K52" i="37"/>
  <c r="K53" i="37"/>
  <c r="K54" i="37"/>
  <c r="J23" i="96"/>
  <c r="L23" i="96" s="1"/>
  <c r="M23" i="96" s="1"/>
  <c r="D23" i="96"/>
  <c r="K23" i="96" s="1"/>
  <c r="J24" i="96"/>
  <c r="J25" i="96"/>
  <c r="J26" i="96"/>
  <c r="J27" i="96"/>
  <c r="J28" i="96"/>
  <c r="D62" i="96"/>
  <c r="D28" i="96" s="1"/>
  <c r="J29" i="96"/>
  <c r="L29" i="96" s="1"/>
  <c r="K29" i="96"/>
  <c r="J30" i="96"/>
  <c r="D30" i="96"/>
  <c r="J31" i="96"/>
  <c r="J32" i="96"/>
  <c r="J33" i="96"/>
  <c r="J34" i="96"/>
  <c r="J35" i="96"/>
  <c r="J36" i="96"/>
  <c r="J37" i="96"/>
  <c r="B38" i="96"/>
  <c r="J23" i="98"/>
  <c r="D23" i="98"/>
  <c r="K23" i="98"/>
  <c r="J24" i="98"/>
  <c r="D24" i="98"/>
  <c r="K24" i="98" s="1"/>
  <c r="L24" i="98" s="1"/>
  <c r="J25" i="98"/>
  <c r="J26" i="98"/>
  <c r="J27" i="98"/>
  <c r="J28" i="98"/>
  <c r="D61" i="98"/>
  <c r="D28" i="98" s="1"/>
  <c r="K28" i="98" s="1"/>
  <c r="L28" i="98" s="1"/>
  <c r="J29" i="98"/>
  <c r="K29" i="98"/>
  <c r="J30" i="98"/>
  <c r="D30" i="98"/>
  <c r="J31" i="98"/>
  <c r="J32" i="98"/>
  <c r="J33" i="98"/>
  <c r="J34" i="98"/>
  <c r="J35" i="98"/>
  <c r="J36" i="98"/>
  <c r="J37" i="98"/>
  <c r="J38" i="98"/>
  <c r="J39" i="98"/>
  <c r="J40" i="98"/>
  <c r="J41" i="98"/>
  <c r="J42" i="98"/>
  <c r="J43" i="98"/>
  <c r="J44" i="98"/>
  <c r="J45" i="98"/>
  <c r="J46" i="98"/>
  <c r="J47" i="98"/>
  <c r="B48" i="98"/>
  <c r="J48" i="98"/>
  <c r="B49" i="98"/>
  <c r="J23" i="97"/>
  <c r="D23" i="97"/>
  <c r="K23" i="97" s="1"/>
  <c r="J24" i="97"/>
  <c r="J25" i="97"/>
  <c r="J26" i="97"/>
  <c r="J27" i="97"/>
  <c r="J28" i="97"/>
  <c r="D62" i="97"/>
  <c r="D28" i="97"/>
  <c r="K28" i="97" s="1"/>
  <c r="L28" i="97" s="1"/>
  <c r="J29" i="97"/>
  <c r="L29" i="97" s="1"/>
  <c r="K29" i="97"/>
  <c r="J30" i="97"/>
  <c r="D30" i="97"/>
  <c r="J31" i="97"/>
  <c r="J32" i="97"/>
  <c r="J33" i="97"/>
  <c r="J34" i="97"/>
  <c r="J35" i="97"/>
  <c r="J36" i="97"/>
  <c r="J37" i="97"/>
  <c r="J38" i="97"/>
  <c r="J39" i="97"/>
  <c r="J40" i="97"/>
  <c r="J41" i="97"/>
  <c r="J42" i="97"/>
  <c r="J43" i="97"/>
  <c r="J44" i="97"/>
  <c r="J45" i="97"/>
  <c r="J46" i="97"/>
  <c r="J47" i="97"/>
  <c r="B48" i="97"/>
  <c r="J23" i="90"/>
  <c r="L23" i="90" s="1"/>
  <c r="M23" i="90" s="1"/>
  <c r="K23" i="90"/>
  <c r="J24" i="90"/>
  <c r="L24" i="90" s="1"/>
  <c r="K24" i="90"/>
  <c r="J25" i="90"/>
  <c r="K25" i="90"/>
  <c r="L25" i="90"/>
  <c r="J26" i="90"/>
  <c r="D26" i="90"/>
  <c r="K26" i="90" s="1"/>
  <c r="J27" i="90"/>
  <c r="L27" i="90" s="1"/>
  <c r="D27" i="90"/>
  <c r="K27" i="90" s="1"/>
  <c r="J28" i="90"/>
  <c r="D62" i="90"/>
  <c r="D28" i="90" s="1"/>
  <c r="K28" i="90" s="1"/>
  <c r="J29" i="90"/>
  <c r="L29" i="90" s="1"/>
  <c r="K29" i="90"/>
  <c r="J30" i="90"/>
  <c r="D30" i="90"/>
  <c r="D31" i="90" s="1"/>
  <c r="G31" i="90" s="1"/>
  <c r="J31" i="90"/>
  <c r="J32" i="90"/>
  <c r="J33" i="90"/>
  <c r="J34" i="90"/>
  <c r="J35" i="90"/>
  <c r="J36" i="90"/>
  <c r="J37" i="90"/>
  <c r="J38" i="90"/>
  <c r="J39" i="90"/>
  <c r="J40" i="90"/>
  <c r="J41" i="90"/>
  <c r="J42" i="90"/>
  <c r="J43" i="90"/>
  <c r="J44" i="90"/>
  <c r="J45" i="90"/>
  <c r="J46" i="90"/>
  <c r="J47" i="90"/>
  <c r="B48" i="90"/>
  <c r="J48" i="90" s="1"/>
  <c r="B49" i="90"/>
  <c r="J49" i="90" s="1"/>
  <c r="J23" i="80"/>
  <c r="L23" i="80" s="1"/>
  <c r="M23" i="80" s="1"/>
  <c r="K23" i="80"/>
  <c r="J24" i="80"/>
  <c r="K24" i="80"/>
  <c r="J25" i="80"/>
  <c r="L25" i="80" s="1"/>
  <c r="K25" i="80"/>
  <c r="J26" i="80"/>
  <c r="D26" i="80"/>
  <c r="K26" i="80" s="1"/>
  <c r="J27" i="80"/>
  <c r="D27" i="80"/>
  <c r="J28" i="80"/>
  <c r="J29" i="80"/>
  <c r="L29" i="80" s="1"/>
  <c r="K29" i="80"/>
  <c r="J30" i="80"/>
  <c r="D30" i="80"/>
  <c r="G30" i="80" s="1"/>
  <c r="J31" i="80"/>
  <c r="J32" i="80"/>
  <c r="B33" i="80"/>
  <c r="J23" i="81"/>
  <c r="L23" i="81" s="1"/>
  <c r="M23" i="81" s="1"/>
  <c r="K23" i="81"/>
  <c r="J24" i="81"/>
  <c r="K24" i="81"/>
  <c r="L24" i="81" s="1"/>
  <c r="J25" i="81"/>
  <c r="L25" i="81" s="1"/>
  <c r="K25" i="81"/>
  <c r="J26" i="81"/>
  <c r="L26" i="81" s="1"/>
  <c r="K26" i="81"/>
  <c r="J27" i="81"/>
  <c r="L27" i="81" s="1"/>
  <c r="K27" i="81"/>
  <c r="J28" i="81"/>
  <c r="L28" i="81" s="1"/>
  <c r="K28" i="81"/>
  <c r="J29" i="81"/>
  <c r="K29" i="81"/>
  <c r="J30" i="81"/>
  <c r="L30" i="81" s="1"/>
  <c r="K30" i="81"/>
  <c r="J31" i="81"/>
  <c r="K31" i="81"/>
  <c r="J32" i="81"/>
  <c r="L32" i="81" s="1"/>
  <c r="K32" i="81"/>
  <c r="J33" i="81"/>
  <c r="L33" i="81" s="1"/>
  <c r="K33" i="81"/>
  <c r="J34" i="81"/>
  <c r="L34" i="81" s="1"/>
  <c r="K34" i="81"/>
  <c r="J35" i="81"/>
  <c r="L35" i="81" s="1"/>
  <c r="K35" i="81"/>
  <c r="J36" i="81"/>
  <c r="K36" i="81"/>
  <c r="L36" i="81"/>
  <c r="J37" i="81"/>
  <c r="L37" i="81" s="1"/>
  <c r="K37" i="81"/>
  <c r="J38" i="81"/>
  <c r="K38" i="81"/>
  <c r="J39" i="81"/>
  <c r="L39" i="81" s="1"/>
  <c r="K39" i="81"/>
  <c r="J40" i="81"/>
  <c r="K40" i="81"/>
  <c r="L40" i="81" s="1"/>
  <c r="J41" i="81"/>
  <c r="L41" i="81" s="1"/>
  <c r="K41" i="81"/>
  <c r="J42" i="81"/>
  <c r="L42" i="81" s="1"/>
  <c r="K42" i="81"/>
  <c r="J43" i="81"/>
  <c r="L43" i="81" s="1"/>
  <c r="K43" i="81"/>
  <c r="J44" i="81"/>
  <c r="L44" i="81" s="1"/>
  <c r="K44" i="81"/>
  <c r="J45" i="81"/>
  <c r="K45" i="81"/>
  <c r="J46" i="81"/>
  <c r="L46" i="81" s="1"/>
  <c r="K46" i="81"/>
  <c r="J47" i="81"/>
  <c r="K47" i="81"/>
  <c r="B48" i="81"/>
  <c r="K48" i="81"/>
  <c r="K49" i="81"/>
  <c r="K50" i="81"/>
  <c r="K51" i="81"/>
  <c r="K52" i="81"/>
  <c r="K53" i="81"/>
  <c r="K54" i="81"/>
  <c r="J23" i="82"/>
  <c r="L23" i="82" s="1"/>
  <c r="M23" i="82" s="1"/>
  <c r="K23" i="82"/>
  <c r="J24" i="82"/>
  <c r="K24" i="82"/>
  <c r="L24" i="82" s="1"/>
  <c r="J25" i="82"/>
  <c r="L25" i="82" s="1"/>
  <c r="K25" i="82"/>
  <c r="J26" i="82"/>
  <c r="D26" i="82"/>
  <c r="J27" i="82"/>
  <c r="J28" i="82"/>
  <c r="K28" i="82"/>
  <c r="L28" i="82" s="1"/>
  <c r="J29" i="82"/>
  <c r="K29" i="82"/>
  <c r="L29" i="82" s="1"/>
  <c r="J30" i="82"/>
  <c r="K30" i="82"/>
  <c r="J31" i="82"/>
  <c r="K31" i="82"/>
  <c r="J32" i="82"/>
  <c r="K32" i="82"/>
  <c r="B33" i="82"/>
  <c r="B34" i="82" s="1"/>
  <c r="J33" i="82"/>
  <c r="L33" i="82" s="1"/>
  <c r="K33" i="82"/>
  <c r="K34" i="82"/>
  <c r="K35" i="82"/>
  <c r="K36" i="82"/>
  <c r="K37" i="82"/>
  <c r="K38" i="82"/>
  <c r="K39" i="82"/>
  <c r="K40" i="82"/>
  <c r="K41" i="82"/>
  <c r="K42" i="82"/>
  <c r="K43" i="82"/>
  <c r="K44" i="82"/>
  <c r="K45" i="82"/>
  <c r="K46" i="82"/>
  <c r="K47" i="82"/>
  <c r="K48" i="82"/>
  <c r="K49" i="82"/>
  <c r="K50" i="82"/>
  <c r="K51" i="82"/>
  <c r="K52" i="82"/>
  <c r="K53" i="82"/>
  <c r="K54" i="82"/>
  <c r="J23" i="83"/>
  <c r="L23" i="83" s="1"/>
  <c r="M23" i="83" s="1"/>
  <c r="K23" i="83"/>
  <c r="J24" i="83"/>
  <c r="K24" i="83"/>
  <c r="J25" i="83"/>
  <c r="L25" i="83" s="1"/>
  <c r="K25" i="83"/>
  <c r="J26" i="83"/>
  <c r="K26" i="83"/>
  <c r="J27" i="83"/>
  <c r="L27" i="83" s="1"/>
  <c r="K27" i="83"/>
  <c r="J28" i="83"/>
  <c r="K28" i="83"/>
  <c r="J29" i="83"/>
  <c r="L29" i="83" s="1"/>
  <c r="K29" i="83"/>
  <c r="J30" i="83"/>
  <c r="K30" i="83"/>
  <c r="J31" i="83"/>
  <c r="L31" i="83" s="1"/>
  <c r="K31" i="83"/>
  <c r="J32" i="83"/>
  <c r="K32" i="83"/>
  <c r="B33" i="83"/>
  <c r="K33" i="83"/>
  <c r="K34" i="83"/>
  <c r="K35" i="83"/>
  <c r="K36" i="83"/>
  <c r="K37" i="83"/>
  <c r="K38" i="83"/>
  <c r="K39" i="83"/>
  <c r="K40" i="83"/>
  <c r="K41" i="83"/>
  <c r="K42" i="83"/>
  <c r="K43" i="83"/>
  <c r="K44" i="83"/>
  <c r="K45" i="83"/>
  <c r="K46" i="83"/>
  <c r="K47" i="83"/>
  <c r="K48" i="83"/>
  <c r="K49" i="83"/>
  <c r="K50" i="83"/>
  <c r="K51" i="83"/>
  <c r="K52" i="83"/>
  <c r="K53" i="83"/>
  <c r="K54" i="83"/>
  <c r="J23" i="41"/>
  <c r="L23" i="41" s="1"/>
  <c r="K23" i="41"/>
  <c r="J8" i="41"/>
  <c r="D8" i="41"/>
  <c r="K8" i="41"/>
  <c r="J9" i="41"/>
  <c r="L9" i="41" s="1"/>
  <c r="D9" i="41"/>
  <c r="K9" i="41" s="1"/>
  <c r="J10" i="41"/>
  <c r="D10" i="41"/>
  <c r="K10" i="41" s="1"/>
  <c r="J11" i="41"/>
  <c r="D11" i="41"/>
  <c r="K11" i="41" s="1"/>
  <c r="L11" i="41" s="1"/>
  <c r="J12" i="41"/>
  <c r="D12" i="41"/>
  <c r="K12" i="41" s="1"/>
  <c r="J13" i="41"/>
  <c r="L13" i="41" s="1"/>
  <c r="K13" i="41"/>
  <c r="J14" i="41"/>
  <c r="L14" i="41" s="1"/>
  <c r="K14" i="41"/>
  <c r="J15" i="41"/>
  <c r="L15" i="41" s="1"/>
  <c r="K15" i="41"/>
  <c r="J16" i="41"/>
  <c r="L16" i="41" s="1"/>
  <c r="K16" i="41"/>
  <c r="J17" i="41"/>
  <c r="L17" i="41" s="1"/>
  <c r="K17" i="41"/>
  <c r="J18" i="41"/>
  <c r="L18" i="41" s="1"/>
  <c r="K18" i="41"/>
  <c r="J19" i="41"/>
  <c r="K19" i="41"/>
  <c r="J20" i="41"/>
  <c r="L20" i="41" s="1"/>
  <c r="K20" i="41"/>
  <c r="J21" i="41"/>
  <c r="L21" i="41" s="1"/>
  <c r="K21" i="41"/>
  <c r="J22" i="41"/>
  <c r="L22" i="41" s="1"/>
  <c r="K22" i="41"/>
  <c r="J24" i="41"/>
  <c r="L24" i="41" s="1"/>
  <c r="K24" i="41"/>
  <c r="J25" i="41"/>
  <c r="K25" i="41"/>
  <c r="L25" i="41" s="1"/>
  <c r="J26" i="41"/>
  <c r="K26" i="41"/>
  <c r="L26" i="41"/>
  <c r="E82" i="41"/>
  <c r="B27" i="41" s="1"/>
  <c r="G82" i="41"/>
  <c r="D64" i="41"/>
  <c r="D28" i="41" s="1"/>
  <c r="K28" i="41" s="1"/>
  <c r="J29" i="41"/>
  <c r="K29" i="41"/>
  <c r="J30" i="41"/>
  <c r="K30" i="41"/>
  <c r="J31" i="41"/>
  <c r="L31" i="41" s="1"/>
  <c r="K31" i="41"/>
  <c r="J32" i="41"/>
  <c r="K32" i="41"/>
  <c r="J33" i="41"/>
  <c r="L33" i="41" s="1"/>
  <c r="K33" i="41"/>
  <c r="J34" i="41"/>
  <c r="K34" i="41"/>
  <c r="J35" i="41"/>
  <c r="L35" i="41" s="1"/>
  <c r="K35" i="41"/>
  <c r="J36" i="41"/>
  <c r="K36" i="41"/>
  <c r="J37" i="41"/>
  <c r="L37" i="41" s="1"/>
  <c r="K37" i="41"/>
  <c r="J38" i="41"/>
  <c r="K38" i="41"/>
  <c r="J39" i="41"/>
  <c r="K39" i="41"/>
  <c r="J40" i="41"/>
  <c r="K40" i="41"/>
  <c r="J41" i="41"/>
  <c r="L41" i="41" s="1"/>
  <c r="K41" i="41"/>
  <c r="J42" i="41"/>
  <c r="K42" i="41"/>
  <c r="J43" i="41"/>
  <c r="L43" i="41" s="1"/>
  <c r="K43" i="41"/>
  <c r="J44" i="41"/>
  <c r="K44" i="41"/>
  <c r="J45" i="41"/>
  <c r="L45" i="41" s="1"/>
  <c r="K45" i="41"/>
  <c r="J46" i="41"/>
  <c r="K46" i="41"/>
  <c r="J47" i="41"/>
  <c r="L47" i="41" s="1"/>
  <c r="K47" i="41"/>
  <c r="B48" i="41"/>
  <c r="J48" i="41"/>
  <c r="L48" i="41" s="1"/>
  <c r="K48" i="41"/>
  <c r="B49" i="41"/>
  <c r="J49" i="41" s="1"/>
  <c r="K49" i="41"/>
  <c r="K50" i="41"/>
  <c r="K51" i="41"/>
  <c r="K52" i="41"/>
  <c r="K53" i="41"/>
  <c r="K54" i="41"/>
  <c r="J23" i="60"/>
  <c r="K23" i="60"/>
  <c r="L23" i="60" s="1"/>
  <c r="J8" i="60"/>
  <c r="D8" i="60"/>
  <c r="K8" i="60" s="1"/>
  <c r="L8" i="60" s="1"/>
  <c r="M8" i="60" s="1"/>
  <c r="J9" i="60"/>
  <c r="D9" i="60"/>
  <c r="K9" i="60" s="1"/>
  <c r="J10" i="60"/>
  <c r="D10" i="60"/>
  <c r="K10" i="60" s="1"/>
  <c r="L10" i="60" s="1"/>
  <c r="J11" i="60"/>
  <c r="L11" i="60" s="1"/>
  <c r="D11" i="60"/>
  <c r="K11" i="60"/>
  <c r="J12" i="60"/>
  <c r="D12" i="60"/>
  <c r="K12" i="60" s="1"/>
  <c r="J13" i="60"/>
  <c r="D13" i="60"/>
  <c r="K13" i="60"/>
  <c r="J14" i="60"/>
  <c r="D14" i="60"/>
  <c r="K14" i="60" s="1"/>
  <c r="J15" i="60"/>
  <c r="D15" i="60"/>
  <c r="K15" i="60" s="1"/>
  <c r="J16" i="60"/>
  <c r="D16" i="60"/>
  <c r="K16" i="60" s="1"/>
  <c r="L16" i="60" s="1"/>
  <c r="J17" i="60"/>
  <c r="D17" i="60"/>
  <c r="K17" i="60" s="1"/>
  <c r="J18" i="60"/>
  <c r="D18" i="60"/>
  <c r="K18" i="60" s="1"/>
  <c r="L18" i="60" s="1"/>
  <c r="J19" i="60"/>
  <c r="L19" i="60" s="1"/>
  <c r="D19" i="60"/>
  <c r="K19" i="60" s="1"/>
  <c r="J20" i="60"/>
  <c r="D20" i="60"/>
  <c r="K20" i="60" s="1"/>
  <c r="L20" i="60" s="1"/>
  <c r="J21" i="60"/>
  <c r="K21" i="60"/>
  <c r="L21" i="60"/>
  <c r="J22" i="60"/>
  <c r="L22" i="60" s="1"/>
  <c r="K22" i="60"/>
  <c r="J24" i="60"/>
  <c r="L24" i="60" s="1"/>
  <c r="K24" i="60"/>
  <c r="J25" i="60"/>
  <c r="K25" i="60"/>
  <c r="L25" i="60" s="1"/>
  <c r="J26" i="60"/>
  <c r="K26" i="60"/>
  <c r="J27" i="60"/>
  <c r="L27" i="60" s="1"/>
  <c r="K27" i="60"/>
  <c r="J28" i="60"/>
  <c r="D61" i="60"/>
  <c r="D28" i="60" s="1"/>
  <c r="K28" i="60" s="1"/>
  <c r="J29" i="60"/>
  <c r="K29" i="60"/>
  <c r="J30" i="60"/>
  <c r="D30" i="60"/>
  <c r="K30" i="60" s="1"/>
  <c r="J31" i="60"/>
  <c r="J32" i="60"/>
  <c r="J33" i="60"/>
  <c r="B34" i="60"/>
  <c r="J34" i="60"/>
  <c r="B35" i="60"/>
  <c r="J35" i="60" s="1"/>
  <c r="J23" i="65"/>
  <c r="L23" i="65" s="1"/>
  <c r="K23" i="65"/>
  <c r="J8" i="65"/>
  <c r="K8" i="65"/>
  <c r="J9" i="65"/>
  <c r="L9" i="65" s="1"/>
  <c r="K9" i="65"/>
  <c r="J10" i="65"/>
  <c r="K10" i="65"/>
  <c r="J11" i="65"/>
  <c r="L11" i="65" s="1"/>
  <c r="K11" i="65"/>
  <c r="J12" i="65"/>
  <c r="K12" i="65"/>
  <c r="J13" i="65"/>
  <c r="L13" i="65" s="1"/>
  <c r="K13" i="65"/>
  <c r="J14" i="65"/>
  <c r="K14" i="65"/>
  <c r="J15" i="65"/>
  <c r="L15" i="65" s="1"/>
  <c r="K15" i="65"/>
  <c r="J16" i="65"/>
  <c r="K16" i="65"/>
  <c r="J17" i="65"/>
  <c r="L17" i="65" s="1"/>
  <c r="K17" i="65"/>
  <c r="J18" i="65"/>
  <c r="K18" i="65"/>
  <c r="J19" i="65"/>
  <c r="L19" i="65" s="1"/>
  <c r="K19" i="65"/>
  <c r="J20" i="65"/>
  <c r="K20" i="65"/>
  <c r="J21" i="65"/>
  <c r="L21" i="65" s="1"/>
  <c r="K21" i="65"/>
  <c r="J22" i="65"/>
  <c r="K22" i="65"/>
  <c r="J24" i="65"/>
  <c r="L24" i="65" s="1"/>
  <c r="K24" i="65"/>
  <c r="J25" i="65"/>
  <c r="K25" i="65"/>
  <c r="J26" i="65"/>
  <c r="L26" i="65" s="1"/>
  <c r="K26" i="65"/>
  <c r="J27" i="65"/>
  <c r="K27" i="65"/>
  <c r="J28" i="65"/>
  <c r="K28" i="65"/>
  <c r="J29" i="65"/>
  <c r="K29" i="65"/>
  <c r="J30" i="65"/>
  <c r="K30" i="65"/>
  <c r="J31" i="65"/>
  <c r="K31" i="65"/>
  <c r="L31" i="65" s="1"/>
  <c r="J32" i="65"/>
  <c r="L32" i="65" s="1"/>
  <c r="K32" i="65"/>
  <c r="J33" i="65"/>
  <c r="K33" i="65"/>
  <c r="J34" i="65"/>
  <c r="L34" i="65" s="1"/>
  <c r="K34" i="65"/>
  <c r="J35" i="65"/>
  <c r="K35" i="65"/>
  <c r="J36" i="65"/>
  <c r="L36" i="65" s="1"/>
  <c r="K36" i="65"/>
  <c r="J37" i="65"/>
  <c r="K37" i="65"/>
  <c r="J38" i="65"/>
  <c r="L38" i="65" s="1"/>
  <c r="K38" i="65"/>
  <c r="J39" i="65"/>
  <c r="K39" i="65"/>
  <c r="J40" i="65"/>
  <c r="L40" i="65" s="1"/>
  <c r="K40" i="65"/>
  <c r="J41" i="65"/>
  <c r="K41" i="65"/>
  <c r="J42" i="65"/>
  <c r="L42" i="65" s="1"/>
  <c r="K42" i="65"/>
  <c r="J43" i="65"/>
  <c r="K43" i="65"/>
  <c r="J44" i="65"/>
  <c r="L44" i="65" s="1"/>
  <c r="K44" i="65"/>
  <c r="J45" i="65"/>
  <c r="K45" i="65"/>
  <c r="J46" i="65"/>
  <c r="L46" i="65" s="1"/>
  <c r="K46" i="65"/>
  <c r="J47" i="65"/>
  <c r="K47" i="65"/>
  <c r="B48" i="65"/>
  <c r="J48" i="65" s="1"/>
  <c r="L48" i="65" s="1"/>
  <c r="K48" i="65"/>
  <c r="B49" i="65"/>
  <c r="J49" i="65" s="1"/>
  <c r="L49" i="65" s="1"/>
  <c r="K49" i="65"/>
  <c r="K50" i="65"/>
  <c r="K51" i="65"/>
  <c r="K52" i="65"/>
  <c r="K53" i="65"/>
  <c r="K54" i="65"/>
  <c r="M7" i="38"/>
  <c r="J8" i="38"/>
  <c r="L8" i="38" s="1"/>
  <c r="K8" i="38"/>
  <c r="J9" i="38"/>
  <c r="K9" i="38"/>
  <c r="J10" i="38"/>
  <c r="L10" i="38" s="1"/>
  <c r="K10" i="38"/>
  <c r="J11" i="38"/>
  <c r="K11" i="38"/>
  <c r="J12" i="38"/>
  <c r="L12" i="38" s="1"/>
  <c r="K12" i="38"/>
  <c r="J13" i="38"/>
  <c r="K13" i="38"/>
  <c r="J14" i="38"/>
  <c r="L14" i="38" s="1"/>
  <c r="K14" i="38"/>
  <c r="J15" i="38"/>
  <c r="K15" i="38"/>
  <c r="J16" i="38"/>
  <c r="L16" i="38" s="1"/>
  <c r="K16" i="38"/>
  <c r="J17" i="38"/>
  <c r="K17" i="38"/>
  <c r="J18" i="38"/>
  <c r="L18" i="38" s="1"/>
  <c r="K18" i="38"/>
  <c r="J19" i="38"/>
  <c r="K19" i="38"/>
  <c r="J20" i="38"/>
  <c r="L20" i="38" s="1"/>
  <c r="K20" i="38"/>
  <c r="J21" i="38"/>
  <c r="K21" i="38"/>
  <c r="J22" i="38"/>
  <c r="L22" i="38" s="1"/>
  <c r="K22" i="38"/>
  <c r="J23" i="38"/>
  <c r="K23" i="38"/>
  <c r="J24" i="38"/>
  <c r="L24" i="38" s="1"/>
  <c r="K24" i="38"/>
  <c r="J25" i="38"/>
  <c r="K25" i="38"/>
  <c r="J26" i="38"/>
  <c r="L26" i="38" s="1"/>
  <c r="K26" i="38"/>
  <c r="J27" i="38"/>
  <c r="D27" i="38"/>
  <c r="K27" i="38" s="1"/>
  <c r="L27" i="38" s="1"/>
  <c r="J28" i="38"/>
  <c r="K28" i="38"/>
  <c r="J29" i="38"/>
  <c r="K29" i="38"/>
  <c r="J30" i="38"/>
  <c r="L30" i="38" s="1"/>
  <c r="D30" i="38"/>
  <c r="K30" i="38"/>
  <c r="J31" i="38"/>
  <c r="L31" i="38" s="1"/>
  <c r="D31" i="38"/>
  <c r="K31" i="38" s="1"/>
  <c r="B32" i="38"/>
  <c r="J32" i="38" s="1"/>
  <c r="B33" i="38"/>
  <c r="M7" i="39"/>
  <c r="J8" i="39"/>
  <c r="L8" i="39" s="1"/>
  <c r="K8" i="39"/>
  <c r="J9" i="39"/>
  <c r="K9" i="39"/>
  <c r="J10" i="39"/>
  <c r="L10" i="39" s="1"/>
  <c r="K10" i="39"/>
  <c r="J11" i="39"/>
  <c r="K11" i="39"/>
  <c r="J12" i="39"/>
  <c r="L12" i="39" s="1"/>
  <c r="K12" i="39"/>
  <c r="J13" i="39"/>
  <c r="K13" i="39"/>
  <c r="J14" i="39"/>
  <c r="L14" i="39" s="1"/>
  <c r="K14" i="39"/>
  <c r="J15" i="39"/>
  <c r="K15" i="39"/>
  <c r="J16" i="39"/>
  <c r="L16" i="39" s="1"/>
  <c r="K16" i="39"/>
  <c r="J17" i="39"/>
  <c r="K17" i="39"/>
  <c r="J18" i="39"/>
  <c r="L18" i="39" s="1"/>
  <c r="K18" i="39"/>
  <c r="J19" i="39"/>
  <c r="K19" i="39"/>
  <c r="J20" i="39"/>
  <c r="L20" i="39" s="1"/>
  <c r="K20" i="39"/>
  <c r="J21" i="39"/>
  <c r="K21" i="39"/>
  <c r="J22" i="39"/>
  <c r="L22" i="39" s="1"/>
  <c r="K22" i="39"/>
  <c r="J23" i="39"/>
  <c r="K23" i="39"/>
  <c r="J24" i="39"/>
  <c r="L24" i="39" s="1"/>
  <c r="K24" i="39"/>
  <c r="J25" i="39"/>
  <c r="K25" i="39"/>
  <c r="J26" i="39"/>
  <c r="L26" i="39" s="1"/>
  <c r="K26" i="39"/>
  <c r="J27" i="39"/>
  <c r="D27" i="39"/>
  <c r="K27" i="39" s="1"/>
  <c r="L27" i="39" s="1"/>
  <c r="J28" i="39"/>
  <c r="K28" i="39"/>
  <c r="J29" i="39"/>
  <c r="K29" i="39"/>
  <c r="J30" i="39"/>
  <c r="L30" i="39" s="1"/>
  <c r="K30" i="39"/>
  <c r="J31" i="39"/>
  <c r="K31" i="39"/>
  <c r="J32" i="39"/>
  <c r="L32" i="39" s="1"/>
  <c r="K32" i="39"/>
  <c r="J33" i="39"/>
  <c r="K33" i="39"/>
  <c r="J34" i="39"/>
  <c r="L34" i="39" s="1"/>
  <c r="K34" i="39"/>
  <c r="J35" i="39"/>
  <c r="K35" i="39"/>
  <c r="J36" i="39"/>
  <c r="L36" i="39" s="1"/>
  <c r="K36" i="39"/>
  <c r="J37" i="39"/>
  <c r="K37" i="39"/>
  <c r="J38" i="39"/>
  <c r="L38" i="39" s="1"/>
  <c r="K38" i="39"/>
  <c r="J39" i="39"/>
  <c r="K39" i="39"/>
  <c r="J40" i="39"/>
  <c r="L40" i="39" s="1"/>
  <c r="K40" i="39"/>
  <c r="J41" i="39"/>
  <c r="K41" i="39"/>
  <c r="J42" i="39"/>
  <c r="L42" i="39" s="1"/>
  <c r="K42" i="39"/>
  <c r="J43" i="39"/>
  <c r="K43" i="39"/>
  <c r="J44" i="39"/>
  <c r="L44" i="39" s="1"/>
  <c r="K44" i="39"/>
  <c r="J45" i="39"/>
  <c r="K45" i="39"/>
  <c r="J46" i="39"/>
  <c r="L46" i="39" s="1"/>
  <c r="K46" i="39"/>
  <c r="J47" i="39"/>
  <c r="L47" i="39" s="1"/>
  <c r="K47" i="39"/>
  <c r="B48" i="39"/>
  <c r="K48" i="39"/>
  <c r="K49" i="39"/>
  <c r="K50" i="39"/>
  <c r="K51" i="39"/>
  <c r="K52" i="39"/>
  <c r="K53" i="39"/>
  <c r="K54" i="39"/>
  <c r="J8" i="40"/>
  <c r="D8" i="40"/>
  <c r="K8" i="40" s="1"/>
  <c r="L8" i="40" s="1"/>
  <c r="M8" i="40" s="1"/>
  <c r="J9" i="40"/>
  <c r="D9" i="40"/>
  <c r="K9" i="40"/>
  <c r="J10" i="40"/>
  <c r="L10" i="40" s="1"/>
  <c r="D10" i="40"/>
  <c r="K10" i="40" s="1"/>
  <c r="J11" i="40"/>
  <c r="D11" i="40"/>
  <c r="K11" i="40" s="1"/>
  <c r="J12" i="40"/>
  <c r="D12" i="40"/>
  <c r="K12" i="40" s="1"/>
  <c r="L12" i="40" s="1"/>
  <c r="J13" i="40"/>
  <c r="D13" i="40"/>
  <c r="K13" i="40" s="1"/>
  <c r="J14" i="40"/>
  <c r="D14" i="40"/>
  <c r="K14" i="40" s="1"/>
  <c r="L14" i="40" s="1"/>
  <c r="J15" i="40"/>
  <c r="D15" i="40"/>
  <c r="K15" i="40" s="1"/>
  <c r="J16" i="40"/>
  <c r="D16" i="40"/>
  <c r="K16" i="40" s="1"/>
  <c r="J17" i="40"/>
  <c r="D17" i="40"/>
  <c r="K17" i="40" s="1"/>
  <c r="J18" i="40"/>
  <c r="D18" i="40"/>
  <c r="K18" i="40" s="1"/>
  <c r="L18" i="40" s="1"/>
  <c r="J19" i="40"/>
  <c r="D19" i="40"/>
  <c r="K19" i="40"/>
  <c r="J20" i="40"/>
  <c r="D20" i="40"/>
  <c r="K20" i="40" s="1"/>
  <c r="J21" i="40"/>
  <c r="D21" i="40"/>
  <c r="K21" i="40" s="1"/>
  <c r="J22" i="40"/>
  <c r="D22" i="40"/>
  <c r="K22" i="40" s="1"/>
  <c r="L22" i="40"/>
  <c r="J23" i="40"/>
  <c r="D23" i="40"/>
  <c r="K23" i="40" s="1"/>
  <c r="J24" i="40"/>
  <c r="D24" i="40"/>
  <c r="K24" i="40" s="1"/>
  <c r="J25" i="40"/>
  <c r="D25" i="40"/>
  <c r="K25" i="40"/>
  <c r="J26" i="40"/>
  <c r="L26" i="40" s="1"/>
  <c r="D26" i="40"/>
  <c r="K26" i="40" s="1"/>
  <c r="J27" i="40"/>
  <c r="D27" i="40"/>
  <c r="K27" i="40" s="1"/>
  <c r="J28" i="40"/>
  <c r="D28" i="40"/>
  <c r="K28" i="40" s="1"/>
  <c r="L28" i="40" s="1"/>
  <c r="J29" i="40"/>
  <c r="D29" i="40"/>
  <c r="K29" i="40" s="1"/>
  <c r="J30" i="40"/>
  <c r="L30" i="40" s="1"/>
  <c r="D30" i="40"/>
  <c r="K30" i="40" s="1"/>
  <c r="J31" i="40"/>
  <c r="D31" i="40"/>
  <c r="K31" i="40" s="1"/>
  <c r="J32" i="40"/>
  <c r="D32" i="40"/>
  <c r="K32" i="40" s="1"/>
  <c r="L32" i="40" s="1"/>
  <c r="J33" i="40"/>
  <c r="D33" i="40"/>
  <c r="K33" i="40" s="1"/>
  <c r="J34" i="40"/>
  <c r="D34" i="40"/>
  <c r="K34" i="40" s="1"/>
  <c r="L34" i="40" s="1"/>
  <c r="J35" i="40"/>
  <c r="D35" i="40"/>
  <c r="K35" i="40"/>
  <c r="J36" i="40"/>
  <c r="D36" i="40"/>
  <c r="K36" i="40" s="1"/>
  <c r="J37" i="40"/>
  <c r="D37" i="40"/>
  <c r="K37" i="40" s="1"/>
  <c r="J38" i="40"/>
  <c r="D38" i="40"/>
  <c r="K38" i="40" s="1"/>
  <c r="L38" i="40"/>
  <c r="J39" i="40"/>
  <c r="D39" i="40"/>
  <c r="K39" i="40" s="1"/>
  <c r="J40" i="40"/>
  <c r="D40" i="40"/>
  <c r="K40" i="40" s="1"/>
  <c r="J41" i="40"/>
  <c r="D41" i="40"/>
  <c r="K41" i="40"/>
  <c r="J42" i="40"/>
  <c r="L42" i="40" s="1"/>
  <c r="D42" i="40"/>
  <c r="K42" i="40" s="1"/>
  <c r="J43" i="40"/>
  <c r="D43" i="40"/>
  <c r="K43" i="40" s="1"/>
  <c r="J44" i="40"/>
  <c r="D44" i="40"/>
  <c r="K44" i="40" s="1"/>
  <c r="L44" i="40" s="1"/>
  <c r="J45" i="40"/>
  <c r="D45" i="40"/>
  <c r="K45" i="40" s="1"/>
  <c r="J46" i="40"/>
  <c r="L46" i="40" s="1"/>
  <c r="D46" i="40"/>
  <c r="K46" i="40" s="1"/>
  <c r="J47" i="40"/>
  <c r="D47" i="40"/>
  <c r="K47" i="40" s="1"/>
  <c r="B48" i="40"/>
  <c r="J48" i="40" s="1"/>
  <c r="D48" i="40"/>
  <c r="K48" i="40" s="1"/>
  <c r="B49" i="40"/>
  <c r="D49" i="40" s="1"/>
  <c r="K49" i="40" s="1"/>
  <c r="J49" i="40"/>
  <c r="B50" i="40"/>
  <c r="B51" i="40"/>
  <c r="J8" i="61"/>
  <c r="L8" i="61" s="1"/>
  <c r="M8" i="61" s="1"/>
  <c r="D8" i="61"/>
  <c r="K8" i="61" s="1"/>
  <c r="J9" i="61"/>
  <c r="D9" i="61"/>
  <c r="K9" i="61" s="1"/>
  <c r="J10" i="61"/>
  <c r="D10" i="61"/>
  <c r="K10" i="61" s="1"/>
  <c r="J11" i="61"/>
  <c r="D11" i="61"/>
  <c r="K11" i="61" s="1"/>
  <c r="L11" i="61" s="1"/>
  <c r="J12" i="61"/>
  <c r="D12" i="61"/>
  <c r="K12" i="61"/>
  <c r="J13" i="61"/>
  <c r="D13" i="61"/>
  <c r="K13" i="61" s="1"/>
  <c r="J14" i="61"/>
  <c r="D14" i="61"/>
  <c r="K14" i="61" s="1"/>
  <c r="J15" i="61"/>
  <c r="D15" i="61"/>
  <c r="K15" i="61" s="1"/>
  <c r="L15" i="61"/>
  <c r="J16" i="61"/>
  <c r="D16" i="61"/>
  <c r="K16" i="61"/>
  <c r="J17" i="61"/>
  <c r="D17" i="61"/>
  <c r="K17" i="61" s="1"/>
  <c r="J18" i="61"/>
  <c r="D18" i="61"/>
  <c r="K18" i="61"/>
  <c r="J19" i="61"/>
  <c r="L19" i="61" s="1"/>
  <c r="D19" i="61"/>
  <c r="K19" i="61" s="1"/>
  <c r="J20" i="61"/>
  <c r="D20" i="61"/>
  <c r="K20" i="61" s="1"/>
  <c r="J21" i="61"/>
  <c r="K21" i="61"/>
  <c r="J22" i="61"/>
  <c r="K22" i="61"/>
  <c r="J23" i="61"/>
  <c r="K23" i="61"/>
  <c r="J24" i="61"/>
  <c r="K24" i="61"/>
  <c r="J25" i="61"/>
  <c r="K25" i="61"/>
  <c r="J26" i="61"/>
  <c r="K26" i="61"/>
  <c r="G82" i="61"/>
  <c r="B27" i="61"/>
  <c r="I82" i="61"/>
  <c r="J82" i="61" s="1"/>
  <c r="D27" i="61" s="1"/>
  <c r="K27" i="61" s="1"/>
  <c r="D64" i="61"/>
  <c r="D28" i="61" s="1"/>
  <c r="K28" i="61" s="1"/>
  <c r="J29" i="61"/>
  <c r="K29" i="61"/>
  <c r="L29" i="61"/>
  <c r="J30" i="61"/>
  <c r="L30" i="61" s="1"/>
  <c r="K30" i="61"/>
  <c r="J31" i="61"/>
  <c r="L31" i="61" s="1"/>
  <c r="K31" i="61"/>
  <c r="J32" i="61"/>
  <c r="K32" i="61"/>
  <c r="L32" i="61" s="1"/>
  <c r="J33" i="61"/>
  <c r="K33" i="61"/>
  <c r="L33" i="61"/>
  <c r="J34" i="61"/>
  <c r="L34" i="61" s="1"/>
  <c r="K34" i="61"/>
  <c r="J35" i="61"/>
  <c r="L35" i="61" s="1"/>
  <c r="K35" i="61"/>
  <c r="J36" i="61"/>
  <c r="K36" i="61"/>
  <c r="L36" i="61" s="1"/>
  <c r="J37" i="61"/>
  <c r="K37" i="61"/>
  <c r="L37" i="61"/>
  <c r="J38" i="61"/>
  <c r="L38" i="61" s="1"/>
  <c r="K38" i="61"/>
  <c r="J39" i="61"/>
  <c r="L39" i="61" s="1"/>
  <c r="K39" i="61"/>
  <c r="J40" i="61"/>
  <c r="K40" i="61"/>
  <c r="L40" i="61" s="1"/>
  <c r="J41" i="61"/>
  <c r="K41" i="61"/>
  <c r="L41" i="61"/>
  <c r="J42" i="61"/>
  <c r="L42" i="61" s="1"/>
  <c r="K42" i="61"/>
  <c r="J43" i="61"/>
  <c r="L43" i="61" s="1"/>
  <c r="K43" i="61"/>
  <c r="J44" i="61"/>
  <c r="K44" i="61"/>
  <c r="L44" i="61" s="1"/>
  <c r="J45" i="61"/>
  <c r="K45" i="61"/>
  <c r="L45" i="61"/>
  <c r="J46" i="61"/>
  <c r="L46" i="61" s="1"/>
  <c r="K46" i="61"/>
  <c r="J47" i="61"/>
  <c r="L47" i="61" s="1"/>
  <c r="K47" i="61"/>
  <c r="B48" i="61"/>
  <c r="J48" i="61" s="1"/>
  <c r="K48" i="61"/>
  <c r="K49" i="61"/>
  <c r="K50" i="61"/>
  <c r="K51" i="61"/>
  <c r="K52" i="61"/>
  <c r="K53" i="61"/>
  <c r="K54" i="61"/>
  <c r="J23" i="100"/>
  <c r="D23" i="100"/>
  <c r="J24" i="100"/>
  <c r="J25" i="100"/>
  <c r="J26" i="100"/>
  <c r="J27" i="100"/>
  <c r="J28" i="100"/>
  <c r="D61" i="100"/>
  <c r="D28" i="100"/>
  <c r="K28" i="100" s="1"/>
  <c r="J29" i="100"/>
  <c r="L29" i="100" s="1"/>
  <c r="K29" i="100"/>
  <c r="J30" i="100"/>
  <c r="D30" i="100"/>
  <c r="J31" i="100"/>
  <c r="J32" i="100"/>
  <c r="J33" i="100"/>
  <c r="J34" i="100"/>
  <c r="J35" i="100"/>
  <c r="J36" i="100"/>
  <c r="J37" i="100"/>
  <c r="J38" i="100"/>
  <c r="J39" i="100"/>
  <c r="J40" i="100"/>
  <c r="J41" i="100"/>
  <c r="J42" i="100"/>
  <c r="J43" i="100"/>
  <c r="J44" i="100"/>
  <c r="J45" i="100"/>
  <c r="J46" i="100"/>
  <c r="J47" i="100"/>
  <c r="B48" i="100"/>
  <c r="J23" i="99"/>
  <c r="D23" i="99"/>
  <c r="K23" i="99" s="1"/>
  <c r="J24" i="99"/>
  <c r="L24" i="99" s="1"/>
  <c r="D24" i="99"/>
  <c r="K24" i="99" s="1"/>
  <c r="J25" i="99"/>
  <c r="J26" i="99"/>
  <c r="J27" i="99"/>
  <c r="J28" i="99"/>
  <c r="K28" i="99"/>
  <c r="J29" i="99"/>
  <c r="K29" i="99"/>
  <c r="J30" i="99"/>
  <c r="D30" i="99"/>
  <c r="K30" i="99" s="1"/>
  <c r="J31" i="99"/>
  <c r="J32" i="99"/>
  <c r="J33" i="99"/>
  <c r="J34" i="99"/>
  <c r="J35" i="99"/>
  <c r="J36" i="99"/>
  <c r="J37" i="99"/>
  <c r="J38" i="99"/>
  <c r="J39" i="99"/>
  <c r="J40" i="99"/>
  <c r="J41" i="99"/>
  <c r="J42" i="99"/>
  <c r="J43" i="99"/>
  <c r="J44" i="99"/>
  <c r="J45" i="99"/>
  <c r="J46" i="99"/>
  <c r="J47" i="99"/>
  <c r="B48" i="99"/>
  <c r="J48" i="99" s="1"/>
  <c r="J8" i="62"/>
  <c r="D8" i="62"/>
  <c r="K8" i="62" s="1"/>
  <c r="L8" i="62" s="1"/>
  <c r="M8" i="62" s="1"/>
  <c r="J9" i="62"/>
  <c r="L9" i="62" s="1"/>
  <c r="D9" i="62"/>
  <c r="K9" i="62"/>
  <c r="J10" i="62"/>
  <c r="L10" i="62" s="1"/>
  <c r="D10" i="62"/>
  <c r="K10" i="62" s="1"/>
  <c r="J11" i="62"/>
  <c r="D11" i="62"/>
  <c r="K11" i="62" s="1"/>
  <c r="J12" i="62"/>
  <c r="D12" i="62"/>
  <c r="K12" i="62" s="1"/>
  <c r="L12" i="62" s="1"/>
  <c r="J13" i="62"/>
  <c r="L13" i="62" s="1"/>
  <c r="D13" i="62"/>
  <c r="K13" i="62" s="1"/>
  <c r="J14" i="62"/>
  <c r="D14" i="62"/>
  <c r="K14" i="62" s="1"/>
  <c r="L14" i="62" s="1"/>
  <c r="J15" i="62"/>
  <c r="D15" i="62"/>
  <c r="K15" i="62"/>
  <c r="J16" i="62"/>
  <c r="D16" i="62"/>
  <c r="K16" i="62" s="1"/>
  <c r="J17" i="62"/>
  <c r="D17" i="62"/>
  <c r="K17" i="62" s="1"/>
  <c r="J18" i="62"/>
  <c r="D18" i="62"/>
  <c r="K18" i="62" s="1"/>
  <c r="L18" i="62"/>
  <c r="J19" i="62"/>
  <c r="L19" i="62" s="1"/>
  <c r="D19" i="62"/>
  <c r="K19" i="62"/>
  <c r="J20" i="62"/>
  <c r="D20" i="62"/>
  <c r="K20" i="62" s="1"/>
  <c r="J21" i="62"/>
  <c r="D21" i="62"/>
  <c r="K21" i="62"/>
  <c r="J22" i="62"/>
  <c r="L22" i="62" s="1"/>
  <c r="K22" i="62"/>
  <c r="J23" i="62"/>
  <c r="K23" i="62"/>
  <c r="J24" i="62"/>
  <c r="L24" i="62" s="1"/>
  <c r="K24" i="62"/>
  <c r="J25" i="62"/>
  <c r="K25" i="62"/>
  <c r="J26" i="62"/>
  <c r="L26" i="62" s="1"/>
  <c r="K26" i="62"/>
  <c r="J27" i="62"/>
  <c r="K27" i="62"/>
  <c r="J28" i="62"/>
  <c r="L28" i="62" s="1"/>
  <c r="D28" i="62"/>
  <c r="K28" i="62" s="1"/>
  <c r="J29" i="62"/>
  <c r="L29" i="62" s="1"/>
  <c r="K29" i="62"/>
  <c r="J30" i="62"/>
  <c r="K30" i="62"/>
  <c r="L30" i="62" s="1"/>
  <c r="J31" i="62"/>
  <c r="K31" i="62"/>
  <c r="L31" i="62"/>
  <c r="J32" i="62"/>
  <c r="L32" i="62" s="1"/>
  <c r="K32" i="62"/>
  <c r="J33" i="62"/>
  <c r="L33" i="62" s="1"/>
  <c r="K33" i="62"/>
  <c r="J34" i="62"/>
  <c r="K34" i="62"/>
  <c r="L34" i="62" s="1"/>
  <c r="J35" i="62"/>
  <c r="K35" i="62"/>
  <c r="L35" i="62"/>
  <c r="J36" i="62"/>
  <c r="L36" i="62" s="1"/>
  <c r="K36" i="62"/>
  <c r="J37" i="62"/>
  <c r="L37" i="62" s="1"/>
  <c r="K37" i="62"/>
  <c r="J38" i="62"/>
  <c r="K38" i="62"/>
  <c r="L38" i="62" s="1"/>
  <c r="J39" i="62"/>
  <c r="K39" i="62"/>
  <c r="L39" i="62"/>
  <c r="J40" i="62"/>
  <c r="L40" i="62" s="1"/>
  <c r="K40" i="62"/>
  <c r="J41" i="62"/>
  <c r="L41" i="62" s="1"/>
  <c r="K41" i="62"/>
  <c r="J42" i="62"/>
  <c r="K42" i="62"/>
  <c r="L42" i="62" s="1"/>
  <c r="J43" i="62"/>
  <c r="K43" i="62"/>
  <c r="L43" i="62"/>
  <c r="J44" i="62"/>
  <c r="L44" i="62" s="1"/>
  <c r="K44" i="62"/>
  <c r="J45" i="62"/>
  <c r="L45" i="62" s="1"/>
  <c r="K45" i="62"/>
  <c r="J46" i="62"/>
  <c r="K46" i="62"/>
  <c r="L46" i="62" s="1"/>
  <c r="J47" i="62"/>
  <c r="K47" i="62"/>
  <c r="L47" i="62"/>
  <c r="B48" i="62"/>
  <c r="J48" i="62" s="1"/>
  <c r="K48" i="62"/>
  <c r="K49" i="62"/>
  <c r="K50" i="62"/>
  <c r="K51" i="62"/>
  <c r="K52" i="62"/>
  <c r="K53" i="62"/>
  <c r="K54" i="62"/>
  <c r="J8" i="64"/>
  <c r="D8" i="64"/>
  <c r="K8" i="64" s="1"/>
  <c r="J9" i="64"/>
  <c r="D9" i="64"/>
  <c r="K9" i="64" s="1"/>
  <c r="J10" i="64"/>
  <c r="D10" i="64"/>
  <c r="K10" i="64" s="1"/>
  <c r="L10" i="64" s="1"/>
  <c r="J11" i="64"/>
  <c r="D11" i="64"/>
  <c r="K11" i="64" s="1"/>
  <c r="J12" i="64"/>
  <c r="D12" i="64"/>
  <c r="K12" i="64" s="1"/>
  <c r="L12" i="64" s="1"/>
  <c r="J13" i="64"/>
  <c r="L13" i="64" s="1"/>
  <c r="D13" i="64"/>
  <c r="K13" i="64"/>
  <c r="J14" i="64"/>
  <c r="D14" i="64"/>
  <c r="K14" i="64" s="1"/>
  <c r="J15" i="64"/>
  <c r="D15" i="64"/>
  <c r="K15" i="64"/>
  <c r="J16" i="64"/>
  <c r="D16" i="64"/>
  <c r="K16" i="64" s="1"/>
  <c r="J17" i="64"/>
  <c r="D17" i="64"/>
  <c r="K17" i="64" s="1"/>
  <c r="J18" i="64"/>
  <c r="D18" i="64"/>
  <c r="K18" i="64" s="1"/>
  <c r="L18" i="64" s="1"/>
  <c r="J19" i="64"/>
  <c r="D19" i="64"/>
  <c r="K19" i="64" s="1"/>
  <c r="J20" i="64"/>
  <c r="D20" i="64"/>
  <c r="K20" i="64" s="1"/>
  <c r="L20" i="64" s="1"/>
  <c r="J21" i="64"/>
  <c r="L21" i="64" s="1"/>
  <c r="K21" i="64"/>
  <c r="J22" i="64"/>
  <c r="K22" i="64"/>
  <c r="J23" i="64"/>
  <c r="L23" i="64" s="1"/>
  <c r="K23" i="64"/>
  <c r="J24" i="64"/>
  <c r="K24" i="64"/>
  <c r="J25" i="64"/>
  <c r="L25" i="64" s="1"/>
  <c r="K25" i="64"/>
  <c r="J26" i="64"/>
  <c r="K26" i="64"/>
  <c r="J27" i="64"/>
  <c r="L27" i="64" s="1"/>
  <c r="K27" i="64"/>
  <c r="J28" i="64"/>
  <c r="K28" i="64"/>
  <c r="J29" i="64"/>
  <c r="K29" i="64"/>
  <c r="J30" i="64"/>
  <c r="D30" i="64"/>
  <c r="J31" i="64"/>
  <c r="J32" i="64"/>
  <c r="J33" i="64"/>
  <c r="J34" i="64"/>
  <c r="J35" i="64"/>
  <c r="J36" i="64"/>
  <c r="J37" i="64"/>
  <c r="J38" i="64"/>
  <c r="J39" i="64"/>
  <c r="J40" i="64"/>
  <c r="J41" i="64"/>
  <c r="J42" i="64"/>
  <c r="J43" i="64"/>
  <c r="J44" i="64"/>
  <c r="J45" i="64"/>
  <c r="J46" i="64"/>
  <c r="J47" i="64"/>
  <c r="B48" i="64"/>
  <c r="J48" i="64" s="1"/>
  <c r="B49" i="64"/>
  <c r="J8" i="66"/>
  <c r="D8" i="66"/>
  <c r="K8" i="66" s="1"/>
  <c r="J9" i="66"/>
  <c r="D9" i="66"/>
  <c r="K9" i="66" s="1"/>
  <c r="J10" i="66"/>
  <c r="D10" i="66"/>
  <c r="K10" i="66"/>
  <c r="J11" i="66"/>
  <c r="L11" i="66" s="1"/>
  <c r="D11" i="66"/>
  <c r="K11" i="66" s="1"/>
  <c r="J12" i="66"/>
  <c r="D12" i="66"/>
  <c r="K12" i="66" s="1"/>
  <c r="J13" i="66"/>
  <c r="D13" i="66"/>
  <c r="K13" i="66" s="1"/>
  <c r="L13" i="66" s="1"/>
  <c r="J14" i="66"/>
  <c r="D14" i="66"/>
  <c r="K14" i="66" s="1"/>
  <c r="J15" i="66"/>
  <c r="L15" i="66" s="1"/>
  <c r="D15" i="66"/>
  <c r="K15" i="66" s="1"/>
  <c r="J16" i="66"/>
  <c r="D16" i="66"/>
  <c r="K16" i="66" s="1"/>
  <c r="J17" i="66"/>
  <c r="D17" i="66"/>
  <c r="K17" i="66" s="1"/>
  <c r="L17" i="66" s="1"/>
  <c r="J18" i="66"/>
  <c r="D18" i="66"/>
  <c r="K18" i="66" s="1"/>
  <c r="J19" i="66"/>
  <c r="D19" i="66"/>
  <c r="K19" i="66" s="1"/>
  <c r="L19" i="66" s="1"/>
  <c r="J20" i="66"/>
  <c r="D20" i="66"/>
  <c r="K20" i="66"/>
  <c r="J21" i="66"/>
  <c r="D21" i="66"/>
  <c r="K21" i="66" s="1"/>
  <c r="J22" i="66"/>
  <c r="K22" i="66"/>
  <c r="J23" i="66"/>
  <c r="L23" i="66" s="1"/>
  <c r="K23" i="66"/>
  <c r="J24" i="66"/>
  <c r="K24" i="66"/>
  <c r="J25" i="66"/>
  <c r="L25" i="66" s="1"/>
  <c r="K25" i="66"/>
  <c r="J26" i="66"/>
  <c r="D26" i="66"/>
  <c r="J27" i="66"/>
  <c r="J28" i="66"/>
  <c r="L28" i="66" s="1"/>
  <c r="K28" i="66"/>
  <c r="J29" i="66"/>
  <c r="L29" i="66" s="1"/>
  <c r="K29" i="66"/>
  <c r="J30" i="66"/>
  <c r="D30" i="66"/>
  <c r="D31" i="66" s="1"/>
  <c r="G31" i="66" s="1"/>
  <c r="K30" i="66"/>
  <c r="J31" i="66"/>
  <c r="J32" i="66"/>
  <c r="J33" i="66"/>
  <c r="J34" i="66"/>
  <c r="J35" i="66"/>
  <c r="J36" i="66"/>
  <c r="J37" i="66"/>
  <c r="B38" i="66"/>
  <c r="J8" i="67"/>
  <c r="D8" i="67"/>
  <c r="K8" i="67"/>
  <c r="J9" i="67"/>
  <c r="D9" i="67"/>
  <c r="K9" i="67" s="1"/>
  <c r="J10" i="67"/>
  <c r="D10" i="67"/>
  <c r="K10" i="67" s="1"/>
  <c r="J11" i="67"/>
  <c r="D11" i="67"/>
  <c r="K11" i="67" s="1"/>
  <c r="L11" i="67" s="1"/>
  <c r="J12" i="67"/>
  <c r="D12" i="67"/>
  <c r="K12" i="67" s="1"/>
  <c r="J13" i="67"/>
  <c r="D13" i="67"/>
  <c r="K13" i="67" s="1"/>
  <c r="L13" i="67" s="1"/>
  <c r="J14" i="67"/>
  <c r="L14" i="67" s="1"/>
  <c r="D14" i="67"/>
  <c r="K14" i="67"/>
  <c r="J15" i="67"/>
  <c r="D15" i="67"/>
  <c r="K15" i="67" s="1"/>
  <c r="J16" i="67"/>
  <c r="D16" i="67"/>
  <c r="K16" i="67"/>
  <c r="J17" i="67"/>
  <c r="D17" i="67"/>
  <c r="K17" i="67" s="1"/>
  <c r="J18" i="67"/>
  <c r="D18" i="67"/>
  <c r="K18" i="67" s="1"/>
  <c r="J19" i="67"/>
  <c r="D19" i="67"/>
  <c r="K19" i="67" s="1"/>
  <c r="L19" i="67" s="1"/>
  <c r="J20" i="67"/>
  <c r="D20" i="67"/>
  <c r="K20" i="67" s="1"/>
  <c r="J21" i="67"/>
  <c r="D21" i="67"/>
  <c r="K21" i="67" s="1"/>
  <c r="L21" i="67" s="1"/>
  <c r="J22" i="67"/>
  <c r="L22" i="67" s="1"/>
  <c r="K22" i="67"/>
  <c r="J23" i="67"/>
  <c r="K23" i="67"/>
  <c r="J24" i="67"/>
  <c r="L24" i="67" s="1"/>
  <c r="K24" i="67"/>
  <c r="J25" i="67"/>
  <c r="K25" i="67"/>
  <c r="J26" i="67"/>
  <c r="L26" i="67" s="1"/>
  <c r="D26" i="67"/>
  <c r="K26" i="67"/>
  <c r="J27" i="67"/>
  <c r="D27" i="67"/>
  <c r="K27" i="67" s="1"/>
  <c r="J28" i="67"/>
  <c r="L28" i="67" s="1"/>
  <c r="K28" i="67"/>
  <c r="J29" i="67"/>
  <c r="L29" i="67" s="1"/>
  <c r="K29" i="67"/>
  <c r="J30" i="67"/>
  <c r="D30" i="67"/>
  <c r="K30" i="67"/>
  <c r="J31" i="67"/>
  <c r="D31" i="67"/>
  <c r="J32" i="67"/>
  <c r="J33" i="67"/>
  <c r="J34" i="67"/>
  <c r="J35" i="67"/>
  <c r="J36" i="67"/>
  <c r="J37" i="67"/>
  <c r="J38" i="67"/>
  <c r="J39" i="67"/>
  <c r="J40" i="67"/>
  <c r="J41" i="67"/>
  <c r="J42" i="67"/>
  <c r="J43" i="67"/>
  <c r="J44" i="67"/>
  <c r="J45" i="67"/>
  <c r="J46" i="67"/>
  <c r="J47" i="67"/>
  <c r="B48" i="67"/>
  <c r="J8" i="42"/>
  <c r="L8" i="42" s="1"/>
  <c r="M8" i="42" s="1"/>
  <c r="M9" i="42" s="1"/>
  <c r="K8" i="42"/>
  <c r="J9" i="42"/>
  <c r="L9" i="42" s="1"/>
  <c r="K9" i="42"/>
  <c r="J10" i="42"/>
  <c r="L10" i="42" s="1"/>
  <c r="K10" i="42"/>
  <c r="J11" i="42"/>
  <c r="L11" i="42" s="1"/>
  <c r="K11" i="42"/>
  <c r="J12" i="42"/>
  <c r="L12" i="42" s="1"/>
  <c r="K12" i="42"/>
  <c r="J13" i="42"/>
  <c r="L13" i="42" s="1"/>
  <c r="K13" i="42"/>
  <c r="J14" i="42"/>
  <c r="L14" i="42" s="1"/>
  <c r="K14" i="42"/>
  <c r="J15" i="42"/>
  <c r="L15" i="42" s="1"/>
  <c r="K15" i="42"/>
  <c r="J16" i="42"/>
  <c r="L16" i="42" s="1"/>
  <c r="K16" i="42"/>
  <c r="J17" i="42"/>
  <c r="L17" i="42" s="1"/>
  <c r="K17" i="42"/>
  <c r="J18" i="42"/>
  <c r="L18" i="42" s="1"/>
  <c r="K18" i="42"/>
  <c r="J19" i="42"/>
  <c r="L19" i="42" s="1"/>
  <c r="K19" i="42"/>
  <c r="J20" i="42"/>
  <c r="L20" i="42" s="1"/>
  <c r="K20" i="42"/>
  <c r="J21" i="42"/>
  <c r="L21" i="42" s="1"/>
  <c r="K21" i="42"/>
  <c r="J22" i="42"/>
  <c r="L22" i="42" s="1"/>
  <c r="K22" i="42"/>
  <c r="J23" i="42"/>
  <c r="L23" i="42" s="1"/>
  <c r="K23" i="42"/>
  <c r="J24" i="42"/>
  <c r="L24" i="42" s="1"/>
  <c r="K24" i="42"/>
  <c r="J25" i="42"/>
  <c r="L25" i="42" s="1"/>
  <c r="K25" i="42"/>
  <c r="J26" i="42"/>
  <c r="L26" i="42" s="1"/>
  <c r="K26" i="42"/>
  <c r="J27" i="42"/>
  <c r="I78" i="42"/>
  <c r="G78" i="42"/>
  <c r="J28" i="42"/>
  <c r="L28" i="42" s="1"/>
  <c r="K28" i="42"/>
  <c r="J29" i="42"/>
  <c r="K29" i="42"/>
  <c r="J30" i="42"/>
  <c r="L30" i="42" s="1"/>
  <c r="K30" i="42"/>
  <c r="J31" i="42"/>
  <c r="K31" i="42"/>
  <c r="J32" i="42"/>
  <c r="L32" i="42" s="1"/>
  <c r="K32" i="42"/>
  <c r="J33" i="42"/>
  <c r="K33" i="42"/>
  <c r="J34" i="42"/>
  <c r="L34" i="42" s="1"/>
  <c r="K34" i="42"/>
  <c r="J35" i="42"/>
  <c r="K35" i="42"/>
  <c r="J36" i="42"/>
  <c r="L36" i="42" s="1"/>
  <c r="K36" i="42"/>
  <c r="J37" i="42"/>
  <c r="K37" i="42"/>
  <c r="J38" i="42"/>
  <c r="L38" i="42" s="1"/>
  <c r="K38" i="42"/>
  <c r="J39" i="42"/>
  <c r="K39" i="42"/>
  <c r="J40" i="42"/>
  <c r="L40" i="42" s="1"/>
  <c r="K40" i="42"/>
  <c r="J41" i="42"/>
  <c r="K41" i="42"/>
  <c r="J42" i="42"/>
  <c r="L42" i="42" s="1"/>
  <c r="K42" i="42"/>
  <c r="J43" i="42"/>
  <c r="K43" i="42"/>
  <c r="J44" i="42"/>
  <c r="L44" i="42" s="1"/>
  <c r="K44" i="42"/>
  <c r="J45" i="42"/>
  <c r="K45" i="42"/>
  <c r="J46" i="42"/>
  <c r="L46" i="42" s="1"/>
  <c r="K46" i="42"/>
  <c r="B47" i="42"/>
  <c r="K47" i="42"/>
  <c r="K48" i="42"/>
  <c r="K49" i="42"/>
  <c r="K50" i="42"/>
  <c r="K51" i="42"/>
  <c r="K52" i="42"/>
  <c r="K53" i="42"/>
  <c r="K54" i="42"/>
  <c r="J23" i="103"/>
  <c r="D23" i="103"/>
  <c r="K23" i="103" s="1"/>
  <c r="J24" i="103"/>
  <c r="D24" i="103"/>
  <c r="J25" i="103"/>
  <c r="J26" i="103"/>
  <c r="J27" i="103"/>
  <c r="J28" i="103"/>
  <c r="D61" i="103"/>
  <c r="D28" i="103" s="1"/>
  <c r="K28" i="103" s="1"/>
  <c r="J29" i="103"/>
  <c r="K29" i="103"/>
  <c r="J30" i="103"/>
  <c r="D30" i="103"/>
  <c r="K30" i="103" s="1"/>
  <c r="J31" i="103"/>
  <c r="J32" i="103"/>
  <c r="J33" i="103"/>
  <c r="J34" i="103"/>
  <c r="J35" i="103"/>
  <c r="J36" i="103"/>
  <c r="J37" i="103"/>
  <c r="J38" i="103"/>
  <c r="J39" i="103"/>
  <c r="J40" i="103"/>
  <c r="J41" i="103"/>
  <c r="J42" i="103"/>
  <c r="J43" i="103"/>
  <c r="J44" i="103"/>
  <c r="J45" i="103"/>
  <c r="J46" i="103"/>
  <c r="J47" i="103"/>
  <c r="B48" i="103"/>
  <c r="J48" i="103"/>
  <c r="B49" i="103"/>
  <c r="J49" i="103" s="1"/>
  <c r="J23" i="102"/>
  <c r="D23" i="102"/>
  <c r="J24" i="102"/>
  <c r="J25" i="102"/>
  <c r="J26" i="102"/>
  <c r="J27" i="102"/>
  <c r="J28" i="102"/>
  <c r="D61" i="102"/>
  <c r="D28" i="102" s="1"/>
  <c r="K28" i="102" s="1"/>
  <c r="J29" i="102"/>
  <c r="K29" i="102"/>
  <c r="J30" i="102"/>
  <c r="D30" i="102"/>
  <c r="K30" i="102" s="1"/>
  <c r="J31" i="102"/>
  <c r="J32" i="102"/>
  <c r="J33" i="102"/>
  <c r="J34" i="102"/>
  <c r="J35" i="102"/>
  <c r="J36" i="102"/>
  <c r="J37" i="102"/>
  <c r="J38" i="102"/>
  <c r="J39" i="102"/>
  <c r="J40" i="102"/>
  <c r="J41" i="102"/>
  <c r="J42" i="102"/>
  <c r="J43" i="102"/>
  <c r="J44" i="102"/>
  <c r="J45" i="102"/>
  <c r="J46" i="102"/>
  <c r="J47" i="102"/>
  <c r="B48" i="102"/>
  <c r="J8" i="43"/>
  <c r="L8" i="43" s="1"/>
  <c r="M8" i="43" s="1"/>
  <c r="K8" i="43"/>
  <c r="J9" i="43"/>
  <c r="L9" i="43" s="1"/>
  <c r="K9" i="43"/>
  <c r="J10" i="43"/>
  <c r="L10" i="43" s="1"/>
  <c r="K10" i="43"/>
  <c r="J11" i="43"/>
  <c r="L11" i="43" s="1"/>
  <c r="K11" i="43"/>
  <c r="J12" i="43"/>
  <c r="L12" i="43" s="1"/>
  <c r="K12" i="43"/>
  <c r="J13" i="43"/>
  <c r="L13" i="43" s="1"/>
  <c r="K13" i="43"/>
  <c r="J14" i="43"/>
  <c r="L14" i="43" s="1"/>
  <c r="K14" i="43"/>
  <c r="J15" i="43"/>
  <c r="L15" i="43" s="1"/>
  <c r="K15" i="43"/>
  <c r="J16" i="43"/>
  <c r="L16" i="43" s="1"/>
  <c r="K16" i="43"/>
  <c r="J17" i="43"/>
  <c r="L17" i="43" s="1"/>
  <c r="K17" i="43"/>
  <c r="J18" i="43"/>
  <c r="L18" i="43" s="1"/>
  <c r="K18" i="43"/>
  <c r="J19" i="43"/>
  <c r="L19" i="43" s="1"/>
  <c r="K19" i="43"/>
  <c r="J20" i="43"/>
  <c r="L20" i="43" s="1"/>
  <c r="K20" i="43"/>
  <c r="J21" i="43"/>
  <c r="L21" i="43" s="1"/>
  <c r="K21" i="43"/>
  <c r="J22" i="43"/>
  <c r="L22" i="43" s="1"/>
  <c r="K22" i="43"/>
  <c r="J23" i="43"/>
  <c r="L23" i="43" s="1"/>
  <c r="K23" i="43"/>
  <c r="J24" i="43"/>
  <c r="L24" i="43" s="1"/>
  <c r="K24" i="43"/>
  <c r="J25" i="43"/>
  <c r="L25" i="43" s="1"/>
  <c r="K25" i="43"/>
  <c r="J26" i="43"/>
  <c r="L26" i="43" s="1"/>
  <c r="K26" i="43"/>
  <c r="J27" i="43"/>
  <c r="L27" i="43" s="1"/>
  <c r="K27" i="43"/>
  <c r="J28" i="43"/>
  <c r="D61" i="43"/>
  <c r="D28" i="43" s="1"/>
  <c r="J29" i="43"/>
  <c r="K29" i="43"/>
  <c r="J30" i="43"/>
  <c r="D30" i="43"/>
  <c r="K30" i="43" s="1"/>
  <c r="J31" i="43"/>
  <c r="J32" i="43"/>
  <c r="J33" i="43"/>
  <c r="B34" i="43"/>
  <c r="J34" i="43" s="1"/>
  <c r="B35" i="43"/>
  <c r="J23" i="101"/>
  <c r="D23" i="101"/>
  <c r="K23" i="101" s="1"/>
  <c r="J24" i="101"/>
  <c r="D24" i="101"/>
  <c r="J25" i="101"/>
  <c r="J26" i="101"/>
  <c r="J27" i="101"/>
  <c r="J28" i="101"/>
  <c r="K28" i="101"/>
  <c r="J29" i="101"/>
  <c r="K29" i="101"/>
  <c r="J30" i="101"/>
  <c r="D30" i="101"/>
  <c r="J31" i="101"/>
  <c r="J32" i="101"/>
  <c r="J33" i="101"/>
  <c r="J34" i="101"/>
  <c r="J35" i="101"/>
  <c r="J36" i="101"/>
  <c r="J37" i="101"/>
  <c r="J38" i="101"/>
  <c r="J39" i="101"/>
  <c r="J40" i="101"/>
  <c r="J41" i="101"/>
  <c r="J42" i="101"/>
  <c r="J43" i="101"/>
  <c r="J44" i="101"/>
  <c r="J45" i="101"/>
  <c r="J46" i="101"/>
  <c r="J47" i="101"/>
  <c r="B48" i="101"/>
  <c r="J48" i="101"/>
  <c r="B49" i="101"/>
  <c r="J49" i="101" s="1"/>
  <c r="M7" i="44"/>
  <c r="J8" i="44"/>
  <c r="L8" i="44" s="1"/>
  <c r="M8" i="44" s="1"/>
  <c r="D8" i="44"/>
  <c r="K8" i="44" s="1"/>
  <c r="J9" i="44"/>
  <c r="D9" i="44"/>
  <c r="K9" i="44" s="1"/>
  <c r="L9" i="44" s="1"/>
  <c r="J10" i="44"/>
  <c r="D10" i="44"/>
  <c r="K10" i="44" s="1"/>
  <c r="J11" i="44"/>
  <c r="L11" i="44" s="1"/>
  <c r="D11" i="44"/>
  <c r="K11" i="44" s="1"/>
  <c r="J12" i="44"/>
  <c r="D12" i="44"/>
  <c r="K12" i="44" s="1"/>
  <c r="J13" i="44"/>
  <c r="D13" i="44"/>
  <c r="K13" i="44" s="1"/>
  <c r="L13" i="44"/>
  <c r="J14" i="44"/>
  <c r="L14" i="44" s="1"/>
  <c r="D14" i="44"/>
  <c r="K14" i="44"/>
  <c r="J15" i="44"/>
  <c r="L15" i="44" s="1"/>
  <c r="D15" i="44"/>
  <c r="K15" i="44" s="1"/>
  <c r="J16" i="44"/>
  <c r="D16" i="44"/>
  <c r="K16" i="44" s="1"/>
  <c r="J17" i="44"/>
  <c r="D17" i="44"/>
  <c r="K17" i="44" s="1"/>
  <c r="L17" i="44" s="1"/>
  <c r="J18" i="44"/>
  <c r="D18" i="44"/>
  <c r="K18" i="44" s="1"/>
  <c r="J19" i="44"/>
  <c r="D19" i="44"/>
  <c r="K19" i="44" s="1"/>
  <c r="L19" i="44" s="1"/>
  <c r="J20" i="44"/>
  <c r="D20" i="44"/>
  <c r="K20" i="44"/>
  <c r="J21" i="44"/>
  <c r="L21" i="44" s="1"/>
  <c r="D21" i="44"/>
  <c r="K21" i="44" s="1"/>
  <c r="J22" i="44"/>
  <c r="L22" i="44" s="1"/>
  <c r="D22" i="44"/>
  <c r="K22" i="44" s="1"/>
  <c r="J23" i="44"/>
  <c r="D23" i="44"/>
  <c r="K23" i="44" s="1"/>
  <c r="L23" i="44" s="1"/>
  <c r="J24" i="44"/>
  <c r="D24" i="44"/>
  <c r="K24" i="44" s="1"/>
  <c r="J25" i="44"/>
  <c r="D25" i="44"/>
  <c r="K25" i="44" s="1"/>
  <c r="L25" i="44" s="1"/>
  <c r="J26" i="44"/>
  <c r="D26" i="44"/>
  <c r="K26" i="44"/>
  <c r="J27" i="44"/>
  <c r="L27" i="44" s="1"/>
  <c r="D27" i="44"/>
  <c r="K27" i="44" s="1"/>
  <c r="J28" i="44"/>
  <c r="D28" i="44"/>
  <c r="K28" i="44" s="1"/>
  <c r="J29" i="44"/>
  <c r="D29" i="44"/>
  <c r="K29" i="44" s="1"/>
  <c r="L29" i="44" s="1"/>
  <c r="J30" i="44"/>
  <c r="D30" i="44"/>
  <c r="K30" i="44"/>
  <c r="J31" i="44"/>
  <c r="D31" i="44"/>
  <c r="K31" i="44" s="1"/>
  <c r="J32" i="44"/>
  <c r="D32" i="44"/>
  <c r="K32" i="44" s="1"/>
  <c r="J33" i="44"/>
  <c r="D33" i="44"/>
  <c r="K33" i="44" s="1"/>
  <c r="L33" i="44" s="1"/>
  <c r="J34" i="44"/>
  <c r="D34" i="44"/>
  <c r="K34" i="44" s="1"/>
  <c r="J35" i="44"/>
  <c r="D35" i="44"/>
  <c r="K35" i="44" s="1"/>
  <c r="L35" i="44"/>
  <c r="J36" i="44"/>
  <c r="D36" i="44"/>
  <c r="K36" i="44"/>
  <c r="J37" i="44"/>
  <c r="L37" i="44" s="1"/>
  <c r="D37" i="44"/>
  <c r="K37" i="44" s="1"/>
  <c r="J38" i="44"/>
  <c r="D38" i="44"/>
  <c r="K38" i="44" s="1"/>
  <c r="J39" i="44"/>
  <c r="D39" i="44"/>
  <c r="K39" i="44" s="1"/>
  <c r="L39" i="44" s="1"/>
  <c r="J40" i="44"/>
  <c r="D40" i="44"/>
  <c r="K40" i="44" s="1"/>
  <c r="J41" i="44"/>
  <c r="D41" i="44"/>
  <c r="K41" i="44" s="1"/>
  <c r="J42" i="44"/>
  <c r="D42" i="44"/>
  <c r="K42" i="44"/>
  <c r="J43" i="44"/>
  <c r="K43" i="44"/>
  <c r="J44" i="44"/>
  <c r="K44" i="44"/>
  <c r="J45" i="44"/>
  <c r="L45" i="44" s="1"/>
  <c r="K45" i="44"/>
  <c r="J46" i="44"/>
  <c r="K46" i="44"/>
  <c r="J47" i="44"/>
  <c r="L47" i="44" s="1"/>
  <c r="D47" i="44"/>
  <c r="K47" i="44" s="1"/>
  <c r="B48" i="44"/>
  <c r="D48" i="44"/>
  <c r="K48" i="44" s="1"/>
  <c r="J23" i="85"/>
  <c r="L23" i="85" s="1"/>
  <c r="M23" i="85" s="1"/>
  <c r="K23" i="85"/>
  <c r="J24" i="85"/>
  <c r="K24" i="85"/>
  <c r="L24" i="85"/>
  <c r="J25" i="85"/>
  <c r="L25" i="85" s="1"/>
  <c r="K25" i="85"/>
  <c r="J26" i="85"/>
  <c r="L26" i="85" s="1"/>
  <c r="D26" i="85"/>
  <c r="K26" i="85" s="1"/>
  <c r="J27" i="85"/>
  <c r="J28" i="85"/>
  <c r="D61" i="85"/>
  <c r="D28" i="85" s="1"/>
  <c r="J29" i="85"/>
  <c r="K29" i="85"/>
  <c r="J30" i="85"/>
  <c r="D30" i="85"/>
  <c r="D31" i="85" s="1"/>
  <c r="G31" i="85" s="1"/>
  <c r="J31" i="85"/>
  <c r="J32" i="85"/>
  <c r="J33" i="85"/>
  <c r="J34" i="85"/>
  <c r="J35" i="85"/>
  <c r="J36" i="85"/>
  <c r="J37" i="85"/>
  <c r="B38" i="85"/>
  <c r="J38" i="85" s="1"/>
  <c r="J23" i="84"/>
  <c r="K23" i="84"/>
  <c r="J24" i="84"/>
  <c r="K24" i="84"/>
  <c r="L24" i="84"/>
  <c r="J25" i="84"/>
  <c r="L25" i="84" s="1"/>
  <c r="K25" i="84"/>
  <c r="J26" i="84"/>
  <c r="L26" i="84" s="1"/>
  <c r="D26" i="84"/>
  <c r="K26" i="84" s="1"/>
  <c r="J27" i="84"/>
  <c r="D27" i="84"/>
  <c r="K27" i="84" s="1"/>
  <c r="L27" i="84" s="1"/>
  <c r="J28" i="84"/>
  <c r="L28" i="84" s="1"/>
  <c r="K28" i="84"/>
  <c r="J29" i="84"/>
  <c r="L29" i="84" s="1"/>
  <c r="K29" i="84"/>
  <c r="J30" i="84"/>
  <c r="K30" i="84"/>
  <c r="L30" i="84"/>
  <c r="J31" i="84"/>
  <c r="L31" i="84" s="1"/>
  <c r="K31" i="84"/>
  <c r="J32" i="84"/>
  <c r="K32" i="84"/>
  <c r="J33" i="84"/>
  <c r="K33" i="84"/>
  <c r="L33" i="84"/>
  <c r="J34" i="84"/>
  <c r="L34" i="84" s="1"/>
  <c r="K34" i="84"/>
  <c r="J35" i="84"/>
  <c r="K35" i="84"/>
  <c r="J36" i="84"/>
  <c r="L36" i="84" s="1"/>
  <c r="K36" i="84"/>
  <c r="J37" i="84"/>
  <c r="K37" i="84"/>
  <c r="J38" i="84"/>
  <c r="K38" i="84"/>
  <c r="L38" i="84" s="1"/>
  <c r="J39" i="84"/>
  <c r="L39" i="84" s="1"/>
  <c r="K39" i="84"/>
  <c r="J40" i="84"/>
  <c r="L40" i="84" s="1"/>
  <c r="K40" i="84"/>
  <c r="J41" i="84"/>
  <c r="K41" i="84"/>
  <c r="L41" i="84"/>
  <c r="J42" i="84"/>
  <c r="L42" i="84" s="1"/>
  <c r="K42" i="84"/>
  <c r="J43" i="84"/>
  <c r="L43" i="84" s="1"/>
  <c r="K43" i="84"/>
  <c r="J44" i="84"/>
  <c r="L44" i="84" s="1"/>
  <c r="K44" i="84"/>
  <c r="J45" i="84"/>
  <c r="L45" i="84" s="1"/>
  <c r="K45" i="84"/>
  <c r="J46" i="84"/>
  <c r="K46" i="84"/>
  <c r="L46" i="84"/>
  <c r="J47" i="84"/>
  <c r="L47" i="84" s="1"/>
  <c r="K47" i="84"/>
  <c r="B48" i="84"/>
  <c r="K48" i="84"/>
  <c r="K49" i="84"/>
  <c r="K50" i="84"/>
  <c r="K51" i="84"/>
  <c r="K52" i="84"/>
  <c r="K53" i="84"/>
  <c r="K54" i="84"/>
  <c r="J23" i="86"/>
  <c r="K23" i="86"/>
  <c r="J24" i="86"/>
  <c r="L24" i="86" s="1"/>
  <c r="K24" i="86"/>
  <c r="J25" i="86"/>
  <c r="K25" i="86"/>
  <c r="J26" i="86"/>
  <c r="K26" i="86"/>
  <c r="J27" i="86"/>
  <c r="K27" i="86"/>
  <c r="J28" i="86"/>
  <c r="D61" i="86"/>
  <c r="D28" i="86" s="1"/>
  <c r="K28" i="86" s="1"/>
  <c r="L28" i="86" s="1"/>
  <c r="J29" i="86"/>
  <c r="K29" i="86"/>
  <c r="J30" i="86"/>
  <c r="D30" i="86"/>
  <c r="J31" i="86"/>
  <c r="J32" i="86"/>
  <c r="J33" i="86"/>
  <c r="B34" i="86"/>
  <c r="J34" i="86"/>
  <c r="B35" i="86"/>
  <c r="J23" i="87"/>
  <c r="K23" i="87"/>
  <c r="L23" i="87"/>
  <c r="M23" i="87" s="1"/>
  <c r="M24" i="87" s="1"/>
  <c r="J24" i="87"/>
  <c r="L24" i="87" s="1"/>
  <c r="K24" i="87"/>
  <c r="J25" i="87"/>
  <c r="L25" i="87" s="1"/>
  <c r="K25" i="87"/>
  <c r="J26" i="87"/>
  <c r="K26" i="87"/>
  <c r="L26" i="87"/>
  <c r="J27" i="87"/>
  <c r="K27" i="87"/>
  <c r="L27" i="87"/>
  <c r="J28" i="87"/>
  <c r="L28" i="87" s="1"/>
  <c r="K28" i="87"/>
  <c r="J29" i="87"/>
  <c r="K29" i="87"/>
  <c r="J30" i="87"/>
  <c r="K30" i="87"/>
  <c r="L30" i="87" s="1"/>
  <c r="J31" i="87"/>
  <c r="K31" i="87"/>
  <c r="L31" i="87"/>
  <c r="J32" i="87"/>
  <c r="L32" i="87" s="1"/>
  <c r="K32" i="87"/>
  <c r="J33" i="87"/>
  <c r="L33" i="87" s="1"/>
  <c r="K33" i="87"/>
  <c r="J34" i="87"/>
  <c r="K34" i="87"/>
  <c r="L34" i="87"/>
  <c r="J35" i="87"/>
  <c r="K35" i="87"/>
  <c r="L35" i="87"/>
  <c r="J36" i="87"/>
  <c r="L36" i="87" s="1"/>
  <c r="K36" i="87"/>
  <c r="J37" i="87"/>
  <c r="K37" i="87"/>
  <c r="J38" i="87"/>
  <c r="K38" i="87"/>
  <c r="L38" i="87" s="1"/>
  <c r="J39" i="87"/>
  <c r="K39" i="87"/>
  <c r="L39" i="87"/>
  <c r="J40" i="87"/>
  <c r="L40" i="87" s="1"/>
  <c r="K40" i="87"/>
  <c r="J41" i="87"/>
  <c r="L41" i="87" s="1"/>
  <c r="K41" i="87"/>
  <c r="J42" i="87"/>
  <c r="K42" i="87"/>
  <c r="L42" i="87"/>
  <c r="J43" i="87"/>
  <c r="K43" i="87"/>
  <c r="L43" i="87"/>
  <c r="J44" i="87"/>
  <c r="L44" i="87" s="1"/>
  <c r="K44" i="87"/>
  <c r="J45" i="87"/>
  <c r="K45" i="87"/>
  <c r="J46" i="87"/>
  <c r="K46" i="87"/>
  <c r="L46" i="87" s="1"/>
  <c r="J47" i="87"/>
  <c r="K47" i="87"/>
  <c r="L47" i="87"/>
  <c r="B48" i="87"/>
  <c r="J48" i="87" s="1"/>
  <c r="K48" i="87"/>
  <c r="B49" i="87"/>
  <c r="K49" i="87"/>
  <c r="K50" i="87"/>
  <c r="K51" i="87"/>
  <c r="K52" i="87"/>
  <c r="K53" i="87"/>
  <c r="K54" i="87"/>
  <c r="J23" i="88"/>
  <c r="K23" i="88"/>
  <c r="J24" i="88"/>
  <c r="K24" i="88"/>
  <c r="J25" i="88"/>
  <c r="K25" i="88"/>
  <c r="J26" i="88"/>
  <c r="K26" i="88"/>
  <c r="J27" i="88"/>
  <c r="D27" i="88"/>
  <c r="K27" i="88" s="1"/>
  <c r="J28" i="88"/>
  <c r="K28" i="88"/>
  <c r="J29" i="88"/>
  <c r="L29" i="88" s="1"/>
  <c r="K29" i="88"/>
  <c r="J30" i="88"/>
  <c r="K30" i="88"/>
  <c r="J31" i="88"/>
  <c r="L31" i="88" s="1"/>
  <c r="K31" i="88"/>
  <c r="J32" i="88"/>
  <c r="K32" i="88"/>
  <c r="J33" i="88"/>
  <c r="L33" i="88" s="1"/>
  <c r="K33" i="88"/>
  <c r="J34" i="88"/>
  <c r="K34" i="88"/>
  <c r="J35" i="88"/>
  <c r="L35" i="88" s="1"/>
  <c r="K35" i="88"/>
  <c r="J36" i="88"/>
  <c r="K36" i="88"/>
  <c r="J37" i="88"/>
  <c r="L37" i="88" s="1"/>
  <c r="K37" i="88"/>
  <c r="J38" i="88"/>
  <c r="K38" i="88"/>
  <c r="J39" i="88"/>
  <c r="L39" i="88" s="1"/>
  <c r="K39" i="88"/>
  <c r="J40" i="88"/>
  <c r="K40" i="88"/>
  <c r="J41" i="88"/>
  <c r="L41" i="88" s="1"/>
  <c r="K41" i="88"/>
  <c r="J42" i="88"/>
  <c r="K42" i="88"/>
  <c r="J43" i="88"/>
  <c r="L43" i="88" s="1"/>
  <c r="K43" i="88"/>
  <c r="J44" i="88"/>
  <c r="K44" i="88"/>
  <c r="J45" i="88"/>
  <c r="L45" i="88" s="1"/>
  <c r="K45" i="88"/>
  <c r="J46" i="88"/>
  <c r="K46" i="88"/>
  <c r="J47" i="88"/>
  <c r="L47" i="88" s="1"/>
  <c r="K47" i="88"/>
  <c r="B48" i="88"/>
  <c r="K48" i="88"/>
  <c r="K49" i="88"/>
  <c r="K50" i="88"/>
  <c r="K51" i="88"/>
  <c r="K52" i="88"/>
  <c r="K53" i="88"/>
  <c r="K54" i="88"/>
  <c r="J23" i="104"/>
  <c r="D23" i="104"/>
  <c r="K23" i="104"/>
  <c r="J24" i="104"/>
  <c r="K24" i="104"/>
  <c r="L24" i="104"/>
  <c r="J25" i="104"/>
  <c r="D25" i="104"/>
  <c r="D26" i="104" s="1"/>
  <c r="K25" i="104"/>
  <c r="L25" i="104" s="1"/>
  <c r="J26" i="104"/>
  <c r="J27" i="104"/>
  <c r="J28" i="104"/>
  <c r="J29" i="104"/>
  <c r="L29" i="104" s="1"/>
  <c r="K29" i="104"/>
  <c r="J30" i="104"/>
  <c r="L30" i="104" s="1"/>
  <c r="K30" i="104"/>
  <c r="J31" i="104"/>
  <c r="K31" i="104"/>
  <c r="L31" i="104"/>
  <c r="J32" i="104"/>
  <c r="K32" i="104"/>
  <c r="L32" i="104"/>
  <c r="J33" i="104"/>
  <c r="L33" i="104" s="1"/>
  <c r="K33" i="104"/>
  <c r="J34" i="104"/>
  <c r="K34" i="104"/>
  <c r="J35" i="104"/>
  <c r="K35" i="104"/>
  <c r="L35" i="104" s="1"/>
  <c r="J36" i="104"/>
  <c r="K36" i="104"/>
  <c r="L36" i="104"/>
  <c r="J37" i="104"/>
  <c r="L37" i="104" s="1"/>
  <c r="K37" i="104"/>
  <c r="J38" i="104"/>
  <c r="L38" i="104" s="1"/>
  <c r="K38" i="104"/>
  <c r="J39" i="104"/>
  <c r="K39" i="104"/>
  <c r="L39" i="104"/>
  <c r="J40" i="104"/>
  <c r="K40" i="104"/>
  <c r="L40" i="104"/>
  <c r="J41" i="104"/>
  <c r="L41" i="104" s="1"/>
  <c r="K41" i="104"/>
  <c r="J42" i="104"/>
  <c r="K42" i="104"/>
  <c r="L42" i="104"/>
  <c r="J43" i="104"/>
  <c r="K43" i="104"/>
  <c r="L43" i="104"/>
  <c r="J44" i="104"/>
  <c r="L44" i="104" s="1"/>
  <c r="K44" i="104"/>
  <c r="J45" i="104"/>
  <c r="L45" i="104" s="1"/>
  <c r="K45" i="104"/>
  <c r="J46" i="104"/>
  <c r="K46" i="104"/>
  <c r="L46" i="104"/>
  <c r="J47" i="104"/>
  <c r="K47" i="104"/>
  <c r="L47" i="104"/>
  <c r="B48" i="104"/>
  <c r="K48" i="104"/>
  <c r="K49" i="104"/>
  <c r="K50" i="104"/>
  <c r="K51" i="104"/>
  <c r="K52" i="104"/>
  <c r="K53" i="104"/>
  <c r="K54" i="104"/>
  <c r="J23" i="89"/>
  <c r="L23" i="89" s="1"/>
  <c r="M23" i="89" s="1"/>
  <c r="K23" i="89"/>
  <c r="J24" i="89"/>
  <c r="K24" i="89"/>
  <c r="J25" i="89"/>
  <c r="L25" i="89" s="1"/>
  <c r="K25" i="89"/>
  <c r="J26" i="89"/>
  <c r="K26" i="89"/>
  <c r="J27" i="89"/>
  <c r="L27" i="89" s="1"/>
  <c r="K27" i="89"/>
  <c r="J28" i="89"/>
  <c r="K28" i="89"/>
  <c r="J29" i="89"/>
  <c r="L29" i="89" s="1"/>
  <c r="K29" i="89"/>
  <c r="J30" i="89"/>
  <c r="K30" i="89"/>
  <c r="J31" i="89"/>
  <c r="L31" i="89" s="1"/>
  <c r="K31" i="89"/>
  <c r="J32" i="89"/>
  <c r="K32" i="89"/>
  <c r="B33" i="89"/>
  <c r="K33" i="89"/>
  <c r="K34" i="89"/>
  <c r="K35" i="89"/>
  <c r="K36" i="89"/>
  <c r="K37" i="89"/>
  <c r="K38" i="89"/>
  <c r="K39" i="89"/>
  <c r="K40" i="89"/>
  <c r="K41" i="89"/>
  <c r="K42" i="89"/>
  <c r="K43" i="89"/>
  <c r="K44" i="89"/>
  <c r="K45" i="89"/>
  <c r="K46" i="89"/>
  <c r="K47" i="89"/>
  <c r="K48" i="89"/>
  <c r="K49" i="89"/>
  <c r="K50" i="89"/>
  <c r="K51" i="89"/>
  <c r="K52" i="89"/>
  <c r="K53" i="89"/>
  <c r="K54" i="89"/>
  <c r="N24" i="36"/>
  <c r="P24" i="36" s="1"/>
  <c r="O24" i="36"/>
  <c r="Q7" i="36"/>
  <c r="O8" i="36"/>
  <c r="P8" i="36" s="1"/>
  <c r="N9" i="36"/>
  <c r="O9" i="36"/>
  <c r="N10" i="36"/>
  <c r="O10" i="36"/>
  <c r="N11" i="36"/>
  <c r="O11" i="36"/>
  <c r="N12" i="36"/>
  <c r="O12" i="36"/>
  <c r="N13" i="36"/>
  <c r="O13" i="36"/>
  <c r="N14" i="36"/>
  <c r="O14" i="36"/>
  <c r="N15" i="36"/>
  <c r="O15" i="36"/>
  <c r="N16" i="36"/>
  <c r="O16" i="36"/>
  <c r="N17" i="36"/>
  <c r="O17" i="36"/>
  <c r="N18" i="36"/>
  <c r="O18" i="36"/>
  <c r="N19" i="36"/>
  <c r="O19" i="36"/>
  <c r="N20" i="36"/>
  <c r="O20" i="36"/>
  <c r="N21" i="36"/>
  <c r="O21" i="36"/>
  <c r="N22" i="36"/>
  <c r="O22" i="36"/>
  <c r="N23" i="36"/>
  <c r="O23" i="36"/>
  <c r="N25" i="36"/>
  <c r="O25" i="36"/>
  <c r="N26" i="36"/>
  <c r="P26" i="36" s="1"/>
  <c r="O26" i="36"/>
  <c r="N27" i="36"/>
  <c r="O27" i="36"/>
  <c r="N28" i="36"/>
  <c r="E67" i="36"/>
  <c r="E28" i="36" s="1"/>
  <c r="O28" i="36" s="1"/>
  <c r="N29" i="36"/>
  <c r="O29" i="36"/>
  <c r="N30" i="36"/>
  <c r="E30" i="36"/>
  <c r="O30" i="36" s="1"/>
  <c r="N31" i="36"/>
  <c r="E31" i="36"/>
  <c r="H31" i="36" s="1"/>
  <c r="N32" i="36"/>
  <c r="N33" i="36"/>
  <c r="N34" i="36"/>
  <c r="N35" i="36"/>
  <c r="N36" i="36"/>
  <c r="N37" i="36"/>
  <c r="N38" i="36"/>
  <c r="N39" i="36"/>
  <c r="Q7" i="1"/>
  <c r="Q8" i="1" s="1"/>
  <c r="Q9" i="1" s="1"/>
  <c r="O8" i="1"/>
  <c r="P8" i="1"/>
  <c r="N9" i="1"/>
  <c r="P9" i="1" s="1"/>
  <c r="O9" i="1"/>
  <c r="N10" i="1"/>
  <c r="P10" i="1" s="1"/>
  <c r="O10" i="1"/>
  <c r="N11" i="1"/>
  <c r="P11" i="1" s="1"/>
  <c r="O11" i="1"/>
  <c r="N12" i="1"/>
  <c r="P12" i="1" s="1"/>
  <c r="O12" i="1"/>
  <c r="N13" i="1"/>
  <c r="P13" i="1" s="1"/>
  <c r="O13" i="1"/>
  <c r="N14" i="1"/>
  <c r="P14" i="1" s="1"/>
  <c r="O14" i="1"/>
  <c r="N15" i="1"/>
  <c r="P15" i="1" s="1"/>
  <c r="O15" i="1"/>
  <c r="N16" i="1"/>
  <c r="P16" i="1" s="1"/>
  <c r="O16" i="1"/>
  <c r="N17" i="1"/>
  <c r="P17" i="1" s="1"/>
  <c r="O17" i="1"/>
  <c r="N18" i="1"/>
  <c r="P18" i="1" s="1"/>
  <c r="O18" i="1"/>
  <c r="N19" i="1"/>
  <c r="P19" i="1" s="1"/>
  <c r="O19" i="1"/>
  <c r="N20" i="1"/>
  <c r="P20" i="1" s="1"/>
  <c r="O20" i="1"/>
  <c r="N21" i="1"/>
  <c r="P21" i="1" s="1"/>
  <c r="O21" i="1"/>
  <c r="N22" i="1"/>
  <c r="P22" i="1" s="1"/>
  <c r="O22" i="1"/>
  <c r="N23" i="1"/>
  <c r="P23" i="1" s="1"/>
  <c r="O23" i="1"/>
  <c r="N24" i="1"/>
  <c r="P24" i="1" s="1"/>
  <c r="O24" i="1"/>
  <c r="N25" i="1"/>
  <c r="P25" i="1" s="1"/>
  <c r="O25" i="1"/>
  <c r="N26" i="1"/>
  <c r="P26" i="1" s="1"/>
  <c r="O26" i="1"/>
  <c r="N27" i="1"/>
  <c r="E27" i="1"/>
  <c r="O27" i="1" s="1"/>
  <c r="N28" i="1"/>
  <c r="O28" i="1"/>
  <c r="N29" i="1"/>
  <c r="E29" i="1"/>
  <c r="O29" i="1"/>
  <c r="P29" i="1" s="1"/>
  <c r="N30" i="1"/>
  <c r="E30" i="1"/>
  <c r="N31" i="1"/>
  <c r="N32" i="1"/>
  <c r="N33" i="1"/>
  <c r="N34" i="1"/>
  <c r="N35" i="1"/>
  <c r="N36" i="1"/>
  <c r="N37" i="1"/>
  <c r="N38" i="1"/>
  <c r="N39" i="1"/>
  <c r="N40" i="1"/>
  <c r="N41" i="1"/>
  <c r="N42" i="1"/>
  <c r="N43" i="1"/>
  <c r="N44" i="1"/>
  <c r="N45" i="1"/>
  <c r="N46" i="1"/>
  <c r="N47" i="1"/>
  <c r="N48" i="1"/>
  <c r="N49" i="1"/>
  <c r="Q7" i="4"/>
  <c r="N8" i="4"/>
  <c r="P8" i="4" s="1"/>
  <c r="Q8" i="4" s="1"/>
  <c r="Q9" i="4" s="1"/>
  <c r="O8" i="4"/>
  <c r="N9" i="4"/>
  <c r="P9" i="4" s="1"/>
  <c r="O9" i="4"/>
  <c r="N10" i="4"/>
  <c r="P10" i="4" s="1"/>
  <c r="O10" i="4"/>
  <c r="N11" i="4"/>
  <c r="P11" i="4" s="1"/>
  <c r="O11" i="4"/>
  <c r="N12" i="4"/>
  <c r="P12" i="4" s="1"/>
  <c r="O12" i="4"/>
  <c r="N13" i="4"/>
  <c r="P13" i="4" s="1"/>
  <c r="O13" i="4"/>
  <c r="N14" i="4"/>
  <c r="P14" i="4" s="1"/>
  <c r="O14" i="4"/>
  <c r="N15" i="4"/>
  <c r="P15" i="4" s="1"/>
  <c r="O15" i="4"/>
  <c r="N16" i="4"/>
  <c r="P16" i="4" s="1"/>
  <c r="O16" i="4"/>
  <c r="N17" i="4"/>
  <c r="P17" i="4" s="1"/>
  <c r="O17" i="4"/>
  <c r="N18" i="4"/>
  <c r="P18" i="4" s="1"/>
  <c r="O18" i="4"/>
  <c r="N19" i="4"/>
  <c r="P19" i="4" s="1"/>
  <c r="O19" i="4"/>
  <c r="N20" i="4"/>
  <c r="P20" i="4" s="1"/>
  <c r="O20" i="4"/>
  <c r="N21" i="4"/>
  <c r="P21" i="4" s="1"/>
  <c r="O21" i="4"/>
  <c r="N22" i="4"/>
  <c r="P22" i="4" s="1"/>
  <c r="O22" i="4"/>
  <c r="N23" i="4"/>
  <c r="P23" i="4" s="1"/>
  <c r="O23" i="4"/>
  <c r="N24" i="4"/>
  <c r="P24" i="4" s="1"/>
  <c r="O24" i="4"/>
  <c r="N25" i="4"/>
  <c r="P25" i="4" s="1"/>
  <c r="O25" i="4"/>
  <c r="N26" i="4"/>
  <c r="P26" i="4" s="1"/>
  <c r="O26" i="4"/>
  <c r="N27" i="4"/>
  <c r="P27" i="4" s="1"/>
  <c r="E27" i="4"/>
  <c r="O27" i="4" s="1"/>
  <c r="N28" i="4"/>
  <c r="O28" i="4"/>
  <c r="N29" i="4"/>
  <c r="O29" i="4"/>
  <c r="N30" i="4"/>
  <c r="E30" i="4"/>
  <c r="O30" i="4" s="1"/>
  <c r="N31" i="4"/>
  <c r="N32" i="4"/>
  <c r="N33" i="4"/>
  <c r="N34" i="4"/>
  <c r="N9" i="23"/>
  <c r="O9" i="23"/>
  <c r="N10" i="23"/>
  <c r="O10" i="23"/>
  <c r="N11" i="23"/>
  <c r="O11" i="23"/>
  <c r="N12" i="23"/>
  <c r="O12" i="23"/>
  <c r="N13" i="23"/>
  <c r="O13" i="23"/>
  <c r="N14" i="23"/>
  <c r="O14" i="23"/>
  <c r="N15" i="23"/>
  <c r="O15" i="23"/>
  <c r="N16" i="23"/>
  <c r="O16" i="23"/>
  <c r="N17" i="23"/>
  <c r="O17" i="23"/>
  <c r="N18" i="23"/>
  <c r="O18" i="23"/>
  <c r="N19" i="23"/>
  <c r="O19" i="23"/>
  <c r="N20" i="23"/>
  <c r="O20" i="23"/>
  <c r="N21" i="23"/>
  <c r="O21" i="23"/>
  <c r="N22" i="23"/>
  <c r="O22" i="23"/>
  <c r="N23" i="23"/>
  <c r="O23" i="23"/>
  <c r="N24" i="23"/>
  <c r="O24" i="23"/>
  <c r="N25" i="23"/>
  <c r="O25" i="23"/>
  <c r="N26" i="23"/>
  <c r="O26" i="23"/>
  <c r="N27" i="23"/>
  <c r="E27" i="23"/>
  <c r="O27" i="23" s="1"/>
  <c r="N28" i="23"/>
  <c r="O28" i="23"/>
  <c r="N29" i="23"/>
  <c r="O29" i="23"/>
  <c r="N30" i="23"/>
  <c r="E30" i="23"/>
  <c r="O30" i="23" s="1"/>
  <c r="N31" i="23"/>
  <c r="N32" i="23"/>
  <c r="N33" i="23"/>
  <c r="N34" i="23"/>
  <c r="N35" i="23"/>
  <c r="N36" i="23"/>
  <c r="N37" i="23"/>
  <c r="N38" i="23"/>
  <c r="N39" i="23"/>
  <c r="N40" i="23"/>
  <c r="N41" i="23"/>
  <c r="N42" i="23"/>
  <c r="N43" i="23"/>
  <c r="N44" i="23"/>
  <c r="N45" i="23"/>
  <c r="N46" i="23"/>
  <c r="N47" i="23"/>
  <c r="N48" i="23"/>
  <c r="N49" i="23"/>
  <c r="Q7" i="7"/>
  <c r="O8" i="7"/>
  <c r="P8" i="7" s="1"/>
  <c r="N9" i="7"/>
  <c r="O9" i="7"/>
  <c r="N10" i="7"/>
  <c r="O10" i="7"/>
  <c r="N11" i="7"/>
  <c r="O11" i="7"/>
  <c r="N12" i="7"/>
  <c r="O12" i="7"/>
  <c r="N13" i="7"/>
  <c r="O13" i="7"/>
  <c r="N14" i="7"/>
  <c r="O14" i="7"/>
  <c r="N15" i="7"/>
  <c r="P15" i="7" s="1"/>
  <c r="O15" i="7"/>
  <c r="N16" i="7"/>
  <c r="O16" i="7"/>
  <c r="N17" i="7"/>
  <c r="P17" i="7" s="1"/>
  <c r="O17" i="7"/>
  <c r="N18" i="7"/>
  <c r="O18" i="7"/>
  <c r="N19" i="7"/>
  <c r="P19" i="7" s="1"/>
  <c r="O19" i="7"/>
  <c r="N20" i="7"/>
  <c r="O20" i="7"/>
  <c r="N21" i="7"/>
  <c r="P21" i="7" s="1"/>
  <c r="O21" i="7"/>
  <c r="N22" i="7"/>
  <c r="O22" i="7"/>
  <c r="N23" i="7"/>
  <c r="P23" i="7" s="1"/>
  <c r="O23" i="7"/>
  <c r="N24" i="7"/>
  <c r="O24" i="7"/>
  <c r="N25" i="7"/>
  <c r="P25" i="7" s="1"/>
  <c r="O25" i="7"/>
  <c r="N26" i="7"/>
  <c r="E26" i="7"/>
  <c r="O26" i="7" s="1"/>
  <c r="N27" i="7"/>
  <c r="P27" i="7" s="1"/>
  <c r="O27" i="7"/>
  <c r="N28" i="7"/>
  <c r="E67" i="7"/>
  <c r="E28" i="7" s="1"/>
  <c r="N29" i="7"/>
  <c r="P29" i="7" s="1"/>
  <c r="O29" i="7"/>
  <c r="N30" i="7"/>
  <c r="E30" i="7"/>
  <c r="N31" i="7"/>
  <c r="N32" i="7"/>
  <c r="N33" i="7"/>
  <c r="N34" i="7"/>
  <c r="N35" i="7"/>
  <c r="N36" i="7"/>
  <c r="N37" i="7"/>
  <c r="Q7" i="35"/>
  <c r="O8" i="35"/>
  <c r="P8" i="35"/>
  <c r="Q8" i="35" s="1"/>
  <c r="Q9" i="35" s="1"/>
  <c r="Q10" i="35" s="1"/>
  <c r="Q11" i="35" s="1"/>
  <c r="N9" i="35"/>
  <c r="O9" i="35"/>
  <c r="P9" i="35"/>
  <c r="N10" i="35"/>
  <c r="O10" i="35"/>
  <c r="P10" i="35"/>
  <c r="N11" i="35"/>
  <c r="O11" i="35"/>
  <c r="P11" i="35"/>
  <c r="N12" i="35"/>
  <c r="O12" i="35"/>
  <c r="P12" i="35"/>
  <c r="N13" i="35"/>
  <c r="O13" i="35"/>
  <c r="P13" i="35"/>
  <c r="N14" i="35"/>
  <c r="O14" i="35"/>
  <c r="P14" i="35"/>
  <c r="N15" i="35"/>
  <c r="O15" i="35"/>
  <c r="P15" i="35"/>
  <c r="N16" i="35"/>
  <c r="O16" i="35"/>
  <c r="P16" i="35"/>
  <c r="N17" i="35"/>
  <c r="O17" i="35"/>
  <c r="P17" i="35"/>
  <c r="N18" i="35"/>
  <c r="O18" i="35"/>
  <c r="P18" i="35"/>
  <c r="N19" i="35"/>
  <c r="O19" i="35"/>
  <c r="P19" i="35"/>
  <c r="N20" i="35"/>
  <c r="O20" i="35"/>
  <c r="P20" i="35"/>
  <c r="N21" i="35"/>
  <c r="O21" i="35"/>
  <c r="P21" i="35"/>
  <c r="N22" i="35"/>
  <c r="O22" i="35"/>
  <c r="P22" i="35"/>
  <c r="N23" i="35"/>
  <c r="O23" i="35"/>
  <c r="P23" i="35"/>
  <c r="N24" i="35"/>
  <c r="O24" i="35"/>
  <c r="P24" i="35"/>
  <c r="N25" i="35"/>
  <c r="O25" i="35"/>
  <c r="P25" i="35"/>
  <c r="N26" i="35"/>
  <c r="O26" i="35"/>
  <c r="P26" i="35"/>
  <c r="N27" i="35"/>
  <c r="O27" i="35"/>
  <c r="P27" i="35"/>
  <c r="N28" i="35"/>
  <c r="E65" i="35"/>
  <c r="E28" i="35"/>
  <c r="O28" i="35" s="1"/>
  <c r="P28" i="35" s="1"/>
  <c r="N29" i="35"/>
  <c r="O29" i="35"/>
  <c r="N30" i="35"/>
  <c r="E30" i="35"/>
  <c r="H30" i="35" s="1"/>
  <c r="N31" i="35"/>
  <c r="N32" i="35"/>
  <c r="N33" i="35"/>
  <c r="N34" i="35"/>
  <c r="N35" i="35"/>
  <c r="N36" i="35"/>
  <c r="N37" i="35"/>
  <c r="N38" i="35"/>
  <c r="N39" i="35"/>
  <c r="N40" i="35"/>
  <c r="N41" i="35"/>
  <c r="N42" i="35"/>
  <c r="N43" i="35"/>
  <c r="N44" i="35"/>
  <c r="N45" i="35"/>
  <c r="N46" i="35"/>
  <c r="N47" i="35"/>
  <c r="N48" i="35"/>
  <c r="N49" i="35"/>
  <c r="N50" i="35"/>
  <c r="N21" i="58"/>
  <c r="O21" i="58"/>
  <c r="P21" i="58"/>
  <c r="Q21" i="58" s="1"/>
  <c r="N22" i="58"/>
  <c r="P22" i="58" s="1"/>
  <c r="O22" i="58"/>
  <c r="N23" i="58"/>
  <c r="P23" i="58" s="1"/>
  <c r="O23" i="58"/>
  <c r="N24" i="58"/>
  <c r="O24" i="58"/>
  <c r="P24" i="58" s="1"/>
  <c r="N25" i="58"/>
  <c r="O25" i="58"/>
  <c r="P25" i="58"/>
  <c r="N26" i="58"/>
  <c r="P26" i="58" s="1"/>
  <c r="O26" i="58"/>
  <c r="N27" i="58"/>
  <c r="P27" i="58" s="1"/>
  <c r="O27" i="58"/>
  <c r="N28" i="58"/>
  <c r="E60" i="58"/>
  <c r="E28" i="58" s="1"/>
  <c r="O28" i="58" s="1"/>
  <c r="P28" i="58" s="1"/>
  <c r="N29" i="58"/>
  <c r="O29" i="58"/>
  <c r="N30" i="58"/>
  <c r="E30" i="58"/>
  <c r="O30" i="58" s="1"/>
  <c r="N31" i="58"/>
  <c r="N32" i="58"/>
  <c r="N33" i="58"/>
  <c r="N34" i="58"/>
  <c r="N35" i="58"/>
  <c r="Q7" i="37"/>
  <c r="Q8" i="37" s="1"/>
  <c r="O8" i="37"/>
  <c r="P8" i="37" s="1"/>
  <c r="N9" i="37"/>
  <c r="O9" i="37"/>
  <c r="N10" i="37"/>
  <c r="P10" i="37" s="1"/>
  <c r="O10" i="37"/>
  <c r="N11" i="37"/>
  <c r="O11" i="37"/>
  <c r="N12" i="37"/>
  <c r="P12" i="37" s="1"/>
  <c r="O12" i="37"/>
  <c r="N13" i="37"/>
  <c r="O13" i="37"/>
  <c r="N14" i="37"/>
  <c r="P14" i="37" s="1"/>
  <c r="O14" i="37"/>
  <c r="N15" i="37"/>
  <c r="O15" i="37"/>
  <c r="N16" i="37"/>
  <c r="P16" i="37" s="1"/>
  <c r="O16" i="37"/>
  <c r="N17" i="37"/>
  <c r="O17" i="37"/>
  <c r="N18" i="37"/>
  <c r="P18" i="37" s="1"/>
  <c r="O18" i="37"/>
  <c r="N19" i="37"/>
  <c r="O19" i="37"/>
  <c r="N20" i="37"/>
  <c r="P20" i="37" s="1"/>
  <c r="O20" i="37"/>
  <c r="N21" i="37"/>
  <c r="O21" i="37"/>
  <c r="N22" i="37"/>
  <c r="P22" i="37" s="1"/>
  <c r="O22" i="37"/>
  <c r="N23" i="37"/>
  <c r="O23" i="37"/>
  <c r="N24" i="37"/>
  <c r="P24" i="37" s="1"/>
  <c r="O24" i="37"/>
  <c r="N25" i="37"/>
  <c r="O25" i="37"/>
  <c r="N26" i="37"/>
  <c r="P26" i="37" s="1"/>
  <c r="O26" i="37"/>
  <c r="N27" i="37"/>
  <c r="J78" i="37"/>
  <c r="K78" i="37" s="1"/>
  <c r="E27" i="37" s="1"/>
  <c r="O27" i="37" s="1"/>
  <c r="P27" i="37" s="1"/>
  <c r="N28" i="37"/>
  <c r="O28" i="37"/>
  <c r="P28" i="37" s="1"/>
  <c r="N29" i="37"/>
  <c r="O29" i="37"/>
  <c r="P29" i="37"/>
  <c r="N30" i="37"/>
  <c r="O30" i="37"/>
  <c r="N31" i="37"/>
  <c r="O31" i="37"/>
  <c r="P31" i="37" s="1"/>
  <c r="N32" i="37"/>
  <c r="O32" i="37"/>
  <c r="N33" i="37"/>
  <c r="O33" i="37"/>
  <c r="P33" i="37" s="1"/>
  <c r="N34" i="37"/>
  <c r="O34" i="37"/>
  <c r="N35" i="37"/>
  <c r="O35" i="37"/>
  <c r="N36" i="37"/>
  <c r="O36" i="37"/>
  <c r="P36" i="37"/>
  <c r="N37" i="37"/>
  <c r="P37" i="37" s="1"/>
  <c r="O37" i="37"/>
  <c r="N38" i="37"/>
  <c r="O38" i="37"/>
  <c r="N39" i="37"/>
  <c r="O39" i="37"/>
  <c r="N40" i="37"/>
  <c r="O40" i="37"/>
  <c r="N41" i="37"/>
  <c r="O41" i="37"/>
  <c r="P41" i="37"/>
  <c r="N42" i="37"/>
  <c r="O42" i="37"/>
  <c r="N43" i="37"/>
  <c r="O43" i="37"/>
  <c r="P43" i="37" s="1"/>
  <c r="N44" i="37"/>
  <c r="P44" i="37" s="1"/>
  <c r="O44" i="37"/>
  <c r="N45" i="37"/>
  <c r="P45" i="37" s="1"/>
  <c r="O45" i="37"/>
  <c r="N46" i="37"/>
  <c r="O46" i="37"/>
  <c r="P46" i="37" s="1"/>
  <c r="N47" i="37"/>
  <c r="O47" i="37"/>
  <c r="N48" i="37"/>
  <c r="O48" i="37"/>
  <c r="P48" i="37" s="1"/>
  <c r="N49" i="37"/>
  <c r="P49" i="37" s="1"/>
  <c r="O49" i="37"/>
  <c r="O50" i="37"/>
  <c r="O51" i="37"/>
  <c r="O52" i="37"/>
  <c r="O53" i="37"/>
  <c r="O54" i="37"/>
  <c r="N23" i="96"/>
  <c r="P23" i="96" s="1"/>
  <c r="Q23" i="96" s="1"/>
  <c r="E23" i="96"/>
  <c r="O23" i="96" s="1"/>
  <c r="N24" i="96"/>
  <c r="E24" i="96"/>
  <c r="N25" i="96"/>
  <c r="N26" i="96"/>
  <c r="N27" i="96"/>
  <c r="N28" i="96"/>
  <c r="E62" i="96"/>
  <c r="E28" i="96" s="1"/>
  <c r="O28" i="96" s="1"/>
  <c r="P28" i="96" s="1"/>
  <c r="N29" i="96"/>
  <c r="O29" i="96"/>
  <c r="N30" i="96"/>
  <c r="E30" i="96"/>
  <c r="H30" i="96" s="1"/>
  <c r="N31" i="96"/>
  <c r="N32" i="96"/>
  <c r="N33" i="96"/>
  <c r="N34" i="96"/>
  <c r="N35" i="96"/>
  <c r="N36" i="96"/>
  <c r="N37" i="96"/>
  <c r="N38" i="96"/>
  <c r="N39" i="96"/>
  <c r="N23" i="98"/>
  <c r="E23" i="98"/>
  <c r="N24" i="98"/>
  <c r="N25" i="98"/>
  <c r="N26" i="98"/>
  <c r="N27" i="98"/>
  <c r="N28" i="98"/>
  <c r="E61" i="98"/>
  <c r="E28" i="98" s="1"/>
  <c r="O28" i="98" s="1"/>
  <c r="P28" i="98" s="1"/>
  <c r="N29" i="98"/>
  <c r="O29" i="98"/>
  <c r="N30" i="98"/>
  <c r="E30" i="98"/>
  <c r="H30" i="98" s="1"/>
  <c r="O30" i="98"/>
  <c r="N31" i="98"/>
  <c r="N32" i="98"/>
  <c r="N33" i="98"/>
  <c r="N34" i="98"/>
  <c r="N35" i="98"/>
  <c r="N36" i="98"/>
  <c r="N37" i="98"/>
  <c r="N38" i="98"/>
  <c r="N39" i="98"/>
  <c r="N40" i="98"/>
  <c r="N41" i="98"/>
  <c r="N42" i="98"/>
  <c r="N43" i="98"/>
  <c r="N44" i="98"/>
  <c r="N45" i="98"/>
  <c r="N46" i="98"/>
  <c r="N47" i="98"/>
  <c r="N48" i="98"/>
  <c r="N49" i="98"/>
  <c r="N50" i="98"/>
  <c r="N23" i="97"/>
  <c r="E23" i="97"/>
  <c r="N24" i="97"/>
  <c r="N25" i="97"/>
  <c r="N26" i="97"/>
  <c r="N27" i="97"/>
  <c r="N28" i="97"/>
  <c r="E62" i="97"/>
  <c r="E28" i="97" s="1"/>
  <c r="O28" i="97" s="1"/>
  <c r="P28" i="97" s="1"/>
  <c r="N29" i="97"/>
  <c r="P29" i="97" s="1"/>
  <c r="O29" i="97"/>
  <c r="N30" i="97"/>
  <c r="E30" i="97"/>
  <c r="O30" i="97" s="1"/>
  <c r="N31" i="97"/>
  <c r="N32" i="97"/>
  <c r="N33" i="97"/>
  <c r="N34" i="97"/>
  <c r="N35" i="97"/>
  <c r="N36" i="97"/>
  <c r="N37" i="97"/>
  <c r="N38" i="97"/>
  <c r="N39" i="97"/>
  <c r="N40" i="97"/>
  <c r="N41" i="97"/>
  <c r="N42" i="97"/>
  <c r="N43" i="97"/>
  <c r="N44" i="97"/>
  <c r="N45" i="97"/>
  <c r="N46" i="97"/>
  <c r="N47" i="97"/>
  <c r="N48" i="97"/>
  <c r="N49" i="97"/>
  <c r="N23" i="90"/>
  <c r="P23" i="90" s="1"/>
  <c r="Q23" i="90" s="1"/>
  <c r="O23" i="90"/>
  <c r="N24" i="90"/>
  <c r="O24" i="90"/>
  <c r="N25" i="90"/>
  <c r="P25" i="90" s="1"/>
  <c r="O25" i="90"/>
  <c r="N26" i="90"/>
  <c r="E26" i="90"/>
  <c r="N27" i="90"/>
  <c r="N28" i="90"/>
  <c r="E62" i="90"/>
  <c r="E28" i="90" s="1"/>
  <c r="N29" i="90"/>
  <c r="O29" i="90"/>
  <c r="N30" i="90"/>
  <c r="E30" i="90"/>
  <c r="N31" i="90"/>
  <c r="N32" i="90"/>
  <c r="N33" i="90"/>
  <c r="N34" i="90"/>
  <c r="N35" i="90"/>
  <c r="N36" i="90"/>
  <c r="N37" i="90"/>
  <c r="N38" i="90"/>
  <c r="N39" i="90"/>
  <c r="N40" i="90"/>
  <c r="N41" i="90"/>
  <c r="N42" i="90"/>
  <c r="N43" i="90"/>
  <c r="N44" i="90"/>
  <c r="N45" i="90"/>
  <c r="N46" i="90"/>
  <c r="N47" i="90"/>
  <c r="N48" i="90"/>
  <c r="N49" i="90"/>
  <c r="N50" i="90"/>
  <c r="N23" i="80"/>
  <c r="O23" i="80"/>
  <c r="N24" i="80"/>
  <c r="O24" i="80"/>
  <c r="P24" i="80"/>
  <c r="N25" i="80"/>
  <c r="P25" i="80" s="1"/>
  <c r="O25" i="80"/>
  <c r="N26" i="80"/>
  <c r="E26" i="80"/>
  <c r="O26" i="80" s="1"/>
  <c r="N27" i="80"/>
  <c r="N28" i="80"/>
  <c r="N29" i="80"/>
  <c r="O29" i="80"/>
  <c r="N30" i="80"/>
  <c r="E30" i="80"/>
  <c r="N31" i="80"/>
  <c r="N32" i="80"/>
  <c r="N33" i="80"/>
  <c r="N34" i="80"/>
  <c r="N23" i="81"/>
  <c r="O23" i="81"/>
  <c r="N24" i="81"/>
  <c r="O24" i="81"/>
  <c r="N25" i="81"/>
  <c r="O25" i="81"/>
  <c r="N26" i="81"/>
  <c r="E26" i="81"/>
  <c r="O26" i="81" s="1"/>
  <c r="P26" i="81" s="1"/>
  <c r="N27" i="81"/>
  <c r="N28" i="81"/>
  <c r="N29" i="81"/>
  <c r="O29" i="81"/>
  <c r="N30" i="81"/>
  <c r="O30" i="81"/>
  <c r="N31" i="81"/>
  <c r="O31" i="81"/>
  <c r="N32" i="81"/>
  <c r="O32" i="81"/>
  <c r="N33" i="81"/>
  <c r="O33" i="81"/>
  <c r="N34" i="81"/>
  <c r="O34" i="81"/>
  <c r="N35" i="81"/>
  <c r="O35" i="81"/>
  <c r="N36" i="81"/>
  <c r="O36" i="81"/>
  <c r="N37" i="81"/>
  <c r="O37" i="81"/>
  <c r="N38" i="81"/>
  <c r="O38" i="81"/>
  <c r="N39" i="81"/>
  <c r="O39" i="81"/>
  <c r="N40" i="81"/>
  <c r="O40" i="81"/>
  <c r="N41" i="81"/>
  <c r="O41" i="81"/>
  <c r="N42" i="81"/>
  <c r="O42" i="81"/>
  <c r="N43" i="81"/>
  <c r="O43" i="81"/>
  <c r="N44" i="81"/>
  <c r="O44" i="81"/>
  <c r="N45" i="81"/>
  <c r="O45" i="81"/>
  <c r="N46" i="81"/>
  <c r="O46" i="81"/>
  <c r="N47" i="81"/>
  <c r="O47" i="81"/>
  <c r="N48" i="81"/>
  <c r="O48" i="81"/>
  <c r="N49" i="81"/>
  <c r="O49" i="81"/>
  <c r="O50" i="81"/>
  <c r="O51" i="81"/>
  <c r="O52" i="81"/>
  <c r="O53" i="81"/>
  <c r="O54" i="81"/>
  <c r="N23" i="82"/>
  <c r="O23" i="82"/>
  <c r="P23" i="82"/>
  <c r="Q23" i="82" s="1"/>
  <c r="Q24" i="82" s="1"/>
  <c r="N24" i="82"/>
  <c r="O24" i="82"/>
  <c r="P24" i="82"/>
  <c r="N25" i="82"/>
  <c r="P25" i="82" s="1"/>
  <c r="O25" i="82"/>
  <c r="N26" i="82"/>
  <c r="E26" i="82"/>
  <c r="N27" i="82"/>
  <c r="N28" i="82"/>
  <c r="O28" i="82"/>
  <c r="N29" i="82"/>
  <c r="O29" i="82"/>
  <c r="N30" i="82"/>
  <c r="P30" i="82" s="1"/>
  <c r="O30" i="82"/>
  <c r="N31" i="82"/>
  <c r="O31" i="82"/>
  <c r="N32" i="82"/>
  <c r="P32" i="82" s="1"/>
  <c r="O32" i="82"/>
  <c r="N33" i="82"/>
  <c r="O33" i="82"/>
  <c r="N34" i="82"/>
  <c r="P34" i="82" s="1"/>
  <c r="O34" i="82"/>
  <c r="N35" i="82"/>
  <c r="O35" i="82"/>
  <c r="O36" i="82"/>
  <c r="O37" i="82"/>
  <c r="O38" i="82"/>
  <c r="O39" i="82"/>
  <c r="O40" i="82"/>
  <c r="O41" i="82"/>
  <c r="O42" i="82"/>
  <c r="O43" i="82"/>
  <c r="O44" i="82"/>
  <c r="O45" i="82"/>
  <c r="O46" i="82"/>
  <c r="O47" i="82"/>
  <c r="O48" i="82"/>
  <c r="O49" i="82"/>
  <c r="O50" i="82"/>
  <c r="O51" i="82"/>
  <c r="O52" i="82"/>
  <c r="O53" i="82"/>
  <c r="O54" i="82"/>
  <c r="N23" i="83"/>
  <c r="P23" i="83" s="1"/>
  <c r="Q23" i="83" s="1"/>
  <c r="Q24" i="83" s="1"/>
  <c r="Q25" i="83" s="1"/>
  <c r="O23" i="83"/>
  <c r="N24" i="83"/>
  <c r="O24" i="83"/>
  <c r="P24" i="83" s="1"/>
  <c r="N25" i="83"/>
  <c r="O25" i="83"/>
  <c r="P25" i="83"/>
  <c r="N26" i="83"/>
  <c r="E26" i="83"/>
  <c r="O26" i="83"/>
  <c r="N27" i="83"/>
  <c r="E27" i="83"/>
  <c r="O27" i="83" s="1"/>
  <c r="P27" i="83" s="1"/>
  <c r="N28" i="83"/>
  <c r="O28" i="83"/>
  <c r="N29" i="83"/>
  <c r="O29" i="83"/>
  <c r="N30" i="83"/>
  <c r="O30" i="83"/>
  <c r="N31" i="83"/>
  <c r="O31" i="83"/>
  <c r="N32" i="83"/>
  <c r="O32" i="83"/>
  <c r="N33" i="83"/>
  <c r="O33" i="83"/>
  <c r="N34" i="83"/>
  <c r="O34" i="83"/>
  <c r="O35" i="83"/>
  <c r="O36" i="83"/>
  <c r="O37" i="83"/>
  <c r="O38" i="83"/>
  <c r="O39" i="83"/>
  <c r="O40" i="83"/>
  <c r="O41" i="83"/>
  <c r="O42" i="83"/>
  <c r="O43" i="83"/>
  <c r="O44" i="83"/>
  <c r="O45" i="83"/>
  <c r="O46" i="83"/>
  <c r="O47" i="83"/>
  <c r="O48" i="83"/>
  <c r="O49" i="83"/>
  <c r="O50" i="83"/>
  <c r="O51" i="83"/>
  <c r="O52" i="83"/>
  <c r="O53" i="83"/>
  <c r="O54" i="83"/>
  <c r="N24" i="41"/>
  <c r="O24" i="41"/>
  <c r="P24" i="41" s="1"/>
  <c r="E8" i="41"/>
  <c r="O8" i="41" s="1"/>
  <c r="P8" i="41" s="1"/>
  <c r="Q8" i="41" s="1"/>
  <c r="N9" i="41"/>
  <c r="E9" i="41"/>
  <c r="O9" i="41" s="1"/>
  <c r="N10" i="41"/>
  <c r="E10" i="41"/>
  <c r="O10" i="41" s="1"/>
  <c r="P10" i="41" s="1"/>
  <c r="N11" i="41"/>
  <c r="E11" i="41"/>
  <c r="O11" i="41" s="1"/>
  <c r="N12" i="41"/>
  <c r="P12" i="41" s="1"/>
  <c r="E12" i="41"/>
  <c r="O12" i="41" s="1"/>
  <c r="N13" i="41"/>
  <c r="O13" i="41"/>
  <c r="P13" i="41"/>
  <c r="N14" i="41"/>
  <c r="O14" i="41"/>
  <c r="P14" i="41"/>
  <c r="N15" i="41"/>
  <c r="P15" i="41" s="1"/>
  <c r="O15" i="41"/>
  <c r="N16" i="41"/>
  <c r="P16" i="41" s="1"/>
  <c r="O16" i="41"/>
  <c r="N17" i="41"/>
  <c r="O17" i="41"/>
  <c r="P17" i="41"/>
  <c r="N18" i="41"/>
  <c r="O18" i="41"/>
  <c r="P18" i="41"/>
  <c r="N19" i="41"/>
  <c r="P19" i="41" s="1"/>
  <c r="O19" i="41"/>
  <c r="N20" i="41"/>
  <c r="O20" i="41"/>
  <c r="N21" i="41"/>
  <c r="O21" i="41"/>
  <c r="P21" i="41"/>
  <c r="N22" i="41"/>
  <c r="O22" i="41"/>
  <c r="P22" i="41"/>
  <c r="N23" i="41"/>
  <c r="P23" i="41" s="1"/>
  <c r="O23" i="41"/>
  <c r="N25" i="41"/>
  <c r="O25" i="41"/>
  <c r="P25" i="41" s="1"/>
  <c r="N26" i="41"/>
  <c r="O26" i="41"/>
  <c r="P26" i="41" s="1"/>
  <c r="N27" i="41"/>
  <c r="E27" i="41"/>
  <c r="O27" i="41" s="1"/>
  <c r="P27" i="41" s="1"/>
  <c r="N28" i="41"/>
  <c r="E64" i="41"/>
  <c r="E28" i="41" s="1"/>
  <c r="O28" i="41" s="1"/>
  <c r="P28" i="41" s="1"/>
  <c r="N29" i="41"/>
  <c r="O29" i="41"/>
  <c r="N30" i="41"/>
  <c r="P30" i="41" s="1"/>
  <c r="O30" i="41"/>
  <c r="N31" i="41"/>
  <c r="P31" i="41" s="1"/>
  <c r="O31" i="41"/>
  <c r="N32" i="41"/>
  <c r="O32" i="41"/>
  <c r="P32" i="41"/>
  <c r="N33" i="41"/>
  <c r="O33" i="41"/>
  <c r="P33" i="41" s="1"/>
  <c r="N34" i="41"/>
  <c r="P34" i="41" s="1"/>
  <c r="O34" i="41"/>
  <c r="N35" i="41"/>
  <c r="O35" i="41"/>
  <c r="N36" i="41"/>
  <c r="O36" i="41"/>
  <c r="P36" i="41"/>
  <c r="N37" i="41"/>
  <c r="O37" i="41"/>
  <c r="P37" i="41" s="1"/>
  <c r="N38" i="41"/>
  <c r="P38" i="41" s="1"/>
  <c r="O38" i="41"/>
  <c r="N39" i="41"/>
  <c r="O39" i="41"/>
  <c r="N40" i="41"/>
  <c r="O40" i="41"/>
  <c r="P40" i="41"/>
  <c r="N41" i="41"/>
  <c r="O41" i="41"/>
  <c r="P41" i="41" s="1"/>
  <c r="N42" i="41"/>
  <c r="P42" i="41" s="1"/>
  <c r="O42" i="41"/>
  <c r="N43" i="41"/>
  <c r="O43" i="41"/>
  <c r="N44" i="41"/>
  <c r="O44" i="41"/>
  <c r="P44" i="41"/>
  <c r="N45" i="41"/>
  <c r="O45" i="41"/>
  <c r="P45" i="41" s="1"/>
  <c r="N46" i="41"/>
  <c r="P46" i="41" s="1"/>
  <c r="O46" i="41"/>
  <c r="N47" i="41"/>
  <c r="P47" i="41" s="1"/>
  <c r="O47" i="41"/>
  <c r="N48" i="41"/>
  <c r="O48" i="41"/>
  <c r="P48" i="41"/>
  <c r="N49" i="41"/>
  <c r="O49" i="41"/>
  <c r="P49" i="41" s="1"/>
  <c r="N50" i="41"/>
  <c r="P50" i="41" s="1"/>
  <c r="O50" i="41"/>
  <c r="O51" i="41"/>
  <c r="O52" i="41"/>
  <c r="O53" i="41"/>
  <c r="O54" i="41"/>
  <c r="N24" i="60"/>
  <c r="O24" i="60"/>
  <c r="E8" i="60"/>
  <c r="O8" i="60"/>
  <c r="P8" i="60" s="1"/>
  <c r="Q8" i="60" s="1"/>
  <c r="N9" i="60"/>
  <c r="E9" i="60"/>
  <c r="O9" i="60" s="1"/>
  <c r="P9" i="60" s="1"/>
  <c r="N10" i="60"/>
  <c r="P10" i="60" s="1"/>
  <c r="E10" i="60"/>
  <c r="O10" i="60" s="1"/>
  <c r="N11" i="60"/>
  <c r="P11" i="60" s="1"/>
  <c r="E11" i="60"/>
  <c r="O11" i="60" s="1"/>
  <c r="N12" i="60"/>
  <c r="P12" i="60" s="1"/>
  <c r="E12" i="60"/>
  <c r="O12" i="60"/>
  <c r="N13" i="60"/>
  <c r="E13" i="60"/>
  <c r="O13" i="60" s="1"/>
  <c r="N14" i="60"/>
  <c r="P14" i="60" s="1"/>
  <c r="E14" i="60"/>
  <c r="O14" i="60" s="1"/>
  <c r="N15" i="60"/>
  <c r="E15" i="60"/>
  <c r="O15" i="60" s="1"/>
  <c r="P15" i="60" s="1"/>
  <c r="N16" i="60"/>
  <c r="E16" i="60"/>
  <c r="O16" i="60"/>
  <c r="N17" i="60"/>
  <c r="E17" i="60"/>
  <c r="O17" i="60" s="1"/>
  <c r="P17" i="60" s="1"/>
  <c r="N18" i="60"/>
  <c r="E18" i="60"/>
  <c r="O18" i="60" s="1"/>
  <c r="N19" i="60"/>
  <c r="P19" i="60" s="1"/>
  <c r="E19" i="60"/>
  <c r="O19" i="60" s="1"/>
  <c r="N20" i="60"/>
  <c r="E20" i="60"/>
  <c r="O20" i="60"/>
  <c r="N21" i="60"/>
  <c r="O21" i="60"/>
  <c r="P21" i="60" s="1"/>
  <c r="N22" i="60"/>
  <c r="O22" i="60"/>
  <c r="N23" i="60"/>
  <c r="O23" i="60"/>
  <c r="P23" i="60"/>
  <c r="N25" i="60"/>
  <c r="O25" i="60"/>
  <c r="N26" i="60"/>
  <c r="O26" i="60"/>
  <c r="N27" i="60"/>
  <c r="O27" i="60"/>
  <c r="N28" i="60"/>
  <c r="E28" i="60"/>
  <c r="O28" i="60" s="1"/>
  <c r="N29" i="60"/>
  <c r="O29" i="60"/>
  <c r="N30" i="60"/>
  <c r="E30" i="60"/>
  <c r="O30" i="60" s="1"/>
  <c r="N31" i="60"/>
  <c r="N32" i="60"/>
  <c r="N33" i="60"/>
  <c r="N34" i="60"/>
  <c r="N35" i="60"/>
  <c r="N36" i="60"/>
  <c r="N24" i="65"/>
  <c r="O24" i="65"/>
  <c r="O8" i="65"/>
  <c r="P8" i="65"/>
  <c r="Q8" i="65" s="1"/>
  <c r="Q9" i="65" s="1"/>
  <c r="N9" i="65"/>
  <c r="O9" i="65"/>
  <c r="P9" i="65"/>
  <c r="N10" i="65"/>
  <c r="P10" i="65" s="1"/>
  <c r="O10" i="65"/>
  <c r="N11" i="65"/>
  <c r="O11" i="65"/>
  <c r="N12" i="65"/>
  <c r="O12" i="65"/>
  <c r="P12" i="65"/>
  <c r="N13" i="65"/>
  <c r="O13" i="65"/>
  <c r="P13" i="65"/>
  <c r="N14" i="65"/>
  <c r="P14" i="65" s="1"/>
  <c r="O14" i="65"/>
  <c r="N15" i="65"/>
  <c r="O15" i="65"/>
  <c r="N16" i="65"/>
  <c r="O16" i="65"/>
  <c r="P16" i="65"/>
  <c r="N17" i="65"/>
  <c r="O17" i="65"/>
  <c r="P17" i="65"/>
  <c r="N18" i="65"/>
  <c r="P18" i="65" s="1"/>
  <c r="O18" i="65"/>
  <c r="N19" i="65"/>
  <c r="O19" i="65"/>
  <c r="N20" i="65"/>
  <c r="O20" i="65"/>
  <c r="P20" i="65"/>
  <c r="N21" i="65"/>
  <c r="O21" i="65"/>
  <c r="P21" i="65"/>
  <c r="N22" i="65"/>
  <c r="P22" i="65" s="1"/>
  <c r="O22" i="65"/>
  <c r="N23" i="65"/>
  <c r="O23" i="65"/>
  <c r="N25" i="65"/>
  <c r="O25" i="65"/>
  <c r="P25" i="65"/>
  <c r="N26" i="65"/>
  <c r="O26" i="65"/>
  <c r="P26" i="65"/>
  <c r="N27" i="65"/>
  <c r="O27" i="65"/>
  <c r="N28" i="65"/>
  <c r="O28" i="65"/>
  <c r="P28" i="65" s="1"/>
  <c r="N29" i="65"/>
  <c r="O29" i="65"/>
  <c r="N30" i="65"/>
  <c r="O30" i="65"/>
  <c r="N31" i="65"/>
  <c r="O31" i="65"/>
  <c r="N32" i="65"/>
  <c r="O32" i="65"/>
  <c r="P32" i="65" s="1"/>
  <c r="N33" i="65"/>
  <c r="P33" i="65" s="1"/>
  <c r="O33" i="65"/>
  <c r="N34" i="65"/>
  <c r="O34" i="65"/>
  <c r="N35" i="65"/>
  <c r="O35" i="65"/>
  <c r="P35" i="65" s="1"/>
  <c r="N36" i="65"/>
  <c r="O36" i="65"/>
  <c r="N37" i="65"/>
  <c r="O37" i="65"/>
  <c r="P37" i="65" s="1"/>
  <c r="N38" i="65"/>
  <c r="P38" i="65" s="1"/>
  <c r="O38" i="65"/>
  <c r="N39" i="65"/>
  <c r="O39" i="65"/>
  <c r="P39" i="65" s="1"/>
  <c r="N40" i="65"/>
  <c r="O40" i="65"/>
  <c r="P40" i="65" s="1"/>
  <c r="N41" i="65"/>
  <c r="O41" i="65"/>
  <c r="N42" i="65"/>
  <c r="O42" i="65"/>
  <c r="P42" i="65"/>
  <c r="N43" i="65"/>
  <c r="O43" i="65"/>
  <c r="P43" i="65" s="1"/>
  <c r="N44" i="65"/>
  <c r="O44" i="65"/>
  <c r="P44" i="65" s="1"/>
  <c r="N45" i="65"/>
  <c r="O45" i="65"/>
  <c r="P45" i="65" s="1"/>
  <c r="N46" i="65"/>
  <c r="P46" i="65" s="1"/>
  <c r="O46" i="65"/>
  <c r="N47" i="65"/>
  <c r="O47" i="65"/>
  <c r="P47" i="65" s="1"/>
  <c r="N48" i="65"/>
  <c r="O48" i="65"/>
  <c r="N49" i="65"/>
  <c r="O49" i="65"/>
  <c r="P49" i="65"/>
  <c r="N50" i="65"/>
  <c r="O50" i="65"/>
  <c r="P50" i="65"/>
  <c r="O51" i="65"/>
  <c r="O52" i="65"/>
  <c r="O53" i="65"/>
  <c r="O54" i="65"/>
  <c r="Q7" i="38"/>
  <c r="Q8" i="38" s="1"/>
  <c r="Q9" i="38" s="1"/>
  <c r="O8" i="38"/>
  <c r="P8" i="38"/>
  <c r="N9" i="38"/>
  <c r="P9" i="38" s="1"/>
  <c r="O9" i="38"/>
  <c r="N10" i="38"/>
  <c r="O10" i="38"/>
  <c r="N11" i="38"/>
  <c r="O11" i="38"/>
  <c r="N12" i="38"/>
  <c r="O12" i="38"/>
  <c r="N13" i="38"/>
  <c r="O13" i="38"/>
  <c r="N14" i="38"/>
  <c r="O14" i="38"/>
  <c r="N15" i="38"/>
  <c r="O15" i="38"/>
  <c r="N16" i="38"/>
  <c r="O16" i="38"/>
  <c r="N17" i="38"/>
  <c r="O17" i="38"/>
  <c r="N18" i="38"/>
  <c r="O18" i="38"/>
  <c r="N19" i="38"/>
  <c r="O19" i="38"/>
  <c r="N20" i="38"/>
  <c r="O20" i="38"/>
  <c r="N21" i="38"/>
  <c r="O21" i="38"/>
  <c r="N22" i="38"/>
  <c r="O22" i="38"/>
  <c r="N23" i="38"/>
  <c r="O23" i="38"/>
  <c r="N24" i="38"/>
  <c r="O24" i="38"/>
  <c r="N25" i="38"/>
  <c r="O25" i="38"/>
  <c r="N26" i="38"/>
  <c r="O26" i="38"/>
  <c r="N27" i="38"/>
  <c r="E27" i="38"/>
  <c r="O27" i="38"/>
  <c r="N28" i="38"/>
  <c r="P28" i="38" s="1"/>
  <c r="O28" i="38"/>
  <c r="N29" i="38"/>
  <c r="P29" i="38" s="1"/>
  <c r="O29" i="38"/>
  <c r="N30" i="38"/>
  <c r="E30" i="38"/>
  <c r="O30" i="38" s="1"/>
  <c r="N31" i="38"/>
  <c r="N32" i="38"/>
  <c r="N33" i="38"/>
  <c r="N34" i="38"/>
  <c r="Q7" i="39"/>
  <c r="Q8" i="39" s="1"/>
  <c r="O8" i="39"/>
  <c r="P8" i="39" s="1"/>
  <c r="N9" i="39"/>
  <c r="O9" i="39"/>
  <c r="N10" i="39"/>
  <c r="P10" i="39" s="1"/>
  <c r="O10" i="39"/>
  <c r="N11" i="39"/>
  <c r="P11" i="39" s="1"/>
  <c r="O11" i="39"/>
  <c r="N12" i="39"/>
  <c r="O12" i="39"/>
  <c r="N13" i="39"/>
  <c r="P13" i="39" s="1"/>
  <c r="O13" i="39"/>
  <c r="N14" i="39"/>
  <c r="O14" i="39"/>
  <c r="N15" i="39"/>
  <c r="P15" i="39" s="1"/>
  <c r="O15" i="39"/>
  <c r="N16" i="39"/>
  <c r="O16" i="39"/>
  <c r="N17" i="39"/>
  <c r="P17" i="39" s="1"/>
  <c r="O17" i="39"/>
  <c r="N18" i="39"/>
  <c r="O18" i="39"/>
  <c r="N19" i="39"/>
  <c r="O19" i="39"/>
  <c r="N20" i="39"/>
  <c r="O20" i="39"/>
  <c r="N21" i="39"/>
  <c r="P21" i="39" s="1"/>
  <c r="O21" i="39"/>
  <c r="N22" i="39"/>
  <c r="O22" i="39"/>
  <c r="N23" i="39"/>
  <c r="P23" i="39" s="1"/>
  <c r="O23" i="39"/>
  <c r="N24" i="39"/>
  <c r="O24" i="39"/>
  <c r="N25" i="39"/>
  <c r="P25" i="39" s="1"/>
  <c r="O25" i="39"/>
  <c r="N26" i="39"/>
  <c r="O26" i="39"/>
  <c r="N27" i="39"/>
  <c r="E27" i="39"/>
  <c r="O27" i="39"/>
  <c r="P27" i="39"/>
  <c r="N28" i="39"/>
  <c r="O28" i="39"/>
  <c r="N29" i="39"/>
  <c r="O29" i="39"/>
  <c r="P29" i="39" s="1"/>
  <c r="N30" i="39"/>
  <c r="O30" i="39"/>
  <c r="P30" i="39"/>
  <c r="N31" i="39"/>
  <c r="P31" i="39" s="1"/>
  <c r="O31" i="39"/>
  <c r="N32" i="39"/>
  <c r="O32" i="39"/>
  <c r="N33" i="39"/>
  <c r="O33" i="39"/>
  <c r="P33" i="39"/>
  <c r="N34" i="39"/>
  <c r="O34" i="39"/>
  <c r="P34" i="39"/>
  <c r="N35" i="39"/>
  <c r="P35" i="39" s="1"/>
  <c r="O35" i="39"/>
  <c r="N36" i="39"/>
  <c r="O36" i="39"/>
  <c r="N37" i="39"/>
  <c r="O37" i="39"/>
  <c r="P37" i="39"/>
  <c r="N38" i="39"/>
  <c r="O38" i="39"/>
  <c r="P38" i="39"/>
  <c r="N39" i="39"/>
  <c r="P39" i="39" s="1"/>
  <c r="O39" i="39"/>
  <c r="N40" i="39"/>
  <c r="O40" i="39"/>
  <c r="N41" i="39"/>
  <c r="O41" i="39"/>
  <c r="P41" i="39"/>
  <c r="N42" i="39"/>
  <c r="O42" i="39"/>
  <c r="P42" i="39"/>
  <c r="N43" i="39"/>
  <c r="P43" i="39" s="1"/>
  <c r="O43" i="39"/>
  <c r="N44" i="39"/>
  <c r="O44" i="39"/>
  <c r="N45" i="39"/>
  <c r="O45" i="39"/>
  <c r="P45" i="39"/>
  <c r="N46" i="39"/>
  <c r="O46" i="39"/>
  <c r="P46" i="39"/>
  <c r="N47" i="39"/>
  <c r="P47" i="39" s="1"/>
  <c r="O47" i="39"/>
  <c r="N48" i="39"/>
  <c r="O48" i="39"/>
  <c r="N49" i="39"/>
  <c r="O49" i="39"/>
  <c r="P49" i="39"/>
  <c r="O50" i="39"/>
  <c r="O51" i="39"/>
  <c r="O52" i="39"/>
  <c r="O53" i="39"/>
  <c r="O54" i="39"/>
  <c r="E8" i="40"/>
  <c r="O8" i="40" s="1"/>
  <c r="P8" i="40" s="1"/>
  <c r="Q8" i="40" s="1"/>
  <c r="N9" i="40"/>
  <c r="E9" i="40"/>
  <c r="O9" i="40" s="1"/>
  <c r="N10" i="40"/>
  <c r="E10" i="40"/>
  <c r="O10" i="40" s="1"/>
  <c r="P10" i="40"/>
  <c r="N11" i="40"/>
  <c r="E11" i="40"/>
  <c r="O11" i="40" s="1"/>
  <c r="P11" i="40" s="1"/>
  <c r="N12" i="40"/>
  <c r="E12" i="40"/>
  <c r="O12" i="40" s="1"/>
  <c r="N13" i="40"/>
  <c r="P13" i="40" s="1"/>
  <c r="E13" i="40"/>
  <c r="O13" i="40" s="1"/>
  <c r="N14" i="40"/>
  <c r="P14" i="40" s="1"/>
  <c r="E14" i="40"/>
  <c r="O14" i="40"/>
  <c r="N15" i="40"/>
  <c r="E15" i="40"/>
  <c r="O15" i="40"/>
  <c r="N16" i="40"/>
  <c r="E16" i="40"/>
  <c r="O16" i="40" s="1"/>
  <c r="N17" i="40"/>
  <c r="P17" i="40" s="1"/>
  <c r="E17" i="40"/>
  <c r="O17" i="40" s="1"/>
  <c r="N18" i="40"/>
  <c r="E18" i="40"/>
  <c r="O18" i="40" s="1"/>
  <c r="N19" i="40"/>
  <c r="E19" i="40"/>
  <c r="O19" i="40"/>
  <c r="P19" i="40" s="1"/>
  <c r="N20" i="40"/>
  <c r="E20" i="40"/>
  <c r="O20" i="40" s="1"/>
  <c r="N21" i="40"/>
  <c r="E21" i="40"/>
  <c r="O21" i="40" s="1"/>
  <c r="N22" i="40"/>
  <c r="E22" i="40"/>
  <c r="O22" i="40" s="1"/>
  <c r="P22" i="40" s="1"/>
  <c r="N23" i="40"/>
  <c r="P23" i="40" s="1"/>
  <c r="E23" i="40"/>
  <c r="O23" i="40"/>
  <c r="N24" i="40"/>
  <c r="E24" i="40"/>
  <c r="O24" i="40"/>
  <c r="N25" i="40"/>
  <c r="E25" i="40"/>
  <c r="O25" i="40" s="1"/>
  <c r="N26" i="40"/>
  <c r="E26" i="40"/>
  <c r="O26" i="40" s="1"/>
  <c r="N27" i="40"/>
  <c r="E27" i="40"/>
  <c r="O27" i="40" s="1"/>
  <c r="P27" i="40" s="1"/>
  <c r="N28" i="40"/>
  <c r="E28" i="40"/>
  <c r="O28" i="40" s="1"/>
  <c r="N29" i="40"/>
  <c r="E29" i="40"/>
  <c r="O29" i="40" s="1"/>
  <c r="N30" i="40"/>
  <c r="P30" i="40" s="1"/>
  <c r="E30" i="40"/>
  <c r="O30" i="40"/>
  <c r="N31" i="40"/>
  <c r="E31" i="40"/>
  <c r="O31" i="40"/>
  <c r="P31" i="40" s="1"/>
  <c r="N32" i="40"/>
  <c r="E32" i="40"/>
  <c r="O32" i="40" s="1"/>
  <c r="N33" i="40"/>
  <c r="E33" i="40"/>
  <c r="O33" i="40" s="1"/>
  <c r="N34" i="40"/>
  <c r="E34" i="40"/>
  <c r="O34" i="40" s="1"/>
  <c r="N35" i="40"/>
  <c r="E35" i="40"/>
  <c r="O35" i="40" s="1"/>
  <c r="P35" i="40" s="1"/>
  <c r="N36" i="40"/>
  <c r="E36" i="40"/>
  <c r="O36" i="40" s="1"/>
  <c r="P36" i="40" s="1"/>
  <c r="N37" i="40"/>
  <c r="E37" i="40"/>
  <c r="O37" i="40" s="1"/>
  <c r="N38" i="40"/>
  <c r="E38" i="40"/>
  <c r="O38" i="40" s="1"/>
  <c r="P38" i="40" s="1"/>
  <c r="N39" i="40"/>
  <c r="E39" i="40"/>
  <c r="O39" i="40" s="1"/>
  <c r="P39" i="40" s="1"/>
  <c r="N40" i="40"/>
  <c r="E40" i="40"/>
  <c r="O40" i="40"/>
  <c r="N41" i="40"/>
  <c r="E41" i="40"/>
  <c r="O41" i="40" s="1"/>
  <c r="N42" i="40"/>
  <c r="E42" i="40"/>
  <c r="O42" i="40" s="1"/>
  <c r="N43" i="40"/>
  <c r="E43" i="40"/>
  <c r="O43" i="40" s="1"/>
  <c r="P43" i="40" s="1"/>
  <c r="N44" i="40"/>
  <c r="E44" i="40"/>
  <c r="O44" i="40" s="1"/>
  <c r="P44" i="40" s="1"/>
  <c r="N45" i="40"/>
  <c r="E45" i="40"/>
  <c r="O45" i="40" s="1"/>
  <c r="N46" i="40"/>
  <c r="E46" i="40"/>
  <c r="O46" i="40" s="1"/>
  <c r="P46" i="40" s="1"/>
  <c r="N47" i="40"/>
  <c r="E47" i="40"/>
  <c r="O47" i="40" s="1"/>
  <c r="P47" i="40" s="1"/>
  <c r="N48" i="40"/>
  <c r="E48" i="40"/>
  <c r="O48" i="40"/>
  <c r="N49" i="40"/>
  <c r="E49" i="40"/>
  <c r="O49" i="40" s="1"/>
  <c r="N50" i="40"/>
  <c r="E50" i="40"/>
  <c r="O50" i="40" s="1"/>
  <c r="N51" i="40"/>
  <c r="E51" i="40"/>
  <c r="O51" i="40" s="1"/>
  <c r="P51" i="40" s="1"/>
  <c r="N52" i="40"/>
  <c r="E8" i="61"/>
  <c r="O8" i="61" s="1"/>
  <c r="P8" i="61" s="1"/>
  <c r="Q8" i="61" s="1"/>
  <c r="N9" i="61"/>
  <c r="P9" i="61" s="1"/>
  <c r="E9" i="61"/>
  <c r="O9" i="61" s="1"/>
  <c r="N10" i="61"/>
  <c r="E10" i="61"/>
  <c r="O10" i="61" s="1"/>
  <c r="N11" i="61"/>
  <c r="E11" i="61"/>
  <c r="O11" i="61"/>
  <c r="N12" i="61"/>
  <c r="E12" i="61"/>
  <c r="O12" i="61" s="1"/>
  <c r="P12" i="61" s="1"/>
  <c r="N13" i="61"/>
  <c r="E13" i="61"/>
  <c r="O13" i="61" s="1"/>
  <c r="N14" i="61"/>
  <c r="E14" i="61"/>
  <c r="O14" i="61" s="1"/>
  <c r="P14" i="61" s="1"/>
  <c r="N15" i="61"/>
  <c r="E15" i="61"/>
  <c r="O15" i="61"/>
  <c r="P15" i="61" s="1"/>
  <c r="N16" i="61"/>
  <c r="E16" i="61"/>
  <c r="O16" i="61" s="1"/>
  <c r="P16" i="61" s="1"/>
  <c r="N17" i="61"/>
  <c r="P17" i="61" s="1"/>
  <c r="E17" i="61"/>
  <c r="O17" i="61" s="1"/>
  <c r="N18" i="61"/>
  <c r="P18" i="61" s="1"/>
  <c r="E18" i="61"/>
  <c r="O18" i="61" s="1"/>
  <c r="N19" i="61"/>
  <c r="E19" i="61"/>
  <c r="O19" i="61"/>
  <c r="N20" i="61"/>
  <c r="E20" i="61"/>
  <c r="O20" i="61" s="1"/>
  <c r="P20" i="61" s="1"/>
  <c r="N21" i="61"/>
  <c r="O21" i="61"/>
  <c r="N22" i="61"/>
  <c r="O22" i="61"/>
  <c r="N23" i="61"/>
  <c r="O23" i="61"/>
  <c r="N24" i="61"/>
  <c r="O24" i="61"/>
  <c r="N25" i="61"/>
  <c r="O25" i="61"/>
  <c r="N26" i="61"/>
  <c r="O26" i="61"/>
  <c r="N27" i="61"/>
  <c r="K82" i="61"/>
  <c r="L82" i="61" s="1"/>
  <c r="E27" i="61" s="1"/>
  <c r="O27" i="61" s="1"/>
  <c r="P27" i="61" s="1"/>
  <c r="N28" i="61"/>
  <c r="E64" i="61"/>
  <c r="E28" i="61" s="1"/>
  <c r="O28" i="61" s="1"/>
  <c r="P28" i="61" s="1"/>
  <c r="N29" i="61"/>
  <c r="P29" i="61" s="1"/>
  <c r="O29" i="61"/>
  <c r="N30" i="61"/>
  <c r="P30" i="61" s="1"/>
  <c r="O30" i="61"/>
  <c r="N31" i="61"/>
  <c r="P31" i="61" s="1"/>
  <c r="O31" i="61"/>
  <c r="N32" i="61"/>
  <c r="P32" i="61" s="1"/>
  <c r="O32" i="61"/>
  <c r="N33" i="61"/>
  <c r="P33" i="61" s="1"/>
  <c r="O33" i="61"/>
  <c r="N34" i="61"/>
  <c r="P34" i="61" s="1"/>
  <c r="O34" i="61"/>
  <c r="N35" i="61"/>
  <c r="P35" i="61" s="1"/>
  <c r="O35" i="61"/>
  <c r="N36" i="61"/>
  <c r="P36" i="61" s="1"/>
  <c r="O36" i="61"/>
  <c r="N37" i="61"/>
  <c r="P37" i="61" s="1"/>
  <c r="O37" i="61"/>
  <c r="N38" i="61"/>
  <c r="P38" i="61" s="1"/>
  <c r="O38" i="61"/>
  <c r="N39" i="61"/>
  <c r="P39" i="61" s="1"/>
  <c r="O39" i="61"/>
  <c r="N40" i="61"/>
  <c r="P40" i="61" s="1"/>
  <c r="O40" i="61"/>
  <c r="N41" i="61"/>
  <c r="P41" i="61" s="1"/>
  <c r="O41" i="61"/>
  <c r="N42" i="61"/>
  <c r="P42" i="61" s="1"/>
  <c r="O42" i="61"/>
  <c r="N43" i="61"/>
  <c r="P43" i="61" s="1"/>
  <c r="O43" i="61"/>
  <c r="N44" i="61"/>
  <c r="P44" i="61" s="1"/>
  <c r="O44" i="61"/>
  <c r="N45" i="61"/>
  <c r="P45" i="61" s="1"/>
  <c r="O45" i="61"/>
  <c r="N46" i="61"/>
  <c r="P46" i="61" s="1"/>
  <c r="O46" i="61"/>
  <c r="N47" i="61"/>
  <c r="P47" i="61" s="1"/>
  <c r="O47" i="61"/>
  <c r="N48" i="61"/>
  <c r="P48" i="61" s="1"/>
  <c r="O48" i="61"/>
  <c r="N49" i="61"/>
  <c r="P49" i="61" s="1"/>
  <c r="O49" i="61"/>
  <c r="O50" i="61"/>
  <c r="O51" i="61"/>
  <c r="O52" i="61"/>
  <c r="O53" i="61"/>
  <c r="O54" i="61"/>
  <c r="N23" i="100"/>
  <c r="E23" i="100"/>
  <c r="E24" i="100" s="1"/>
  <c r="N24" i="100"/>
  <c r="N25" i="100"/>
  <c r="N26" i="100"/>
  <c r="N27" i="100"/>
  <c r="N28" i="100"/>
  <c r="E61" i="100"/>
  <c r="E28" i="100" s="1"/>
  <c r="O28" i="100" s="1"/>
  <c r="N29" i="100"/>
  <c r="O29" i="100"/>
  <c r="P29" i="100" s="1"/>
  <c r="N30" i="100"/>
  <c r="E30" i="100"/>
  <c r="O30" i="100" s="1"/>
  <c r="N31" i="100"/>
  <c r="E31" i="100"/>
  <c r="O31" i="100" s="1"/>
  <c r="P31" i="100" s="1"/>
  <c r="N32" i="100"/>
  <c r="N33" i="100"/>
  <c r="N34" i="100"/>
  <c r="N35" i="100"/>
  <c r="N36" i="100"/>
  <c r="N37" i="100"/>
  <c r="N38" i="100"/>
  <c r="N39" i="100"/>
  <c r="N40" i="100"/>
  <c r="N41" i="100"/>
  <c r="N42" i="100"/>
  <c r="N43" i="100"/>
  <c r="N44" i="100"/>
  <c r="N45" i="100"/>
  <c r="N46" i="100"/>
  <c r="N47" i="100"/>
  <c r="N48" i="100"/>
  <c r="N49" i="100"/>
  <c r="N23" i="99"/>
  <c r="E23" i="99"/>
  <c r="N24" i="99"/>
  <c r="N25" i="99"/>
  <c r="N26" i="99"/>
  <c r="N27" i="99"/>
  <c r="N28" i="99"/>
  <c r="O28" i="99"/>
  <c r="N29" i="99"/>
  <c r="O29" i="99"/>
  <c r="N30" i="99"/>
  <c r="E30" i="99"/>
  <c r="O30" i="99" s="1"/>
  <c r="N31" i="99"/>
  <c r="N32" i="99"/>
  <c r="N33" i="99"/>
  <c r="N34" i="99"/>
  <c r="N35" i="99"/>
  <c r="N36" i="99"/>
  <c r="N37" i="99"/>
  <c r="N38" i="99"/>
  <c r="N39" i="99"/>
  <c r="N40" i="99"/>
  <c r="N41" i="99"/>
  <c r="N42" i="99"/>
  <c r="N43" i="99"/>
  <c r="N44" i="99"/>
  <c r="N45" i="99"/>
  <c r="N46" i="99"/>
  <c r="N47" i="99"/>
  <c r="N48" i="99"/>
  <c r="N49" i="99"/>
  <c r="E8" i="62"/>
  <c r="O8" i="62" s="1"/>
  <c r="P8" i="62" s="1"/>
  <c r="Q8" i="62" s="1"/>
  <c r="N9" i="62"/>
  <c r="E9" i="62"/>
  <c r="O9" i="62" s="1"/>
  <c r="P9" i="62"/>
  <c r="N10" i="62"/>
  <c r="E10" i="62"/>
  <c r="O10" i="62" s="1"/>
  <c r="P10" i="62" s="1"/>
  <c r="N11" i="62"/>
  <c r="E11" i="62"/>
  <c r="O11" i="62" s="1"/>
  <c r="N12" i="62"/>
  <c r="E12" i="62"/>
  <c r="O12" i="62" s="1"/>
  <c r="N13" i="62"/>
  <c r="P13" i="62" s="1"/>
  <c r="E13" i="62"/>
  <c r="O13" i="62" s="1"/>
  <c r="N14" i="62"/>
  <c r="E14" i="62"/>
  <c r="O14" i="62" s="1"/>
  <c r="P14" i="62" s="1"/>
  <c r="N15" i="62"/>
  <c r="E15" i="62"/>
  <c r="O15" i="62" s="1"/>
  <c r="N16" i="62"/>
  <c r="P16" i="62" s="1"/>
  <c r="E16" i="62"/>
  <c r="O16" i="62" s="1"/>
  <c r="N17" i="62"/>
  <c r="P17" i="62" s="1"/>
  <c r="E17" i="62"/>
  <c r="O17" i="62"/>
  <c r="N18" i="62"/>
  <c r="E18" i="62"/>
  <c r="O18" i="62"/>
  <c r="P18" i="62" s="1"/>
  <c r="N19" i="62"/>
  <c r="E19" i="62"/>
  <c r="O19" i="62"/>
  <c r="N20" i="62"/>
  <c r="P20" i="62" s="1"/>
  <c r="E20" i="62"/>
  <c r="O20" i="62" s="1"/>
  <c r="N21" i="62"/>
  <c r="E21" i="62"/>
  <c r="O21" i="62" s="1"/>
  <c r="N22" i="62"/>
  <c r="P22" i="62" s="1"/>
  <c r="O22" i="62"/>
  <c r="N23" i="62"/>
  <c r="O23" i="62"/>
  <c r="N24" i="62"/>
  <c r="O24" i="62"/>
  <c r="P24" i="62"/>
  <c r="N25" i="62"/>
  <c r="O25" i="62"/>
  <c r="P25" i="62"/>
  <c r="N26" i="62"/>
  <c r="P26" i="62" s="1"/>
  <c r="O26" i="62"/>
  <c r="N27" i="62"/>
  <c r="O27" i="62"/>
  <c r="N28" i="62"/>
  <c r="E28" i="62"/>
  <c r="O28" i="62"/>
  <c r="P28" i="62" s="1"/>
  <c r="N29" i="62"/>
  <c r="O29" i="62"/>
  <c r="P29" i="62" s="1"/>
  <c r="N30" i="62"/>
  <c r="O30" i="62"/>
  <c r="P30" i="62" s="1"/>
  <c r="N31" i="62"/>
  <c r="O31" i="62"/>
  <c r="P31" i="62"/>
  <c r="N32" i="62"/>
  <c r="O32" i="62"/>
  <c r="N33" i="62"/>
  <c r="O33" i="62"/>
  <c r="P33" i="62" s="1"/>
  <c r="N34" i="62"/>
  <c r="P34" i="62" s="1"/>
  <c r="O34" i="62"/>
  <c r="N35" i="62"/>
  <c r="O35" i="62"/>
  <c r="N36" i="62"/>
  <c r="O36" i="62"/>
  <c r="P36" i="62" s="1"/>
  <c r="N37" i="62"/>
  <c r="O37" i="62"/>
  <c r="N38" i="62"/>
  <c r="O38" i="62"/>
  <c r="P38" i="62" s="1"/>
  <c r="N39" i="62"/>
  <c r="P39" i="62" s="1"/>
  <c r="O39" i="62"/>
  <c r="N40" i="62"/>
  <c r="O40" i="62"/>
  <c r="P40" i="62" s="1"/>
  <c r="N41" i="62"/>
  <c r="O41" i="62"/>
  <c r="P41" i="62" s="1"/>
  <c r="N42" i="62"/>
  <c r="O42" i="62"/>
  <c r="N43" i="62"/>
  <c r="O43" i="62"/>
  <c r="P43" i="62"/>
  <c r="N44" i="62"/>
  <c r="O44" i="62"/>
  <c r="P44" i="62" s="1"/>
  <c r="N45" i="62"/>
  <c r="O45" i="62"/>
  <c r="P45" i="62" s="1"/>
  <c r="N46" i="62"/>
  <c r="O46" i="62"/>
  <c r="P46" i="62" s="1"/>
  <c r="N47" i="62"/>
  <c r="P47" i="62" s="1"/>
  <c r="O47" i="62"/>
  <c r="N48" i="62"/>
  <c r="O48" i="62"/>
  <c r="P48" i="62" s="1"/>
  <c r="N49" i="62"/>
  <c r="O49" i="62"/>
  <c r="O50" i="62"/>
  <c r="O51" i="62"/>
  <c r="O52" i="62"/>
  <c r="O53" i="62"/>
  <c r="O54" i="62"/>
  <c r="E8" i="64"/>
  <c r="O8" i="64" s="1"/>
  <c r="P8" i="64" s="1"/>
  <c r="Q8" i="64" s="1"/>
  <c r="N9" i="64"/>
  <c r="P9" i="64" s="1"/>
  <c r="E9" i="64"/>
  <c r="O9" i="64" s="1"/>
  <c r="N10" i="64"/>
  <c r="E10" i="64"/>
  <c r="O10" i="64"/>
  <c r="P10" i="64" s="1"/>
  <c r="N11" i="64"/>
  <c r="E11" i="64"/>
  <c r="O11" i="64" s="1"/>
  <c r="P11" i="64" s="1"/>
  <c r="N12" i="64"/>
  <c r="E12" i="64"/>
  <c r="O12" i="64" s="1"/>
  <c r="N13" i="64"/>
  <c r="E13" i="64"/>
  <c r="O13" i="64" s="1"/>
  <c r="P13" i="64"/>
  <c r="N14" i="64"/>
  <c r="E14" i="64"/>
  <c r="O14" i="64"/>
  <c r="N15" i="64"/>
  <c r="E15" i="64"/>
  <c r="O15" i="64" s="1"/>
  <c r="P15" i="64" s="1"/>
  <c r="N16" i="64"/>
  <c r="E16" i="64"/>
  <c r="O16" i="64" s="1"/>
  <c r="N17" i="64"/>
  <c r="E17" i="64"/>
  <c r="O17" i="64" s="1"/>
  <c r="N18" i="64"/>
  <c r="E18" i="64"/>
  <c r="O18" i="64"/>
  <c r="P18" i="64" s="1"/>
  <c r="N19" i="64"/>
  <c r="E19" i="64"/>
  <c r="O19" i="64" s="1"/>
  <c r="P19" i="64" s="1"/>
  <c r="N20" i="64"/>
  <c r="E20" i="64"/>
  <c r="O20" i="64" s="1"/>
  <c r="N21" i="64"/>
  <c r="O21" i="64"/>
  <c r="N22" i="64"/>
  <c r="O22" i="64"/>
  <c r="N23" i="64"/>
  <c r="O23" i="64"/>
  <c r="N24" i="64"/>
  <c r="O24" i="64"/>
  <c r="N25" i="64"/>
  <c r="O25" i="64"/>
  <c r="N26" i="64"/>
  <c r="E26" i="64"/>
  <c r="O26" i="64" s="1"/>
  <c r="N27" i="64"/>
  <c r="O27" i="64"/>
  <c r="P27" i="64"/>
  <c r="N28" i="64"/>
  <c r="O28" i="64"/>
  <c r="N29" i="64"/>
  <c r="O29" i="64"/>
  <c r="N30" i="64"/>
  <c r="E30" i="64"/>
  <c r="O30" i="64" s="1"/>
  <c r="N31" i="64"/>
  <c r="N32" i="64"/>
  <c r="N33" i="64"/>
  <c r="N34" i="64"/>
  <c r="N35" i="64"/>
  <c r="N36" i="64"/>
  <c r="N37" i="64"/>
  <c r="N38" i="64"/>
  <c r="N39" i="64"/>
  <c r="N40" i="64"/>
  <c r="N41" i="64"/>
  <c r="N42" i="64"/>
  <c r="N43" i="64"/>
  <c r="N44" i="64"/>
  <c r="N45" i="64"/>
  <c r="N46" i="64"/>
  <c r="N47" i="64"/>
  <c r="N48" i="64"/>
  <c r="N49" i="64"/>
  <c r="N50" i="64"/>
  <c r="E8" i="66"/>
  <c r="O8" i="66" s="1"/>
  <c r="P8" i="66" s="1"/>
  <c r="Q8" i="66"/>
  <c r="N9" i="66"/>
  <c r="P9" i="66" s="1"/>
  <c r="Q9" i="66" s="1"/>
  <c r="E9" i="66"/>
  <c r="O9" i="66" s="1"/>
  <c r="N10" i="66"/>
  <c r="P10" i="66" s="1"/>
  <c r="E10" i="66"/>
  <c r="O10" i="66"/>
  <c r="N11" i="66"/>
  <c r="E11" i="66"/>
  <c r="O11" i="66"/>
  <c r="N12" i="66"/>
  <c r="E12" i="66"/>
  <c r="O12" i="66" s="1"/>
  <c r="N13" i="66"/>
  <c r="E13" i="66"/>
  <c r="O13" i="66" s="1"/>
  <c r="N14" i="66"/>
  <c r="E14" i="66"/>
  <c r="O14" i="66" s="1"/>
  <c r="P14" i="66" s="1"/>
  <c r="N15" i="66"/>
  <c r="E15" i="66"/>
  <c r="O15" i="66" s="1"/>
  <c r="P15" i="66" s="1"/>
  <c r="N16" i="66"/>
  <c r="E16" i="66"/>
  <c r="O16" i="66" s="1"/>
  <c r="N17" i="66"/>
  <c r="E17" i="66"/>
  <c r="O17" i="66" s="1"/>
  <c r="P17" i="66"/>
  <c r="N18" i="66"/>
  <c r="E18" i="66"/>
  <c r="O18" i="66"/>
  <c r="P18" i="66"/>
  <c r="N19" i="66"/>
  <c r="E19" i="66"/>
  <c r="O19" i="66"/>
  <c r="P19" i="66" s="1"/>
  <c r="N20" i="66"/>
  <c r="E20" i="66"/>
  <c r="O20" i="66" s="1"/>
  <c r="N21" i="66"/>
  <c r="E21" i="66"/>
  <c r="O21" i="66" s="1"/>
  <c r="P21" i="66"/>
  <c r="N22" i="66"/>
  <c r="O22" i="66"/>
  <c r="P22" i="66"/>
  <c r="N23" i="66"/>
  <c r="P23" i="66" s="1"/>
  <c r="O23" i="66"/>
  <c r="N24" i="66"/>
  <c r="O24" i="66"/>
  <c r="N25" i="66"/>
  <c r="O25" i="66"/>
  <c r="P25" i="66"/>
  <c r="N26" i="66"/>
  <c r="E26" i="66"/>
  <c r="E27" i="66" s="1"/>
  <c r="O27" i="66" s="1"/>
  <c r="P27" i="66" s="1"/>
  <c r="O26" i="66"/>
  <c r="P26" i="66" s="1"/>
  <c r="N27" i="66"/>
  <c r="N28" i="66"/>
  <c r="O28" i="66"/>
  <c r="N29" i="66"/>
  <c r="O29" i="66"/>
  <c r="N30" i="66"/>
  <c r="E30" i="66"/>
  <c r="N31" i="66"/>
  <c r="N32" i="66"/>
  <c r="N33" i="66"/>
  <c r="N34" i="66"/>
  <c r="N35" i="66"/>
  <c r="N36" i="66"/>
  <c r="N37" i="66"/>
  <c r="N38" i="66"/>
  <c r="N39" i="66"/>
  <c r="E8" i="67"/>
  <c r="O8" i="67"/>
  <c r="P8" i="67" s="1"/>
  <c r="Q8" i="67" s="1"/>
  <c r="Q9" i="67" s="1"/>
  <c r="N9" i="67"/>
  <c r="E9" i="67"/>
  <c r="O9" i="67"/>
  <c r="P9" i="67" s="1"/>
  <c r="N10" i="67"/>
  <c r="E10" i="67"/>
  <c r="O10" i="67" s="1"/>
  <c r="N11" i="67"/>
  <c r="E11" i="67"/>
  <c r="O11" i="67" s="1"/>
  <c r="N12" i="67"/>
  <c r="E12" i="67"/>
  <c r="O12" i="67"/>
  <c r="P12" i="67" s="1"/>
  <c r="N13" i="67"/>
  <c r="E13" i="67"/>
  <c r="O13" i="67" s="1"/>
  <c r="N14" i="67"/>
  <c r="E14" i="67"/>
  <c r="O14" i="67" s="1"/>
  <c r="N15" i="67"/>
  <c r="P15" i="67" s="1"/>
  <c r="E15" i="67"/>
  <c r="O15" i="67" s="1"/>
  <c r="N16" i="67"/>
  <c r="E16" i="67"/>
  <c r="O16" i="67" s="1"/>
  <c r="N17" i="67"/>
  <c r="E17" i="67"/>
  <c r="O17" i="67" s="1"/>
  <c r="P17" i="67" s="1"/>
  <c r="N18" i="67"/>
  <c r="E18" i="67"/>
  <c r="O18" i="67" s="1"/>
  <c r="N19" i="67"/>
  <c r="E19" i="67"/>
  <c r="O19" i="67" s="1"/>
  <c r="N20" i="67"/>
  <c r="E20" i="67"/>
  <c r="O20" i="67"/>
  <c r="P20" i="67" s="1"/>
  <c r="N21" i="67"/>
  <c r="E21" i="67"/>
  <c r="O21" i="67" s="1"/>
  <c r="P21" i="67" s="1"/>
  <c r="N22" i="67"/>
  <c r="O22" i="67"/>
  <c r="N23" i="67"/>
  <c r="O23" i="67"/>
  <c r="N24" i="67"/>
  <c r="O24" i="67"/>
  <c r="N25" i="67"/>
  <c r="O25" i="67"/>
  <c r="N26" i="67"/>
  <c r="E26" i="67"/>
  <c r="N27" i="67"/>
  <c r="N28" i="67"/>
  <c r="O28" i="67"/>
  <c r="P28" i="67" s="1"/>
  <c r="N29" i="67"/>
  <c r="O29" i="67"/>
  <c r="N30" i="67"/>
  <c r="E30" i="67"/>
  <c r="E31" i="67" s="1"/>
  <c r="O30" i="67"/>
  <c r="P30" i="67" s="1"/>
  <c r="N31" i="67"/>
  <c r="N32" i="67"/>
  <c r="N33" i="67"/>
  <c r="N34" i="67"/>
  <c r="N35" i="67"/>
  <c r="N36" i="67"/>
  <c r="N37" i="67"/>
  <c r="N38" i="67"/>
  <c r="N39" i="67"/>
  <c r="N40" i="67"/>
  <c r="N41" i="67"/>
  <c r="N42" i="67"/>
  <c r="N43" i="67"/>
  <c r="N44" i="67"/>
  <c r="N45" i="67"/>
  <c r="N46" i="67"/>
  <c r="N47" i="67"/>
  <c r="N48" i="67"/>
  <c r="N49" i="67"/>
  <c r="O8" i="42"/>
  <c r="P8" i="42" s="1"/>
  <c r="Q8" i="42" s="1"/>
  <c r="N9" i="42"/>
  <c r="O9" i="42"/>
  <c r="N10" i="42"/>
  <c r="O10" i="42"/>
  <c r="N11" i="42"/>
  <c r="O11" i="42"/>
  <c r="N12" i="42"/>
  <c r="O12" i="42"/>
  <c r="N13" i="42"/>
  <c r="O13" i="42"/>
  <c r="N14" i="42"/>
  <c r="O14" i="42"/>
  <c r="N15" i="42"/>
  <c r="O15" i="42"/>
  <c r="N16" i="42"/>
  <c r="O16" i="42"/>
  <c r="N17" i="42"/>
  <c r="O17" i="42"/>
  <c r="N18" i="42"/>
  <c r="O18" i="42"/>
  <c r="N19" i="42"/>
  <c r="O19" i="42"/>
  <c r="N20" i="42"/>
  <c r="O20" i="42"/>
  <c r="N21" i="42"/>
  <c r="O21" i="42"/>
  <c r="N22" i="42"/>
  <c r="O22" i="42"/>
  <c r="N23" i="42"/>
  <c r="O23" i="42"/>
  <c r="N24" i="42"/>
  <c r="O24" i="42"/>
  <c r="N25" i="42"/>
  <c r="O25" i="42"/>
  <c r="N26" i="42"/>
  <c r="O26" i="42"/>
  <c r="N27" i="42"/>
  <c r="K78" i="42"/>
  <c r="L78" i="42" s="1"/>
  <c r="E27" i="42" s="1"/>
  <c r="O27" i="42" s="1"/>
  <c r="N28" i="42"/>
  <c r="O28" i="42"/>
  <c r="P28" i="42" s="1"/>
  <c r="N29" i="42"/>
  <c r="O29" i="42"/>
  <c r="N30" i="42"/>
  <c r="O30" i="42"/>
  <c r="P30" i="42"/>
  <c r="N31" i="42"/>
  <c r="O31" i="42"/>
  <c r="P31" i="42" s="1"/>
  <c r="N32" i="42"/>
  <c r="O32" i="42"/>
  <c r="P32" i="42" s="1"/>
  <c r="N33" i="42"/>
  <c r="O33" i="42"/>
  <c r="P33" i="42"/>
  <c r="N34" i="42"/>
  <c r="P34" i="42" s="1"/>
  <c r="O34" i="42"/>
  <c r="N35" i="42"/>
  <c r="O35" i="42"/>
  <c r="P35" i="42" s="1"/>
  <c r="N36" i="42"/>
  <c r="O36" i="42"/>
  <c r="P36" i="42" s="1"/>
  <c r="N37" i="42"/>
  <c r="P37" i="42" s="1"/>
  <c r="O37" i="42"/>
  <c r="N38" i="42"/>
  <c r="O38" i="42"/>
  <c r="P38" i="42"/>
  <c r="N39" i="42"/>
  <c r="O39" i="42"/>
  <c r="P39" i="42"/>
  <c r="N40" i="42"/>
  <c r="O40" i="42"/>
  <c r="N41" i="42"/>
  <c r="O41" i="42"/>
  <c r="P41" i="42"/>
  <c r="N42" i="42"/>
  <c r="O42" i="42"/>
  <c r="P42" i="42"/>
  <c r="N43" i="42"/>
  <c r="P43" i="42" s="1"/>
  <c r="O43" i="42"/>
  <c r="N44" i="42"/>
  <c r="O44" i="42"/>
  <c r="P44" i="42" s="1"/>
  <c r="N45" i="42"/>
  <c r="O45" i="42"/>
  <c r="P45" i="42"/>
  <c r="N46" i="42"/>
  <c r="P46" i="42" s="1"/>
  <c r="O46" i="42"/>
  <c r="N47" i="42"/>
  <c r="O47" i="42"/>
  <c r="O48" i="42"/>
  <c r="O49" i="42"/>
  <c r="O50" i="42"/>
  <c r="O51" i="42"/>
  <c r="O52" i="42"/>
  <c r="O53" i="42"/>
  <c r="O54" i="42"/>
  <c r="N23" i="103"/>
  <c r="E23" i="103"/>
  <c r="O23" i="103" s="1"/>
  <c r="P23" i="103"/>
  <c r="Q23" i="103" s="1"/>
  <c r="N24" i="103"/>
  <c r="N25" i="103"/>
  <c r="N26" i="103"/>
  <c r="N27" i="103"/>
  <c r="N28" i="103"/>
  <c r="E61" i="103"/>
  <c r="E28" i="103" s="1"/>
  <c r="N29" i="103"/>
  <c r="O29" i="103"/>
  <c r="N30" i="103"/>
  <c r="E30" i="103"/>
  <c r="N31" i="103"/>
  <c r="N32" i="103"/>
  <c r="N33" i="103"/>
  <c r="N34" i="103"/>
  <c r="N35" i="103"/>
  <c r="N36" i="103"/>
  <c r="N37" i="103"/>
  <c r="N38" i="103"/>
  <c r="N39" i="103"/>
  <c r="N40" i="103"/>
  <c r="N41" i="103"/>
  <c r="N42" i="103"/>
  <c r="N43" i="103"/>
  <c r="N44" i="103"/>
  <c r="N45" i="103"/>
  <c r="N46" i="103"/>
  <c r="N47" i="103"/>
  <c r="N48" i="103"/>
  <c r="N49" i="103"/>
  <c r="N50" i="103"/>
  <c r="N23" i="102"/>
  <c r="E23" i="102"/>
  <c r="O23" i="102" s="1"/>
  <c r="P23" i="102" s="1"/>
  <c r="Q23" i="102" s="1"/>
  <c r="N24" i="102"/>
  <c r="N25" i="102"/>
  <c r="N26" i="102"/>
  <c r="N27" i="102"/>
  <c r="N28" i="102"/>
  <c r="E61" i="102"/>
  <c r="E28" i="102" s="1"/>
  <c r="O28" i="102" s="1"/>
  <c r="N29" i="102"/>
  <c r="O29" i="102"/>
  <c r="N30" i="102"/>
  <c r="E30" i="102"/>
  <c r="O30" i="102" s="1"/>
  <c r="P30" i="102" s="1"/>
  <c r="N31" i="102"/>
  <c r="N32" i="102"/>
  <c r="N33" i="102"/>
  <c r="N34" i="102"/>
  <c r="N35" i="102"/>
  <c r="N36" i="102"/>
  <c r="N37" i="102"/>
  <c r="N38" i="102"/>
  <c r="N39" i="102"/>
  <c r="N40" i="102"/>
  <c r="N41" i="102"/>
  <c r="N42" i="102"/>
  <c r="N43" i="102"/>
  <c r="N44" i="102"/>
  <c r="N45" i="102"/>
  <c r="N46" i="102"/>
  <c r="N47" i="102"/>
  <c r="N48" i="102"/>
  <c r="N49" i="102"/>
  <c r="O8" i="43"/>
  <c r="P8" i="43" s="1"/>
  <c r="Q8" i="43" s="1"/>
  <c r="N9" i="43"/>
  <c r="O9" i="43"/>
  <c r="N10" i="43"/>
  <c r="O10" i="43"/>
  <c r="N11" i="43"/>
  <c r="O11" i="43"/>
  <c r="N12" i="43"/>
  <c r="O12" i="43"/>
  <c r="N13" i="43"/>
  <c r="O13" i="43"/>
  <c r="N14" i="43"/>
  <c r="O14" i="43"/>
  <c r="N15" i="43"/>
  <c r="O15" i="43"/>
  <c r="N16" i="43"/>
  <c r="O16" i="43"/>
  <c r="N17" i="43"/>
  <c r="O17" i="43"/>
  <c r="N18" i="43"/>
  <c r="O18" i="43"/>
  <c r="N19" i="43"/>
  <c r="O19" i="43"/>
  <c r="N20" i="43"/>
  <c r="O20" i="43"/>
  <c r="N21" i="43"/>
  <c r="O21" i="43"/>
  <c r="N22" i="43"/>
  <c r="O22" i="43"/>
  <c r="N23" i="43"/>
  <c r="O23" i="43"/>
  <c r="N24" i="43"/>
  <c r="O24" i="43"/>
  <c r="N25" i="43"/>
  <c r="O25" i="43"/>
  <c r="N26" i="43"/>
  <c r="O26" i="43"/>
  <c r="N27" i="43"/>
  <c r="O27" i="43"/>
  <c r="N28" i="43"/>
  <c r="E28" i="43"/>
  <c r="O28" i="43" s="1"/>
  <c r="N29" i="43"/>
  <c r="O29" i="43"/>
  <c r="N30" i="43"/>
  <c r="E30" i="43"/>
  <c r="O30" i="43" s="1"/>
  <c r="N31" i="43"/>
  <c r="N32" i="43"/>
  <c r="N33" i="43"/>
  <c r="N34" i="43"/>
  <c r="N35" i="43"/>
  <c r="N36" i="43"/>
  <c r="N23" i="101"/>
  <c r="E23" i="101"/>
  <c r="N24" i="101"/>
  <c r="N25" i="101"/>
  <c r="N26" i="101"/>
  <c r="N27" i="101"/>
  <c r="N28" i="101"/>
  <c r="O28" i="101"/>
  <c r="N29" i="101"/>
  <c r="O29" i="101"/>
  <c r="N30" i="101"/>
  <c r="E30" i="101"/>
  <c r="O30" i="101" s="1"/>
  <c r="N31" i="101"/>
  <c r="N32" i="101"/>
  <c r="N33" i="101"/>
  <c r="N34" i="101"/>
  <c r="N35" i="101"/>
  <c r="N36" i="101"/>
  <c r="N37" i="101"/>
  <c r="N38" i="101"/>
  <c r="N39" i="101"/>
  <c r="N40" i="101"/>
  <c r="N41" i="101"/>
  <c r="N42" i="101"/>
  <c r="N43" i="101"/>
  <c r="N44" i="101"/>
  <c r="N45" i="101"/>
  <c r="N46" i="101"/>
  <c r="N47" i="101"/>
  <c r="N48" i="101"/>
  <c r="N49" i="101"/>
  <c r="N50" i="101"/>
  <c r="Q7" i="44"/>
  <c r="E8" i="44"/>
  <c r="O8" i="44" s="1"/>
  <c r="P8" i="44" s="1"/>
  <c r="N9" i="44"/>
  <c r="E9" i="44"/>
  <c r="O9" i="44" s="1"/>
  <c r="P9" i="44"/>
  <c r="N10" i="44"/>
  <c r="E10" i="44"/>
  <c r="O10" i="44"/>
  <c r="P10" i="44" s="1"/>
  <c r="N11" i="44"/>
  <c r="E11" i="44"/>
  <c r="O11" i="44"/>
  <c r="N12" i="44"/>
  <c r="E12" i="44"/>
  <c r="O12" i="44" s="1"/>
  <c r="N13" i="44"/>
  <c r="E13" i="44"/>
  <c r="O13" i="44" s="1"/>
  <c r="N14" i="44"/>
  <c r="E14" i="44"/>
  <c r="O14" i="44" s="1"/>
  <c r="N15" i="44"/>
  <c r="E15" i="44"/>
  <c r="O15" i="44" s="1"/>
  <c r="P15" i="44" s="1"/>
  <c r="N16" i="44"/>
  <c r="E16" i="44"/>
  <c r="O16" i="44" s="1"/>
  <c r="N17" i="44"/>
  <c r="E17" i="44"/>
  <c r="O17" i="44" s="1"/>
  <c r="N18" i="44"/>
  <c r="E18" i="44"/>
  <c r="O18" i="44"/>
  <c r="P18" i="44" s="1"/>
  <c r="N19" i="44"/>
  <c r="E19" i="44"/>
  <c r="O19" i="44"/>
  <c r="P19" i="44" s="1"/>
  <c r="N20" i="44"/>
  <c r="P20" i="44" s="1"/>
  <c r="E20" i="44"/>
  <c r="O20" i="44" s="1"/>
  <c r="N21" i="44"/>
  <c r="E21" i="44"/>
  <c r="O21" i="44" s="1"/>
  <c r="N22" i="44"/>
  <c r="P22" i="44" s="1"/>
  <c r="E22" i="44"/>
  <c r="O22" i="44"/>
  <c r="N23" i="44"/>
  <c r="E23" i="44"/>
  <c r="O23" i="44" s="1"/>
  <c r="N24" i="44"/>
  <c r="E24" i="44"/>
  <c r="O24" i="44" s="1"/>
  <c r="N25" i="44"/>
  <c r="P25" i="44" s="1"/>
  <c r="E25" i="44"/>
  <c r="O25" i="44" s="1"/>
  <c r="N26" i="44"/>
  <c r="E26" i="44"/>
  <c r="O26" i="44" s="1"/>
  <c r="P26" i="44" s="1"/>
  <c r="N27" i="44"/>
  <c r="E27" i="44"/>
  <c r="O27" i="44"/>
  <c r="P27" i="44" s="1"/>
  <c r="N28" i="44"/>
  <c r="E28" i="44"/>
  <c r="O28" i="44" s="1"/>
  <c r="N29" i="44"/>
  <c r="E29" i="44"/>
  <c r="O29" i="44" s="1"/>
  <c r="N30" i="44"/>
  <c r="E30" i="44"/>
  <c r="O30" i="44"/>
  <c r="P30" i="44"/>
  <c r="N31" i="44"/>
  <c r="E31" i="44"/>
  <c r="O31" i="44" s="1"/>
  <c r="P31" i="44" s="1"/>
  <c r="N32" i="44"/>
  <c r="E32" i="44"/>
  <c r="O32" i="44" s="1"/>
  <c r="N33" i="44"/>
  <c r="E33" i="44"/>
  <c r="O33" i="44" s="1"/>
  <c r="P33" i="44"/>
  <c r="N34" i="44"/>
  <c r="E34" i="44"/>
  <c r="O34" i="44"/>
  <c r="N35" i="44"/>
  <c r="E35" i="44"/>
  <c r="O35" i="44" s="1"/>
  <c r="P35" i="44" s="1"/>
  <c r="N36" i="44"/>
  <c r="E36" i="44"/>
  <c r="O36" i="44" s="1"/>
  <c r="N37" i="44"/>
  <c r="P37" i="44" s="1"/>
  <c r="E37" i="44"/>
  <c r="O37" i="44" s="1"/>
  <c r="N38" i="44"/>
  <c r="E38" i="44"/>
  <c r="O38" i="44"/>
  <c r="N39" i="44"/>
  <c r="E39" i="44"/>
  <c r="O39" i="44" s="1"/>
  <c r="P39" i="44" s="1"/>
  <c r="N40" i="44"/>
  <c r="E40" i="44"/>
  <c r="O40" i="44" s="1"/>
  <c r="N41" i="44"/>
  <c r="E41" i="44"/>
  <c r="O41" i="44" s="1"/>
  <c r="P41" i="44"/>
  <c r="N42" i="44"/>
  <c r="E42" i="44"/>
  <c r="O42" i="44"/>
  <c r="P42" i="44" s="1"/>
  <c r="N43" i="44"/>
  <c r="P43" i="44" s="1"/>
  <c r="O43" i="44"/>
  <c r="N44" i="44"/>
  <c r="P44" i="44" s="1"/>
  <c r="O44" i="44"/>
  <c r="N45" i="44"/>
  <c r="O45" i="44"/>
  <c r="P45" i="44" s="1"/>
  <c r="N46" i="44"/>
  <c r="O46" i="44"/>
  <c r="N47" i="44"/>
  <c r="E47" i="44"/>
  <c r="O47" i="44"/>
  <c r="P47" i="44" s="1"/>
  <c r="N48" i="44"/>
  <c r="E48" i="44"/>
  <c r="O48" i="44" s="1"/>
  <c r="N49" i="44"/>
  <c r="N23" i="85"/>
  <c r="P23" i="85" s="1"/>
  <c r="Q23" i="85" s="1"/>
  <c r="O23" i="85"/>
  <c r="N24" i="85"/>
  <c r="O24" i="85"/>
  <c r="N25" i="85"/>
  <c r="P25" i="85" s="1"/>
  <c r="O25" i="85"/>
  <c r="N26" i="85"/>
  <c r="E26" i="85"/>
  <c r="O26" i="85" s="1"/>
  <c r="N27" i="85"/>
  <c r="N28" i="85"/>
  <c r="E61" i="85"/>
  <c r="E28" i="85" s="1"/>
  <c r="N29" i="85"/>
  <c r="O29" i="85"/>
  <c r="N30" i="85"/>
  <c r="E30" i="85"/>
  <c r="O30" i="85" s="1"/>
  <c r="N31" i="85"/>
  <c r="N32" i="85"/>
  <c r="N33" i="85"/>
  <c r="N34" i="85"/>
  <c r="N35" i="85"/>
  <c r="N36" i="85"/>
  <c r="N37" i="85"/>
  <c r="N38" i="85"/>
  <c r="N39" i="85"/>
  <c r="N23" i="87"/>
  <c r="O23" i="87"/>
  <c r="N24" i="87"/>
  <c r="O24" i="87"/>
  <c r="N25" i="87"/>
  <c r="O25" i="87"/>
  <c r="N26" i="87"/>
  <c r="E26" i="87"/>
  <c r="N27" i="87"/>
  <c r="N28" i="87"/>
  <c r="P28" i="87" s="1"/>
  <c r="O28" i="87"/>
  <c r="N29" i="87"/>
  <c r="O29" i="87"/>
  <c r="N30" i="87"/>
  <c r="O30" i="87"/>
  <c r="P30" i="87"/>
  <c r="N31" i="87"/>
  <c r="O31" i="87"/>
  <c r="P31" i="87"/>
  <c r="N32" i="87"/>
  <c r="P32" i="87" s="1"/>
  <c r="O32" i="87"/>
  <c r="N33" i="87"/>
  <c r="O33" i="87"/>
  <c r="N34" i="87"/>
  <c r="O34" i="87"/>
  <c r="P34" i="87"/>
  <c r="N35" i="87"/>
  <c r="O35" i="87"/>
  <c r="P35" i="87"/>
  <c r="N36" i="87"/>
  <c r="P36" i="87" s="1"/>
  <c r="O36" i="87"/>
  <c r="N37" i="87"/>
  <c r="O37" i="87"/>
  <c r="N38" i="87"/>
  <c r="O38" i="87"/>
  <c r="P38" i="87"/>
  <c r="N39" i="87"/>
  <c r="O39" i="87"/>
  <c r="P39" i="87"/>
  <c r="N40" i="87"/>
  <c r="P40" i="87" s="1"/>
  <c r="O40" i="87"/>
  <c r="N41" i="87"/>
  <c r="O41" i="87"/>
  <c r="N42" i="87"/>
  <c r="O42" i="87"/>
  <c r="P42" i="87"/>
  <c r="N43" i="87"/>
  <c r="O43" i="87"/>
  <c r="P43" i="87"/>
  <c r="N44" i="87"/>
  <c r="P44" i="87" s="1"/>
  <c r="O44" i="87"/>
  <c r="N45" i="87"/>
  <c r="O45" i="87"/>
  <c r="N46" i="87"/>
  <c r="O46" i="87"/>
  <c r="P46" i="87"/>
  <c r="N47" i="87"/>
  <c r="O47" i="87"/>
  <c r="P47" i="87"/>
  <c r="N48" i="87"/>
  <c r="P48" i="87" s="1"/>
  <c r="O48" i="87"/>
  <c r="N49" i="87"/>
  <c r="O49" i="87"/>
  <c r="O50" i="87"/>
  <c r="O51" i="87"/>
  <c r="O52" i="87"/>
  <c r="O53" i="87"/>
  <c r="O54" i="87"/>
  <c r="N23" i="86"/>
  <c r="O23" i="86"/>
  <c r="N24" i="86"/>
  <c r="O24" i="86"/>
  <c r="N25" i="86"/>
  <c r="O25" i="86"/>
  <c r="N26" i="86"/>
  <c r="O26" i="86"/>
  <c r="N27" i="86"/>
  <c r="E27" i="86"/>
  <c r="O27" i="86" s="1"/>
  <c r="N28" i="86"/>
  <c r="E28" i="86"/>
  <c r="O28" i="86" s="1"/>
  <c r="N29" i="86"/>
  <c r="O29" i="86"/>
  <c r="N30" i="86"/>
  <c r="E30" i="86"/>
  <c r="E31" i="86" s="1"/>
  <c r="O31" i="86" s="1"/>
  <c r="P31" i="86" s="1"/>
  <c r="O30" i="86"/>
  <c r="N31" i="86"/>
  <c r="N32" i="86"/>
  <c r="E32" i="86"/>
  <c r="N33" i="86"/>
  <c r="N34" i="86"/>
  <c r="N35" i="86"/>
  <c r="N36" i="86"/>
  <c r="N23" i="88"/>
  <c r="O23" i="88"/>
  <c r="N24" i="88"/>
  <c r="O24" i="88"/>
  <c r="P24" i="88"/>
  <c r="N25" i="88"/>
  <c r="O25" i="88"/>
  <c r="P25" i="88"/>
  <c r="N26" i="88"/>
  <c r="O26" i="88"/>
  <c r="N27" i="88"/>
  <c r="E27" i="88"/>
  <c r="O27" i="88"/>
  <c r="P27" i="88" s="1"/>
  <c r="N28" i="88"/>
  <c r="O28" i="88"/>
  <c r="N29" i="88"/>
  <c r="O29" i="88"/>
  <c r="N30" i="88"/>
  <c r="O30" i="88"/>
  <c r="N31" i="88"/>
  <c r="O31" i="88"/>
  <c r="N32" i="88"/>
  <c r="O32" i="88"/>
  <c r="N33" i="88"/>
  <c r="O33" i="88"/>
  <c r="N34" i="88"/>
  <c r="O34" i="88"/>
  <c r="N35" i="88"/>
  <c r="O35" i="88"/>
  <c r="N36" i="88"/>
  <c r="O36" i="88"/>
  <c r="N37" i="88"/>
  <c r="O37" i="88"/>
  <c r="N38" i="88"/>
  <c r="O38" i="88"/>
  <c r="N39" i="88"/>
  <c r="O39" i="88"/>
  <c r="N40" i="88"/>
  <c r="O40" i="88"/>
  <c r="N41" i="88"/>
  <c r="O41" i="88"/>
  <c r="N42" i="88"/>
  <c r="O42" i="88"/>
  <c r="N43" i="88"/>
  <c r="O43" i="88"/>
  <c r="N44" i="88"/>
  <c r="O44" i="88"/>
  <c r="N45" i="88"/>
  <c r="O45" i="88"/>
  <c r="N46" i="88"/>
  <c r="O46" i="88"/>
  <c r="N47" i="88"/>
  <c r="O47" i="88"/>
  <c r="N48" i="88"/>
  <c r="O48" i="88"/>
  <c r="N49" i="88"/>
  <c r="O49" i="88"/>
  <c r="O50" i="88"/>
  <c r="O51" i="88"/>
  <c r="O52" i="88"/>
  <c r="O53" i="88"/>
  <c r="O54" i="88"/>
  <c r="N23" i="104"/>
  <c r="E23" i="104"/>
  <c r="O23" i="104"/>
  <c r="N24" i="104"/>
  <c r="E24" i="104"/>
  <c r="E25" i="104" s="1"/>
  <c r="O24" i="104"/>
  <c r="P24" i="104" s="1"/>
  <c r="N25" i="104"/>
  <c r="N26" i="104"/>
  <c r="N27" i="104"/>
  <c r="N28" i="104"/>
  <c r="N29" i="104"/>
  <c r="O29" i="104"/>
  <c r="N30" i="104"/>
  <c r="O30" i="104"/>
  <c r="N31" i="104"/>
  <c r="O31" i="104"/>
  <c r="N32" i="104"/>
  <c r="O32" i="104"/>
  <c r="N33" i="104"/>
  <c r="O33" i="104"/>
  <c r="N34" i="104"/>
  <c r="O34" i="104"/>
  <c r="N35" i="104"/>
  <c r="O35" i="104"/>
  <c r="N36" i="104"/>
  <c r="O36" i="104"/>
  <c r="N37" i="104"/>
  <c r="O37" i="104"/>
  <c r="N38" i="104"/>
  <c r="O38" i="104"/>
  <c r="N39" i="104"/>
  <c r="O39" i="104"/>
  <c r="N40" i="104"/>
  <c r="O40" i="104"/>
  <c r="N41" i="104"/>
  <c r="O41" i="104"/>
  <c r="N42" i="104"/>
  <c r="O42" i="104"/>
  <c r="N43" i="104"/>
  <c r="O43" i="104"/>
  <c r="N44" i="104"/>
  <c r="O44" i="104"/>
  <c r="N45" i="104"/>
  <c r="O45" i="104"/>
  <c r="N46" i="104"/>
  <c r="O46" i="104"/>
  <c r="N47" i="104"/>
  <c r="O47" i="104"/>
  <c r="N48" i="104"/>
  <c r="O48" i="104"/>
  <c r="O49" i="104"/>
  <c r="O50" i="104"/>
  <c r="O51" i="104"/>
  <c r="O52" i="104"/>
  <c r="O53" i="104"/>
  <c r="O54" i="104"/>
  <c r="N23" i="89"/>
  <c r="O23" i="89"/>
  <c r="N24" i="89"/>
  <c r="E24" i="89"/>
  <c r="E25" i="89" s="1"/>
  <c r="O24" i="89"/>
  <c r="P24" i="89" s="1"/>
  <c r="N25" i="89"/>
  <c r="N26" i="89"/>
  <c r="N27" i="89"/>
  <c r="N28" i="89"/>
  <c r="O28" i="89"/>
  <c r="P28" i="89"/>
  <c r="N29" i="89"/>
  <c r="O29" i="89"/>
  <c r="P29" i="89"/>
  <c r="N30" i="89"/>
  <c r="P30" i="89" s="1"/>
  <c r="O30" i="89"/>
  <c r="N31" i="89"/>
  <c r="O31" i="89"/>
  <c r="N32" i="89"/>
  <c r="O32" i="89"/>
  <c r="P32" i="89"/>
  <c r="N33" i="89"/>
  <c r="O33" i="89"/>
  <c r="P33" i="89"/>
  <c r="N34" i="89"/>
  <c r="P34" i="89" s="1"/>
  <c r="O34" i="89"/>
  <c r="O35" i="89"/>
  <c r="O36" i="89"/>
  <c r="O37" i="89"/>
  <c r="O38" i="89"/>
  <c r="O39" i="89"/>
  <c r="O40" i="89"/>
  <c r="O41" i="89"/>
  <c r="O42" i="89"/>
  <c r="O43" i="89"/>
  <c r="O44" i="89"/>
  <c r="O45" i="89"/>
  <c r="O46" i="89"/>
  <c r="O47" i="89"/>
  <c r="O48" i="89"/>
  <c r="O49" i="89"/>
  <c r="O50" i="89"/>
  <c r="O51" i="89"/>
  <c r="O52" i="89"/>
  <c r="O53" i="89"/>
  <c r="O54" i="89"/>
  <c r="AN23" i="69"/>
  <c r="AN76" i="69" s="1"/>
  <c r="X22" i="68"/>
  <c r="X75" i="68" s="1"/>
  <c r="AM22" i="69"/>
  <c r="AM75" i="69" s="1"/>
  <c r="AN22" i="69"/>
  <c r="AN75" i="69"/>
  <c r="J21" i="69"/>
  <c r="J74" i="69" s="1"/>
  <c r="M21" i="69"/>
  <c r="M74" i="69"/>
  <c r="N21" i="69"/>
  <c r="N74" i="69" s="1"/>
  <c r="O21" i="69"/>
  <c r="O74" i="69"/>
  <c r="P21" i="69"/>
  <c r="P74" i="69" s="1"/>
  <c r="Q21" i="69"/>
  <c r="Q74" i="69"/>
  <c r="U21" i="68"/>
  <c r="U74" i="68" s="1"/>
  <c r="X21" i="68"/>
  <c r="X74" i="68" s="1"/>
  <c r="AA21" i="68"/>
  <c r="AA74" i="68"/>
  <c r="AG21" i="69"/>
  <c r="AG74" i="69" s="1"/>
  <c r="AJ21" i="69"/>
  <c r="AJ74" i="69" s="1"/>
  <c r="AM21" i="69"/>
  <c r="AM74" i="69" s="1"/>
  <c r="AN21" i="69"/>
  <c r="AN74" i="69" s="1"/>
  <c r="AY21" i="68"/>
  <c r="AY74" i="68" s="1"/>
  <c r="AZ21" i="68"/>
  <c r="AZ74" i="68"/>
  <c r="J20" i="69"/>
  <c r="J73" i="69" s="1"/>
  <c r="K20" i="69"/>
  <c r="K73" i="69" s="1"/>
  <c r="L20" i="69"/>
  <c r="L73" i="69" s="1"/>
  <c r="M20" i="69"/>
  <c r="M73" i="69" s="1"/>
  <c r="N20" i="69"/>
  <c r="N73" i="69" s="1"/>
  <c r="O20" i="69"/>
  <c r="O73" i="69" s="1"/>
  <c r="P20" i="69"/>
  <c r="P73" i="69" s="1"/>
  <c r="Q20" i="69"/>
  <c r="Q73" i="69" s="1"/>
  <c r="H20" i="68"/>
  <c r="H73" i="68"/>
  <c r="I20" i="68"/>
  <c r="I73" i="68"/>
  <c r="P20" i="68"/>
  <c r="P73" i="68"/>
  <c r="Q20" i="68"/>
  <c r="Q73" i="68"/>
  <c r="S20" i="68"/>
  <c r="S73" i="68"/>
  <c r="U20" i="68"/>
  <c r="U73" i="68"/>
  <c r="V20" i="68"/>
  <c r="V73" i="68"/>
  <c r="W20" i="68"/>
  <c r="W73" i="68"/>
  <c r="X20" i="68"/>
  <c r="X73" i="68"/>
  <c r="Y20" i="68"/>
  <c r="Y73" i="68"/>
  <c r="Z20" i="68"/>
  <c r="Z73" i="68"/>
  <c r="AA20" i="68"/>
  <c r="AA73" i="68"/>
  <c r="AG20" i="69"/>
  <c r="AG73" i="69" s="1"/>
  <c r="AH20" i="69"/>
  <c r="AH73" i="69" s="1"/>
  <c r="AI20" i="69"/>
  <c r="AI73" i="69" s="1"/>
  <c r="AJ20" i="69"/>
  <c r="AJ73" i="69" s="1"/>
  <c r="AK20" i="69"/>
  <c r="AK73" i="69" s="1"/>
  <c r="AL20" i="69"/>
  <c r="AL73" i="69" s="1"/>
  <c r="AM20" i="69"/>
  <c r="AM73" i="69" s="1"/>
  <c r="AN20" i="69"/>
  <c r="AN73" i="69" s="1"/>
  <c r="AQ20" i="68"/>
  <c r="AQ73" i="68"/>
  <c r="AR20" i="68"/>
  <c r="AR73" i="68"/>
  <c r="AY20" i="68"/>
  <c r="AY73" i="68"/>
  <c r="AZ20" i="68"/>
  <c r="AZ73" i="68"/>
  <c r="BB20" i="68"/>
  <c r="BB73" i="68"/>
  <c r="BD20" i="68"/>
  <c r="BD73" i="68"/>
  <c r="BE20" i="68"/>
  <c r="BE73" i="68"/>
  <c r="BF20" i="68"/>
  <c r="BF73" i="68"/>
  <c r="BG20" i="68"/>
  <c r="BG73" i="68"/>
  <c r="BH20" i="68"/>
  <c r="BH73" i="68"/>
  <c r="BI20" i="68"/>
  <c r="BI73" i="68"/>
  <c r="BJ20" i="68"/>
  <c r="BJ73" i="68"/>
  <c r="G19" i="69"/>
  <c r="G72" i="69" s="1"/>
  <c r="J19" i="69"/>
  <c r="J72" i="69" s="1"/>
  <c r="K19" i="69"/>
  <c r="K72" i="69" s="1"/>
  <c r="L19" i="69"/>
  <c r="L72" i="69" s="1"/>
  <c r="M19" i="69"/>
  <c r="M72" i="69" s="1"/>
  <c r="N19" i="69"/>
  <c r="N72" i="69" s="1"/>
  <c r="O19" i="69"/>
  <c r="O72" i="69" s="1"/>
  <c r="P19" i="69"/>
  <c r="P72" i="69" s="1"/>
  <c r="Q19" i="69"/>
  <c r="Q72" i="69" s="1"/>
  <c r="H19" i="68"/>
  <c r="H72" i="68" s="1"/>
  <c r="I19" i="68"/>
  <c r="I72" i="68"/>
  <c r="P19" i="68"/>
  <c r="P72" i="68"/>
  <c r="Q19" i="68"/>
  <c r="Q72" i="68" s="1"/>
  <c r="S19" i="68"/>
  <c r="S72" i="68"/>
  <c r="U19" i="68"/>
  <c r="U72" i="68" s="1"/>
  <c r="V19" i="68"/>
  <c r="V72" i="68"/>
  <c r="W19" i="68"/>
  <c r="W72" i="68" s="1"/>
  <c r="X19" i="68"/>
  <c r="X72" i="68"/>
  <c r="Y19" i="68"/>
  <c r="Y72" i="68" s="1"/>
  <c r="Z19" i="68"/>
  <c r="Z72" i="68"/>
  <c r="AA19" i="68"/>
  <c r="AA72" i="68" s="1"/>
  <c r="AD19" i="69"/>
  <c r="AD72" i="69" s="1"/>
  <c r="AG19" i="69"/>
  <c r="AG72" i="69" s="1"/>
  <c r="AH19" i="69"/>
  <c r="AH72" i="69" s="1"/>
  <c r="AI19" i="69"/>
  <c r="AI72" i="69" s="1"/>
  <c r="AJ19" i="69"/>
  <c r="AJ72" i="69" s="1"/>
  <c r="AK19" i="69"/>
  <c r="AK72" i="69" s="1"/>
  <c r="AL19" i="69"/>
  <c r="AL72" i="69" s="1"/>
  <c r="AM19" i="69"/>
  <c r="AM72" i="69" s="1"/>
  <c r="AN19" i="69"/>
  <c r="AN72" i="69" s="1"/>
  <c r="AQ19" i="68"/>
  <c r="AQ72" i="68"/>
  <c r="AR19" i="68"/>
  <c r="AR72" i="68"/>
  <c r="AY19" i="68"/>
  <c r="AY72" i="68"/>
  <c r="AZ19" i="68"/>
  <c r="AZ72" i="68"/>
  <c r="BB19" i="68"/>
  <c r="BB72" i="68"/>
  <c r="BD19" i="68"/>
  <c r="BD72" i="68"/>
  <c r="BE19" i="68"/>
  <c r="BE72" i="68"/>
  <c r="BF19" i="68"/>
  <c r="BF72" i="68"/>
  <c r="BG19" i="68"/>
  <c r="BG72" i="68"/>
  <c r="BH19" i="68"/>
  <c r="BH72" i="68"/>
  <c r="BI19" i="68"/>
  <c r="BI72" i="68"/>
  <c r="BJ19" i="68"/>
  <c r="BJ72" i="68"/>
  <c r="G18" i="69"/>
  <c r="G71" i="69" s="1"/>
  <c r="J18" i="69"/>
  <c r="J71" i="69" s="1"/>
  <c r="K18" i="69"/>
  <c r="K71" i="69" s="1"/>
  <c r="L18" i="69"/>
  <c r="L71" i="69" s="1"/>
  <c r="M18" i="69"/>
  <c r="M71" i="69" s="1"/>
  <c r="N18" i="69"/>
  <c r="N71" i="69" s="1"/>
  <c r="O18" i="69"/>
  <c r="O71" i="69" s="1"/>
  <c r="P18" i="69"/>
  <c r="P71" i="69" s="1"/>
  <c r="Q18" i="69"/>
  <c r="Q71" i="69" s="1"/>
  <c r="H18" i="68"/>
  <c r="H71" i="68"/>
  <c r="I18" i="68"/>
  <c r="I71" i="68" s="1"/>
  <c r="P18" i="68"/>
  <c r="P71" i="68" s="1"/>
  <c r="Q18" i="68"/>
  <c r="Q71" i="68"/>
  <c r="S18" i="68"/>
  <c r="S71" i="68" s="1"/>
  <c r="U18" i="68"/>
  <c r="U71" i="68"/>
  <c r="V18" i="68"/>
  <c r="V71" i="68" s="1"/>
  <c r="W18" i="68"/>
  <c r="W71" i="68"/>
  <c r="X18" i="68"/>
  <c r="X71" i="68" s="1"/>
  <c r="Y18" i="68"/>
  <c r="Y71" i="68"/>
  <c r="Z18" i="68"/>
  <c r="Z71" i="68" s="1"/>
  <c r="AA18" i="68"/>
  <c r="AA71" i="68"/>
  <c r="AD18" i="69"/>
  <c r="AD71" i="69" s="1"/>
  <c r="AG18" i="69"/>
  <c r="AG71" i="69" s="1"/>
  <c r="AH18" i="69"/>
  <c r="AH71" i="69" s="1"/>
  <c r="AI18" i="69"/>
  <c r="AI71" i="69" s="1"/>
  <c r="AJ18" i="69"/>
  <c r="AJ71" i="69" s="1"/>
  <c r="AK18" i="69"/>
  <c r="AK71" i="69" s="1"/>
  <c r="AL18" i="69"/>
  <c r="AL71" i="69" s="1"/>
  <c r="AM18" i="69"/>
  <c r="AM71" i="69" s="1"/>
  <c r="AN18" i="69"/>
  <c r="AN71" i="69" s="1"/>
  <c r="AQ18" i="68"/>
  <c r="AQ71" i="68"/>
  <c r="AR18" i="68"/>
  <c r="AR71" i="68"/>
  <c r="AY18" i="68"/>
  <c r="AY71" i="68"/>
  <c r="AZ18" i="68"/>
  <c r="AZ71" i="68"/>
  <c r="BB18" i="68"/>
  <c r="BB71" i="68"/>
  <c r="BD18" i="68"/>
  <c r="BD71" i="68"/>
  <c r="BE18" i="68"/>
  <c r="BE71" i="68"/>
  <c r="BF18" i="68"/>
  <c r="BF71" i="68"/>
  <c r="BG18" i="68"/>
  <c r="BG71" i="68"/>
  <c r="BH18" i="68"/>
  <c r="BH71" i="68"/>
  <c r="BI18" i="68"/>
  <c r="BI71" i="68"/>
  <c r="BJ18" i="68"/>
  <c r="BJ71" i="68"/>
  <c r="G17" i="69"/>
  <c r="G70" i="69" s="1"/>
  <c r="J17" i="69"/>
  <c r="J70" i="69" s="1"/>
  <c r="K17" i="69"/>
  <c r="K70" i="69" s="1"/>
  <c r="L17" i="69"/>
  <c r="L70" i="69" s="1"/>
  <c r="M17" i="69"/>
  <c r="M70" i="69" s="1"/>
  <c r="N17" i="69"/>
  <c r="N70" i="69" s="1"/>
  <c r="O17" i="69"/>
  <c r="O70" i="69" s="1"/>
  <c r="P17" i="69"/>
  <c r="P70" i="69" s="1"/>
  <c r="Q17" i="69"/>
  <c r="Q70" i="69" s="1"/>
  <c r="H17" i="68"/>
  <c r="H70" i="68" s="1"/>
  <c r="I17" i="68"/>
  <c r="I70" i="68" s="1"/>
  <c r="P17" i="68"/>
  <c r="P70" i="68" s="1"/>
  <c r="Q17" i="68"/>
  <c r="Q70" i="68" s="1"/>
  <c r="S17" i="68"/>
  <c r="S70" i="68" s="1"/>
  <c r="U17" i="68"/>
  <c r="U70" i="68" s="1"/>
  <c r="V17" i="68"/>
  <c r="V70" i="68" s="1"/>
  <c r="W17" i="68"/>
  <c r="W70" i="68" s="1"/>
  <c r="X17" i="68"/>
  <c r="X70" i="68" s="1"/>
  <c r="Y17" i="68"/>
  <c r="Y70" i="68" s="1"/>
  <c r="Z17" i="68"/>
  <c r="Z70" i="68" s="1"/>
  <c r="AA17" i="68"/>
  <c r="AA70" i="68" s="1"/>
  <c r="AD17" i="69"/>
  <c r="AD70" i="69" s="1"/>
  <c r="AG17" i="69"/>
  <c r="AG70" i="69" s="1"/>
  <c r="AH17" i="69"/>
  <c r="AH70" i="69" s="1"/>
  <c r="AI17" i="69"/>
  <c r="AI70" i="69" s="1"/>
  <c r="AJ17" i="69"/>
  <c r="AJ70" i="69" s="1"/>
  <c r="AK17" i="69"/>
  <c r="AK70" i="69" s="1"/>
  <c r="AL17" i="69"/>
  <c r="AL70" i="69" s="1"/>
  <c r="AM17" i="69"/>
  <c r="AM70" i="69" s="1"/>
  <c r="AN17" i="69"/>
  <c r="AN70" i="69" s="1"/>
  <c r="AQ17" i="68"/>
  <c r="AQ70" i="68"/>
  <c r="AR17" i="68"/>
  <c r="AR70" i="68"/>
  <c r="AY17" i="68"/>
  <c r="AY70" i="68"/>
  <c r="AZ17" i="68"/>
  <c r="AZ70" i="68"/>
  <c r="BB17" i="68"/>
  <c r="BB70" i="68"/>
  <c r="BD17" i="68"/>
  <c r="BD70" i="68"/>
  <c r="BE17" i="68"/>
  <c r="BE70" i="68"/>
  <c r="BF17" i="68"/>
  <c r="BF70" i="68"/>
  <c r="BG17" i="68"/>
  <c r="BG70" i="68"/>
  <c r="BH17" i="68"/>
  <c r="BH70" i="68"/>
  <c r="BI17" i="68"/>
  <c r="BI70" i="68"/>
  <c r="BJ17" i="68"/>
  <c r="BJ70" i="68"/>
  <c r="G16" i="69"/>
  <c r="G69" i="69" s="1"/>
  <c r="J16" i="69"/>
  <c r="J69" i="69" s="1"/>
  <c r="K16" i="69"/>
  <c r="K69" i="69" s="1"/>
  <c r="L16" i="69"/>
  <c r="L69" i="69" s="1"/>
  <c r="M16" i="69"/>
  <c r="M69" i="69" s="1"/>
  <c r="N16" i="69"/>
  <c r="N69" i="69" s="1"/>
  <c r="O16" i="69"/>
  <c r="O69" i="69" s="1"/>
  <c r="P16" i="69"/>
  <c r="P69" i="69" s="1"/>
  <c r="Q16" i="69"/>
  <c r="Q69" i="69" s="1"/>
  <c r="H16" i="68"/>
  <c r="H69" i="68" s="1"/>
  <c r="I16" i="68"/>
  <c r="I69" i="68" s="1"/>
  <c r="P16" i="68"/>
  <c r="P69" i="68" s="1"/>
  <c r="Q16" i="68"/>
  <c r="Q69" i="68" s="1"/>
  <c r="S16" i="68"/>
  <c r="S69" i="68" s="1"/>
  <c r="U16" i="68"/>
  <c r="U69" i="68" s="1"/>
  <c r="V16" i="68"/>
  <c r="V69" i="68" s="1"/>
  <c r="W16" i="68"/>
  <c r="W69" i="68" s="1"/>
  <c r="X16" i="68"/>
  <c r="X69" i="68" s="1"/>
  <c r="Y16" i="68"/>
  <c r="Y69" i="68" s="1"/>
  <c r="Z16" i="68"/>
  <c r="Z69" i="68" s="1"/>
  <c r="AA16" i="68"/>
  <c r="AA69" i="68" s="1"/>
  <c r="AD16" i="69"/>
  <c r="AD69" i="69" s="1"/>
  <c r="AG16" i="69"/>
  <c r="AG69" i="69" s="1"/>
  <c r="AH16" i="69"/>
  <c r="AH69" i="69" s="1"/>
  <c r="AI16" i="69"/>
  <c r="AI69" i="69" s="1"/>
  <c r="AJ16" i="69"/>
  <c r="AJ69" i="69" s="1"/>
  <c r="AK16" i="69"/>
  <c r="AK69" i="69" s="1"/>
  <c r="AL16" i="69"/>
  <c r="AL69" i="69" s="1"/>
  <c r="AM16" i="69"/>
  <c r="AM69" i="69" s="1"/>
  <c r="AN16" i="69"/>
  <c r="AN69" i="69" s="1"/>
  <c r="AQ16" i="68"/>
  <c r="AQ69" i="68"/>
  <c r="AR16" i="68"/>
  <c r="AR69" i="68"/>
  <c r="AY16" i="68"/>
  <c r="AY69" i="68"/>
  <c r="AZ16" i="68"/>
  <c r="AZ69" i="68"/>
  <c r="BB16" i="68"/>
  <c r="BB69" i="68"/>
  <c r="BD16" i="68"/>
  <c r="BD69" i="68"/>
  <c r="BE16" i="68"/>
  <c r="BE69" i="68"/>
  <c r="BF16" i="68"/>
  <c r="BF69" i="68"/>
  <c r="BG16" i="68"/>
  <c r="BG69" i="68"/>
  <c r="BH16" i="68"/>
  <c r="BH69" i="68"/>
  <c r="BI16" i="68"/>
  <c r="BI69" i="68"/>
  <c r="BJ16" i="68"/>
  <c r="BJ69" i="68"/>
  <c r="G15" i="69"/>
  <c r="G68" i="69" s="1"/>
  <c r="J15" i="69"/>
  <c r="J68" i="69" s="1"/>
  <c r="K15" i="69"/>
  <c r="K68" i="69" s="1"/>
  <c r="L15" i="69"/>
  <c r="L68" i="69" s="1"/>
  <c r="M15" i="69"/>
  <c r="M68" i="69" s="1"/>
  <c r="N15" i="69"/>
  <c r="N68" i="69" s="1"/>
  <c r="O15" i="69"/>
  <c r="O68" i="69" s="1"/>
  <c r="P15" i="69"/>
  <c r="P68" i="69" s="1"/>
  <c r="Q15" i="69"/>
  <c r="Q68" i="69" s="1"/>
  <c r="H15" i="68"/>
  <c r="H68" i="68" s="1"/>
  <c r="I15" i="68"/>
  <c r="I68" i="68"/>
  <c r="P15" i="68"/>
  <c r="P68" i="68" s="1"/>
  <c r="Q15" i="68"/>
  <c r="Q68" i="68" s="1"/>
  <c r="S15" i="68"/>
  <c r="S68" i="68" s="1"/>
  <c r="U15" i="68"/>
  <c r="U68" i="68" s="1"/>
  <c r="V15" i="68"/>
  <c r="V68" i="68"/>
  <c r="W15" i="68"/>
  <c r="W68" i="68" s="1"/>
  <c r="X15" i="68"/>
  <c r="X68" i="68"/>
  <c r="Y15" i="68"/>
  <c r="Y68" i="68" s="1"/>
  <c r="Z15" i="68"/>
  <c r="Z68" i="68" s="1"/>
  <c r="AA15" i="68"/>
  <c r="AA68" i="68"/>
  <c r="AD15" i="69"/>
  <c r="AD68" i="69" s="1"/>
  <c r="AG15" i="69"/>
  <c r="AG68" i="69" s="1"/>
  <c r="AH15" i="69"/>
  <c r="AH68" i="69" s="1"/>
  <c r="AI15" i="69"/>
  <c r="AI68" i="69" s="1"/>
  <c r="AJ15" i="69"/>
  <c r="AJ68" i="69" s="1"/>
  <c r="AK15" i="69"/>
  <c r="AK68" i="69" s="1"/>
  <c r="AL15" i="69"/>
  <c r="AL68" i="69" s="1"/>
  <c r="AM15" i="69"/>
  <c r="AM68" i="69" s="1"/>
  <c r="AN15" i="69"/>
  <c r="AN68" i="69" s="1"/>
  <c r="AQ15" i="68"/>
  <c r="AQ68" i="68" s="1"/>
  <c r="AR15" i="68"/>
  <c r="AR68" i="68"/>
  <c r="AY15" i="68"/>
  <c r="AY68" i="68" s="1"/>
  <c r="AZ15" i="68"/>
  <c r="AZ68" i="68"/>
  <c r="BB15" i="68"/>
  <c r="BB68" i="68" s="1"/>
  <c r="BD15" i="68"/>
  <c r="BD68" i="68"/>
  <c r="BE15" i="68"/>
  <c r="BE68" i="68" s="1"/>
  <c r="BF15" i="68"/>
  <c r="BF68" i="68"/>
  <c r="BG15" i="68"/>
  <c r="BG68" i="68" s="1"/>
  <c r="BH15" i="68"/>
  <c r="BH68" i="68"/>
  <c r="BI15" i="68"/>
  <c r="BI68" i="68" s="1"/>
  <c r="BJ15" i="68"/>
  <c r="BJ68" i="68"/>
  <c r="G14" i="69"/>
  <c r="G67" i="69" s="1"/>
  <c r="J14" i="69"/>
  <c r="J67" i="69" s="1"/>
  <c r="K14" i="69"/>
  <c r="K67" i="69" s="1"/>
  <c r="L14" i="69"/>
  <c r="L67" i="69" s="1"/>
  <c r="M14" i="69"/>
  <c r="M67" i="69" s="1"/>
  <c r="N14" i="69"/>
  <c r="N67" i="69" s="1"/>
  <c r="O14" i="69"/>
  <c r="O67" i="69" s="1"/>
  <c r="P14" i="69"/>
  <c r="P67" i="69" s="1"/>
  <c r="Q14" i="69"/>
  <c r="Q67" i="69" s="1"/>
  <c r="H14" i="68"/>
  <c r="H67" i="68" s="1"/>
  <c r="I14" i="68"/>
  <c r="I67" i="68"/>
  <c r="P14" i="68"/>
  <c r="P67" i="68"/>
  <c r="Q14" i="68"/>
  <c r="Q67" i="68" s="1"/>
  <c r="S14" i="68"/>
  <c r="S67" i="68"/>
  <c r="U14" i="68"/>
  <c r="U67" i="68" s="1"/>
  <c r="V14" i="68"/>
  <c r="V67" i="68"/>
  <c r="W14" i="68"/>
  <c r="W67" i="68" s="1"/>
  <c r="X14" i="68"/>
  <c r="X67" i="68"/>
  <c r="Y14" i="68"/>
  <c r="Y67" i="68" s="1"/>
  <c r="Z14" i="68"/>
  <c r="Z67" i="68"/>
  <c r="AA14" i="68"/>
  <c r="AA67" i="68" s="1"/>
  <c r="AD14" i="69"/>
  <c r="AD67" i="69" s="1"/>
  <c r="AG14" i="69"/>
  <c r="AG67" i="69" s="1"/>
  <c r="AH14" i="69"/>
  <c r="AH67" i="69" s="1"/>
  <c r="AI14" i="69"/>
  <c r="AI67" i="69" s="1"/>
  <c r="AJ14" i="69"/>
  <c r="AJ67" i="69" s="1"/>
  <c r="AK14" i="69"/>
  <c r="AK67" i="69" s="1"/>
  <c r="AL14" i="69"/>
  <c r="AL67" i="69" s="1"/>
  <c r="AM14" i="69"/>
  <c r="AM67" i="69" s="1"/>
  <c r="AN14" i="69"/>
  <c r="AN67" i="69" s="1"/>
  <c r="AQ14" i="68"/>
  <c r="AQ67" i="68"/>
  <c r="AR14" i="68"/>
  <c r="AR67" i="68" s="1"/>
  <c r="AY14" i="68"/>
  <c r="AY67" i="68"/>
  <c r="AZ14" i="68"/>
  <c r="AZ67" i="68" s="1"/>
  <c r="BB14" i="68"/>
  <c r="BB67" i="68"/>
  <c r="BD14" i="68"/>
  <c r="BD67" i="68" s="1"/>
  <c r="BE14" i="68"/>
  <c r="BE67" i="68"/>
  <c r="BF14" i="68"/>
  <c r="BF67" i="68" s="1"/>
  <c r="BG14" i="68"/>
  <c r="BG67" i="68"/>
  <c r="BH14" i="68"/>
  <c r="BH67" i="68" s="1"/>
  <c r="BI14" i="68"/>
  <c r="BI67" i="68"/>
  <c r="BJ14" i="68"/>
  <c r="BJ67" i="68" s="1"/>
  <c r="G13" i="69"/>
  <c r="G66" i="69" s="1"/>
  <c r="J13" i="69"/>
  <c r="J66" i="69" s="1"/>
  <c r="K13" i="69"/>
  <c r="K66" i="69" s="1"/>
  <c r="L13" i="69"/>
  <c r="L66" i="69" s="1"/>
  <c r="M13" i="69"/>
  <c r="M66" i="69" s="1"/>
  <c r="N13" i="69"/>
  <c r="N66" i="69" s="1"/>
  <c r="O13" i="69"/>
  <c r="O66" i="69" s="1"/>
  <c r="P13" i="69"/>
  <c r="P66" i="69" s="1"/>
  <c r="Q13" i="69"/>
  <c r="Q66" i="69" s="1"/>
  <c r="H13" i="68"/>
  <c r="H66" i="68"/>
  <c r="I13" i="68"/>
  <c r="I66" i="68" s="1"/>
  <c r="P13" i="68"/>
  <c r="P66" i="68" s="1"/>
  <c r="Q13" i="68"/>
  <c r="Q66" i="68"/>
  <c r="S13" i="68"/>
  <c r="S66" i="68" s="1"/>
  <c r="U13" i="68"/>
  <c r="U66" i="68"/>
  <c r="V13" i="68"/>
  <c r="V66" i="68" s="1"/>
  <c r="W13" i="68"/>
  <c r="W66" i="68"/>
  <c r="X13" i="68"/>
  <c r="X66" i="68" s="1"/>
  <c r="Y13" i="68"/>
  <c r="Y66" i="68"/>
  <c r="Z13" i="68"/>
  <c r="Z66" i="68" s="1"/>
  <c r="AA13" i="68"/>
  <c r="AA66" i="68"/>
  <c r="AD13" i="69"/>
  <c r="AD66" i="69" s="1"/>
  <c r="AG13" i="69"/>
  <c r="AG66" i="69" s="1"/>
  <c r="AH13" i="69"/>
  <c r="AH66" i="69" s="1"/>
  <c r="AI13" i="69"/>
  <c r="AI66" i="69" s="1"/>
  <c r="AJ13" i="69"/>
  <c r="AJ66" i="69" s="1"/>
  <c r="AK13" i="69"/>
  <c r="AK66" i="69" s="1"/>
  <c r="AL13" i="69"/>
  <c r="AL66" i="69" s="1"/>
  <c r="AM13" i="69"/>
  <c r="AM66" i="69" s="1"/>
  <c r="AN13" i="69"/>
  <c r="AN66" i="69" s="1"/>
  <c r="AQ13" i="68"/>
  <c r="AQ66" i="68" s="1"/>
  <c r="AR13" i="68"/>
  <c r="AR66" i="68"/>
  <c r="AY13" i="68"/>
  <c r="AY66" i="68" s="1"/>
  <c r="AZ13" i="68"/>
  <c r="AZ66" i="68"/>
  <c r="BB13" i="68"/>
  <c r="BB66" i="68" s="1"/>
  <c r="BD13" i="68"/>
  <c r="BD66" i="68"/>
  <c r="BE13" i="68"/>
  <c r="BE66" i="68" s="1"/>
  <c r="BF13" i="68"/>
  <c r="BF66" i="68"/>
  <c r="BG13" i="68"/>
  <c r="BG66" i="68" s="1"/>
  <c r="BH13" i="68"/>
  <c r="BH66" i="68"/>
  <c r="BI13" i="68"/>
  <c r="BI66" i="68" s="1"/>
  <c r="BJ13" i="68"/>
  <c r="BJ66" i="68"/>
  <c r="G12" i="69"/>
  <c r="G65" i="69" s="1"/>
  <c r="J12" i="69"/>
  <c r="J65" i="69" s="1"/>
  <c r="K12" i="69"/>
  <c r="K65" i="69" s="1"/>
  <c r="L12" i="69"/>
  <c r="L65" i="69" s="1"/>
  <c r="M12" i="69"/>
  <c r="M65" i="69" s="1"/>
  <c r="N12" i="69"/>
  <c r="N65" i="69" s="1"/>
  <c r="O12" i="69"/>
  <c r="O65" i="69" s="1"/>
  <c r="P12" i="69"/>
  <c r="P65" i="69" s="1"/>
  <c r="Q12" i="69"/>
  <c r="Q65" i="69" s="1"/>
  <c r="H12" i="68"/>
  <c r="H65" i="68"/>
  <c r="I12" i="68"/>
  <c r="I65" i="68"/>
  <c r="P12" i="68"/>
  <c r="P65" i="68"/>
  <c r="Q12" i="68"/>
  <c r="Q65" i="68"/>
  <c r="S12" i="68"/>
  <c r="S65" i="68"/>
  <c r="U12" i="68"/>
  <c r="U65" i="68"/>
  <c r="V12" i="68"/>
  <c r="V65" i="68"/>
  <c r="W12" i="68"/>
  <c r="W65" i="68"/>
  <c r="X12" i="68"/>
  <c r="X65" i="68"/>
  <c r="Y12" i="68"/>
  <c r="Y65" i="68"/>
  <c r="Z12" i="68"/>
  <c r="Z65" i="68"/>
  <c r="AA12" i="68"/>
  <c r="AA65" i="68"/>
  <c r="AD12" i="69"/>
  <c r="AD65" i="69" s="1"/>
  <c r="AG12" i="69"/>
  <c r="AG65" i="69" s="1"/>
  <c r="AH12" i="69"/>
  <c r="AH65" i="69" s="1"/>
  <c r="AI12" i="69"/>
  <c r="AI65" i="69" s="1"/>
  <c r="AJ12" i="69"/>
  <c r="AJ65" i="69" s="1"/>
  <c r="AK12" i="69"/>
  <c r="AK65" i="69" s="1"/>
  <c r="AL12" i="69"/>
  <c r="AL65" i="69" s="1"/>
  <c r="AM12" i="69"/>
  <c r="AM65" i="69" s="1"/>
  <c r="AN12" i="69"/>
  <c r="AN65" i="69" s="1"/>
  <c r="AQ12" i="68"/>
  <c r="AQ65" i="68"/>
  <c r="AR12" i="68"/>
  <c r="AR65" i="68" s="1"/>
  <c r="AY12" i="68"/>
  <c r="AY65" i="68"/>
  <c r="AZ12" i="68"/>
  <c r="AZ65" i="68" s="1"/>
  <c r="BB12" i="68"/>
  <c r="BB65" i="68"/>
  <c r="BD12" i="68"/>
  <c r="BD65" i="68" s="1"/>
  <c r="BE12" i="68"/>
  <c r="BE65" i="68"/>
  <c r="BF12" i="68"/>
  <c r="BF65" i="68" s="1"/>
  <c r="BG12" i="68"/>
  <c r="BG65" i="68"/>
  <c r="BH12" i="68"/>
  <c r="BH65" i="68" s="1"/>
  <c r="BI12" i="68"/>
  <c r="BI65" i="68"/>
  <c r="BJ12" i="68"/>
  <c r="BJ65" i="68" s="1"/>
  <c r="G11" i="69"/>
  <c r="G64" i="69" s="1"/>
  <c r="J11" i="69"/>
  <c r="J64" i="69" s="1"/>
  <c r="K11" i="69"/>
  <c r="K64" i="69" s="1"/>
  <c r="L11" i="69"/>
  <c r="L64" i="69" s="1"/>
  <c r="M11" i="69"/>
  <c r="M64" i="69" s="1"/>
  <c r="N11" i="69"/>
  <c r="N64" i="69" s="1"/>
  <c r="O11" i="69"/>
  <c r="O64" i="69" s="1"/>
  <c r="P11" i="69"/>
  <c r="P64" i="69" s="1"/>
  <c r="Q11" i="69"/>
  <c r="Q64" i="69" s="1"/>
  <c r="H11" i="68"/>
  <c r="H64" i="68"/>
  <c r="I11" i="68"/>
  <c r="I64" i="68"/>
  <c r="P11" i="68"/>
  <c r="P64" i="68"/>
  <c r="Q11" i="68"/>
  <c r="Q64" i="68"/>
  <c r="S11" i="68"/>
  <c r="S64" i="68"/>
  <c r="U11" i="68"/>
  <c r="U64" i="68"/>
  <c r="V11" i="68"/>
  <c r="V64" i="68"/>
  <c r="W11" i="68"/>
  <c r="W64" i="68"/>
  <c r="X11" i="68"/>
  <c r="X64" i="68"/>
  <c r="Y11" i="68"/>
  <c r="Y64" i="68"/>
  <c r="Z11" i="68"/>
  <c r="Z64" i="68"/>
  <c r="AA11" i="68"/>
  <c r="AA64" i="68"/>
  <c r="AD11" i="69"/>
  <c r="AD64" i="69" s="1"/>
  <c r="AG11" i="69"/>
  <c r="AG64" i="69" s="1"/>
  <c r="AH11" i="69"/>
  <c r="AH64" i="69" s="1"/>
  <c r="AI11" i="69"/>
  <c r="AI64" i="69" s="1"/>
  <c r="AJ11" i="69"/>
  <c r="AJ64" i="69" s="1"/>
  <c r="AK11" i="69"/>
  <c r="AK64" i="69" s="1"/>
  <c r="AL11" i="69"/>
  <c r="AL64" i="69" s="1"/>
  <c r="AM11" i="69"/>
  <c r="AM64" i="69" s="1"/>
  <c r="AN11" i="69"/>
  <c r="AN64" i="69" s="1"/>
  <c r="AQ11" i="68"/>
  <c r="AQ64" i="68" s="1"/>
  <c r="AR11" i="68"/>
  <c r="AR64" i="68"/>
  <c r="AY11" i="68"/>
  <c r="AY64" i="68" s="1"/>
  <c r="AZ11" i="68"/>
  <c r="AZ64" i="68"/>
  <c r="BB11" i="68"/>
  <c r="BB64" i="68" s="1"/>
  <c r="BD11" i="68"/>
  <c r="BD64" i="68"/>
  <c r="BE11" i="68"/>
  <c r="BE64" i="68" s="1"/>
  <c r="BF11" i="68"/>
  <c r="BF64" i="68"/>
  <c r="BG11" i="68"/>
  <c r="BG64" i="68" s="1"/>
  <c r="BH11" i="68"/>
  <c r="BH64" i="68"/>
  <c r="BI11" i="68"/>
  <c r="BI64" i="68" s="1"/>
  <c r="BJ11" i="68"/>
  <c r="BJ64" i="68"/>
  <c r="R23" i="36"/>
  <c r="T23" i="36" s="1"/>
  <c r="S23" i="36"/>
  <c r="U7" i="36"/>
  <c r="R8" i="36"/>
  <c r="S8" i="36"/>
  <c r="R9" i="36"/>
  <c r="S9" i="36"/>
  <c r="R10" i="36"/>
  <c r="S10" i="36"/>
  <c r="R11" i="36"/>
  <c r="S11" i="36"/>
  <c r="R12" i="36"/>
  <c r="S12" i="36"/>
  <c r="R13" i="36"/>
  <c r="S13" i="36"/>
  <c r="R14" i="36"/>
  <c r="S14" i="36"/>
  <c r="R15" i="36"/>
  <c r="S15" i="36"/>
  <c r="R16" i="36"/>
  <c r="S16" i="36"/>
  <c r="R17" i="36"/>
  <c r="S17" i="36"/>
  <c r="R18" i="36"/>
  <c r="S18" i="36"/>
  <c r="R19" i="36"/>
  <c r="S19" i="36"/>
  <c r="R20" i="36"/>
  <c r="S20" i="36"/>
  <c r="R21" i="36"/>
  <c r="S21" i="36"/>
  <c r="R22" i="36"/>
  <c r="S22" i="36"/>
  <c r="R24" i="36"/>
  <c r="S24" i="36"/>
  <c r="T24" i="36"/>
  <c r="R25" i="36"/>
  <c r="T25" i="36" s="1"/>
  <c r="S25" i="36"/>
  <c r="R26" i="36"/>
  <c r="S26" i="36"/>
  <c r="R27" i="36"/>
  <c r="S27" i="36"/>
  <c r="T27" i="36"/>
  <c r="R28" i="36"/>
  <c r="F67" i="36"/>
  <c r="F28" i="36"/>
  <c r="S28" i="36" s="1"/>
  <c r="T28" i="36" s="1"/>
  <c r="R29" i="36"/>
  <c r="S29" i="36"/>
  <c r="R30" i="36"/>
  <c r="F30" i="36"/>
  <c r="F31" i="36" s="1"/>
  <c r="S31" i="36" s="1"/>
  <c r="S30" i="36"/>
  <c r="R31" i="36"/>
  <c r="R32" i="36"/>
  <c r="R33" i="36"/>
  <c r="R34" i="36"/>
  <c r="R35" i="36"/>
  <c r="R36" i="36"/>
  <c r="R37" i="36"/>
  <c r="R38" i="36"/>
  <c r="D24" i="7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U7" i="1"/>
  <c r="R8" i="1"/>
  <c r="T8" i="1" s="1"/>
  <c r="U8" i="1" s="1"/>
  <c r="S8" i="1"/>
  <c r="R9" i="1"/>
  <c r="T9" i="1" s="1"/>
  <c r="S9" i="1"/>
  <c r="R10" i="1"/>
  <c r="T10" i="1" s="1"/>
  <c r="S10" i="1"/>
  <c r="R11" i="1"/>
  <c r="T11" i="1" s="1"/>
  <c r="S11" i="1"/>
  <c r="R12" i="1"/>
  <c r="T12" i="1" s="1"/>
  <c r="S12" i="1"/>
  <c r="R13" i="1"/>
  <c r="T13" i="1" s="1"/>
  <c r="S13" i="1"/>
  <c r="R14" i="1"/>
  <c r="T14" i="1" s="1"/>
  <c r="S14" i="1"/>
  <c r="R15" i="1"/>
  <c r="T15" i="1" s="1"/>
  <c r="S15" i="1"/>
  <c r="R16" i="1"/>
  <c r="T16" i="1" s="1"/>
  <c r="S16" i="1"/>
  <c r="R17" i="1"/>
  <c r="T17" i="1" s="1"/>
  <c r="S17" i="1"/>
  <c r="R18" i="1"/>
  <c r="T18" i="1" s="1"/>
  <c r="S18" i="1"/>
  <c r="R19" i="1"/>
  <c r="T19" i="1" s="1"/>
  <c r="S19" i="1"/>
  <c r="R20" i="1"/>
  <c r="T20" i="1" s="1"/>
  <c r="S20" i="1"/>
  <c r="R21" i="1"/>
  <c r="T21" i="1" s="1"/>
  <c r="S21" i="1"/>
  <c r="R22" i="1"/>
  <c r="T22" i="1" s="1"/>
  <c r="S22" i="1"/>
  <c r="R23" i="1"/>
  <c r="T23" i="1" s="1"/>
  <c r="S23" i="1"/>
  <c r="R24" i="1"/>
  <c r="T24" i="1" s="1"/>
  <c r="S24" i="1"/>
  <c r="R25" i="1"/>
  <c r="T25" i="1" s="1"/>
  <c r="S25" i="1"/>
  <c r="R26" i="1"/>
  <c r="T26" i="1" s="1"/>
  <c r="S26" i="1"/>
  <c r="R27" i="1"/>
  <c r="T27" i="1" s="1"/>
  <c r="F27" i="1"/>
  <c r="S27" i="1"/>
  <c r="R28" i="1"/>
  <c r="T28" i="1" s="1"/>
  <c r="S28" i="1"/>
  <c r="R29" i="1"/>
  <c r="F29" i="1"/>
  <c r="R30" i="1"/>
  <c r="R31" i="1"/>
  <c r="R32" i="1"/>
  <c r="R33" i="1"/>
  <c r="R34" i="1"/>
  <c r="R35" i="1"/>
  <c r="R36" i="1"/>
  <c r="R37" i="1"/>
  <c r="R38" i="1"/>
  <c r="R39" i="1"/>
  <c r="R40" i="1"/>
  <c r="R41" i="1"/>
  <c r="R42" i="1"/>
  <c r="R43" i="1"/>
  <c r="R44" i="1"/>
  <c r="R45" i="1"/>
  <c r="R46" i="1"/>
  <c r="R47" i="1"/>
  <c r="R48" i="1"/>
  <c r="U7" i="4"/>
  <c r="R8" i="4"/>
  <c r="T8" i="4" s="1"/>
  <c r="U8" i="4" s="1"/>
  <c r="S8" i="4"/>
  <c r="R9" i="4"/>
  <c r="S9" i="4"/>
  <c r="R10" i="4"/>
  <c r="T10" i="4" s="1"/>
  <c r="S10" i="4"/>
  <c r="R11" i="4"/>
  <c r="S11" i="4"/>
  <c r="R12" i="4"/>
  <c r="T12" i="4" s="1"/>
  <c r="S12" i="4"/>
  <c r="R13" i="4"/>
  <c r="S13" i="4"/>
  <c r="R14" i="4"/>
  <c r="T14" i="4" s="1"/>
  <c r="S14" i="4"/>
  <c r="R15" i="4"/>
  <c r="S15" i="4"/>
  <c r="R16" i="4"/>
  <c r="T16" i="4" s="1"/>
  <c r="S16" i="4"/>
  <c r="R17" i="4"/>
  <c r="S17" i="4"/>
  <c r="R18" i="4"/>
  <c r="T18" i="4" s="1"/>
  <c r="S18" i="4"/>
  <c r="R19" i="4"/>
  <c r="S19" i="4"/>
  <c r="R20" i="4"/>
  <c r="T20" i="4" s="1"/>
  <c r="S20" i="4"/>
  <c r="R21" i="4"/>
  <c r="S21" i="4"/>
  <c r="R22" i="4"/>
  <c r="T22" i="4" s="1"/>
  <c r="S22" i="4"/>
  <c r="R23" i="4"/>
  <c r="S23" i="4"/>
  <c r="R24" i="4"/>
  <c r="T24" i="4" s="1"/>
  <c r="S24" i="4"/>
  <c r="R25" i="4"/>
  <c r="S25" i="4"/>
  <c r="R26" i="4"/>
  <c r="T26" i="4" s="1"/>
  <c r="S26" i="4"/>
  <c r="R27" i="4"/>
  <c r="F27" i="4"/>
  <c r="S27" i="4" s="1"/>
  <c r="R28" i="4"/>
  <c r="S28" i="4"/>
  <c r="R29" i="4"/>
  <c r="S29" i="4"/>
  <c r="R30" i="4"/>
  <c r="F30" i="4"/>
  <c r="S30" i="4" s="1"/>
  <c r="R31" i="4"/>
  <c r="R32" i="4"/>
  <c r="R33" i="4"/>
  <c r="R9" i="23"/>
  <c r="S9" i="23"/>
  <c r="R10" i="23"/>
  <c r="T10" i="23" s="1"/>
  <c r="S10" i="23"/>
  <c r="R11" i="23"/>
  <c r="S11" i="23"/>
  <c r="R12" i="23"/>
  <c r="T12" i="23" s="1"/>
  <c r="S12" i="23"/>
  <c r="R13" i="23"/>
  <c r="S13" i="23"/>
  <c r="R14" i="23"/>
  <c r="T14" i="23" s="1"/>
  <c r="S14" i="23"/>
  <c r="R15" i="23"/>
  <c r="S15" i="23"/>
  <c r="R16" i="23"/>
  <c r="T16" i="23" s="1"/>
  <c r="S16" i="23"/>
  <c r="R17" i="23"/>
  <c r="S17" i="23"/>
  <c r="R18" i="23"/>
  <c r="T18" i="23" s="1"/>
  <c r="S18" i="23"/>
  <c r="R19" i="23"/>
  <c r="S19" i="23"/>
  <c r="R20" i="23"/>
  <c r="T20" i="23" s="1"/>
  <c r="S20" i="23"/>
  <c r="R21" i="23"/>
  <c r="S21" i="23"/>
  <c r="R22" i="23"/>
  <c r="T22" i="23" s="1"/>
  <c r="S22" i="23"/>
  <c r="R23" i="23"/>
  <c r="T23" i="23" s="1"/>
  <c r="S23" i="23"/>
  <c r="R24" i="23"/>
  <c r="T24" i="23" s="1"/>
  <c r="S24" i="23"/>
  <c r="R25" i="23"/>
  <c r="T25" i="23" s="1"/>
  <c r="S25" i="23"/>
  <c r="R26" i="23"/>
  <c r="T26" i="23" s="1"/>
  <c r="S26" i="23"/>
  <c r="R27" i="23"/>
  <c r="F27" i="23"/>
  <c r="S27" i="23"/>
  <c r="R28" i="23"/>
  <c r="S28" i="23"/>
  <c r="R29" i="23"/>
  <c r="S29" i="23"/>
  <c r="R30" i="23"/>
  <c r="F30" i="23"/>
  <c r="S30" i="23" s="1"/>
  <c r="R31" i="23"/>
  <c r="R32" i="23"/>
  <c r="R33" i="23"/>
  <c r="R34" i="23"/>
  <c r="R35" i="23"/>
  <c r="R36" i="23"/>
  <c r="R37" i="23"/>
  <c r="R38" i="23"/>
  <c r="R39" i="23"/>
  <c r="R40" i="23"/>
  <c r="R41" i="23"/>
  <c r="R42" i="23"/>
  <c r="R43" i="23"/>
  <c r="R44" i="23"/>
  <c r="R45" i="23"/>
  <c r="R46" i="23"/>
  <c r="R47" i="23"/>
  <c r="R48" i="23"/>
  <c r="U7" i="7"/>
  <c r="R8" i="7"/>
  <c r="T8" i="7" s="1"/>
  <c r="U8" i="7" s="1"/>
  <c r="S8" i="7"/>
  <c r="R9" i="7"/>
  <c r="S9" i="7"/>
  <c r="R10" i="7"/>
  <c r="T10" i="7" s="1"/>
  <c r="S10" i="7"/>
  <c r="R11" i="7"/>
  <c r="S11" i="7"/>
  <c r="R12" i="7"/>
  <c r="S12" i="7"/>
  <c r="T12" i="7"/>
  <c r="R13" i="7"/>
  <c r="S13" i="7"/>
  <c r="T13" i="7" s="1"/>
  <c r="R14" i="7"/>
  <c r="T14" i="7" s="1"/>
  <c r="S14" i="7"/>
  <c r="R15" i="7"/>
  <c r="T15" i="7" s="1"/>
  <c r="S15" i="7"/>
  <c r="R16" i="7"/>
  <c r="S16" i="7"/>
  <c r="T16" i="7"/>
  <c r="R17" i="7"/>
  <c r="S17" i="7"/>
  <c r="T17" i="7" s="1"/>
  <c r="R18" i="7"/>
  <c r="T18" i="7" s="1"/>
  <c r="S18" i="7"/>
  <c r="R19" i="7"/>
  <c r="T19" i="7" s="1"/>
  <c r="S19" i="7"/>
  <c r="R20" i="7"/>
  <c r="S20" i="7"/>
  <c r="T20" i="7"/>
  <c r="R21" i="7"/>
  <c r="S21" i="7"/>
  <c r="T21" i="7" s="1"/>
  <c r="R22" i="7"/>
  <c r="T22" i="7" s="1"/>
  <c r="S22" i="7"/>
  <c r="R23" i="7"/>
  <c r="S23" i="7"/>
  <c r="R24" i="7"/>
  <c r="S24" i="7"/>
  <c r="T24" i="7"/>
  <c r="R25" i="7"/>
  <c r="S25" i="7"/>
  <c r="T25" i="7" s="1"/>
  <c r="R26" i="7"/>
  <c r="T26" i="7" s="1"/>
  <c r="F26" i="7"/>
  <c r="S26" i="7"/>
  <c r="R27" i="7"/>
  <c r="S27" i="7"/>
  <c r="R28" i="7"/>
  <c r="F67" i="7"/>
  <c r="F28" i="7" s="1"/>
  <c r="S28" i="7" s="1"/>
  <c r="T28" i="7" s="1"/>
  <c r="R29" i="7"/>
  <c r="S29" i="7"/>
  <c r="R30" i="7"/>
  <c r="F30" i="7"/>
  <c r="S30" i="7" s="1"/>
  <c r="R31" i="7"/>
  <c r="R32" i="7"/>
  <c r="R33" i="7"/>
  <c r="R34" i="7"/>
  <c r="R35" i="7"/>
  <c r="R36" i="7"/>
  <c r="U7" i="35"/>
  <c r="R8" i="35"/>
  <c r="T8" i="35" s="1"/>
  <c r="U8" i="35" s="1"/>
  <c r="S8" i="35"/>
  <c r="R9" i="35"/>
  <c r="S9" i="35"/>
  <c r="T9" i="35"/>
  <c r="R10" i="35"/>
  <c r="S10" i="35"/>
  <c r="T10" i="35" s="1"/>
  <c r="R11" i="35"/>
  <c r="T11" i="35" s="1"/>
  <c r="S11" i="35"/>
  <c r="R12" i="35"/>
  <c r="T12" i="35" s="1"/>
  <c r="S12" i="35"/>
  <c r="R13" i="35"/>
  <c r="S13" i="35"/>
  <c r="T13" i="35"/>
  <c r="R14" i="35"/>
  <c r="S14" i="35"/>
  <c r="T14" i="35" s="1"/>
  <c r="R15" i="35"/>
  <c r="T15" i="35" s="1"/>
  <c r="S15" i="35"/>
  <c r="R16" i="35"/>
  <c r="T16" i="35" s="1"/>
  <c r="S16" i="35"/>
  <c r="R17" i="35"/>
  <c r="S17" i="35"/>
  <c r="T17" i="35"/>
  <c r="R18" i="35"/>
  <c r="S18" i="35"/>
  <c r="T18" i="35" s="1"/>
  <c r="R19" i="35"/>
  <c r="T19" i="35" s="1"/>
  <c r="S19" i="35"/>
  <c r="R20" i="35"/>
  <c r="S20" i="35"/>
  <c r="R21" i="35"/>
  <c r="S21" i="35"/>
  <c r="T21" i="35"/>
  <c r="R22" i="35"/>
  <c r="S22" i="35"/>
  <c r="T22" i="35" s="1"/>
  <c r="R23" i="35"/>
  <c r="T23" i="35" s="1"/>
  <c r="S23" i="35"/>
  <c r="R24" i="35"/>
  <c r="S24" i="35"/>
  <c r="R25" i="35"/>
  <c r="S25" i="35"/>
  <c r="T25" i="35"/>
  <c r="R26" i="35"/>
  <c r="S26" i="35"/>
  <c r="T26" i="35" s="1"/>
  <c r="R27" i="35"/>
  <c r="T27" i="35" s="1"/>
  <c r="S27" i="35"/>
  <c r="R28" i="35"/>
  <c r="F65" i="35"/>
  <c r="F28" i="35" s="1"/>
  <c r="S28" i="35" s="1"/>
  <c r="T28" i="35" s="1"/>
  <c r="R29" i="35"/>
  <c r="T29" i="35" s="1"/>
  <c r="S29" i="35"/>
  <c r="R30" i="35"/>
  <c r="F30" i="35"/>
  <c r="F31" i="35" s="1"/>
  <c r="S30" i="35"/>
  <c r="R31" i="35"/>
  <c r="R32" i="35"/>
  <c r="R33" i="35"/>
  <c r="R34" i="35"/>
  <c r="R35" i="35"/>
  <c r="R36" i="35"/>
  <c r="R37" i="35"/>
  <c r="R38" i="35"/>
  <c r="R39" i="35"/>
  <c r="R40" i="35"/>
  <c r="R41" i="35"/>
  <c r="R42" i="35"/>
  <c r="R43" i="35"/>
  <c r="R44" i="35"/>
  <c r="R45" i="35"/>
  <c r="R46" i="35"/>
  <c r="R47" i="35"/>
  <c r="R48" i="35"/>
  <c r="R49" i="35"/>
  <c r="R21" i="58"/>
  <c r="T21" i="58" s="1"/>
  <c r="U21" i="58" s="1"/>
  <c r="S21" i="58"/>
  <c r="R22" i="58"/>
  <c r="T22" i="58" s="1"/>
  <c r="S22" i="58"/>
  <c r="R23" i="58"/>
  <c r="T23" i="58" s="1"/>
  <c r="S23" i="58"/>
  <c r="R24" i="58"/>
  <c r="T24" i="58" s="1"/>
  <c r="S24" i="58"/>
  <c r="R25" i="58"/>
  <c r="T25" i="58" s="1"/>
  <c r="S25" i="58"/>
  <c r="R26" i="58"/>
  <c r="T26" i="58" s="1"/>
  <c r="S26" i="58"/>
  <c r="R27" i="58"/>
  <c r="T27" i="58" s="1"/>
  <c r="S27" i="58"/>
  <c r="R28" i="58"/>
  <c r="F60" i="58"/>
  <c r="F28" i="58"/>
  <c r="S28" i="58" s="1"/>
  <c r="R29" i="58"/>
  <c r="S29" i="58"/>
  <c r="R30" i="58"/>
  <c r="F30" i="58"/>
  <c r="S30" i="58" s="1"/>
  <c r="R31" i="58"/>
  <c r="F31" i="58"/>
  <c r="S31" i="58" s="1"/>
  <c r="T31" i="58" s="1"/>
  <c r="R32" i="58"/>
  <c r="R33" i="58"/>
  <c r="R34" i="58"/>
  <c r="U7" i="37"/>
  <c r="R8" i="37"/>
  <c r="S8" i="37"/>
  <c r="T8" i="37" s="1"/>
  <c r="R9" i="37"/>
  <c r="S9" i="37"/>
  <c r="T9" i="37" s="1"/>
  <c r="R10" i="37"/>
  <c r="S10" i="37"/>
  <c r="T10" i="37" s="1"/>
  <c r="R11" i="37"/>
  <c r="S11" i="37"/>
  <c r="T11" i="37" s="1"/>
  <c r="R12" i="37"/>
  <c r="S12" i="37"/>
  <c r="T12" i="37" s="1"/>
  <c r="R13" i="37"/>
  <c r="T13" i="37" s="1"/>
  <c r="S13" i="37"/>
  <c r="R14" i="37"/>
  <c r="S14" i="37"/>
  <c r="R15" i="37"/>
  <c r="S15" i="37"/>
  <c r="T15" i="37"/>
  <c r="R16" i="37"/>
  <c r="S16" i="37"/>
  <c r="T16" i="37" s="1"/>
  <c r="R17" i="37"/>
  <c r="T17" i="37" s="1"/>
  <c r="S17" i="37"/>
  <c r="R18" i="37"/>
  <c r="S18" i="37"/>
  <c r="R19" i="37"/>
  <c r="S19" i="37"/>
  <c r="T19" i="37"/>
  <c r="R20" i="37"/>
  <c r="S20" i="37"/>
  <c r="T20" i="37" s="1"/>
  <c r="R21" i="37"/>
  <c r="T21" i="37" s="1"/>
  <c r="S21" i="37"/>
  <c r="R22" i="37"/>
  <c r="T22" i="37" s="1"/>
  <c r="S22" i="37"/>
  <c r="R23" i="37"/>
  <c r="S23" i="37"/>
  <c r="T23" i="37"/>
  <c r="R24" i="37"/>
  <c r="S24" i="37"/>
  <c r="R25" i="37"/>
  <c r="S25" i="37"/>
  <c r="R26" i="37"/>
  <c r="S26" i="37"/>
  <c r="R27" i="37"/>
  <c r="L78" i="37"/>
  <c r="M78" i="37" s="1"/>
  <c r="F27" i="37" s="1"/>
  <c r="S27" i="37" s="1"/>
  <c r="T27" i="37" s="1"/>
  <c r="R28" i="37"/>
  <c r="S28" i="37"/>
  <c r="T28" i="37" s="1"/>
  <c r="R29" i="37"/>
  <c r="T29" i="37" s="1"/>
  <c r="S29" i="37"/>
  <c r="R30" i="37"/>
  <c r="T30" i="37" s="1"/>
  <c r="S30" i="37"/>
  <c r="R31" i="37"/>
  <c r="S31" i="37"/>
  <c r="T31" i="37"/>
  <c r="R32" i="37"/>
  <c r="S32" i="37"/>
  <c r="T32" i="37" s="1"/>
  <c r="R33" i="37"/>
  <c r="T33" i="37" s="1"/>
  <c r="S33" i="37"/>
  <c r="R34" i="37"/>
  <c r="S34" i="37"/>
  <c r="R35" i="37"/>
  <c r="S35" i="37"/>
  <c r="T35" i="37"/>
  <c r="R36" i="37"/>
  <c r="S36" i="37"/>
  <c r="T36" i="37" s="1"/>
  <c r="R37" i="37"/>
  <c r="T37" i="37" s="1"/>
  <c r="S37" i="37"/>
  <c r="R38" i="37"/>
  <c r="S38" i="37"/>
  <c r="R39" i="37"/>
  <c r="S39" i="37"/>
  <c r="T39" i="37"/>
  <c r="R40" i="37"/>
  <c r="S40" i="37"/>
  <c r="T40" i="37" s="1"/>
  <c r="R41" i="37"/>
  <c r="T41" i="37" s="1"/>
  <c r="S41" i="37"/>
  <c r="R42" i="37"/>
  <c r="T42" i="37" s="1"/>
  <c r="S42" i="37"/>
  <c r="R43" i="37"/>
  <c r="S43" i="37"/>
  <c r="T43" i="37"/>
  <c r="R44" i="37"/>
  <c r="S44" i="37"/>
  <c r="T44" i="37" s="1"/>
  <c r="R45" i="37"/>
  <c r="T45" i="37" s="1"/>
  <c r="S45" i="37"/>
  <c r="R46" i="37"/>
  <c r="T46" i="37" s="1"/>
  <c r="S46" i="37"/>
  <c r="R47" i="37"/>
  <c r="S47" i="37"/>
  <c r="T47" i="37"/>
  <c r="R48" i="37"/>
  <c r="S48" i="37"/>
  <c r="T48" i="37" s="1"/>
  <c r="S49" i="37"/>
  <c r="S50" i="37"/>
  <c r="S51" i="37"/>
  <c r="S52" i="37"/>
  <c r="S53" i="37"/>
  <c r="S54" i="37"/>
  <c r="R23" i="96"/>
  <c r="F23" i="96"/>
  <c r="S23" i="96"/>
  <c r="R24" i="96"/>
  <c r="F24" i="96"/>
  <c r="S24" i="96" s="1"/>
  <c r="T24" i="96" s="1"/>
  <c r="R25" i="96"/>
  <c r="R26" i="96"/>
  <c r="R27" i="96"/>
  <c r="R28" i="96"/>
  <c r="F62" i="96"/>
  <c r="F28" i="96" s="1"/>
  <c r="S28" i="96" s="1"/>
  <c r="R29" i="96"/>
  <c r="S29" i="96"/>
  <c r="R30" i="96"/>
  <c r="F30" i="96"/>
  <c r="S30" i="96" s="1"/>
  <c r="R31" i="96"/>
  <c r="R32" i="96"/>
  <c r="R33" i="96"/>
  <c r="R34" i="96"/>
  <c r="R35" i="96"/>
  <c r="R36" i="96"/>
  <c r="R37" i="96"/>
  <c r="R38" i="96"/>
  <c r="R23" i="98"/>
  <c r="T23" i="98" s="1"/>
  <c r="U23" i="98" s="1"/>
  <c r="F23" i="98"/>
  <c r="S23" i="98"/>
  <c r="R24" i="98"/>
  <c r="F24" i="98"/>
  <c r="R25" i="98"/>
  <c r="R26" i="98"/>
  <c r="R27" i="98"/>
  <c r="R28" i="98"/>
  <c r="F61" i="98"/>
  <c r="F28" i="98" s="1"/>
  <c r="S28" i="98" s="1"/>
  <c r="T28" i="98" s="1"/>
  <c r="R29" i="98"/>
  <c r="S29" i="98"/>
  <c r="R30" i="98"/>
  <c r="F30" i="98"/>
  <c r="S30" i="98" s="1"/>
  <c r="R31" i="98"/>
  <c r="R32" i="98"/>
  <c r="R33" i="98"/>
  <c r="R34" i="98"/>
  <c r="R35" i="98"/>
  <c r="R36" i="98"/>
  <c r="R37" i="98"/>
  <c r="R38" i="98"/>
  <c r="R39" i="98"/>
  <c r="R40" i="98"/>
  <c r="R41" i="98"/>
  <c r="R42" i="98"/>
  <c r="R43" i="98"/>
  <c r="R44" i="98"/>
  <c r="R45" i="98"/>
  <c r="R46" i="98"/>
  <c r="R47" i="98"/>
  <c r="R48" i="98"/>
  <c r="R49" i="98"/>
  <c r="R23" i="97"/>
  <c r="F23" i="97"/>
  <c r="S23" i="97" s="1"/>
  <c r="R24" i="97"/>
  <c r="F24" i="97"/>
  <c r="S24" i="97" s="1"/>
  <c r="T24" i="97" s="1"/>
  <c r="R25" i="97"/>
  <c r="R26" i="97"/>
  <c r="R27" i="97"/>
  <c r="R28" i="97"/>
  <c r="F62" i="97"/>
  <c r="F28" i="97" s="1"/>
  <c r="S28" i="97" s="1"/>
  <c r="R29" i="97"/>
  <c r="S29" i="97"/>
  <c r="R30" i="97"/>
  <c r="F30" i="97"/>
  <c r="S30" i="97" s="1"/>
  <c r="R31" i="97"/>
  <c r="F31" i="97"/>
  <c r="S31" i="97" s="1"/>
  <c r="R32" i="97"/>
  <c r="R33" i="97"/>
  <c r="R34" i="97"/>
  <c r="R35" i="97"/>
  <c r="R36" i="97"/>
  <c r="R37" i="97"/>
  <c r="R38" i="97"/>
  <c r="R39" i="97"/>
  <c r="R40" i="97"/>
  <c r="R41" i="97"/>
  <c r="R42" i="97"/>
  <c r="R43" i="97"/>
  <c r="R44" i="97"/>
  <c r="R45" i="97"/>
  <c r="R46" i="97"/>
  <c r="R47" i="97"/>
  <c r="R48" i="97"/>
  <c r="R23" i="90"/>
  <c r="T23" i="90" s="1"/>
  <c r="U23" i="90" s="1"/>
  <c r="S23" i="90"/>
  <c r="R24" i="90"/>
  <c r="T24" i="90" s="1"/>
  <c r="S24" i="90"/>
  <c r="R25" i="90"/>
  <c r="T25" i="90" s="1"/>
  <c r="S25" i="90"/>
  <c r="R26" i="90"/>
  <c r="T26" i="90" s="1"/>
  <c r="F26" i="90"/>
  <c r="S26" i="90" s="1"/>
  <c r="R27" i="90"/>
  <c r="R28" i="90"/>
  <c r="F62" i="90"/>
  <c r="F28" i="90" s="1"/>
  <c r="R29" i="90"/>
  <c r="S29" i="90"/>
  <c r="R30" i="90"/>
  <c r="F30" i="90"/>
  <c r="S30" i="90" s="1"/>
  <c r="R31" i="90"/>
  <c r="R32" i="90"/>
  <c r="R33" i="90"/>
  <c r="R34" i="90"/>
  <c r="R35" i="90"/>
  <c r="R36" i="90"/>
  <c r="R37" i="90"/>
  <c r="R38" i="90"/>
  <c r="R39" i="90"/>
  <c r="R40" i="90"/>
  <c r="R41" i="90"/>
  <c r="R42" i="90"/>
  <c r="R43" i="90"/>
  <c r="R44" i="90"/>
  <c r="R45" i="90"/>
  <c r="R46" i="90"/>
  <c r="R47" i="90"/>
  <c r="R48" i="90"/>
  <c r="R49" i="90"/>
  <c r="R23" i="80"/>
  <c r="T23" i="80" s="1"/>
  <c r="U23" i="80" s="1"/>
  <c r="U24" i="80" s="1"/>
  <c r="S23" i="80"/>
  <c r="R24" i="80"/>
  <c r="T24" i="80" s="1"/>
  <c r="S24" i="80"/>
  <c r="R25" i="80"/>
  <c r="T25" i="80" s="1"/>
  <c r="S25" i="80"/>
  <c r="R26" i="80"/>
  <c r="F26" i="80"/>
  <c r="S26" i="80" s="1"/>
  <c r="R27" i="80"/>
  <c r="R28" i="80"/>
  <c r="R29" i="80"/>
  <c r="S29" i="80"/>
  <c r="R30" i="80"/>
  <c r="F30" i="80"/>
  <c r="S30" i="80" s="1"/>
  <c r="R31" i="80"/>
  <c r="R32" i="80"/>
  <c r="R33" i="80"/>
  <c r="R23" i="81"/>
  <c r="T23" i="81" s="1"/>
  <c r="U23" i="81" s="1"/>
  <c r="U24" i="81" s="1"/>
  <c r="S23" i="81"/>
  <c r="R24" i="81"/>
  <c r="T24" i="81" s="1"/>
  <c r="S24" i="81"/>
  <c r="R25" i="81"/>
  <c r="T25" i="81" s="1"/>
  <c r="S25" i="81"/>
  <c r="R26" i="81"/>
  <c r="T26" i="81" s="1"/>
  <c r="F26" i="81"/>
  <c r="S26" i="81" s="1"/>
  <c r="R27" i="81"/>
  <c r="R28" i="81"/>
  <c r="R29" i="81"/>
  <c r="T29" i="81" s="1"/>
  <c r="S29" i="81"/>
  <c r="R30" i="81"/>
  <c r="T30" i="81" s="1"/>
  <c r="S30" i="81"/>
  <c r="R31" i="81"/>
  <c r="T31" i="81" s="1"/>
  <c r="S31" i="81"/>
  <c r="R32" i="81"/>
  <c r="T32" i="81" s="1"/>
  <c r="S32" i="81"/>
  <c r="R33" i="81"/>
  <c r="T33" i="81" s="1"/>
  <c r="S33" i="81"/>
  <c r="R34" i="81"/>
  <c r="T34" i="81" s="1"/>
  <c r="S34" i="81"/>
  <c r="R35" i="81"/>
  <c r="T35" i="81" s="1"/>
  <c r="S35" i="81"/>
  <c r="R36" i="81"/>
  <c r="T36" i="81" s="1"/>
  <c r="S36" i="81"/>
  <c r="R37" i="81"/>
  <c r="T37" i="81" s="1"/>
  <c r="S37" i="81"/>
  <c r="R38" i="81"/>
  <c r="T38" i="81" s="1"/>
  <c r="S38" i="81"/>
  <c r="R39" i="81"/>
  <c r="T39" i="81" s="1"/>
  <c r="S39" i="81"/>
  <c r="R40" i="81"/>
  <c r="T40" i="81" s="1"/>
  <c r="S40" i="81"/>
  <c r="R41" i="81"/>
  <c r="T41" i="81" s="1"/>
  <c r="S41" i="81"/>
  <c r="R42" i="81"/>
  <c r="T42" i="81" s="1"/>
  <c r="S42" i="81"/>
  <c r="R43" i="81"/>
  <c r="T43" i="81" s="1"/>
  <c r="S43" i="81"/>
  <c r="R44" i="81"/>
  <c r="T44" i="81" s="1"/>
  <c r="S44" i="81"/>
  <c r="R45" i="81"/>
  <c r="T45" i="81" s="1"/>
  <c r="S45" i="81"/>
  <c r="R46" i="81"/>
  <c r="T46" i="81" s="1"/>
  <c r="S46" i="81"/>
  <c r="R47" i="81"/>
  <c r="T47" i="81" s="1"/>
  <c r="S47" i="81"/>
  <c r="R48" i="81"/>
  <c r="T48" i="81" s="1"/>
  <c r="S48" i="81"/>
  <c r="S49" i="81"/>
  <c r="S50" i="81"/>
  <c r="S51" i="81"/>
  <c r="S52" i="81"/>
  <c r="S53" i="81"/>
  <c r="S54" i="81"/>
  <c r="R23" i="82"/>
  <c r="T23" i="82" s="1"/>
  <c r="U23" i="82" s="1"/>
  <c r="S23" i="82"/>
  <c r="R24" i="82"/>
  <c r="T24" i="82" s="1"/>
  <c r="S24" i="82"/>
  <c r="R25" i="82"/>
  <c r="S25" i="82"/>
  <c r="T25" i="82"/>
  <c r="R26" i="82"/>
  <c r="F26" i="82"/>
  <c r="F27" i="82" s="1"/>
  <c r="S27" i="82" s="1"/>
  <c r="R27" i="82"/>
  <c r="R28" i="82"/>
  <c r="T28" i="82" s="1"/>
  <c r="S28" i="82"/>
  <c r="R29" i="82"/>
  <c r="T29" i="82" s="1"/>
  <c r="S29" i="82"/>
  <c r="R30" i="82"/>
  <c r="T30" i="82" s="1"/>
  <c r="S30" i="82"/>
  <c r="R31" i="82"/>
  <c r="T31" i="82" s="1"/>
  <c r="S31" i="82"/>
  <c r="R32" i="82"/>
  <c r="T32" i="82" s="1"/>
  <c r="S32" i="82"/>
  <c r="R33" i="82"/>
  <c r="T33" i="82" s="1"/>
  <c r="S33" i="82"/>
  <c r="R34" i="82"/>
  <c r="T34" i="82" s="1"/>
  <c r="S34" i="82"/>
  <c r="S35" i="82"/>
  <c r="S36" i="82"/>
  <c r="S37" i="82"/>
  <c r="S38" i="82"/>
  <c r="S39" i="82"/>
  <c r="S40" i="82"/>
  <c r="S41" i="82"/>
  <c r="S42" i="82"/>
  <c r="S43" i="82"/>
  <c r="S44" i="82"/>
  <c r="S45" i="82"/>
  <c r="S46" i="82"/>
  <c r="S47" i="82"/>
  <c r="S48" i="82"/>
  <c r="S49" i="82"/>
  <c r="S50" i="82"/>
  <c r="S51" i="82"/>
  <c r="S52" i="82"/>
  <c r="S53" i="82"/>
  <c r="S54" i="82"/>
  <c r="R23" i="83"/>
  <c r="T23" i="83" s="1"/>
  <c r="U23" i="83" s="1"/>
  <c r="S23" i="83"/>
  <c r="R24" i="83"/>
  <c r="T24" i="83" s="1"/>
  <c r="S24" i="83"/>
  <c r="R25" i="83"/>
  <c r="S25" i="83"/>
  <c r="T25" i="83"/>
  <c r="R26" i="83"/>
  <c r="S26" i="83"/>
  <c r="T26" i="83" s="1"/>
  <c r="R27" i="83"/>
  <c r="T27" i="83" s="1"/>
  <c r="S27" i="83"/>
  <c r="R28" i="83"/>
  <c r="S28" i="83"/>
  <c r="R29" i="83"/>
  <c r="S29" i="83"/>
  <c r="T29" i="83"/>
  <c r="R30" i="83"/>
  <c r="S30" i="83"/>
  <c r="T30" i="83" s="1"/>
  <c r="R31" i="83"/>
  <c r="T31" i="83" s="1"/>
  <c r="S31" i="83"/>
  <c r="R32" i="83"/>
  <c r="S32" i="83"/>
  <c r="R33" i="83"/>
  <c r="S33" i="83"/>
  <c r="T33" i="83"/>
  <c r="S34" i="83"/>
  <c r="S35" i="83"/>
  <c r="S36" i="83"/>
  <c r="S37" i="83"/>
  <c r="S38" i="83"/>
  <c r="S39" i="83"/>
  <c r="S40" i="83"/>
  <c r="S41" i="83"/>
  <c r="S42" i="83"/>
  <c r="S43" i="83"/>
  <c r="S44" i="83"/>
  <c r="S45" i="83"/>
  <c r="S46" i="83"/>
  <c r="S47" i="83"/>
  <c r="S48" i="83"/>
  <c r="S49" i="83"/>
  <c r="S50" i="83"/>
  <c r="S51" i="83"/>
  <c r="S52" i="83"/>
  <c r="S53" i="83"/>
  <c r="S54" i="83"/>
  <c r="BM52" i="69"/>
  <c r="BM105" i="69" s="1"/>
  <c r="U7" i="59"/>
  <c r="R8" i="59"/>
  <c r="T8" i="59" s="1"/>
  <c r="U8" i="59" s="1"/>
  <c r="S8" i="59"/>
  <c r="R9" i="59"/>
  <c r="T9" i="59" s="1"/>
  <c r="S9" i="59"/>
  <c r="R10" i="59"/>
  <c r="T10" i="59" s="1"/>
  <c r="S10" i="59"/>
  <c r="R11" i="59"/>
  <c r="T11" i="59" s="1"/>
  <c r="S11" i="59"/>
  <c r="R12" i="59"/>
  <c r="T12" i="59" s="1"/>
  <c r="S12" i="59"/>
  <c r="R13" i="59"/>
  <c r="T13" i="59" s="1"/>
  <c r="S13" i="59"/>
  <c r="R14" i="59"/>
  <c r="T14" i="59" s="1"/>
  <c r="S14" i="59"/>
  <c r="R15" i="59"/>
  <c r="T15" i="59" s="1"/>
  <c r="S15" i="59"/>
  <c r="R16" i="59"/>
  <c r="T16" i="59" s="1"/>
  <c r="S16" i="59"/>
  <c r="R17" i="59"/>
  <c r="T17" i="59" s="1"/>
  <c r="S17" i="59"/>
  <c r="R18" i="59"/>
  <c r="T18" i="59" s="1"/>
  <c r="S18" i="59"/>
  <c r="R19" i="59"/>
  <c r="T19" i="59" s="1"/>
  <c r="S19" i="59"/>
  <c r="R20" i="59"/>
  <c r="T20" i="59" s="1"/>
  <c r="S20" i="59"/>
  <c r="R21" i="59"/>
  <c r="T21" i="59" s="1"/>
  <c r="S21" i="59"/>
  <c r="R22" i="59"/>
  <c r="T22" i="59" s="1"/>
  <c r="S22" i="59"/>
  <c r="R23" i="59"/>
  <c r="T23" i="59" s="1"/>
  <c r="S23" i="59"/>
  <c r="R24" i="59"/>
  <c r="T24" i="59" s="1"/>
  <c r="S24" i="59"/>
  <c r="R25" i="59"/>
  <c r="T25" i="59" s="1"/>
  <c r="S25" i="59"/>
  <c r="R26" i="59"/>
  <c r="T26" i="59" s="1"/>
  <c r="S26" i="59"/>
  <c r="R27" i="59"/>
  <c r="T27" i="59" s="1"/>
  <c r="S27" i="59"/>
  <c r="R28" i="59"/>
  <c r="F61" i="59"/>
  <c r="F28" i="59" s="1"/>
  <c r="S28" i="59" s="1"/>
  <c r="R29" i="59"/>
  <c r="T29" i="59" s="1"/>
  <c r="S29" i="59"/>
  <c r="R30" i="59"/>
  <c r="F30" i="59"/>
  <c r="S30" i="59" s="1"/>
  <c r="R31" i="59"/>
  <c r="R32" i="59"/>
  <c r="R33" i="59"/>
  <c r="R34" i="59"/>
  <c r="R23" i="41"/>
  <c r="T23" i="41" s="1"/>
  <c r="S23" i="41"/>
  <c r="R8" i="41"/>
  <c r="F8" i="41"/>
  <c r="S8" i="41" s="1"/>
  <c r="R9" i="41"/>
  <c r="F9" i="41"/>
  <c r="S9" i="41" s="1"/>
  <c r="R10" i="41"/>
  <c r="F10" i="41"/>
  <c r="S10" i="41" s="1"/>
  <c r="R11" i="41"/>
  <c r="F11" i="41"/>
  <c r="S11" i="41"/>
  <c r="T11" i="41" s="1"/>
  <c r="R12" i="41"/>
  <c r="F12" i="41"/>
  <c r="S12" i="41" s="1"/>
  <c r="T12" i="41" s="1"/>
  <c r="R13" i="41"/>
  <c r="S13" i="41"/>
  <c r="R14" i="41"/>
  <c r="S14" i="41"/>
  <c r="R15" i="41"/>
  <c r="S15" i="41"/>
  <c r="R16" i="41"/>
  <c r="S16" i="41"/>
  <c r="R17" i="41"/>
  <c r="S17" i="41"/>
  <c r="R18" i="41"/>
  <c r="S18" i="41"/>
  <c r="R19" i="41"/>
  <c r="S19" i="41"/>
  <c r="R20" i="41"/>
  <c r="S20" i="41"/>
  <c r="R21" i="41"/>
  <c r="S21" i="41"/>
  <c r="R22" i="41"/>
  <c r="S22" i="41"/>
  <c r="R24" i="41"/>
  <c r="S24" i="41"/>
  <c r="R25" i="41"/>
  <c r="S25" i="41"/>
  <c r="R26" i="41"/>
  <c r="S26" i="41"/>
  <c r="R27" i="41"/>
  <c r="K82" i="41"/>
  <c r="L82" i="41" s="1"/>
  <c r="F27" i="41" s="1"/>
  <c r="S27" i="41" s="1"/>
  <c r="T27" i="41" s="1"/>
  <c r="R28" i="41"/>
  <c r="F64" i="41"/>
  <c r="F28" i="41" s="1"/>
  <c r="S28" i="41" s="1"/>
  <c r="T28" i="41" s="1"/>
  <c r="R29" i="41"/>
  <c r="S29" i="41"/>
  <c r="R30" i="41"/>
  <c r="T30" i="41" s="1"/>
  <c r="S30" i="41"/>
  <c r="R31" i="41"/>
  <c r="T31" i="41" s="1"/>
  <c r="S31" i="41"/>
  <c r="R32" i="41"/>
  <c r="T32" i="41" s="1"/>
  <c r="S32" i="41"/>
  <c r="R33" i="41"/>
  <c r="T33" i="41" s="1"/>
  <c r="S33" i="41"/>
  <c r="R34" i="41"/>
  <c r="T34" i="41" s="1"/>
  <c r="S34" i="41"/>
  <c r="R35" i="41"/>
  <c r="T35" i="41" s="1"/>
  <c r="S35" i="41"/>
  <c r="R36" i="41"/>
  <c r="T36" i="41" s="1"/>
  <c r="S36" i="41"/>
  <c r="R37" i="41"/>
  <c r="T37" i="41" s="1"/>
  <c r="S37" i="41"/>
  <c r="R38" i="41"/>
  <c r="T38" i="41" s="1"/>
  <c r="S38" i="41"/>
  <c r="R39" i="41"/>
  <c r="T39" i="41" s="1"/>
  <c r="S39" i="41"/>
  <c r="R40" i="41"/>
  <c r="T40" i="41" s="1"/>
  <c r="S40" i="41"/>
  <c r="R41" i="41"/>
  <c r="T41" i="41" s="1"/>
  <c r="S41" i="41"/>
  <c r="R42" i="41"/>
  <c r="T42" i="41" s="1"/>
  <c r="S42" i="41"/>
  <c r="R43" i="41"/>
  <c r="T43" i="41" s="1"/>
  <c r="S43" i="41"/>
  <c r="R44" i="41"/>
  <c r="T44" i="41" s="1"/>
  <c r="S44" i="41"/>
  <c r="R45" i="41"/>
  <c r="T45" i="41" s="1"/>
  <c r="S45" i="41"/>
  <c r="R46" i="41"/>
  <c r="T46" i="41" s="1"/>
  <c r="S46" i="41"/>
  <c r="R47" i="41"/>
  <c r="T47" i="41" s="1"/>
  <c r="S47" i="41"/>
  <c r="R48" i="41"/>
  <c r="T48" i="41" s="1"/>
  <c r="S48" i="41"/>
  <c r="R49" i="41"/>
  <c r="T49" i="41" s="1"/>
  <c r="S49" i="41"/>
  <c r="S50" i="41"/>
  <c r="S51" i="41"/>
  <c r="S52" i="41"/>
  <c r="S53" i="41"/>
  <c r="S54" i="41"/>
  <c r="H24" i="71"/>
  <c r="H25" i="71"/>
  <c r="H26" i="71" s="1"/>
  <c r="H27" i="71" s="1"/>
  <c r="H28" i="71" s="1"/>
  <c r="H29" i="71" s="1"/>
  <c r="H30" i="71" s="1"/>
  <c r="H31" i="71" s="1"/>
  <c r="H32" i="71" s="1"/>
  <c r="H33" i="71" s="1"/>
  <c r="H34" i="71" s="1"/>
  <c r="H35" i="71" s="1"/>
  <c r="H36" i="71" s="1"/>
  <c r="H37" i="71" s="1"/>
  <c r="H38" i="71" s="1"/>
  <c r="H39" i="71" s="1"/>
  <c r="H40" i="71" s="1"/>
  <c r="H41" i="71" s="1"/>
  <c r="H42" i="71" s="1"/>
  <c r="H43" i="71" s="1"/>
  <c r="H44" i="71" s="1"/>
  <c r="H45" i="71" s="1"/>
  <c r="H46" i="71" s="1"/>
  <c r="H47" i="71" s="1"/>
  <c r="H48" i="71" s="1"/>
  <c r="H49" i="71" s="1"/>
  <c r="H50" i="71" s="1"/>
  <c r="H51" i="71" s="1"/>
  <c r="H52" i="71" s="1"/>
  <c r="R23" i="60"/>
  <c r="S23" i="60"/>
  <c r="R8" i="60"/>
  <c r="F8" i="60"/>
  <c r="S8" i="60" s="1"/>
  <c r="T8" i="60" s="1"/>
  <c r="U8" i="60" s="1"/>
  <c r="R9" i="60"/>
  <c r="F9" i="60"/>
  <c r="S9" i="60" s="1"/>
  <c r="R10" i="60"/>
  <c r="F10" i="60"/>
  <c r="S10" i="60"/>
  <c r="R11" i="60"/>
  <c r="F11" i="60"/>
  <c r="S11" i="60" s="1"/>
  <c r="T11" i="60"/>
  <c r="R12" i="60"/>
  <c r="F12" i="60"/>
  <c r="S12" i="60" s="1"/>
  <c r="R13" i="60"/>
  <c r="F13" i="60"/>
  <c r="S13" i="60" s="1"/>
  <c r="R14" i="60"/>
  <c r="F14" i="60"/>
  <c r="S14" i="60"/>
  <c r="R15" i="60"/>
  <c r="F15" i="60"/>
  <c r="S15" i="60" s="1"/>
  <c r="T15" i="60" s="1"/>
  <c r="R16" i="60"/>
  <c r="F16" i="60"/>
  <c r="S16" i="60" s="1"/>
  <c r="R17" i="60"/>
  <c r="F17" i="60"/>
  <c r="S17" i="60" s="1"/>
  <c r="R18" i="60"/>
  <c r="F18" i="60"/>
  <c r="S18" i="60"/>
  <c r="R19" i="60"/>
  <c r="F19" i="60"/>
  <c r="S19" i="60" s="1"/>
  <c r="T19" i="60"/>
  <c r="R20" i="60"/>
  <c r="F20" i="60"/>
  <c r="S20" i="60" s="1"/>
  <c r="R21" i="60"/>
  <c r="T21" i="60" s="1"/>
  <c r="S21" i="60"/>
  <c r="R22" i="60"/>
  <c r="T22" i="60" s="1"/>
  <c r="S22" i="60"/>
  <c r="R24" i="60"/>
  <c r="T24" i="60" s="1"/>
  <c r="S24" i="60"/>
  <c r="R25" i="60"/>
  <c r="T25" i="60" s="1"/>
  <c r="S25" i="60"/>
  <c r="R26" i="60"/>
  <c r="T26" i="60" s="1"/>
  <c r="S26" i="60"/>
  <c r="R27" i="60"/>
  <c r="T27" i="60" s="1"/>
  <c r="S27" i="60"/>
  <c r="R28" i="60"/>
  <c r="F61" i="60"/>
  <c r="F28" i="60" s="1"/>
  <c r="R29" i="60"/>
  <c r="S29" i="60"/>
  <c r="R30" i="60"/>
  <c r="F30" i="60"/>
  <c r="F31" i="60" s="1"/>
  <c r="S30" i="60"/>
  <c r="R31" i="60"/>
  <c r="R32" i="60"/>
  <c r="R33" i="60"/>
  <c r="R34" i="60"/>
  <c r="R35" i="60"/>
  <c r="R23" i="65"/>
  <c r="S23" i="65"/>
  <c r="T23" i="65" s="1"/>
  <c r="R8" i="65"/>
  <c r="T8" i="65" s="1"/>
  <c r="U8" i="65" s="1"/>
  <c r="S8" i="65"/>
  <c r="R9" i="65"/>
  <c r="T9" i="65" s="1"/>
  <c r="S9" i="65"/>
  <c r="R10" i="65"/>
  <c r="T10" i="65" s="1"/>
  <c r="S10" i="65"/>
  <c r="R11" i="65"/>
  <c r="T11" i="65" s="1"/>
  <c r="S11" i="65"/>
  <c r="R12" i="65"/>
  <c r="T12" i="65" s="1"/>
  <c r="S12" i="65"/>
  <c r="R13" i="65"/>
  <c r="T13" i="65" s="1"/>
  <c r="S13" i="65"/>
  <c r="R14" i="65"/>
  <c r="T14" i="65" s="1"/>
  <c r="S14" i="65"/>
  <c r="R15" i="65"/>
  <c r="T15" i="65" s="1"/>
  <c r="S15" i="65"/>
  <c r="R16" i="65"/>
  <c r="T16" i="65" s="1"/>
  <c r="S16" i="65"/>
  <c r="R17" i="65"/>
  <c r="T17" i="65" s="1"/>
  <c r="S17" i="65"/>
  <c r="R18" i="65"/>
  <c r="T18" i="65" s="1"/>
  <c r="S18" i="65"/>
  <c r="R19" i="65"/>
  <c r="T19" i="65" s="1"/>
  <c r="S19" i="65"/>
  <c r="R20" i="65"/>
  <c r="T20" i="65" s="1"/>
  <c r="S20" i="65"/>
  <c r="R21" i="65"/>
  <c r="T21" i="65" s="1"/>
  <c r="S21" i="65"/>
  <c r="R22" i="65"/>
  <c r="T22" i="65" s="1"/>
  <c r="S22" i="65"/>
  <c r="R24" i="65"/>
  <c r="T24" i="65" s="1"/>
  <c r="S24" i="65"/>
  <c r="R25" i="65"/>
  <c r="S25" i="65"/>
  <c r="T25" i="65" s="1"/>
  <c r="R26" i="65"/>
  <c r="S26" i="65"/>
  <c r="T26" i="65"/>
  <c r="R27" i="65"/>
  <c r="T27" i="65" s="1"/>
  <c r="S27" i="65"/>
  <c r="R28" i="65"/>
  <c r="T28" i="65" s="1"/>
  <c r="S28" i="65"/>
  <c r="R29" i="65"/>
  <c r="S29" i="65"/>
  <c r="R30" i="65"/>
  <c r="S30" i="65"/>
  <c r="R31" i="65"/>
  <c r="T31" i="65" s="1"/>
  <c r="S31" i="65"/>
  <c r="R32" i="65"/>
  <c r="T32" i="65" s="1"/>
  <c r="S32" i="65"/>
  <c r="R33" i="65"/>
  <c r="S33" i="65"/>
  <c r="T33" i="65" s="1"/>
  <c r="R34" i="65"/>
  <c r="S34" i="65"/>
  <c r="T34" i="65"/>
  <c r="R35" i="65"/>
  <c r="T35" i="65" s="1"/>
  <c r="S35" i="65"/>
  <c r="R36" i="65"/>
  <c r="T36" i="65" s="1"/>
  <c r="S36" i="65"/>
  <c r="R37" i="65"/>
  <c r="S37" i="65"/>
  <c r="T37" i="65" s="1"/>
  <c r="R38" i="65"/>
  <c r="S38" i="65"/>
  <c r="T38" i="65"/>
  <c r="R39" i="65"/>
  <c r="T39" i="65" s="1"/>
  <c r="S39" i="65"/>
  <c r="R40" i="65"/>
  <c r="T40" i="65" s="1"/>
  <c r="S40" i="65"/>
  <c r="R41" i="65"/>
  <c r="S41" i="65"/>
  <c r="T41" i="65" s="1"/>
  <c r="R42" i="65"/>
  <c r="S42" i="65"/>
  <c r="T42" i="65"/>
  <c r="R43" i="65"/>
  <c r="T43" i="65" s="1"/>
  <c r="S43" i="65"/>
  <c r="R44" i="65"/>
  <c r="T44" i="65" s="1"/>
  <c r="S44" i="65"/>
  <c r="R45" i="65"/>
  <c r="S45" i="65"/>
  <c r="T45" i="65" s="1"/>
  <c r="R46" i="65"/>
  <c r="S46" i="65"/>
  <c r="T46" i="65"/>
  <c r="R47" i="65"/>
  <c r="T47" i="65" s="1"/>
  <c r="S47" i="65"/>
  <c r="R48" i="65"/>
  <c r="T48" i="65" s="1"/>
  <c r="S48" i="65"/>
  <c r="R49" i="65"/>
  <c r="S49" i="65"/>
  <c r="T49" i="65" s="1"/>
  <c r="S50" i="65"/>
  <c r="S51" i="65"/>
  <c r="S52" i="65"/>
  <c r="S53" i="65"/>
  <c r="S54" i="65"/>
  <c r="U7" i="38"/>
  <c r="R8" i="38"/>
  <c r="T8" i="38" s="1"/>
  <c r="U8" i="38" s="1"/>
  <c r="U9" i="38" s="1"/>
  <c r="S8" i="38"/>
  <c r="R9" i="38"/>
  <c r="T9" i="38" s="1"/>
  <c r="S9" i="38"/>
  <c r="R10" i="38"/>
  <c r="T10" i="38" s="1"/>
  <c r="S10" i="38"/>
  <c r="R11" i="38"/>
  <c r="T11" i="38" s="1"/>
  <c r="S11" i="38"/>
  <c r="R12" i="38"/>
  <c r="T12" i="38" s="1"/>
  <c r="S12" i="38"/>
  <c r="R13" i="38"/>
  <c r="T13" i="38" s="1"/>
  <c r="S13" i="38"/>
  <c r="R14" i="38"/>
  <c r="T14" i="38" s="1"/>
  <c r="S14" i="38"/>
  <c r="R15" i="38"/>
  <c r="T15" i="38" s="1"/>
  <c r="S15" i="38"/>
  <c r="R16" i="38"/>
  <c r="T16" i="38" s="1"/>
  <c r="S16" i="38"/>
  <c r="R17" i="38"/>
  <c r="T17" i="38" s="1"/>
  <c r="S17" i="38"/>
  <c r="R18" i="38"/>
  <c r="T18" i="38" s="1"/>
  <c r="S18" i="38"/>
  <c r="R19" i="38"/>
  <c r="T19" i="38" s="1"/>
  <c r="S19" i="38"/>
  <c r="R20" i="38"/>
  <c r="T20" i="38" s="1"/>
  <c r="S20" i="38"/>
  <c r="R21" i="38"/>
  <c r="T21" i="38" s="1"/>
  <c r="S21" i="38"/>
  <c r="R22" i="38"/>
  <c r="T22" i="38" s="1"/>
  <c r="S22" i="38"/>
  <c r="R23" i="38"/>
  <c r="T23" i="38" s="1"/>
  <c r="S23" i="38"/>
  <c r="R24" i="38"/>
  <c r="T24" i="38" s="1"/>
  <c r="S24" i="38"/>
  <c r="R25" i="38"/>
  <c r="T25" i="38" s="1"/>
  <c r="S25" i="38"/>
  <c r="R26" i="38"/>
  <c r="T26" i="38" s="1"/>
  <c r="S26" i="38"/>
  <c r="R27" i="38"/>
  <c r="T27" i="38" s="1"/>
  <c r="F27" i="38"/>
  <c r="S27" i="38" s="1"/>
  <c r="R28" i="38"/>
  <c r="T28" i="38" s="1"/>
  <c r="S28" i="38"/>
  <c r="R29" i="38"/>
  <c r="T29" i="38" s="1"/>
  <c r="S29" i="38"/>
  <c r="R30" i="38"/>
  <c r="T30" i="38" s="1"/>
  <c r="F30" i="38"/>
  <c r="S30" i="38"/>
  <c r="R31" i="38"/>
  <c r="F31" i="38"/>
  <c r="R32" i="38"/>
  <c r="R33" i="38"/>
  <c r="U7" i="39"/>
  <c r="R8" i="39"/>
  <c r="T8" i="39" s="1"/>
  <c r="U8" i="39" s="1"/>
  <c r="S8" i="39"/>
  <c r="R9" i="39"/>
  <c r="S9" i="39"/>
  <c r="R10" i="39"/>
  <c r="S10" i="39"/>
  <c r="T10" i="39"/>
  <c r="R11" i="39"/>
  <c r="T11" i="39" s="1"/>
  <c r="S11" i="39"/>
  <c r="R12" i="39"/>
  <c r="T12" i="39" s="1"/>
  <c r="S12" i="39"/>
  <c r="R13" i="39"/>
  <c r="S13" i="39"/>
  <c r="T13" i="39" s="1"/>
  <c r="R14" i="39"/>
  <c r="S14" i="39"/>
  <c r="T14" i="39"/>
  <c r="R15" i="39"/>
  <c r="T15" i="39" s="1"/>
  <c r="S15" i="39"/>
  <c r="R16" i="39"/>
  <c r="T16" i="39" s="1"/>
  <c r="S16" i="39"/>
  <c r="R17" i="39"/>
  <c r="S17" i="39"/>
  <c r="T17" i="39" s="1"/>
  <c r="R18" i="39"/>
  <c r="S18" i="39"/>
  <c r="T18" i="39"/>
  <c r="R19" i="39"/>
  <c r="T19" i="39" s="1"/>
  <c r="S19" i="39"/>
  <c r="R20" i="39"/>
  <c r="T20" i="39" s="1"/>
  <c r="S20" i="39"/>
  <c r="R21" i="39"/>
  <c r="S21" i="39"/>
  <c r="T21" i="39" s="1"/>
  <c r="R22" i="39"/>
  <c r="S22" i="39"/>
  <c r="T22" i="39"/>
  <c r="R23" i="39"/>
  <c r="T23" i="39" s="1"/>
  <c r="S23" i="39"/>
  <c r="R24" i="39"/>
  <c r="T24" i="39" s="1"/>
  <c r="S24" i="39"/>
  <c r="R25" i="39"/>
  <c r="S25" i="39"/>
  <c r="T25" i="39" s="1"/>
  <c r="R26" i="39"/>
  <c r="S26" i="39"/>
  <c r="T26" i="39"/>
  <c r="R27" i="39"/>
  <c r="F27" i="39"/>
  <c r="S27" i="39" s="1"/>
  <c r="R28" i="39"/>
  <c r="T28" i="39" s="1"/>
  <c r="S28" i="39"/>
  <c r="R29" i="39"/>
  <c r="S29" i="39"/>
  <c r="R30" i="39"/>
  <c r="T30" i="39" s="1"/>
  <c r="S30" i="39"/>
  <c r="R31" i="39"/>
  <c r="T31" i="39" s="1"/>
  <c r="S31" i="39"/>
  <c r="R32" i="39"/>
  <c r="T32" i="39" s="1"/>
  <c r="S32" i="39"/>
  <c r="R33" i="39"/>
  <c r="T33" i="39" s="1"/>
  <c r="S33" i="39"/>
  <c r="R34" i="39"/>
  <c r="T34" i="39" s="1"/>
  <c r="S34" i="39"/>
  <c r="R35" i="39"/>
  <c r="T35" i="39" s="1"/>
  <c r="S35" i="39"/>
  <c r="R36" i="39"/>
  <c r="T36" i="39" s="1"/>
  <c r="S36" i="39"/>
  <c r="R37" i="39"/>
  <c r="T37" i="39" s="1"/>
  <c r="S37" i="39"/>
  <c r="R38" i="39"/>
  <c r="T38" i="39" s="1"/>
  <c r="S38" i="39"/>
  <c r="R39" i="39"/>
  <c r="T39" i="39" s="1"/>
  <c r="S39" i="39"/>
  <c r="R40" i="39"/>
  <c r="T40" i="39" s="1"/>
  <c r="S40" i="39"/>
  <c r="R41" i="39"/>
  <c r="T41" i="39" s="1"/>
  <c r="S41" i="39"/>
  <c r="R42" i="39"/>
  <c r="T42" i="39" s="1"/>
  <c r="S42" i="39"/>
  <c r="R43" i="39"/>
  <c r="T43" i="39" s="1"/>
  <c r="S43" i="39"/>
  <c r="R44" i="39"/>
  <c r="T44" i="39" s="1"/>
  <c r="S44" i="39"/>
  <c r="R45" i="39"/>
  <c r="T45" i="39" s="1"/>
  <c r="S45" i="39"/>
  <c r="R46" i="39"/>
  <c r="T46" i="39" s="1"/>
  <c r="S46" i="39"/>
  <c r="R47" i="39"/>
  <c r="T47" i="39" s="1"/>
  <c r="S47" i="39"/>
  <c r="R48" i="39"/>
  <c r="T48" i="39" s="1"/>
  <c r="S48" i="39"/>
  <c r="S49" i="39"/>
  <c r="S50" i="39"/>
  <c r="S51" i="39"/>
  <c r="S52" i="39"/>
  <c r="S53" i="39"/>
  <c r="S54" i="39"/>
  <c r="R8" i="40"/>
  <c r="F8" i="40"/>
  <c r="S8" i="40"/>
  <c r="R9" i="40"/>
  <c r="F9" i="40"/>
  <c r="S9" i="40" s="1"/>
  <c r="R10" i="40"/>
  <c r="F10" i="40"/>
  <c r="S10" i="40" s="1"/>
  <c r="R11" i="40"/>
  <c r="F11" i="40"/>
  <c r="S11" i="40" s="1"/>
  <c r="T11" i="40" s="1"/>
  <c r="R12" i="40"/>
  <c r="F12" i="40"/>
  <c r="S12" i="40" s="1"/>
  <c r="T12" i="40" s="1"/>
  <c r="R13" i="40"/>
  <c r="F13" i="40"/>
  <c r="S13" i="40" s="1"/>
  <c r="R14" i="40"/>
  <c r="F14" i="40"/>
  <c r="S14" i="40" s="1"/>
  <c r="R15" i="40"/>
  <c r="F15" i="40"/>
  <c r="S15" i="40" s="1"/>
  <c r="R16" i="40"/>
  <c r="F16" i="40"/>
  <c r="S16" i="40"/>
  <c r="R17" i="40"/>
  <c r="F17" i="40"/>
  <c r="S17" i="40" s="1"/>
  <c r="R18" i="40"/>
  <c r="F18" i="40"/>
  <c r="S18" i="40" s="1"/>
  <c r="R19" i="40"/>
  <c r="F19" i="40"/>
  <c r="S19" i="40" s="1"/>
  <c r="T19" i="40" s="1"/>
  <c r="R20" i="40"/>
  <c r="F20" i="40"/>
  <c r="S20" i="40" s="1"/>
  <c r="T20" i="40" s="1"/>
  <c r="R21" i="40"/>
  <c r="F21" i="40"/>
  <c r="S21" i="40" s="1"/>
  <c r="R22" i="40"/>
  <c r="F22" i="40"/>
  <c r="S22" i="40" s="1"/>
  <c r="R23" i="40"/>
  <c r="F23" i="40"/>
  <c r="S23" i="40" s="1"/>
  <c r="R24" i="40"/>
  <c r="F24" i="40"/>
  <c r="S24" i="40"/>
  <c r="R25" i="40"/>
  <c r="F25" i="40"/>
  <c r="S25" i="40" s="1"/>
  <c r="R26" i="40"/>
  <c r="F26" i="40"/>
  <c r="S26" i="40" s="1"/>
  <c r="R27" i="40"/>
  <c r="F27" i="40"/>
  <c r="S27" i="40" s="1"/>
  <c r="T27" i="40" s="1"/>
  <c r="R28" i="40"/>
  <c r="F28" i="40"/>
  <c r="S28" i="40" s="1"/>
  <c r="R29" i="40"/>
  <c r="F29" i="40"/>
  <c r="S29" i="40" s="1"/>
  <c r="R30" i="40"/>
  <c r="F30" i="40"/>
  <c r="S30" i="40" s="1"/>
  <c r="R31" i="40"/>
  <c r="F31" i="40"/>
  <c r="S31" i="40"/>
  <c r="R32" i="40"/>
  <c r="F32" i="40"/>
  <c r="S32" i="40" s="1"/>
  <c r="T32" i="40" s="1"/>
  <c r="R33" i="40"/>
  <c r="F33" i="40"/>
  <c r="S33" i="40" s="1"/>
  <c r="R34" i="40"/>
  <c r="F34" i="40"/>
  <c r="S34" i="40" s="1"/>
  <c r="T34" i="40" s="1"/>
  <c r="R35" i="40"/>
  <c r="F35" i="40"/>
  <c r="S35" i="40" s="1"/>
  <c r="T35" i="40" s="1"/>
  <c r="R36" i="40"/>
  <c r="F36" i="40"/>
  <c r="S36" i="40" s="1"/>
  <c r="R37" i="40"/>
  <c r="F37" i="40"/>
  <c r="S37" i="40" s="1"/>
  <c r="R38" i="40"/>
  <c r="F38" i="40"/>
  <c r="S38" i="40" s="1"/>
  <c r="R39" i="40"/>
  <c r="F39" i="40"/>
  <c r="S39" i="40"/>
  <c r="T39" i="40" s="1"/>
  <c r="R40" i="40"/>
  <c r="F40" i="40"/>
  <c r="S40" i="40" s="1"/>
  <c r="T40" i="40" s="1"/>
  <c r="R41" i="40"/>
  <c r="F41" i="40"/>
  <c r="S41" i="40" s="1"/>
  <c r="R42" i="40"/>
  <c r="F42" i="40"/>
  <c r="S42" i="40" s="1"/>
  <c r="T42" i="40" s="1"/>
  <c r="R43" i="40"/>
  <c r="F43" i="40"/>
  <c r="S43" i="40" s="1"/>
  <c r="T43" i="40" s="1"/>
  <c r="R44" i="40"/>
  <c r="F44" i="40"/>
  <c r="S44" i="40" s="1"/>
  <c r="R45" i="40"/>
  <c r="F45" i="40"/>
  <c r="S45" i="40" s="1"/>
  <c r="R46" i="40"/>
  <c r="F46" i="40"/>
  <c r="S46" i="40" s="1"/>
  <c r="R47" i="40"/>
  <c r="F47" i="40"/>
  <c r="S47" i="40"/>
  <c r="R48" i="40"/>
  <c r="F48" i="40"/>
  <c r="S48" i="40" s="1"/>
  <c r="R49" i="40"/>
  <c r="F49" i="40"/>
  <c r="S49" i="40" s="1"/>
  <c r="R50" i="40"/>
  <c r="F50" i="40"/>
  <c r="S50" i="40" s="1"/>
  <c r="T50" i="40" s="1"/>
  <c r="R51" i="40"/>
  <c r="F51" i="40"/>
  <c r="S51" i="40" s="1"/>
  <c r="T51" i="40" s="1"/>
  <c r="R8" i="61"/>
  <c r="F8" i="61"/>
  <c r="S8" i="61" s="1"/>
  <c r="R9" i="61"/>
  <c r="F9" i="61"/>
  <c r="S9" i="61" s="1"/>
  <c r="R10" i="61"/>
  <c r="F10" i="61"/>
  <c r="S10" i="61"/>
  <c r="R11" i="61"/>
  <c r="F11" i="61"/>
  <c r="S11" i="61" s="1"/>
  <c r="T11" i="61" s="1"/>
  <c r="R12" i="61"/>
  <c r="F12" i="61"/>
  <c r="S12" i="61" s="1"/>
  <c r="R13" i="61"/>
  <c r="F13" i="61"/>
  <c r="S13" i="61" s="1"/>
  <c r="T13" i="61" s="1"/>
  <c r="R14" i="61"/>
  <c r="F14" i="61"/>
  <c r="S14" i="61" s="1"/>
  <c r="T14" i="61" s="1"/>
  <c r="R15" i="61"/>
  <c r="F15" i="61"/>
  <c r="S15" i="61" s="1"/>
  <c r="R16" i="61"/>
  <c r="F16" i="61"/>
  <c r="S16" i="61" s="1"/>
  <c r="R17" i="61"/>
  <c r="F17" i="61"/>
  <c r="S17" i="61" s="1"/>
  <c r="R18" i="61"/>
  <c r="T18" i="61" s="1"/>
  <c r="F18" i="61"/>
  <c r="S18" i="61"/>
  <c r="R19" i="61"/>
  <c r="F19" i="61"/>
  <c r="S19" i="61"/>
  <c r="R20" i="61"/>
  <c r="F20" i="61"/>
  <c r="S20" i="61" s="1"/>
  <c r="R21" i="61"/>
  <c r="S21" i="61"/>
  <c r="R22" i="61"/>
  <c r="S22" i="61"/>
  <c r="R23" i="61"/>
  <c r="S23" i="61"/>
  <c r="R24" i="61"/>
  <c r="S24" i="61"/>
  <c r="R25" i="61"/>
  <c r="S25" i="61"/>
  <c r="R26" i="61"/>
  <c r="S26" i="61"/>
  <c r="R27" i="61"/>
  <c r="M82" i="61"/>
  <c r="N82" i="61" s="1"/>
  <c r="F27" i="61" s="1"/>
  <c r="S27" i="61" s="1"/>
  <c r="T27" i="61" s="1"/>
  <c r="R28" i="61"/>
  <c r="F64" i="61"/>
  <c r="F28" i="61" s="1"/>
  <c r="S28" i="61" s="1"/>
  <c r="T28" i="61" s="1"/>
  <c r="R29" i="61"/>
  <c r="T29" i="61" s="1"/>
  <c r="S29" i="61"/>
  <c r="R30" i="61"/>
  <c r="T30" i="61" s="1"/>
  <c r="S30" i="61"/>
  <c r="R31" i="61"/>
  <c r="T31" i="61" s="1"/>
  <c r="S31" i="61"/>
  <c r="R32" i="61"/>
  <c r="T32" i="61" s="1"/>
  <c r="S32" i="61"/>
  <c r="R33" i="61"/>
  <c r="T33" i="61" s="1"/>
  <c r="S33" i="61"/>
  <c r="R34" i="61"/>
  <c r="T34" i="61" s="1"/>
  <c r="S34" i="61"/>
  <c r="R35" i="61"/>
  <c r="T35" i="61" s="1"/>
  <c r="S35" i="61"/>
  <c r="R36" i="61"/>
  <c r="T36" i="61" s="1"/>
  <c r="S36" i="61"/>
  <c r="R37" i="61"/>
  <c r="T37" i="61" s="1"/>
  <c r="S37" i="61"/>
  <c r="R38" i="61"/>
  <c r="T38" i="61" s="1"/>
  <c r="S38" i="61"/>
  <c r="R39" i="61"/>
  <c r="T39" i="61" s="1"/>
  <c r="S39" i="61"/>
  <c r="R40" i="61"/>
  <c r="T40" i="61" s="1"/>
  <c r="S40" i="61"/>
  <c r="R41" i="61"/>
  <c r="T41" i="61" s="1"/>
  <c r="S41" i="61"/>
  <c r="R42" i="61"/>
  <c r="T42" i="61" s="1"/>
  <c r="S42" i="61"/>
  <c r="R43" i="61"/>
  <c r="T43" i="61" s="1"/>
  <c r="S43" i="61"/>
  <c r="R44" i="61"/>
  <c r="T44" i="61" s="1"/>
  <c r="S44" i="61"/>
  <c r="R45" i="61"/>
  <c r="T45" i="61" s="1"/>
  <c r="S45" i="61"/>
  <c r="R46" i="61"/>
  <c r="T46" i="61" s="1"/>
  <c r="S46" i="61"/>
  <c r="R47" i="61"/>
  <c r="T47" i="61" s="1"/>
  <c r="S47" i="61"/>
  <c r="R48" i="61"/>
  <c r="T48" i="61" s="1"/>
  <c r="S48" i="61"/>
  <c r="S49" i="61"/>
  <c r="S50" i="61"/>
  <c r="S51" i="61"/>
  <c r="S52" i="61"/>
  <c r="S53" i="61"/>
  <c r="S54" i="61"/>
  <c r="R23" i="100"/>
  <c r="T23" i="100" s="1"/>
  <c r="U23" i="100" s="1"/>
  <c r="F23" i="100"/>
  <c r="S23" i="100"/>
  <c r="R24" i="100"/>
  <c r="F24" i="100"/>
  <c r="S24" i="100" s="1"/>
  <c r="T24" i="100" s="1"/>
  <c r="R25" i="100"/>
  <c r="R26" i="100"/>
  <c r="R27" i="100"/>
  <c r="R28" i="100"/>
  <c r="F61" i="100"/>
  <c r="F28" i="100" s="1"/>
  <c r="S28" i="100" s="1"/>
  <c r="R29" i="100"/>
  <c r="S29" i="100"/>
  <c r="R30" i="100"/>
  <c r="F30" i="100"/>
  <c r="S30" i="100" s="1"/>
  <c r="R31" i="100"/>
  <c r="R32" i="100"/>
  <c r="R33" i="100"/>
  <c r="R34" i="100"/>
  <c r="R35" i="100"/>
  <c r="R36" i="100"/>
  <c r="R37" i="100"/>
  <c r="R38" i="100"/>
  <c r="R39" i="100"/>
  <c r="R40" i="100"/>
  <c r="R41" i="100"/>
  <c r="R42" i="100"/>
  <c r="R43" i="100"/>
  <c r="R44" i="100"/>
  <c r="R45" i="100"/>
  <c r="R46" i="100"/>
  <c r="R47" i="100"/>
  <c r="R48" i="100"/>
  <c r="R23" i="99"/>
  <c r="T23" i="99" s="1"/>
  <c r="U23" i="99" s="1"/>
  <c r="F23" i="99"/>
  <c r="S23" i="99" s="1"/>
  <c r="R24" i="99"/>
  <c r="R25" i="99"/>
  <c r="R26" i="99"/>
  <c r="R27" i="99"/>
  <c r="R28" i="99"/>
  <c r="S28" i="99"/>
  <c r="R29" i="99"/>
  <c r="S29" i="99"/>
  <c r="R30" i="99"/>
  <c r="F30" i="99"/>
  <c r="S30" i="99" s="1"/>
  <c r="R31" i="99"/>
  <c r="R32" i="99"/>
  <c r="R33" i="99"/>
  <c r="R34" i="99"/>
  <c r="R35" i="99"/>
  <c r="R36" i="99"/>
  <c r="R37" i="99"/>
  <c r="R38" i="99"/>
  <c r="R39" i="99"/>
  <c r="R40" i="99"/>
  <c r="R41" i="99"/>
  <c r="R42" i="99"/>
  <c r="R43" i="99"/>
  <c r="R44" i="99"/>
  <c r="R45" i="99"/>
  <c r="R46" i="99"/>
  <c r="R47" i="99"/>
  <c r="R48" i="99"/>
  <c r="R8" i="62"/>
  <c r="T8" i="62" s="1"/>
  <c r="U8" i="62" s="1"/>
  <c r="F8" i="62"/>
  <c r="S8" i="62" s="1"/>
  <c r="R9" i="62"/>
  <c r="F9" i="62"/>
  <c r="S9" i="62" s="1"/>
  <c r="R10" i="62"/>
  <c r="F10" i="62"/>
  <c r="S10" i="62"/>
  <c r="R11" i="62"/>
  <c r="F11" i="62"/>
  <c r="S11" i="62" s="1"/>
  <c r="R12" i="62"/>
  <c r="F12" i="62"/>
  <c r="S12" i="62" s="1"/>
  <c r="R13" i="62"/>
  <c r="F13" i="62"/>
  <c r="S13" i="62" s="1"/>
  <c r="T13" i="62" s="1"/>
  <c r="R14" i="62"/>
  <c r="F14" i="62"/>
  <c r="S14" i="62" s="1"/>
  <c r="T14" i="62" s="1"/>
  <c r="R15" i="62"/>
  <c r="T15" i="62" s="1"/>
  <c r="F15" i="62"/>
  <c r="S15" i="62" s="1"/>
  <c r="R16" i="62"/>
  <c r="T16" i="62" s="1"/>
  <c r="F16" i="62"/>
  <c r="S16" i="62" s="1"/>
  <c r="R17" i="62"/>
  <c r="F17" i="62"/>
  <c r="S17" i="62"/>
  <c r="R18" i="62"/>
  <c r="F18" i="62"/>
  <c r="S18" i="62" s="1"/>
  <c r="T18" i="62" s="1"/>
  <c r="R19" i="62"/>
  <c r="F19" i="62"/>
  <c r="S19" i="62" s="1"/>
  <c r="R20" i="62"/>
  <c r="T20" i="62" s="1"/>
  <c r="F20" i="62"/>
  <c r="S20" i="62" s="1"/>
  <c r="R21" i="62"/>
  <c r="F21" i="62"/>
  <c r="S21" i="62"/>
  <c r="R22" i="62"/>
  <c r="T22" i="62" s="1"/>
  <c r="S22" i="62"/>
  <c r="R23" i="62"/>
  <c r="T23" i="62" s="1"/>
  <c r="S23" i="62"/>
  <c r="R24" i="62"/>
  <c r="S24" i="62"/>
  <c r="T24" i="62" s="1"/>
  <c r="R25" i="62"/>
  <c r="S25" i="62"/>
  <c r="T25" i="62"/>
  <c r="R26" i="62"/>
  <c r="T26" i="62" s="1"/>
  <c r="S26" i="62"/>
  <c r="R27" i="62"/>
  <c r="T27" i="62" s="1"/>
  <c r="S27" i="62"/>
  <c r="R28" i="62"/>
  <c r="F28" i="62"/>
  <c r="S28" i="62" s="1"/>
  <c r="T28" i="62" s="1"/>
  <c r="R29" i="62"/>
  <c r="S29" i="62"/>
  <c r="R30" i="62"/>
  <c r="S30" i="62"/>
  <c r="R31" i="62"/>
  <c r="S31" i="62"/>
  <c r="R32" i="62"/>
  <c r="S32" i="62"/>
  <c r="R33" i="62"/>
  <c r="S33" i="62"/>
  <c r="R34" i="62"/>
  <c r="S34" i="62"/>
  <c r="R35" i="62"/>
  <c r="S35" i="62"/>
  <c r="R36" i="62"/>
  <c r="S36" i="62"/>
  <c r="R37" i="62"/>
  <c r="S37" i="62"/>
  <c r="R38" i="62"/>
  <c r="S38" i="62"/>
  <c r="R39" i="62"/>
  <c r="T39" i="62" s="1"/>
  <c r="S39" i="62"/>
  <c r="R40" i="62"/>
  <c r="T40" i="62" s="1"/>
  <c r="S40" i="62"/>
  <c r="R41" i="62"/>
  <c r="T41" i="62" s="1"/>
  <c r="S41" i="62"/>
  <c r="R42" i="62"/>
  <c r="T42" i="62" s="1"/>
  <c r="S42" i="62"/>
  <c r="R43" i="62"/>
  <c r="T43" i="62" s="1"/>
  <c r="S43" i="62"/>
  <c r="R44" i="62"/>
  <c r="T44" i="62" s="1"/>
  <c r="S44" i="62"/>
  <c r="R45" i="62"/>
  <c r="T45" i="62" s="1"/>
  <c r="S45" i="62"/>
  <c r="R46" i="62"/>
  <c r="T46" i="62" s="1"/>
  <c r="S46" i="62"/>
  <c r="R47" i="62"/>
  <c r="T47" i="62" s="1"/>
  <c r="S47" i="62"/>
  <c r="R48" i="62"/>
  <c r="T48" i="62" s="1"/>
  <c r="S48" i="62"/>
  <c r="S49" i="62"/>
  <c r="S50" i="62"/>
  <c r="S51" i="62"/>
  <c r="S52" i="62"/>
  <c r="S53" i="62"/>
  <c r="S54" i="62"/>
  <c r="R8" i="64"/>
  <c r="F8" i="64"/>
  <c r="S8" i="64"/>
  <c r="R9" i="64"/>
  <c r="F9" i="64"/>
  <c r="S9" i="64" s="1"/>
  <c r="T9" i="64" s="1"/>
  <c r="R10" i="64"/>
  <c r="F10" i="64"/>
  <c r="S10" i="64" s="1"/>
  <c r="R11" i="64"/>
  <c r="F11" i="64"/>
  <c r="S11" i="64" s="1"/>
  <c r="T11" i="64" s="1"/>
  <c r="R12" i="64"/>
  <c r="F12" i="64"/>
  <c r="S12" i="64" s="1"/>
  <c r="T12" i="64" s="1"/>
  <c r="R13" i="64"/>
  <c r="T13" i="64" s="1"/>
  <c r="F13" i="64"/>
  <c r="S13" i="64" s="1"/>
  <c r="R14" i="64"/>
  <c r="T14" i="64" s="1"/>
  <c r="F14" i="64"/>
  <c r="S14" i="64" s="1"/>
  <c r="R15" i="64"/>
  <c r="F15" i="64"/>
  <c r="S15" i="64"/>
  <c r="R16" i="64"/>
  <c r="F16" i="64"/>
  <c r="S16" i="64"/>
  <c r="T16" i="64" s="1"/>
  <c r="R17" i="64"/>
  <c r="F17" i="64"/>
  <c r="S17" i="64" s="1"/>
  <c r="R18" i="64"/>
  <c r="F18" i="64"/>
  <c r="S18" i="64" s="1"/>
  <c r="R19" i="64"/>
  <c r="F19" i="64"/>
  <c r="S19" i="64" s="1"/>
  <c r="T19" i="64" s="1"/>
  <c r="R20" i="64"/>
  <c r="F20" i="64"/>
  <c r="S20" i="64" s="1"/>
  <c r="R21" i="64"/>
  <c r="T21" i="64" s="1"/>
  <c r="S21" i="64"/>
  <c r="R22" i="64"/>
  <c r="T22" i="64" s="1"/>
  <c r="S22" i="64"/>
  <c r="R23" i="64"/>
  <c r="T23" i="64" s="1"/>
  <c r="S23" i="64"/>
  <c r="R24" i="64"/>
  <c r="T24" i="64" s="1"/>
  <c r="S24" i="64"/>
  <c r="R25" i="64"/>
  <c r="T25" i="64" s="1"/>
  <c r="S25" i="64"/>
  <c r="R26" i="64"/>
  <c r="T26" i="64" s="1"/>
  <c r="S26" i="64"/>
  <c r="R27" i="64"/>
  <c r="T27" i="64" s="1"/>
  <c r="S27" i="64"/>
  <c r="R28" i="64"/>
  <c r="S28" i="64"/>
  <c r="R29" i="64"/>
  <c r="S29" i="64"/>
  <c r="R30" i="64"/>
  <c r="F30" i="64"/>
  <c r="S30" i="64" s="1"/>
  <c r="R31" i="64"/>
  <c r="R32" i="64"/>
  <c r="R33" i="64"/>
  <c r="R34" i="64"/>
  <c r="R35" i="64"/>
  <c r="R36" i="64"/>
  <c r="R37" i="64"/>
  <c r="R38" i="64"/>
  <c r="R39" i="64"/>
  <c r="R40" i="64"/>
  <c r="R41" i="64"/>
  <c r="R42" i="64"/>
  <c r="R43" i="64"/>
  <c r="R44" i="64"/>
  <c r="R45" i="64"/>
  <c r="R46" i="64"/>
  <c r="R47" i="64"/>
  <c r="R48" i="64"/>
  <c r="R49" i="64"/>
  <c r="R8" i="66"/>
  <c r="F8" i="66"/>
  <c r="S8" i="66" s="1"/>
  <c r="R9" i="66"/>
  <c r="F9" i="66"/>
  <c r="S9" i="66" s="1"/>
  <c r="R10" i="66"/>
  <c r="F10" i="66"/>
  <c r="S10" i="66" s="1"/>
  <c r="T10" i="66" s="1"/>
  <c r="R11" i="66"/>
  <c r="F11" i="66"/>
  <c r="S11" i="66" s="1"/>
  <c r="T11" i="66" s="1"/>
  <c r="R12" i="66"/>
  <c r="T12" i="66" s="1"/>
  <c r="F12" i="66"/>
  <c r="S12" i="66" s="1"/>
  <c r="R13" i="66"/>
  <c r="T13" i="66" s="1"/>
  <c r="F13" i="66"/>
  <c r="S13" i="66" s="1"/>
  <c r="R14" i="66"/>
  <c r="T14" i="66" s="1"/>
  <c r="F14" i="66"/>
  <c r="S14" i="66"/>
  <c r="R15" i="66"/>
  <c r="F15" i="66"/>
  <c r="S15" i="66"/>
  <c r="R16" i="66"/>
  <c r="F16" i="66"/>
  <c r="S16" i="66" s="1"/>
  <c r="R17" i="66"/>
  <c r="F17" i="66"/>
  <c r="S17" i="66" s="1"/>
  <c r="R18" i="66"/>
  <c r="F18" i="66"/>
  <c r="S18" i="66" s="1"/>
  <c r="T18" i="66" s="1"/>
  <c r="R19" i="66"/>
  <c r="F19" i="66"/>
  <c r="S19" i="66" s="1"/>
  <c r="T19" i="66" s="1"/>
  <c r="R20" i="66"/>
  <c r="F20" i="66"/>
  <c r="S20" i="66" s="1"/>
  <c r="R21" i="66"/>
  <c r="T21" i="66" s="1"/>
  <c r="F21" i="66"/>
  <c r="S21" i="66" s="1"/>
  <c r="R22" i="66"/>
  <c r="T22" i="66" s="1"/>
  <c r="S22" i="66"/>
  <c r="R23" i="66"/>
  <c r="T23" i="66" s="1"/>
  <c r="S23" i="66"/>
  <c r="R24" i="66"/>
  <c r="T24" i="66" s="1"/>
  <c r="S24" i="66"/>
  <c r="R25" i="66"/>
  <c r="T25" i="66" s="1"/>
  <c r="S25" i="66"/>
  <c r="R26" i="66"/>
  <c r="T26" i="66" s="1"/>
  <c r="F26" i="66"/>
  <c r="S26" i="66" s="1"/>
  <c r="R27" i="66"/>
  <c r="R28" i="66"/>
  <c r="S28" i="66"/>
  <c r="T28" i="66" s="1"/>
  <c r="R29" i="66"/>
  <c r="T29" i="66" s="1"/>
  <c r="S29" i="66"/>
  <c r="R30" i="66"/>
  <c r="F30" i="66"/>
  <c r="S30" i="66"/>
  <c r="R31" i="66"/>
  <c r="F31" i="66"/>
  <c r="S31" i="66" s="1"/>
  <c r="R32" i="66"/>
  <c r="R33" i="66"/>
  <c r="R34" i="66"/>
  <c r="R35" i="66"/>
  <c r="R36" i="66"/>
  <c r="R37" i="66"/>
  <c r="R38" i="66"/>
  <c r="R8" i="67"/>
  <c r="F8" i="67"/>
  <c r="S8" i="67" s="1"/>
  <c r="T8" i="67" s="1"/>
  <c r="U8" i="67" s="1"/>
  <c r="R9" i="67"/>
  <c r="F9" i="67"/>
  <c r="S9" i="67" s="1"/>
  <c r="R10" i="67"/>
  <c r="F10" i="67"/>
  <c r="S10" i="67" s="1"/>
  <c r="R11" i="67"/>
  <c r="F11" i="67"/>
  <c r="S11" i="67" s="1"/>
  <c r="R12" i="67"/>
  <c r="F12" i="67"/>
  <c r="S12" i="67"/>
  <c r="T12" i="67" s="1"/>
  <c r="R13" i="67"/>
  <c r="F13" i="67"/>
  <c r="S13" i="67" s="1"/>
  <c r="T13" i="67" s="1"/>
  <c r="R14" i="67"/>
  <c r="F14" i="67"/>
  <c r="S14" i="67" s="1"/>
  <c r="R15" i="67"/>
  <c r="F15" i="67"/>
  <c r="S15" i="67" s="1"/>
  <c r="T15" i="67" s="1"/>
  <c r="R16" i="67"/>
  <c r="F16" i="67"/>
  <c r="S16" i="67" s="1"/>
  <c r="T16" i="67" s="1"/>
  <c r="R17" i="67"/>
  <c r="F17" i="67"/>
  <c r="S17" i="67" s="1"/>
  <c r="R18" i="67"/>
  <c r="F18" i="67"/>
  <c r="S18" i="67" s="1"/>
  <c r="R19" i="67"/>
  <c r="F19" i="67"/>
  <c r="S19" i="67" s="1"/>
  <c r="R20" i="67"/>
  <c r="F20" i="67"/>
  <c r="S20" i="67"/>
  <c r="R21" i="67"/>
  <c r="F21" i="67"/>
  <c r="S21" i="67" s="1"/>
  <c r="T21" i="67" s="1"/>
  <c r="R22" i="67"/>
  <c r="S22" i="67"/>
  <c r="R23" i="67"/>
  <c r="S23" i="67"/>
  <c r="R24" i="67"/>
  <c r="S24" i="67"/>
  <c r="R25" i="67"/>
  <c r="S25" i="67"/>
  <c r="R26" i="67"/>
  <c r="F26" i="67"/>
  <c r="S26" i="67" s="1"/>
  <c r="R27" i="67"/>
  <c r="F27" i="67"/>
  <c r="S27" i="67" s="1"/>
  <c r="T27" i="67" s="1"/>
  <c r="R28" i="67"/>
  <c r="S28" i="67"/>
  <c r="R29" i="67"/>
  <c r="S29" i="67"/>
  <c r="R30" i="67"/>
  <c r="F30" i="67"/>
  <c r="F31" i="67" s="1"/>
  <c r="S31" i="67" s="1"/>
  <c r="R31" i="67"/>
  <c r="R32" i="67"/>
  <c r="R33" i="67"/>
  <c r="R34" i="67"/>
  <c r="R35" i="67"/>
  <c r="R36" i="67"/>
  <c r="R37" i="67"/>
  <c r="R38" i="67"/>
  <c r="R39" i="67"/>
  <c r="R40" i="67"/>
  <c r="R41" i="67"/>
  <c r="R42" i="67"/>
  <c r="R43" i="67"/>
  <c r="R44" i="67"/>
  <c r="R45" i="67"/>
  <c r="R46" i="67"/>
  <c r="R47" i="67"/>
  <c r="R48" i="67"/>
  <c r="R8" i="42"/>
  <c r="S8" i="42"/>
  <c r="R9" i="42"/>
  <c r="S9" i="42"/>
  <c r="R10" i="42"/>
  <c r="S10" i="42"/>
  <c r="R11" i="42"/>
  <c r="S11" i="42"/>
  <c r="R12" i="42"/>
  <c r="S12" i="42"/>
  <c r="R13" i="42"/>
  <c r="S13" i="42"/>
  <c r="R14" i="42"/>
  <c r="S14" i="42"/>
  <c r="R15" i="42"/>
  <c r="S15" i="42"/>
  <c r="R16" i="42"/>
  <c r="S16" i="42"/>
  <c r="R17" i="42"/>
  <c r="S17" i="42"/>
  <c r="R18" i="42"/>
  <c r="S18" i="42"/>
  <c r="R19" i="42"/>
  <c r="S19" i="42"/>
  <c r="R20" i="42"/>
  <c r="S20" i="42"/>
  <c r="R21" i="42"/>
  <c r="S21" i="42"/>
  <c r="R22" i="42"/>
  <c r="S22" i="42"/>
  <c r="R23" i="42"/>
  <c r="S23" i="42"/>
  <c r="R24" i="42"/>
  <c r="S24" i="42"/>
  <c r="R25" i="42"/>
  <c r="S25" i="42"/>
  <c r="R26" i="42"/>
  <c r="S26" i="42"/>
  <c r="R27" i="42"/>
  <c r="M78" i="42"/>
  <c r="N78" i="42" s="1"/>
  <c r="F27" i="42" s="1"/>
  <c r="S27" i="42" s="1"/>
  <c r="R28" i="42"/>
  <c r="S28" i="42"/>
  <c r="T28" i="42" s="1"/>
  <c r="R29" i="42"/>
  <c r="S29" i="42"/>
  <c r="T29" i="42" s="1"/>
  <c r="R30" i="42"/>
  <c r="S30" i="42"/>
  <c r="T30" i="42" s="1"/>
  <c r="R31" i="42"/>
  <c r="S31" i="42"/>
  <c r="T31" i="42" s="1"/>
  <c r="R32" i="42"/>
  <c r="S32" i="42"/>
  <c r="R33" i="42"/>
  <c r="S33" i="42"/>
  <c r="R34" i="42"/>
  <c r="S34" i="42"/>
  <c r="R35" i="42"/>
  <c r="S35" i="42"/>
  <c r="R36" i="42"/>
  <c r="S36" i="42"/>
  <c r="R37" i="42"/>
  <c r="S37" i="42"/>
  <c r="R38" i="42"/>
  <c r="S38" i="42"/>
  <c r="R39" i="42"/>
  <c r="S39" i="42"/>
  <c r="R40" i="42"/>
  <c r="S40" i="42"/>
  <c r="R41" i="42"/>
  <c r="S41" i="42"/>
  <c r="R42" i="42"/>
  <c r="S42" i="42"/>
  <c r="R43" i="42"/>
  <c r="S43" i="42"/>
  <c r="R44" i="42"/>
  <c r="S44" i="42"/>
  <c r="R45" i="42"/>
  <c r="S45" i="42"/>
  <c r="R46" i="42"/>
  <c r="S46" i="42"/>
  <c r="R47" i="42"/>
  <c r="S47" i="42"/>
  <c r="S48" i="42"/>
  <c r="S49" i="42"/>
  <c r="S50" i="42"/>
  <c r="S51" i="42"/>
  <c r="S52" i="42"/>
  <c r="S53" i="42"/>
  <c r="S54" i="42"/>
  <c r="R23" i="103"/>
  <c r="F23" i="103"/>
  <c r="S23" i="103"/>
  <c r="T23" i="103" s="1"/>
  <c r="U23" i="103" s="1"/>
  <c r="R24" i="103"/>
  <c r="F24" i="103"/>
  <c r="S24" i="103" s="1"/>
  <c r="T24" i="103" s="1"/>
  <c r="R25" i="103"/>
  <c r="R26" i="103"/>
  <c r="R27" i="103"/>
  <c r="R28" i="103"/>
  <c r="F61" i="103"/>
  <c r="F28" i="103" s="1"/>
  <c r="S28" i="103" s="1"/>
  <c r="R29" i="103"/>
  <c r="S29" i="103"/>
  <c r="R30" i="103"/>
  <c r="F30" i="103"/>
  <c r="S30" i="103" s="1"/>
  <c r="R31" i="103"/>
  <c r="R32" i="103"/>
  <c r="R33" i="103"/>
  <c r="R34" i="103"/>
  <c r="R35" i="103"/>
  <c r="R36" i="103"/>
  <c r="R37" i="103"/>
  <c r="R38" i="103"/>
  <c r="R39" i="103"/>
  <c r="R40" i="103"/>
  <c r="R41" i="103"/>
  <c r="R42" i="103"/>
  <c r="R43" i="103"/>
  <c r="R44" i="103"/>
  <c r="R45" i="103"/>
  <c r="R46" i="103"/>
  <c r="R47" i="103"/>
  <c r="R48" i="103"/>
  <c r="R49" i="103"/>
  <c r="R23" i="102"/>
  <c r="F23" i="102"/>
  <c r="S23" i="102" s="1"/>
  <c r="R24" i="102"/>
  <c r="R25" i="102"/>
  <c r="R26" i="102"/>
  <c r="R27" i="102"/>
  <c r="R28" i="102"/>
  <c r="F61" i="102"/>
  <c r="F28" i="102" s="1"/>
  <c r="S28" i="102" s="1"/>
  <c r="R29" i="102"/>
  <c r="S29" i="102"/>
  <c r="R30" i="102"/>
  <c r="F30" i="102"/>
  <c r="S30" i="102" s="1"/>
  <c r="R31" i="102"/>
  <c r="R32" i="102"/>
  <c r="R33" i="102"/>
  <c r="R34" i="102"/>
  <c r="R35" i="102"/>
  <c r="R36" i="102"/>
  <c r="R37" i="102"/>
  <c r="R38" i="102"/>
  <c r="R39" i="102"/>
  <c r="R40" i="102"/>
  <c r="R41" i="102"/>
  <c r="R42" i="102"/>
  <c r="R43" i="102"/>
  <c r="R44" i="102"/>
  <c r="R45" i="102"/>
  <c r="R46" i="102"/>
  <c r="R47" i="102"/>
  <c r="R48" i="102"/>
  <c r="R8" i="43"/>
  <c r="T8" i="43" s="1"/>
  <c r="U8" i="43" s="1"/>
  <c r="S8" i="43"/>
  <c r="R9" i="43"/>
  <c r="T9" i="43" s="1"/>
  <c r="S9" i="43"/>
  <c r="R10" i="43"/>
  <c r="T10" i="43" s="1"/>
  <c r="S10" i="43"/>
  <c r="R11" i="43"/>
  <c r="T11" i="43" s="1"/>
  <c r="S11" i="43"/>
  <c r="R12" i="43"/>
  <c r="T12" i="43" s="1"/>
  <c r="S12" i="43"/>
  <c r="R13" i="43"/>
  <c r="T13" i="43" s="1"/>
  <c r="S13" i="43"/>
  <c r="R14" i="43"/>
  <c r="T14" i="43" s="1"/>
  <c r="S14" i="43"/>
  <c r="R15" i="43"/>
  <c r="T15" i="43" s="1"/>
  <c r="S15" i="43"/>
  <c r="R16" i="43"/>
  <c r="T16" i="43" s="1"/>
  <c r="S16" i="43"/>
  <c r="R17" i="43"/>
  <c r="T17" i="43" s="1"/>
  <c r="S17" i="43"/>
  <c r="R18" i="43"/>
  <c r="T18" i="43" s="1"/>
  <c r="S18" i="43"/>
  <c r="R19" i="43"/>
  <c r="T19" i="43" s="1"/>
  <c r="S19" i="43"/>
  <c r="R20" i="43"/>
  <c r="T20" i="43" s="1"/>
  <c r="S20" i="43"/>
  <c r="R21" i="43"/>
  <c r="T21" i="43" s="1"/>
  <c r="S21" i="43"/>
  <c r="R22" i="43"/>
  <c r="T22" i="43" s="1"/>
  <c r="S22" i="43"/>
  <c r="R23" i="43"/>
  <c r="T23" i="43" s="1"/>
  <c r="S23" i="43"/>
  <c r="R24" i="43"/>
  <c r="T24" i="43" s="1"/>
  <c r="S24" i="43"/>
  <c r="R25" i="43"/>
  <c r="T25" i="43" s="1"/>
  <c r="S25" i="43"/>
  <c r="R26" i="43"/>
  <c r="T26" i="43" s="1"/>
  <c r="S26" i="43"/>
  <c r="R27" i="43"/>
  <c r="T27" i="43" s="1"/>
  <c r="S27" i="43"/>
  <c r="R28" i="43"/>
  <c r="F61" i="43"/>
  <c r="F28" i="43" s="1"/>
  <c r="S28" i="43" s="1"/>
  <c r="R29" i="43"/>
  <c r="S29" i="43"/>
  <c r="R30" i="43"/>
  <c r="F30" i="43"/>
  <c r="S30" i="43" s="1"/>
  <c r="R31" i="43"/>
  <c r="F31" i="43"/>
  <c r="S31" i="43" s="1"/>
  <c r="R32" i="43"/>
  <c r="R33" i="43"/>
  <c r="R34" i="43"/>
  <c r="R35" i="43"/>
  <c r="R23" i="101"/>
  <c r="T23" i="101" s="1"/>
  <c r="U23" i="101" s="1"/>
  <c r="F23" i="101"/>
  <c r="S23" i="101" s="1"/>
  <c r="R24" i="101"/>
  <c r="F24" i="101"/>
  <c r="S24" i="101" s="1"/>
  <c r="R25" i="101"/>
  <c r="F25" i="101"/>
  <c r="S25" i="101"/>
  <c r="T25" i="101" s="1"/>
  <c r="R26" i="101"/>
  <c r="F26" i="101"/>
  <c r="S26" i="101" s="1"/>
  <c r="T26" i="101" s="1"/>
  <c r="R27" i="101"/>
  <c r="F27" i="101"/>
  <c r="S27" i="101" s="1"/>
  <c r="R28" i="101"/>
  <c r="S28" i="101"/>
  <c r="R29" i="101"/>
  <c r="S29" i="101"/>
  <c r="R30" i="101"/>
  <c r="F30" i="101"/>
  <c r="S30" i="101" s="1"/>
  <c r="R31" i="101"/>
  <c r="F31" i="101"/>
  <c r="R32" i="101"/>
  <c r="R33" i="101"/>
  <c r="R34" i="101"/>
  <c r="R35" i="101"/>
  <c r="R36" i="101"/>
  <c r="R37" i="101"/>
  <c r="R38" i="101"/>
  <c r="R39" i="101"/>
  <c r="R40" i="101"/>
  <c r="R41" i="101"/>
  <c r="R42" i="101"/>
  <c r="R43" i="101"/>
  <c r="R44" i="101"/>
  <c r="R45" i="101"/>
  <c r="R46" i="101"/>
  <c r="R47" i="101"/>
  <c r="R48" i="101"/>
  <c r="R49" i="101"/>
  <c r="U7" i="44"/>
  <c r="R8" i="44"/>
  <c r="S8" i="44"/>
  <c r="R9" i="44"/>
  <c r="F9" i="44"/>
  <c r="S9" i="44" s="1"/>
  <c r="T9" i="44" s="1"/>
  <c r="R10" i="44"/>
  <c r="F10" i="44"/>
  <c r="S10" i="44" s="1"/>
  <c r="T10" i="44" s="1"/>
  <c r="R11" i="44"/>
  <c r="F11" i="44"/>
  <c r="S11" i="44" s="1"/>
  <c r="R12" i="44"/>
  <c r="F12" i="44"/>
  <c r="S12" i="44" s="1"/>
  <c r="R13" i="44"/>
  <c r="F13" i="44"/>
  <c r="S13" i="44" s="1"/>
  <c r="R14" i="44"/>
  <c r="F14" i="44"/>
  <c r="S14" i="44"/>
  <c r="R15" i="44"/>
  <c r="F15" i="44"/>
  <c r="S15" i="44" s="1"/>
  <c r="T15" i="44" s="1"/>
  <c r="R16" i="44"/>
  <c r="F16" i="44"/>
  <c r="S16" i="44" s="1"/>
  <c r="R17" i="44"/>
  <c r="F17" i="44"/>
  <c r="S17" i="44" s="1"/>
  <c r="T17" i="44" s="1"/>
  <c r="R18" i="44"/>
  <c r="F18" i="44"/>
  <c r="S18" i="44" s="1"/>
  <c r="T18" i="44" s="1"/>
  <c r="R19" i="44"/>
  <c r="F19" i="44"/>
  <c r="S19" i="44" s="1"/>
  <c r="R20" i="44"/>
  <c r="F20" i="44"/>
  <c r="S20" i="44" s="1"/>
  <c r="R21" i="44"/>
  <c r="T21" i="44" s="1"/>
  <c r="F21" i="44"/>
  <c r="S21" i="44"/>
  <c r="R22" i="44"/>
  <c r="F22" i="44"/>
  <c r="S22" i="44"/>
  <c r="R23" i="44"/>
  <c r="F23" i="44"/>
  <c r="S23" i="44" s="1"/>
  <c r="R24" i="44"/>
  <c r="F24" i="44"/>
  <c r="S24" i="44" s="1"/>
  <c r="R25" i="44"/>
  <c r="F25" i="44"/>
  <c r="S25" i="44" s="1"/>
  <c r="T25" i="44" s="1"/>
  <c r="R26" i="44"/>
  <c r="F26" i="44"/>
  <c r="S26" i="44" s="1"/>
  <c r="T26" i="44" s="1"/>
  <c r="R27" i="44"/>
  <c r="F27" i="44"/>
  <c r="S27" i="44" s="1"/>
  <c r="R28" i="44"/>
  <c r="F28" i="44"/>
  <c r="S28" i="44" s="1"/>
  <c r="R29" i="44"/>
  <c r="T29" i="44" s="1"/>
  <c r="F29" i="44"/>
  <c r="S29" i="44"/>
  <c r="R30" i="44"/>
  <c r="F30" i="44"/>
  <c r="S30" i="44"/>
  <c r="T30" i="44" s="1"/>
  <c r="R31" i="44"/>
  <c r="F31" i="44"/>
  <c r="S31" i="44" s="1"/>
  <c r="R32" i="44"/>
  <c r="F32" i="44"/>
  <c r="S32" i="44" s="1"/>
  <c r="R33" i="44"/>
  <c r="F33" i="44"/>
  <c r="S33" i="44" s="1"/>
  <c r="R34" i="44"/>
  <c r="F34" i="44"/>
  <c r="S34" i="44" s="1"/>
  <c r="T34" i="44" s="1"/>
  <c r="R35" i="44"/>
  <c r="F35" i="44"/>
  <c r="S35" i="44" s="1"/>
  <c r="T35" i="44" s="1"/>
  <c r="R36" i="44"/>
  <c r="F36" i="44"/>
  <c r="S36" i="44" s="1"/>
  <c r="R37" i="44"/>
  <c r="F37" i="44"/>
  <c r="S37" i="44" s="1"/>
  <c r="R38" i="44"/>
  <c r="T38" i="44" s="1"/>
  <c r="F38" i="44"/>
  <c r="S38" i="44"/>
  <c r="R39" i="44"/>
  <c r="F39" i="44"/>
  <c r="S39" i="44" s="1"/>
  <c r="R40" i="44"/>
  <c r="F40" i="44"/>
  <c r="S40" i="44" s="1"/>
  <c r="R41" i="44"/>
  <c r="F41" i="44"/>
  <c r="S41" i="44" s="1"/>
  <c r="R42" i="44"/>
  <c r="F42" i="44"/>
  <c r="S42" i="44"/>
  <c r="T42" i="44" s="1"/>
  <c r="R43" i="44"/>
  <c r="T43" i="44" s="1"/>
  <c r="S43" i="44"/>
  <c r="R44" i="44"/>
  <c r="S44" i="44"/>
  <c r="T44" i="44"/>
  <c r="R45" i="44"/>
  <c r="S45" i="44"/>
  <c r="T45" i="44" s="1"/>
  <c r="R46" i="44"/>
  <c r="T46" i="44" s="1"/>
  <c r="S46" i="44"/>
  <c r="R47" i="44"/>
  <c r="F47" i="44"/>
  <c r="S47" i="44" s="1"/>
  <c r="R48" i="44"/>
  <c r="F48" i="44"/>
  <c r="S48" i="44" s="1"/>
  <c r="R23" i="85"/>
  <c r="S23" i="85"/>
  <c r="R24" i="85"/>
  <c r="S24" i="85"/>
  <c r="R25" i="85"/>
  <c r="S25" i="85"/>
  <c r="R26" i="85"/>
  <c r="F26" i="85"/>
  <c r="S26" i="85" s="1"/>
  <c r="R27" i="85"/>
  <c r="R28" i="85"/>
  <c r="F61" i="85"/>
  <c r="F28" i="85" s="1"/>
  <c r="R29" i="85"/>
  <c r="S29" i="85"/>
  <c r="R30" i="85"/>
  <c r="F30" i="85"/>
  <c r="S30" i="85"/>
  <c r="R31" i="85"/>
  <c r="F31" i="85"/>
  <c r="S31" i="85" s="1"/>
  <c r="R32" i="85"/>
  <c r="F32" i="85"/>
  <c r="S32" i="85" s="1"/>
  <c r="R33" i="85"/>
  <c r="R34" i="85"/>
  <c r="R35" i="85"/>
  <c r="R36" i="85"/>
  <c r="R37" i="85"/>
  <c r="R38" i="85"/>
  <c r="R23" i="87"/>
  <c r="S23" i="87"/>
  <c r="R24" i="87"/>
  <c r="S24" i="87"/>
  <c r="R25" i="87"/>
  <c r="S25" i="87"/>
  <c r="R26" i="87"/>
  <c r="T26" i="87" s="1"/>
  <c r="S26" i="87"/>
  <c r="R27" i="87"/>
  <c r="S27" i="87"/>
  <c r="T27" i="87"/>
  <c r="R28" i="87"/>
  <c r="S28" i="87"/>
  <c r="T28" i="87" s="1"/>
  <c r="R29" i="87"/>
  <c r="T29" i="87" s="1"/>
  <c r="S29" i="87"/>
  <c r="R30" i="87"/>
  <c r="S30" i="87"/>
  <c r="R31" i="87"/>
  <c r="T31" i="87" s="1"/>
  <c r="S31" i="87"/>
  <c r="R32" i="87"/>
  <c r="S32" i="87"/>
  <c r="T32" i="87" s="1"/>
  <c r="R33" i="87"/>
  <c r="T33" i="87" s="1"/>
  <c r="S33" i="87"/>
  <c r="R34" i="87"/>
  <c r="T34" i="87" s="1"/>
  <c r="S34" i="87"/>
  <c r="R35" i="87"/>
  <c r="T35" i="87" s="1"/>
  <c r="S35" i="87"/>
  <c r="R36" i="87"/>
  <c r="T36" i="87" s="1"/>
  <c r="S36" i="87"/>
  <c r="R37" i="87"/>
  <c r="T37" i="87" s="1"/>
  <c r="S37" i="87"/>
  <c r="R38" i="87"/>
  <c r="T38" i="87" s="1"/>
  <c r="S38" i="87"/>
  <c r="R39" i="87"/>
  <c r="T39" i="87" s="1"/>
  <c r="S39" i="87"/>
  <c r="R40" i="87"/>
  <c r="T40" i="87" s="1"/>
  <c r="S40" i="87"/>
  <c r="R41" i="87"/>
  <c r="T41" i="87" s="1"/>
  <c r="S41" i="87"/>
  <c r="R42" i="87"/>
  <c r="T42" i="87" s="1"/>
  <c r="S42" i="87"/>
  <c r="R43" i="87"/>
  <c r="T43" i="87" s="1"/>
  <c r="S43" i="87"/>
  <c r="R44" i="87"/>
  <c r="T44" i="87" s="1"/>
  <c r="S44" i="87"/>
  <c r="R45" i="87"/>
  <c r="T45" i="87" s="1"/>
  <c r="S45" i="87"/>
  <c r="R46" i="87"/>
  <c r="T46" i="87" s="1"/>
  <c r="S46" i="87"/>
  <c r="R47" i="87"/>
  <c r="T47" i="87" s="1"/>
  <c r="S47" i="87"/>
  <c r="R48" i="87"/>
  <c r="T48" i="87" s="1"/>
  <c r="S48" i="87"/>
  <c r="R49" i="87"/>
  <c r="T49" i="87" s="1"/>
  <c r="S49" i="87"/>
  <c r="S50" i="87"/>
  <c r="S51" i="87"/>
  <c r="S52" i="87"/>
  <c r="S53" i="87"/>
  <c r="S54" i="87"/>
  <c r="R23" i="86"/>
  <c r="S23" i="86"/>
  <c r="T23" i="86"/>
  <c r="U23" i="86" s="1"/>
  <c r="U24" i="86" s="1"/>
  <c r="U25" i="86" s="1"/>
  <c r="U26" i="86" s="1"/>
  <c r="R24" i="86"/>
  <c r="T24" i="86" s="1"/>
  <c r="S24" i="86"/>
  <c r="R25" i="86"/>
  <c r="S25" i="86"/>
  <c r="T25" i="86"/>
  <c r="R26" i="86"/>
  <c r="S26" i="86"/>
  <c r="T26" i="86" s="1"/>
  <c r="R27" i="86"/>
  <c r="T27" i="86" s="1"/>
  <c r="S27" i="86"/>
  <c r="R28" i="86"/>
  <c r="F61" i="86"/>
  <c r="F28" i="86" s="1"/>
  <c r="R29" i="86"/>
  <c r="S29" i="86"/>
  <c r="R30" i="86"/>
  <c r="F30" i="86"/>
  <c r="S30" i="86" s="1"/>
  <c r="R31" i="86"/>
  <c r="R32" i="86"/>
  <c r="R33" i="86"/>
  <c r="R34" i="86"/>
  <c r="R35" i="86"/>
  <c r="R23" i="88"/>
  <c r="T23" i="88" s="1"/>
  <c r="U23" i="88" s="1"/>
  <c r="S23" i="88"/>
  <c r="R24" i="88"/>
  <c r="T24" i="88" s="1"/>
  <c r="S24" i="88"/>
  <c r="R25" i="88"/>
  <c r="T25" i="88" s="1"/>
  <c r="S25" i="88"/>
  <c r="R26" i="88"/>
  <c r="T26" i="88" s="1"/>
  <c r="S26" i="88"/>
  <c r="R27" i="88"/>
  <c r="F27" i="88"/>
  <c r="S27" i="88" s="1"/>
  <c r="R28" i="88"/>
  <c r="T28" i="88" s="1"/>
  <c r="S28" i="88"/>
  <c r="R29" i="88"/>
  <c r="S29" i="88"/>
  <c r="T29" i="88" s="1"/>
  <c r="R30" i="88"/>
  <c r="S30" i="88"/>
  <c r="T30" i="88"/>
  <c r="R31" i="88"/>
  <c r="T31" i="88" s="1"/>
  <c r="S31" i="88"/>
  <c r="R32" i="88"/>
  <c r="S32" i="88"/>
  <c r="T32" i="88"/>
  <c r="R33" i="88"/>
  <c r="S33" i="88"/>
  <c r="T33" i="88" s="1"/>
  <c r="R34" i="88"/>
  <c r="T34" i="88" s="1"/>
  <c r="S34" i="88"/>
  <c r="R35" i="88"/>
  <c r="S35" i="88"/>
  <c r="R36" i="88"/>
  <c r="T36" i="88" s="1"/>
  <c r="S36" i="88"/>
  <c r="R37" i="88"/>
  <c r="S37" i="88"/>
  <c r="R38" i="88"/>
  <c r="T38" i="88" s="1"/>
  <c r="S38" i="88"/>
  <c r="R39" i="88"/>
  <c r="S39" i="88"/>
  <c r="R40" i="88"/>
  <c r="T40" i="88" s="1"/>
  <c r="S40" i="88"/>
  <c r="R41" i="88"/>
  <c r="S41" i="88"/>
  <c r="R42" i="88"/>
  <c r="T42" i="88" s="1"/>
  <c r="S42" i="88"/>
  <c r="R43" i="88"/>
  <c r="S43" i="88"/>
  <c r="R44" i="88"/>
  <c r="T44" i="88" s="1"/>
  <c r="S44" i="88"/>
  <c r="R45" i="88"/>
  <c r="S45" i="88"/>
  <c r="R46" i="88"/>
  <c r="T46" i="88" s="1"/>
  <c r="S46" i="88"/>
  <c r="R47" i="88"/>
  <c r="S47" i="88"/>
  <c r="R48" i="88"/>
  <c r="T48" i="88" s="1"/>
  <c r="S48" i="88"/>
  <c r="S49" i="88"/>
  <c r="S50" i="88"/>
  <c r="S51" i="88"/>
  <c r="S52" i="88"/>
  <c r="S53" i="88"/>
  <c r="S54" i="88"/>
  <c r="R23" i="104"/>
  <c r="T23" i="104" s="1"/>
  <c r="U23" i="104" s="1"/>
  <c r="F23" i="104"/>
  <c r="S23" i="104"/>
  <c r="R24" i="104"/>
  <c r="T24" i="104" s="1"/>
  <c r="S24" i="104"/>
  <c r="R25" i="104"/>
  <c r="F25" i="104"/>
  <c r="S25" i="104" s="1"/>
  <c r="T25" i="104" s="1"/>
  <c r="R26" i="104"/>
  <c r="R27" i="104"/>
  <c r="R28" i="104"/>
  <c r="R29" i="104"/>
  <c r="S29" i="104"/>
  <c r="R30" i="104"/>
  <c r="T30" i="104" s="1"/>
  <c r="S30" i="104"/>
  <c r="R31" i="104"/>
  <c r="S31" i="104"/>
  <c r="R32" i="104"/>
  <c r="T32" i="104" s="1"/>
  <c r="S32" i="104"/>
  <c r="R33" i="104"/>
  <c r="S33" i="104"/>
  <c r="R34" i="104"/>
  <c r="T34" i="104" s="1"/>
  <c r="S34" i="104"/>
  <c r="R35" i="104"/>
  <c r="S35" i="104"/>
  <c r="R36" i="104"/>
  <c r="T36" i="104" s="1"/>
  <c r="S36" i="104"/>
  <c r="R37" i="104"/>
  <c r="S37" i="104"/>
  <c r="R38" i="104"/>
  <c r="T38" i="104" s="1"/>
  <c r="S38" i="104"/>
  <c r="R39" i="104"/>
  <c r="S39" i="104"/>
  <c r="R40" i="104"/>
  <c r="T40" i="104" s="1"/>
  <c r="S40" i="104"/>
  <c r="R41" i="104"/>
  <c r="S41" i="104"/>
  <c r="R42" i="104"/>
  <c r="T42" i="104" s="1"/>
  <c r="S42" i="104"/>
  <c r="R43" i="104"/>
  <c r="S43" i="104"/>
  <c r="R44" i="104"/>
  <c r="T44" i="104" s="1"/>
  <c r="S44" i="104"/>
  <c r="R45" i="104"/>
  <c r="S45" i="104"/>
  <c r="R46" i="104"/>
  <c r="T46" i="104" s="1"/>
  <c r="S46" i="104"/>
  <c r="R47" i="104"/>
  <c r="S47" i="104"/>
  <c r="R48" i="104"/>
  <c r="T48" i="104" s="1"/>
  <c r="S48" i="104"/>
  <c r="S49" i="104"/>
  <c r="S50" i="104"/>
  <c r="S51" i="104"/>
  <c r="S52" i="104"/>
  <c r="S53" i="104"/>
  <c r="S54" i="104"/>
  <c r="R23" i="89"/>
  <c r="S23" i="89"/>
  <c r="T23" i="89" s="1"/>
  <c r="U23" i="89" s="1"/>
  <c r="R24" i="89"/>
  <c r="S24" i="89"/>
  <c r="T24" i="89"/>
  <c r="R25" i="89"/>
  <c r="T25" i="89" s="1"/>
  <c r="S25" i="89"/>
  <c r="R26" i="89"/>
  <c r="T26" i="89" s="1"/>
  <c r="S26" i="89"/>
  <c r="R27" i="89"/>
  <c r="S27" i="89"/>
  <c r="T27" i="89" s="1"/>
  <c r="R28" i="89"/>
  <c r="S28" i="89"/>
  <c r="T28" i="89"/>
  <c r="R29" i="89"/>
  <c r="T29" i="89" s="1"/>
  <c r="S29" i="89"/>
  <c r="R30" i="89"/>
  <c r="T30" i="89" s="1"/>
  <c r="S30" i="89"/>
  <c r="R31" i="89"/>
  <c r="S31" i="89"/>
  <c r="T31" i="89" s="1"/>
  <c r="R32" i="89"/>
  <c r="S32" i="89"/>
  <c r="T32" i="89"/>
  <c r="R33" i="89"/>
  <c r="T33" i="89" s="1"/>
  <c r="S33" i="89"/>
  <c r="S34" i="89"/>
  <c r="S35" i="89"/>
  <c r="S36" i="89"/>
  <c r="S37" i="89"/>
  <c r="S38" i="89"/>
  <c r="S39" i="89"/>
  <c r="S40" i="89"/>
  <c r="S41" i="89"/>
  <c r="S42" i="89"/>
  <c r="S43" i="89"/>
  <c r="S44" i="89"/>
  <c r="S45" i="89"/>
  <c r="S46" i="89"/>
  <c r="S47" i="89"/>
  <c r="S48" i="89"/>
  <c r="S49" i="89"/>
  <c r="S50" i="89"/>
  <c r="S51" i="89"/>
  <c r="S52" i="89"/>
  <c r="S53" i="89"/>
  <c r="S54" i="89"/>
  <c r="X54" i="46"/>
  <c r="X54" i="47"/>
  <c r="R8" i="63"/>
  <c r="T8" i="63" s="1"/>
  <c r="U8" i="63" s="1"/>
  <c r="F8" i="63"/>
  <c r="S8" i="63" s="1"/>
  <c r="R9" i="63"/>
  <c r="F9" i="63"/>
  <c r="S9" i="63" s="1"/>
  <c r="T9" i="63" s="1"/>
  <c r="R10" i="63"/>
  <c r="F10" i="63"/>
  <c r="S10" i="63"/>
  <c r="R11" i="63"/>
  <c r="F11" i="63"/>
  <c r="S11" i="63" s="1"/>
  <c r="R12" i="63"/>
  <c r="F12" i="63"/>
  <c r="S12" i="63" s="1"/>
  <c r="R13" i="63"/>
  <c r="F13" i="63"/>
  <c r="S13" i="63" s="1"/>
  <c r="R14" i="63"/>
  <c r="F14" i="63"/>
  <c r="S14" i="63"/>
  <c r="T14" i="63" s="1"/>
  <c r="R15" i="63"/>
  <c r="F15" i="63"/>
  <c r="S15" i="63"/>
  <c r="R16" i="63"/>
  <c r="T16" i="63" s="1"/>
  <c r="F16" i="63"/>
  <c r="S16" i="63" s="1"/>
  <c r="R17" i="63"/>
  <c r="F17" i="63"/>
  <c r="S17" i="63" s="1"/>
  <c r="R18" i="63"/>
  <c r="F18" i="63"/>
  <c r="S18" i="63" s="1"/>
  <c r="T18" i="63" s="1"/>
  <c r="R19" i="63"/>
  <c r="F19" i="63"/>
  <c r="S19" i="63" s="1"/>
  <c r="R20" i="63"/>
  <c r="F20" i="63"/>
  <c r="S20" i="63" s="1"/>
  <c r="R21" i="63"/>
  <c r="T21" i="63" s="1"/>
  <c r="S21" i="63"/>
  <c r="R22" i="63"/>
  <c r="S22" i="63"/>
  <c r="R23" i="63"/>
  <c r="T23" i="63" s="1"/>
  <c r="S23" i="63"/>
  <c r="R24" i="63"/>
  <c r="S24" i="63"/>
  <c r="R25" i="63"/>
  <c r="T25" i="63" s="1"/>
  <c r="S25" i="63"/>
  <c r="R26" i="63"/>
  <c r="F26" i="63"/>
  <c r="S26" i="63" s="1"/>
  <c r="R27" i="63"/>
  <c r="T27" i="63" s="1"/>
  <c r="F27" i="63"/>
  <c r="S27" i="63" s="1"/>
  <c r="R28" i="63"/>
  <c r="F61" i="63"/>
  <c r="F28" i="63" s="1"/>
  <c r="R29" i="63"/>
  <c r="S29" i="63"/>
  <c r="R30" i="63"/>
  <c r="F30" i="63"/>
  <c r="S30" i="63" s="1"/>
  <c r="R31" i="63"/>
  <c r="F31" i="63"/>
  <c r="S31" i="63" s="1"/>
  <c r="R32" i="63"/>
  <c r="R33" i="63"/>
  <c r="R34" i="63"/>
  <c r="R35" i="63"/>
  <c r="R36" i="63"/>
  <c r="R37" i="63"/>
  <c r="R38" i="63"/>
  <c r="R40" i="63"/>
  <c r="R41" i="63"/>
  <c r="R42" i="63"/>
  <c r="R43" i="63"/>
  <c r="R44" i="63"/>
  <c r="R45" i="63"/>
  <c r="R46" i="63"/>
  <c r="R47" i="63"/>
  <c r="B48" i="63"/>
  <c r="R48" i="63" s="1"/>
  <c r="BM51" i="69"/>
  <c r="BM104" i="69"/>
  <c r="X53" i="46"/>
  <c r="X53" i="47"/>
  <c r="BM50" i="69"/>
  <c r="BM103" i="69"/>
  <c r="X52" i="46"/>
  <c r="X52" i="47"/>
  <c r="BM49" i="69"/>
  <c r="BM102" i="69"/>
  <c r="X51" i="46"/>
  <c r="X51" i="47"/>
  <c r="BM48" i="69"/>
  <c r="BM101" i="69"/>
  <c r="X50" i="46"/>
  <c r="X50" i="47"/>
  <c r="BM47" i="69"/>
  <c r="BM100" i="69"/>
  <c r="X49" i="46"/>
  <c r="X49" i="47"/>
  <c r="BM46" i="69"/>
  <c r="BM99" i="69"/>
  <c r="X48" i="46"/>
  <c r="X48" i="47"/>
  <c r="X47" i="45"/>
  <c r="X47" i="46"/>
  <c r="X47" i="47"/>
  <c r="X46" i="45"/>
  <c r="X46" i="46"/>
  <c r="X46" i="47"/>
  <c r="X45" i="45"/>
  <c r="X45" i="46"/>
  <c r="X45" i="47"/>
  <c r="X44" i="45"/>
  <c r="X44" i="46"/>
  <c r="X44" i="47"/>
  <c r="X43" i="45"/>
  <c r="X43" i="46"/>
  <c r="X43" i="47"/>
  <c r="X42" i="45"/>
  <c r="X42" i="46"/>
  <c r="X42" i="47"/>
  <c r="X41" i="45"/>
  <c r="X41" i="46"/>
  <c r="X41" i="47"/>
  <c r="X40" i="45"/>
  <c r="X40" i="46"/>
  <c r="X40" i="47"/>
  <c r="X39" i="45"/>
  <c r="X39" i="46"/>
  <c r="X39" i="47"/>
  <c r="X38" i="45"/>
  <c r="X38" i="46"/>
  <c r="X38" i="47"/>
  <c r="X37" i="45"/>
  <c r="X37" i="46"/>
  <c r="X37" i="47"/>
  <c r="X36" i="45"/>
  <c r="X36" i="46"/>
  <c r="X36" i="47"/>
  <c r="X35" i="45"/>
  <c r="X35" i="46"/>
  <c r="X35" i="47"/>
  <c r="X34" i="45"/>
  <c r="X34" i="46"/>
  <c r="X34" i="47"/>
  <c r="X33" i="45"/>
  <c r="X33" i="46"/>
  <c r="X33" i="47"/>
  <c r="X32" i="45"/>
  <c r="X32" i="46"/>
  <c r="X32" i="47"/>
  <c r="X31" i="45"/>
  <c r="X31" i="46"/>
  <c r="X31" i="47"/>
  <c r="X30" i="45"/>
  <c r="X30" i="46"/>
  <c r="X30" i="47"/>
  <c r="W29" i="45"/>
  <c r="G26" i="45"/>
  <c r="G27" i="45" s="1"/>
  <c r="X29" i="46"/>
  <c r="X29" i="47"/>
  <c r="W28" i="45"/>
  <c r="X28" i="46"/>
  <c r="X28" i="47"/>
  <c r="Z28" i="48"/>
  <c r="CW26" i="68"/>
  <c r="CW79" i="68" s="1"/>
  <c r="W27" i="45"/>
  <c r="W27" i="46"/>
  <c r="Z27" i="46" s="1"/>
  <c r="CU25" i="68" s="1"/>
  <c r="CU78" i="68" s="1"/>
  <c r="CU127" i="68" s="1"/>
  <c r="X27" i="46"/>
  <c r="X27" i="47"/>
  <c r="Z27" i="48"/>
  <c r="CW25" i="68" s="1"/>
  <c r="CW78" i="68" s="1"/>
  <c r="W26" i="45"/>
  <c r="X26" i="45"/>
  <c r="K26" i="46"/>
  <c r="W26" i="46" s="1"/>
  <c r="Z26" i="46" s="1"/>
  <c r="CU24" i="68" s="1"/>
  <c r="CU77" i="68" s="1"/>
  <c r="X26" i="46"/>
  <c r="X26" i="47"/>
  <c r="Z26" i="48"/>
  <c r="CW24" i="68" s="1"/>
  <c r="CW77" i="68" s="1"/>
  <c r="W25" i="45"/>
  <c r="X25" i="45"/>
  <c r="K25" i="46"/>
  <c r="W25" i="46" s="1"/>
  <c r="Z25" i="46" s="1"/>
  <c r="CU23" i="68" s="1"/>
  <c r="CU76" i="68" s="1"/>
  <c r="X25" i="46"/>
  <c r="K25" i="47"/>
  <c r="W25" i="47"/>
  <c r="Z25" i="47" s="1"/>
  <c r="CV23" i="68" s="1"/>
  <c r="CV76" i="68" s="1"/>
  <c r="X25" i="47"/>
  <c r="Z25" i="48"/>
  <c r="CW23" i="68"/>
  <c r="CW76" i="68" s="1"/>
  <c r="BH22" i="69"/>
  <c r="BH75" i="69" s="1"/>
  <c r="BI22" i="69"/>
  <c r="BI75" i="69"/>
  <c r="W24" i="45"/>
  <c r="G23" i="45"/>
  <c r="G24" i="45" s="1"/>
  <c r="K24" i="46"/>
  <c r="W24" i="46" s="1"/>
  <c r="X24" i="46"/>
  <c r="K24" i="47"/>
  <c r="W24" i="47" s="1"/>
  <c r="Z24" i="47" s="1"/>
  <c r="CV22" i="68" s="1"/>
  <c r="CV75" i="68" s="1"/>
  <c r="X24" i="47"/>
  <c r="Z24" i="48"/>
  <c r="CW22" i="68" s="1"/>
  <c r="CW75" i="68" s="1"/>
  <c r="BE21" i="69"/>
  <c r="BE74" i="69" s="1"/>
  <c r="BG21" i="69"/>
  <c r="BG74" i="69" s="1"/>
  <c r="BH21" i="69"/>
  <c r="BH74" i="69" s="1"/>
  <c r="BI21" i="69"/>
  <c r="BI74" i="69" s="1"/>
  <c r="BJ21" i="69"/>
  <c r="BJ74" i="69" s="1"/>
  <c r="BK21" i="69"/>
  <c r="BK74" i="69" s="1"/>
  <c r="W23" i="45"/>
  <c r="BZ21" i="68"/>
  <c r="BZ74" i="68" s="1"/>
  <c r="CA21" i="68"/>
  <c r="CA74" i="68" s="1"/>
  <c r="CH21" i="68"/>
  <c r="CH74" i="68" s="1"/>
  <c r="CK21" i="68"/>
  <c r="CK74" i="68" s="1"/>
  <c r="CQ21" i="68"/>
  <c r="CQ74" i="68" s="1"/>
  <c r="CR21" i="68"/>
  <c r="CR74" i="68" s="1"/>
  <c r="K23" i="46"/>
  <c r="W23" i="46"/>
  <c r="Z23" i="46" s="1"/>
  <c r="CU21" i="68" s="1"/>
  <c r="CU74" i="68" s="1"/>
  <c r="X23" i="46"/>
  <c r="K23" i="47"/>
  <c r="W23" i="47"/>
  <c r="Z23" i="47" s="1"/>
  <c r="CV21" i="68" s="1"/>
  <c r="CV74" i="68" s="1"/>
  <c r="X23" i="47"/>
  <c r="Z23" i="48"/>
  <c r="CW21" i="68"/>
  <c r="CW74" i="68" s="1"/>
  <c r="BD20" i="69"/>
  <c r="BD73" i="69"/>
  <c r="BE20" i="69"/>
  <c r="BE73" i="69" s="1"/>
  <c r="BF20" i="69"/>
  <c r="BF73" i="69"/>
  <c r="BG20" i="69"/>
  <c r="BG73" i="69" s="1"/>
  <c r="BH20" i="69"/>
  <c r="BH73" i="69"/>
  <c r="BI20" i="69"/>
  <c r="BI73" i="69" s="1"/>
  <c r="BJ20" i="69"/>
  <c r="BJ73" i="69"/>
  <c r="BK20" i="69"/>
  <c r="BK73" i="69" s="1"/>
  <c r="BK123" i="69" s="1"/>
  <c r="W22" i="45"/>
  <c r="X22" i="45"/>
  <c r="Z22" i="45"/>
  <c r="BM20" i="69" s="1"/>
  <c r="BM73" i="69" s="1"/>
  <c r="BZ20" i="68"/>
  <c r="BZ73" i="68" s="1"/>
  <c r="CA20" i="68"/>
  <c r="CA73" i="68"/>
  <c r="CH20" i="68"/>
  <c r="CH73" i="68" s="1"/>
  <c r="CI20" i="68"/>
  <c r="CI73" i="68"/>
  <c r="CK20" i="68"/>
  <c r="CK73" i="68" s="1"/>
  <c r="CM20" i="68"/>
  <c r="CM73" i="68"/>
  <c r="CN20" i="68"/>
  <c r="CN73" i="68" s="1"/>
  <c r="CN122" i="68" s="1"/>
  <c r="CO20" i="68"/>
  <c r="CO73" i="68"/>
  <c r="CP20" i="68"/>
  <c r="CP73" i="68" s="1"/>
  <c r="CP122" i="68" s="1"/>
  <c r="CQ20" i="68"/>
  <c r="CQ73" i="68"/>
  <c r="CR20" i="68"/>
  <c r="CR73" i="68" s="1"/>
  <c r="CS20" i="68"/>
  <c r="CS73" i="68"/>
  <c r="K22" i="46"/>
  <c r="W22" i="46" s="1"/>
  <c r="Z22" i="46" s="1"/>
  <c r="CU20" i="68" s="1"/>
  <c r="CU73" i="68" s="1"/>
  <c r="X22" i="46"/>
  <c r="K22" i="47"/>
  <c r="W22" i="47" s="1"/>
  <c r="X22" i="47"/>
  <c r="Z22" i="48"/>
  <c r="CW20" i="68" s="1"/>
  <c r="CW73" i="68" s="1"/>
  <c r="BA19" i="69"/>
  <c r="BA72" i="69" s="1"/>
  <c r="BD19" i="69"/>
  <c r="BD72" i="69" s="1"/>
  <c r="BE19" i="69"/>
  <c r="BE72" i="69" s="1"/>
  <c r="BF19" i="69"/>
  <c r="BF72" i="69" s="1"/>
  <c r="BG19" i="69"/>
  <c r="BG72" i="69" s="1"/>
  <c r="BH19" i="69"/>
  <c r="BH72" i="69" s="1"/>
  <c r="BI19" i="69"/>
  <c r="BI72" i="69" s="1"/>
  <c r="BJ19" i="69"/>
  <c r="BJ72" i="69" s="1"/>
  <c r="BK19" i="69"/>
  <c r="BK72" i="69" s="1"/>
  <c r="W21" i="45"/>
  <c r="X21" i="45"/>
  <c r="Z21" i="45" s="1"/>
  <c r="BM19" i="69" s="1"/>
  <c r="BM72" i="69" s="1"/>
  <c r="BZ19" i="68"/>
  <c r="BZ72" i="68" s="1"/>
  <c r="CA19" i="68"/>
  <c r="CA72" i="68" s="1"/>
  <c r="CH19" i="68"/>
  <c r="CH72" i="68" s="1"/>
  <c r="CI19" i="68"/>
  <c r="CI72" i="68" s="1"/>
  <c r="CK19" i="68"/>
  <c r="CK72" i="68" s="1"/>
  <c r="CM19" i="68"/>
  <c r="CM72" i="68" s="1"/>
  <c r="CN19" i="68"/>
  <c r="CN72" i="68" s="1"/>
  <c r="CO19" i="68"/>
  <c r="CO72" i="68" s="1"/>
  <c r="CP19" i="68"/>
  <c r="CP72" i="68" s="1"/>
  <c r="CQ19" i="68"/>
  <c r="CQ72" i="68" s="1"/>
  <c r="CR19" i="68"/>
  <c r="CR72" i="68" s="1"/>
  <c r="CS19" i="68"/>
  <c r="CS72" i="68" s="1"/>
  <c r="K21" i="46"/>
  <c r="W21" i="46" s="1"/>
  <c r="Z21" i="46" s="1"/>
  <c r="CU19" i="68" s="1"/>
  <c r="CU72" i="68" s="1"/>
  <c r="X21" i="46"/>
  <c r="K21" i="47"/>
  <c r="W21" i="47" s="1"/>
  <c r="Z21" i="47" s="1"/>
  <c r="CV19" i="68" s="1"/>
  <c r="CV72" i="68" s="1"/>
  <c r="X21" i="47"/>
  <c r="Z21" i="48"/>
  <c r="CW19" i="68"/>
  <c r="CW72" i="68" s="1"/>
  <c r="BA18" i="69"/>
  <c r="BA71" i="69"/>
  <c r="BD18" i="69"/>
  <c r="BD71" i="69" s="1"/>
  <c r="BE18" i="69"/>
  <c r="BE71" i="69"/>
  <c r="BF18" i="69"/>
  <c r="BF71" i="69" s="1"/>
  <c r="BG18" i="69"/>
  <c r="BG71" i="69"/>
  <c r="BH18" i="69"/>
  <c r="BH71" i="69" s="1"/>
  <c r="BI18" i="69"/>
  <c r="BI71" i="69"/>
  <c r="BJ18" i="69"/>
  <c r="BJ71" i="69" s="1"/>
  <c r="BK18" i="69"/>
  <c r="BK71" i="69"/>
  <c r="W20" i="45"/>
  <c r="Z20" i="45" s="1"/>
  <c r="X20" i="45"/>
  <c r="BZ18" i="68"/>
  <c r="BZ71" i="68" s="1"/>
  <c r="CA18" i="68"/>
  <c r="CA71" i="68"/>
  <c r="CH18" i="68"/>
  <c r="CH71" i="68" s="1"/>
  <c r="CI18" i="68"/>
  <c r="CI71" i="68"/>
  <c r="CK18" i="68"/>
  <c r="CK71" i="68" s="1"/>
  <c r="CM18" i="68"/>
  <c r="CM71" i="68"/>
  <c r="CN18" i="68"/>
  <c r="CN71" i="68" s="1"/>
  <c r="CO18" i="68"/>
  <c r="CO71" i="68"/>
  <c r="CP18" i="68"/>
  <c r="CP71" i="68" s="1"/>
  <c r="CQ18" i="68"/>
  <c r="CQ71" i="68"/>
  <c r="CR18" i="68"/>
  <c r="CR71" i="68" s="1"/>
  <c r="CS18" i="68"/>
  <c r="CS71" i="68"/>
  <c r="K20" i="46"/>
  <c r="W20" i="46" s="1"/>
  <c r="Z20" i="46" s="1"/>
  <c r="CU18" i="68" s="1"/>
  <c r="CU71" i="68" s="1"/>
  <c r="X20" i="46"/>
  <c r="K20" i="47"/>
  <c r="W20" i="47" s="1"/>
  <c r="X20" i="47"/>
  <c r="Z20" i="48"/>
  <c r="CW18" i="68" s="1"/>
  <c r="CW71" i="68" s="1"/>
  <c r="BA17" i="69"/>
  <c r="BA70" i="69" s="1"/>
  <c r="BD17" i="69"/>
  <c r="BD70" i="69" s="1"/>
  <c r="BE17" i="69"/>
  <c r="BE70" i="69" s="1"/>
  <c r="BF17" i="69"/>
  <c r="BF70" i="69" s="1"/>
  <c r="BG17" i="69"/>
  <c r="BG70" i="69" s="1"/>
  <c r="BH17" i="69"/>
  <c r="BH70" i="69" s="1"/>
  <c r="BI17" i="69"/>
  <c r="BI70" i="69" s="1"/>
  <c r="BJ17" i="69"/>
  <c r="BJ70" i="69" s="1"/>
  <c r="BK17" i="69"/>
  <c r="BK70" i="69" s="1"/>
  <c r="W19" i="45"/>
  <c r="Z19" i="45" s="1"/>
  <c r="BM17" i="69" s="1"/>
  <c r="BM70" i="69" s="1"/>
  <c r="X19" i="45"/>
  <c r="BZ17" i="68"/>
  <c r="BZ70" i="68" s="1"/>
  <c r="CA17" i="68"/>
  <c r="CA70" i="68" s="1"/>
  <c r="CH17" i="68"/>
  <c r="CH70" i="68" s="1"/>
  <c r="CI17" i="68"/>
  <c r="CI70" i="68" s="1"/>
  <c r="CK17" i="68"/>
  <c r="CK70" i="68" s="1"/>
  <c r="CM17" i="68"/>
  <c r="CM70" i="68" s="1"/>
  <c r="CM120" i="68" s="1"/>
  <c r="CN17" i="68"/>
  <c r="CN70" i="68" s="1"/>
  <c r="CO17" i="68"/>
  <c r="CO70" i="68" s="1"/>
  <c r="CP17" i="68"/>
  <c r="CP70" i="68" s="1"/>
  <c r="CQ17" i="68"/>
  <c r="CQ70" i="68" s="1"/>
  <c r="CQ120" i="68" s="1"/>
  <c r="CR17" i="68"/>
  <c r="CR70" i="68" s="1"/>
  <c r="CS17" i="68"/>
  <c r="CS70" i="68" s="1"/>
  <c r="K19" i="46"/>
  <c r="W19" i="46"/>
  <c r="Z19" i="46" s="1"/>
  <c r="CU17" i="68" s="1"/>
  <c r="CU70" i="68" s="1"/>
  <c r="X19" i="46"/>
  <c r="K19" i="47"/>
  <c r="W19" i="47"/>
  <c r="Z19" i="47" s="1"/>
  <c r="CV17" i="68" s="1"/>
  <c r="CV70" i="68" s="1"/>
  <c r="X19" i="47"/>
  <c r="Z19" i="48"/>
  <c r="CW17" i="68"/>
  <c r="CW70" i="68" s="1"/>
  <c r="BA16" i="69"/>
  <c r="BA69" i="69"/>
  <c r="BD16" i="69"/>
  <c r="BD69" i="69" s="1"/>
  <c r="BE16" i="69"/>
  <c r="BE69" i="69"/>
  <c r="BF16" i="69"/>
  <c r="BF69" i="69" s="1"/>
  <c r="BG16" i="69"/>
  <c r="BG69" i="69"/>
  <c r="BH16" i="69"/>
  <c r="BH69" i="69" s="1"/>
  <c r="BI16" i="69"/>
  <c r="BI69" i="69"/>
  <c r="BJ16" i="69"/>
  <c r="BJ69" i="69" s="1"/>
  <c r="BK16" i="69"/>
  <c r="BK69" i="69"/>
  <c r="W18" i="45"/>
  <c r="Z18" i="45" s="1"/>
  <c r="X18" i="45"/>
  <c r="BZ16" i="68"/>
  <c r="BZ69" i="68"/>
  <c r="CA16" i="68"/>
  <c r="CA69" i="68" s="1"/>
  <c r="CH16" i="68"/>
  <c r="CH69" i="68"/>
  <c r="CI16" i="68"/>
  <c r="CI69" i="68" s="1"/>
  <c r="CK16" i="68"/>
  <c r="CK69" i="68"/>
  <c r="CM16" i="68"/>
  <c r="CM69" i="68" s="1"/>
  <c r="CM119" i="68" s="1"/>
  <c r="CN16" i="68"/>
  <c r="CN69" i="68"/>
  <c r="CO16" i="68"/>
  <c r="CO69" i="68" s="1"/>
  <c r="CO118" i="68" s="1"/>
  <c r="CP16" i="68"/>
  <c r="CP69" i="68"/>
  <c r="CQ16" i="68"/>
  <c r="CQ69" i="68" s="1"/>
  <c r="CQ119" i="68" s="1"/>
  <c r="CR16" i="68"/>
  <c r="CR69" i="68"/>
  <c r="CS16" i="68"/>
  <c r="CS69" i="68" s="1"/>
  <c r="K18" i="46"/>
  <c r="W18" i="46" s="1"/>
  <c r="X18" i="46"/>
  <c r="K18" i="47"/>
  <c r="W18" i="47" s="1"/>
  <c r="Z18" i="47" s="1"/>
  <c r="CV16" i="68" s="1"/>
  <c r="CV69" i="68" s="1"/>
  <c r="X18" i="47"/>
  <c r="Z18" i="48"/>
  <c r="CW16" i="68" s="1"/>
  <c r="CW69" i="68" s="1"/>
  <c r="BA15" i="69"/>
  <c r="BA68" i="69" s="1"/>
  <c r="BD15" i="69"/>
  <c r="BD68" i="69" s="1"/>
  <c r="BE15" i="69"/>
  <c r="BE68" i="69" s="1"/>
  <c r="BF15" i="69"/>
  <c r="BF68" i="69" s="1"/>
  <c r="BG15" i="69"/>
  <c r="BG68" i="69" s="1"/>
  <c r="BH15" i="69"/>
  <c r="BH68" i="69" s="1"/>
  <c r="BI15" i="69"/>
  <c r="BI68" i="69" s="1"/>
  <c r="BJ15" i="69"/>
  <c r="BJ68" i="69" s="1"/>
  <c r="BK15" i="69"/>
  <c r="BK68" i="69" s="1"/>
  <c r="W17" i="45"/>
  <c r="Z17" i="45" s="1"/>
  <c r="BM15" i="69" s="1"/>
  <c r="BM68" i="69" s="1"/>
  <c r="X17" i="45"/>
  <c r="BZ15" i="68"/>
  <c r="BZ68" i="68" s="1"/>
  <c r="CA15" i="68"/>
  <c r="CA68" i="68" s="1"/>
  <c r="CH15" i="68"/>
  <c r="CH68" i="68" s="1"/>
  <c r="CI15" i="68"/>
  <c r="CI68" i="68" s="1"/>
  <c r="CK15" i="68"/>
  <c r="CK68" i="68" s="1"/>
  <c r="CM15" i="68"/>
  <c r="CM68" i="68" s="1"/>
  <c r="CN15" i="68"/>
  <c r="CN68" i="68" s="1"/>
  <c r="CO15" i="68"/>
  <c r="CO68" i="68" s="1"/>
  <c r="CP15" i="68"/>
  <c r="CP68" i="68" s="1"/>
  <c r="CQ15" i="68"/>
  <c r="CQ68" i="68" s="1"/>
  <c r="CR15" i="68"/>
  <c r="CR68" i="68" s="1"/>
  <c r="CS15" i="68"/>
  <c r="CS68" i="68" s="1"/>
  <c r="K17" i="46"/>
  <c r="W17" i="46"/>
  <c r="X17" i="46"/>
  <c r="Z17" i="46" s="1"/>
  <c r="CU15" i="68" s="1"/>
  <c r="CU68" i="68" s="1"/>
  <c r="K17" i="47"/>
  <c r="W17" i="47"/>
  <c r="X17" i="47"/>
  <c r="Z17" i="48"/>
  <c r="CW15" i="68" s="1"/>
  <c r="CW68" i="68" s="1"/>
  <c r="BA14" i="69"/>
  <c r="BA67" i="69" s="1"/>
  <c r="BD14" i="69"/>
  <c r="BD67" i="69"/>
  <c r="BE14" i="69"/>
  <c r="BE67" i="69" s="1"/>
  <c r="BF14" i="69"/>
  <c r="BF67" i="69"/>
  <c r="BG14" i="69"/>
  <c r="BG67" i="69" s="1"/>
  <c r="BH14" i="69"/>
  <c r="BH67" i="69"/>
  <c r="BI14" i="69"/>
  <c r="BI67" i="69" s="1"/>
  <c r="BJ14" i="69"/>
  <c r="BJ67" i="69"/>
  <c r="BK14" i="69"/>
  <c r="BK67" i="69" s="1"/>
  <c r="W16" i="45"/>
  <c r="X16" i="45"/>
  <c r="Z16" i="45" s="1"/>
  <c r="BM14" i="69" s="1"/>
  <c r="BM67" i="69" s="1"/>
  <c r="BZ14" i="68"/>
  <c r="BZ67" i="68"/>
  <c r="CA14" i="68"/>
  <c r="CA67" i="68" s="1"/>
  <c r="CH14" i="68"/>
  <c r="CH67" i="68"/>
  <c r="CI14" i="68"/>
  <c r="CI67" i="68" s="1"/>
  <c r="CK14" i="68"/>
  <c r="CK67" i="68"/>
  <c r="CM14" i="68"/>
  <c r="CM67" i="68" s="1"/>
  <c r="CM117" i="68" s="1"/>
  <c r="CN14" i="68"/>
  <c r="CN67" i="68"/>
  <c r="CO14" i="68"/>
  <c r="CO67" i="68" s="1"/>
  <c r="CO116" i="68" s="1"/>
  <c r="CP14" i="68"/>
  <c r="CP67" i="68"/>
  <c r="CQ14" i="68"/>
  <c r="CQ67" i="68" s="1"/>
  <c r="CQ117" i="68" s="1"/>
  <c r="CR14" i="68"/>
  <c r="CR67" i="68"/>
  <c r="CS14" i="68"/>
  <c r="CS67" i="68" s="1"/>
  <c r="K16" i="46"/>
  <c r="W16" i="46" s="1"/>
  <c r="X16" i="46"/>
  <c r="K16" i="47"/>
  <c r="W16" i="47" s="1"/>
  <c r="Z16" i="47" s="1"/>
  <c r="CV14" i="68" s="1"/>
  <c r="CV67" i="68" s="1"/>
  <c r="X16" i="47"/>
  <c r="Z16" i="48"/>
  <c r="CW14" i="68" s="1"/>
  <c r="CW67" i="68" s="1"/>
  <c r="BA13" i="69"/>
  <c r="BA66" i="69" s="1"/>
  <c r="BD13" i="69"/>
  <c r="BD66" i="69" s="1"/>
  <c r="BE13" i="69"/>
  <c r="BE66" i="69" s="1"/>
  <c r="BF13" i="69"/>
  <c r="BF66" i="69" s="1"/>
  <c r="BG13" i="69"/>
  <c r="BG66" i="69" s="1"/>
  <c r="BH13" i="69"/>
  <c r="BH66" i="69" s="1"/>
  <c r="BI13" i="69"/>
  <c r="BI66" i="69" s="1"/>
  <c r="BJ13" i="69"/>
  <c r="BJ66" i="69" s="1"/>
  <c r="BK13" i="69"/>
  <c r="BK66" i="69" s="1"/>
  <c r="W15" i="45"/>
  <c r="X15" i="45"/>
  <c r="BZ13" i="68"/>
  <c r="BZ66" i="68" s="1"/>
  <c r="CA13" i="68"/>
  <c r="CA66" i="68" s="1"/>
  <c r="CH13" i="68"/>
  <c r="CH66" i="68" s="1"/>
  <c r="CI13" i="68"/>
  <c r="CI66" i="68" s="1"/>
  <c r="CK13" i="68"/>
  <c r="CK66" i="68" s="1"/>
  <c r="CM13" i="68"/>
  <c r="CM66" i="68" s="1"/>
  <c r="CN13" i="68"/>
  <c r="CN66" i="68" s="1"/>
  <c r="CO13" i="68"/>
  <c r="CO66" i="68" s="1"/>
  <c r="CO115" i="68" s="1"/>
  <c r="CP13" i="68"/>
  <c r="CP66" i="68" s="1"/>
  <c r="CQ13" i="68"/>
  <c r="CQ66" i="68" s="1"/>
  <c r="CR13" i="68"/>
  <c r="CR66" i="68" s="1"/>
  <c r="CS13" i="68"/>
  <c r="CS66" i="68" s="1"/>
  <c r="K15" i="46"/>
  <c r="W15" i="46" s="1"/>
  <c r="Z15" i="46" s="1"/>
  <c r="CU13" i="68" s="1"/>
  <c r="CU66" i="68" s="1"/>
  <c r="X15" i="46"/>
  <c r="K15" i="47"/>
  <c r="W15" i="47" s="1"/>
  <c r="Z15" i="47" s="1"/>
  <c r="CV13" i="68" s="1"/>
  <c r="CV66" i="68" s="1"/>
  <c r="X15" i="47"/>
  <c r="Z15" i="48"/>
  <c r="CW13" i="68" s="1"/>
  <c r="CW66" i="68" s="1"/>
  <c r="BA12" i="69"/>
  <c r="BA65" i="69" s="1"/>
  <c r="BD12" i="69"/>
  <c r="BD65" i="69"/>
  <c r="BE12" i="69"/>
  <c r="BE65" i="69" s="1"/>
  <c r="BF12" i="69"/>
  <c r="BF65" i="69"/>
  <c r="BG12" i="69"/>
  <c r="BG65" i="69" s="1"/>
  <c r="BH12" i="69"/>
  <c r="BH65" i="69"/>
  <c r="BI12" i="69"/>
  <c r="BI65" i="69" s="1"/>
  <c r="BJ12" i="69"/>
  <c r="BJ65" i="69"/>
  <c r="BK12" i="69"/>
  <c r="BK65" i="69" s="1"/>
  <c r="W14" i="45"/>
  <c r="X14" i="45"/>
  <c r="BZ12" i="68"/>
  <c r="BZ65" i="68" s="1"/>
  <c r="CA12" i="68"/>
  <c r="CA65" i="68"/>
  <c r="CH12" i="68"/>
  <c r="CH65" i="68" s="1"/>
  <c r="CI12" i="68"/>
  <c r="CI65" i="68"/>
  <c r="CK12" i="68"/>
  <c r="CK65" i="68" s="1"/>
  <c r="CM12" i="68"/>
  <c r="CM65" i="68"/>
  <c r="CN12" i="68"/>
  <c r="CN65" i="68" s="1"/>
  <c r="CO12" i="68"/>
  <c r="CO65" i="68"/>
  <c r="CP12" i="68"/>
  <c r="CP65" i="68" s="1"/>
  <c r="CQ12" i="68"/>
  <c r="CQ65" i="68"/>
  <c r="CR12" i="68"/>
  <c r="CR65" i="68" s="1"/>
  <c r="CS12" i="68"/>
  <c r="CS65" i="68"/>
  <c r="K14" i="46"/>
  <c r="W14" i="46" s="1"/>
  <c r="Z14" i="46" s="1"/>
  <c r="CU12" i="68" s="1"/>
  <c r="CU65" i="68" s="1"/>
  <c r="X14" i="46"/>
  <c r="K14" i="47"/>
  <c r="W14" i="47" s="1"/>
  <c r="X14" i="47"/>
  <c r="Z14" i="48"/>
  <c r="CW12" i="68" s="1"/>
  <c r="CW65" i="68" s="1"/>
  <c r="BA11" i="69"/>
  <c r="BA64" i="69" s="1"/>
  <c r="BD11" i="69"/>
  <c r="BD64" i="69" s="1"/>
  <c r="BE11" i="69"/>
  <c r="BE64" i="69" s="1"/>
  <c r="BF11" i="69"/>
  <c r="BF64" i="69" s="1"/>
  <c r="BG11" i="69"/>
  <c r="BG64" i="69" s="1"/>
  <c r="BH11" i="69"/>
  <c r="BH64" i="69" s="1"/>
  <c r="BI11" i="69"/>
  <c r="BI64" i="69" s="1"/>
  <c r="BJ11" i="69"/>
  <c r="BJ64" i="69" s="1"/>
  <c r="BK11" i="69"/>
  <c r="BK64" i="69" s="1"/>
  <c r="W13" i="45"/>
  <c r="Z13" i="45" s="1"/>
  <c r="BM11" i="69" s="1"/>
  <c r="BM64" i="69" s="1"/>
  <c r="X13" i="45"/>
  <c r="BZ11" i="68"/>
  <c r="BZ64" i="68" s="1"/>
  <c r="CA11" i="68"/>
  <c r="CA64" i="68" s="1"/>
  <c r="CH11" i="68"/>
  <c r="CH64" i="68" s="1"/>
  <c r="CI11" i="68"/>
  <c r="CI64" i="68" s="1"/>
  <c r="CK11" i="68"/>
  <c r="CK64" i="68" s="1"/>
  <c r="CM11" i="68"/>
  <c r="CM64" i="68" s="1"/>
  <c r="CM114" i="68" s="1"/>
  <c r="CN11" i="68"/>
  <c r="CN64" i="68" s="1"/>
  <c r="CO11" i="68"/>
  <c r="CO64" i="68" s="1"/>
  <c r="CP11" i="68"/>
  <c r="CP64" i="68" s="1"/>
  <c r="CQ11" i="68"/>
  <c r="CQ64" i="68" s="1"/>
  <c r="CQ114" i="68" s="1"/>
  <c r="CR11" i="68"/>
  <c r="CR64" i="68" s="1"/>
  <c r="CS11" i="68"/>
  <c r="CS64" i="68" s="1"/>
  <c r="K13" i="46"/>
  <c r="W13" i="46"/>
  <c r="Z13" i="46" s="1"/>
  <c r="CU11" i="68" s="1"/>
  <c r="CU64" i="68" s="1"/>
  <c r="CU114" i="68" s="1"/>
  <c r="X13" i="46"/>
  <c r="K13" i="47"/>
  <c r="W13" i="47"/>
  <c r="Z13" i="47" s="1"/>
  <c r="CV11" i="68" s="1"/>
  <c r="CV64" i="68" s="1"/>
  <c r="X13" i="47"/>
  <c r="Z13" i="48"/>
  <c r="CW11" i="68"/>
  <c r="CW64" i="68" s="1"/>
  <c r="L27" i="46"/>
  <c r="AR108" i="69"/>
  <c r="BO108" i="69" s="1"/>
  <c r="D108" i="69"/>
  <c r="AA108" i="69"/>
  <c r="AX108" i="69" s="1"/>
  <c r="H108" i="69"/>
  <c r="AE108" i="69" s="1"/>
  <c r="BB108" i="69" s="1"/>
  <c r="L108" i="69"/>
  <c r="AI108" i="69"/>
  <c r="BF108" i="69" s="1"/>
  <c r="P108" i="69"/>
  <c r="AM108" i="69" s="1"/>
  <c r="BJ108" i="69" s="1"/>
  <c r="AO108" i="69"/>
  <c r="BL108" i="69" s="1"/>
  <c r="AP108" i="69"/>
  <c r="BM108" i="69"/>
  <c r="AQ108" i="69"/>
  <c r="BN108" i="69" s="1"/>
  <c r="AS108" i="69"/>
  <c r="BP108" i="69"/>
  <c r="C108" i="69"/>
  <c r="Z108" i="69" s="1"/>
  <c r="AW108" i="69" s="1"/>
  <c r="E108" i="69"/>
  <c r="AB108" i="69" s="1"/>
  <c r="AY108" i="69" s="1"/>
  <c r="F108" i="69"/>
  <c r="AC108" i="69" s="1"/>
  <c r="AZ108" i="69" s="1"/>
  <c r="G108" i="69"/>
  <c r="AD108" i="69" s="1"/>
  <c r="BA108" i="69" s="1"/>
  <c r="I108" i="69"/>
  <c r="AF108" i="69"/>
  <c r="BC108" i="69" s="1"/>
  <c r="J108" i="69"/>
  <c r="AG108" i="69" s="1"/>
  <c r="BD108" i="69" s="1"/>
  <c r="K108" i="69"/>
  <c r="AH108" i="69"/>
  <c r="BE108" i="69" s="1"/>
  <c r="M108" i="69"/>
  <c r="AJ108" i="69" s="1"/>
  <c r="BG108" i="69" s="1"/>
  <c r="N108" i="69"/>
  <c r="AK108" i="69" s="1"/>
  <c r="BH108" i="69" s="1"/>
  <c r="O108" i="69"/>
  <c r="AL108" i="69" s="1"/>
  <c r="BI108" i="69" s="1"/>
  <c r="Q108" i="69"/>
  <c r="AN108" i="69" s="1"/>
  <c r="BK108" i="69" s="1"/>
  <c r="B108" i="69"/>
  <c r="Y108" i="69" s="1"/>
  <c r="AV108" i="69" s="1"/>
  <c r="Z3" i="69"/>
  <c r="Z56" i="69"/>
  <c r="AA3" i="69"/>
  <c r="AB3" i="69"/>
  <c r="AB56" i="69" s="1"/>
  <c r="AC3" i="69"/>
  <c r="AC56" i="69" s="1"/>
  <c r="AD3" i="69"/>
  <c r="AD56" i="69" s="1"/>
  <c r="AE3" i="69"/>
  <c r="AF3" i="69"/>
  <c r="AF56" i="69" s="1"/>
  <c r="AG3" i="69"/>
  <c r="AG56" i="69" s="1"/>
  <c r="AH3" i="69"/>
  <c r="AH56" i="69" s="1"/>
  <c r="AI3" i="69"/>
  <c r="AI56" i="69" s="1"/>
  <c r="AJ3" i="69"/>
  <c r="AJ56" i="69" s="1"/>
  <c r="AK3" i="69"/>
  <c r="AK56" i="69" s="1"/>
  <c r="AL3" i="69"/>
  <c r="AL56" i="69" s="1"/>
  <c r="AM3" i="69"/>
  <c r="AN3" i="69"/>
  <c r="AN56" i="69" s="1"/>
  <c r="Y3" i="69"/>
  <c r="Y56" i="69" s="1"/>
  <c r="AW3" i="69"/>
  <c r="AW56" i="69" s="1"/>
  <c r="AX3" i="69"/>
  <c r="AX56" i="69" s="1"/>
  <c r="AY3" i="69"/>
  <c r="AY56" i="69" s="1"/>
  <c r="AZ3" i="69"/>
  <c r="AZ56" i="69" s="1"/>
  <c r="BA3" i="69"/>
  <c r="BA56" i="69" s="1"/>
  <c r="BB3" i="69"/>
  <c r="BB56" i="69" s="1"/>
  <c r="BC3" i="69"/>
  <c r="BC56" i="69" s="1"/>
  <c r="BD3" i="69"/>
  <c r="BD56" i="69" s="1"/>
  <c r="BE3" i="69"/>
  <c r="BE56" i="69" s="1"/>
  <c r="BF3" i="69"/>
  <c r="BF56" i="69" s="1"/>
  <c r="BG3" i="69"/>
  <c r="BG56" i="69" s="1"/>
  <c r="BH3" i="69"/>
  <c r="BH56" i="69" s="1"/>
  <c r="BI3" i="69"/>
  <c r="BI56" i="69" s="1"/>
  <c r="BJ3" i="69"/>
  <c r="BJ56" i="69" s="1"/>
  <c r="BK3" i="69"/>
  <c r="BK56" i="69" s="1"/>
  <c r="AV3" i="69"/>
  <c r="AV56" i="69" s="1"/>
  <c r="AA56" i="69"/>
  <c r="AE56" i="69"/>
  <c r="AM56" i="69"/>
  <c r="AJ36" i="56"/>
  <c r="AJ37" i="56"/>
  <c r="AJ38" i="56"/>
  <c r="AJ39" i="56"/>
  <c r="AJ40" i="56"/>
  <c r="AJ41" i="56"/>
  <c r="AJ42" i="56"/>
  <c r="AJ43" i="56"/>
  <c r="AJ44" i="56"/>
  <c r="AJ45" i="56"/>
  <c r="AJ46" i="56"/>
  <c r="AJ47" i="56"/>
  <c r="AJ48" i="56"/>
  <c r="AJ49" i="56"/>
  <c r="AJ50" i="56"/>
  <c r="AJ51" i="56"/>
  <c r="AJ52" i="56"/>
  <c r="AJ53" i="56"/>
  <c r="AJ54" i="56"/>
  <c r="AJ55" i="56"/>
  <c r="AJ56" i="56"/>
  <c r="AJ57" i="56"/>
  <c r="AJ58" i="56"/>
  <c r="AJ59" i="56"/>
  <c r="AE11" i="56"/>
  <c r="AD11" i="56"/>
  <c r="AC11" i="56"/>
  <c r="AB11" i="56"/>
  <c r="AA11" i="56"/>
  <c r="Z11" i="56"/>
  <c r="Y11" i="56"/>
  <c r="X11" i="56"/>
  <c r="W11" i="56"/>
  <c r="V11" i="56"/>
  <c r="U11" i="56"/>
  <c r="T11" i="56"/>
  <c r="S11" i="56"/>
  <c r="AE10" i="56"/>
  <c r="AD10" i="56"/>
  <c r="AC10" i="56"/>
  <c r="AB10" i="56"/>
  <c r="AA10" i="56"/>
  <c r="Z10" i="56"/>
  <c r="Y10" i="56"/>
  <c r="X10" i="56"/>
  <c r="W10" i="56"/>
  <c r="V10" i="56"/>
  <c r="U10" i="56"/>
  <c r="T10" i="56"/>
  <c r="S10" i="56"/>
  <c r="AC7" i="56"/>
  <c r="Z7" i="56"/>
  <c r="W7" i="56"/>
  <c r="AC6" i="56"/>
  <c r="Z6" i="56"/>
  <c r="W6" i="56"/>
  <c r="T46" i="70"/>
  <c r="U46" i="70"/>
  <c r="J54" i="74"/>
  <c r="N54" i="74"/>
  <c r="R54" i="74"/>
  <c r="J43" i="74"/>
  <c r="N43" i="74"/>
  <c r="R43" i="74"/>
  <c r="J44" i="74"/>
  <c r="N44" i="74"/>
  <c r="R44" i="74"/>
  <c r="J45" i="74"/>
  <c r="N45" i="74"/>
  <c r="R45" i="74"/>
  <c r="J46" i="74"/>
  <c r="N46" i="74"/>
  <c r="R46" i="74"/>
  <c r="J47" i="74"/>
  <c r="N47" i="74"/>
  <c r="R47" i="74"/>
  <c r="J48" i="74"/>
  <c r="N48" i="74"/>
  <c r="R48" i="74"/>
  <c r="J49" i="74"/>
  <c r="N49" i="74"/>
  <c r="R49" i="74"/>
  <c r="J50" i="74"/>
  <c r="N50" i="74"/>
  <c r="R50" i="74"/>
  <c r="J51" i="74"/>
  <c r="N51" i="74"/>
  <c r="R51" i="74"/>
  <c r="J52" i="74"/>
  <c r="N52" i="74"/>
  <c r="R52" i="74"/>
  <c r="J53" i="74"/>
  <c r="N53" i="74"/>
  <c r="R53" i="74"/>
  <c r="B48" i="45"/>
  <c r="B49" i="45"/>
  <c r="I49" i="45" s="1"/>
  <c r="B48" i="47"/>
  <c r="B49" i="47" s="1"/>
  <c r="B50" i="47" s="1"/>
  <c r="B51" i="47" s="1"/>
  <c r="B52" i="47" s="1"/>
  <c r="B53" i="47" s="1"/>
  <c r="B54" i="47" s="1"/>
  <c r="G48" i="65"/>
  <c r="H48" i="104"/>
  <c r="I48" i="87"/>
  <c r="H48" i="45"/>
  <c r="I48" i="45"/>
  <c r="J48" i="45"/>
  <c r="H49" i="45"/>
  <c r="H50" i="45"/>
  <c r="H51" i="45"/>
  <c r="H52" i="45"/>
  <c r="H53" i="45"/>
  <c r="H54" i="45"/>
  <c r="J48" i="63"/>
  <c r="N48" i="63"/>
  <c r="N49" i="63"/>
  <c r="H48" i="65"/>
  <c r="J48" i="46"/>
  <c r="G48" i="81"/>
  <c r="I48" i="81"/>
  <c r="I48" i="37"/>
  <c r="G48" i="104"/>
  <c r="I48" i="104"/>
  <c r="G48" i="61"/>
  <c r="H48" i="61"/>
  <c r="I48" i="61"/>
  <c r="H48" i="62"/>
  <c r="I48" i="62"/>
  <c r="G48" i="44"/>
  <c r="I48" i="44"/>
  <c r="H48" i="87"/>
  <c r="G48" i="88"/>
  <c r="H48" i="88"/>
  <c r="I48" i="88"/>
  <c r="G48" i="84"/>
  <c r="N48" i="84"/>
  <c r="P48" i="84" s="1"/>
  <c r="O48" i="84"/>
  <c r="S48" i="84"/>
  <c r="O49" i="84"/>
  <c r="P49" i="84" s="1"/>
  <c r="S49" i="84"/>
  <c r="O50" i="84"/>
  <c r="S50" i="84"/>
  <c r="O51" i="84"/>
  <c r="S51" i="84"/>
  <c r="O52" i="84"/>
  <c r="S52" i="84"/>
  <c r="O53" i="84"/>
  <c r="S53" i="84"/>
  <c r="O54" i="84"/>
  <c r="S54" i="84"/>
  <c r="A51" i="98"/>
  <c r="A52" i="98" s="1"/>
  <c r="A54" i="98"/>
  <c r="A51" i="97"/>
  <c r="A52" i="97" s="1"/>
  <c r="A54" i="97"/>
  <c r="A49" i="84"/>
  <c r="A50" i="84" s="1"/>
  <c r="A52" i="84"/>
  <c r="A53" i="84"/>
  <c r="J49" i="46"/>
  <c r="H48" i="84"/>
  <c r="I48" i="84"/>
  <c r="G48" i="62"/>
  <c r="G48" i="37"/>
  <c r="H48" i="37"/>
  <c r="G48" i="39"/>
  <c r="I48" i="41"/>
  <c r="I48" i="39"/>
  <c r="B50" i="45"/>
  <c r="I50" i="45" s="1"/>
  <c r="J49" i="45"/>
  <c r="G48" i="41"/>
  <c r="H48" i="39"/>
  <c r="B51" i="45"/>
  <c r="B52" i="45" s="1"/>
  <c r="N49" i="84"/>
  <c r="R48" i="84"/>
  <c r="T48" i="84" s="1"/>
  <c r="G48" i="87"/>
  <c r="H48" i="81"/>
  <c r="I48" i="65"/>
  <c r="H48" i="41"/>
  <c r="A48" i="98"/>
  <c r="A49" i="98"/>
  <c r="A48" i="97"/>
  <c r="A49" i="97" s="1"/>
  <c r="G49" i="65"/>
  <c r="H49" i="65"/>
  <c r="I49" i="65"/>
  <c r="G49" i="41"/>
  <c r="H49" i="41"/>
  <c r="I49" i="41"/>
  <c r="G49" i="87"/>
  <c r="H49" i="87"/>
  <c r="I49" i="87"/>
  <c r="J50" i="46"/>
  <c r="J51" i="45"/>
  <c r="H48" i="44"/>
  <c r="G63" i="48"/>
  <c r="E63" i="48"/>
  <c r="F63" i="48" s="1"/>
  <c r="F28" i="48" s="1"/>
  <c r="I28" i="48" s="1"/>
  <c r="C23" i="63"/>
  <c r="G28" i="48"/>
  <c r="D61" i="63"/>
  <c r="D28" i="63" s="1"/>
  <c r="G28" i="63" s="1"/>
  <c r="E61" i="63"/>
  <c r="E28" i="63" s="1"/>
  <c r="CR4" i="68"/>
  <c r="CR57" i="68" s="1"/>
  <c r="CR5" i="68"/>
  <c r="CR58" i="68" s="1"/>
  <c r="CR6" i="68"/>
  <c r="CR59" i="68" s="1"/>
  <c r="CR7" i="68"/>
  <c r="CR60" i="68" s="1"/>
  <c r="CR8" i="68"/>
  <c r="CR61" i="68"/>
  <c r="CR9" i="68"/>
  <c r="CR62" i="68" s="1"/>
  <c r="CR111" i="68" s="1"/>
  <c r="CR10" i="68"/>
  <c r="CR63" i="68"/>
  <c r="CK4" i="68"/>
  <c r="CK57" i="68" s="1"/>
  <c r="CK5" i="68"/>
  <c r="CK58" i="68"/>
  <c r="CK6" i="68"/>
  <c r="CK59" i="68" s="1"/>
  <c r="CK7" i="68"/>
  <c r="CK60" i="68"/>
  <c r="CK8" i="68"/>
  <c r="CK61" i="68" s="1"/>
  <c r="CK110" i="68" s="1"/>
  <c r="CK9" i="68"/>
  <c r="CK62" i="68"/>
  <c r="CK10" i="68"/>
  <c r="CK63" i="68" s="1"/>
  <c r="CK112" i="68" s="1"/>
  <c r="CI4" i="68"/>
  <c r="CI57" i="68" s="1"/>
  <c r="CI5" i="68"/>
  <c r="CI58" i="68" s="1"/>
  <c r="CI6" i="68"/>
  <c r="CI59" i="68" s="1"/>
  <c r="CI7" i="68"/>
  <c r="CI60" i="68" s="1"/>
  <c r="CI8" i="68"/>
  <c r="CI61" i="68" s="1"/>
  <c r="CI110" i="68" s="1"/>
  <c r="CI9" i="68"/>
  <c r="CI62" i="68" s="1"/>
  <c r="CI10" i="68"/>
  <c r="CI63" i="68" s="1"/>
  <c r="CH4" i="68"/>
  <c r="CH57" i="68"/>
  <c r="CH5" i="68"/>
  <c r="CH58" i="68" s="1"/>
  <c r="CH108" i="68" s="1"/>
  <c r="CH6" i="68"/>
  <c r="CH59" i="68"/>
  <c r="CH7" i="68"/>
  <c r="CH60" i="68" s="1"/>
  <c r="CH109" i="68" s="1"/>
  <c r="CH8" i="68"/>
  <c r="CH61" i="68"/>
  <c r="CH9" i="68"/>
  <c r="CH62" i="68" s="1"/>
  <c r="CH10" i="68"/>
  <c r="CH63" i="68" s="1"/>
  <c r="CA4" i="68"/>
  <c r="CA57" i="68"/>
  <c r="CA5" i="68"/>
  <c r="CA58" i="68" s="1"/>
  <c r="CA108" i="68" s="1"/>
  <c r="CA6" i="68"/>
  <c r="CA59" i="68"/>
  <c r="CA7" i="68"/>
  <c r="CA60" i="68" s="1"/>
  <c r="CA109" i="68" s="1"/>
  <c r="CA8" i="68"/>
  <c r="CA61" i="68" s="1"/>
  <c r="CA9" i="68"/>
  <c r="CA62" i="68" s="1"/>
  <c r="CA10" i="68"/>
  <c r="CA63" i="68" s="1"/>
  <c r="BZ4" i="68"/>
  <c r="BZ57" i="68" s="1"/>
  <c r="BZ5" i="68"/>
  <c r="BZ58" i="68" s="1"/>
  <c r="BZ6" i="68"/>
  <c r="BZ59" i="68" s="1"/>
  <c r="BZ7" i="68"/>
  <c r="BZ60" i="68" s="1"/>
  <c r="BZ8" i="68"/>
  <c r="BZ61" i="68" s="1"/>
  <c r="BZ9" i="68"/>
  <c r="BZ62" i="68" s="1"/>
  <c r="BZ111" i="68" s="1"/>
  <c r="BZ10" i="68"/>
  <c r="BZ63" i="68" s="1"/>
  <c r="G43" i="104"/>
  <c r="H43" i="104"/>
  <c r="I43" i="104"/>
  <c r="G44" i="104"/>
  <c r="H44" i="104"/>
  <c r="I44" i="104"/>
  <c r="G45" i="104"/>
  <c r="H45" i="104"/>
  <c r="I45" i="104"/>
  <c r="G46" i="104"/>
  <c r="H46" i="104"/>
  <c r="I46" i="104"/>
  <c r="G47" i="104"/>
  <c r="H47" i="104"/>
  <c r="I47" i="104"/>
  <c r="BI4" i="68"/>
  <c r="BI57" i="68" s="1"/>
  <c r="BI5" i="68"/>
  <c r="BI58" i="68"/>
  <c r="BI6" i="68"/>
  <c r="BI59" i="68" s="1"/>
  <c r="BI7" i="68"/>
  <c r="BI60" i="68"/>
  <c r="BI8" i="68"/>
  <c r="BI61" i="68" s="1"/>
  <c r="BI9" i="68"/>
  <c r="BI62" i="68"/>
  <c r="BI10" i="68"/>
  <c r="BI63" i="68" s="1"/>
  <c r="BB4" i="68"/>
  <c r="BB57" i="68"/>
  <c r="BB5" i="68"/>
  <c r="BB58" i="68" s="1"/>
  <c r="BB108" i="68" s="1"/>
  <c r="BB6" i="68"/>
  <c r="BB59" i="68"/>
  <c r="BB7" i="68"/>
  <c r="BB60" i="68" s="1"/>
  <c r="BB8" i="68"/>
  <c r="BB61" i="68"/>
  <c r="BB9" i="68"/>
  <c r="BB62" i="68" s="1"/>
  <c r="BB10" i="68"/>
  <c r="BB63" i="68"/>
  <c r="AZ4" i="68"/>
  <c r="AZ57" i="68" s="1"/>
  <c r="AZ5" i="68"/>
  <c r="AZ58" i="68"/>
  <c r="AZ6" i="68"/>
  <c r="AZ59" i="68" s="1"/>
  <c r="AZ7" i="68"/>
  <c r="AZ60" i="68"/>
  <c r="AZ8" i="68"/>
  <c r="AZ61" i="68" s="1"/>
  <c r="AZ9" i="68"/>
  <c r="AZ62" i="68"/>
  <c r="AZ10" i="68"/>
  <c r="AZ63" i="68" s="1"/>
  <c r="AY4" i="68"/>
  <c r="AY57" i="68"/>
  <c r="AY5" i="68"/>
  <c r="AY58" i="68" s="1"/>
  <c r="AY6" i="68"/>
  <c r="AY59" i="68"/>
  <c r="AY108" i="68" s="1"/>
  <c r="AY7" i="68"/>
  <c r="AY60" i="68" s="1"/>
  <c r="AY8" i="68"/>
  <c r="AY61" i="68"/>
  <c r="AY9" i="68"/>
  <c r="AY62" i="68" s="1"/>
  <c r="AY10" i="68"/>
  <c r="AY63" i="68"/>
  <c r="AR4" i="68"/>
  <c r="AR57" i="68" s="1"/>
  <c r="AR5" i="68"/>
  <c r="AR58" i="68"/>
  <c r="AR6" i="68"/>
  <c r="AR59" i="68" s="1"/>
  <c r="AR7" i="68"/>
  <c r="AR60" i="68"/>
  <c r="AR8" i="68"/>
  <c r="AR61" i="68" s="1"/>
  <c r="AR9" i="68"/>
  <c r="AR62" i="68"/>
  <c r="AR10" i="68"/>
  <c r="AR63" i="68" s="1"/>
  <c r="AQ4" i="68"/>
  <c r="AQ57" i="68"/>
  <c r="AQ5" i="68"/>
  <c r="AQ58" i="68" s="1"/>
  <c r="AQ108" i="68" s="1"/>
  <c r="AQ6" i="68"/>
  <c r="AQ59" i="68"/>
  <c r="AQ7" i="68"/>
  <c r="AQ60" i="68" s="1"/>
  <c r="AQ8" i="68"/>
  <c r="AQ61" i="68"/>
  <c r="AQ9" i="68"/>
  <c r="AQ62" i="68" s="1"/>
  <c r="AQ111" i="68" s="1"/>
  <c r="AQ10" i="68"/>
  <c r="AQ63" i="68"/>
  <c r="Z4" i="68"/>
  <c r="Z57" i="68" s="1"/>
  <c r="Z5" i="68"/>
  <c r="Z58" i="68"/>
  <c r="Z6" i="68"/>
  <c r="Z59" i="68" s="1"/>
  <c r="Z108" i="68" s="1"/>
  <c r="Z7" i="68"/>
  <c r="Z60" i="68"/>
  <c r="Z109" i="68" s="1"/>
  <c r="Z8" i="68"/>
  <c r="Z61" i="68" s="1"/>
  <c r="Z9" i="68"/>
  <c r="Z62" i="68"/>
  <c r="Z10" i="68"/>
  <c r="Z63" i="68" s="1"/>
  <c r="X4" i="68"/>
  <c r="X5" i="68"/>
  <c r="X6" i="68"/>
  <c r="X7" i="68"/>
  <c r="X8" i="68"/>
  <c r="X9" i="68"/>
  <c r="X10" i="68"/>
  <c r="S4" i="68"/>
  <c r="S57" i="68" s="1"/>
  <c r="S5" i="68"/>
  <c r="S58" i="68" s="1"/>
  <c r="S6" i="68"/>
  <c r="S59" i="68" s="1"/>
  <c r="S108" i="68" s="1"/>
  <c r="S7" i="68"/>
  <c r="S60" i="68" s="1"/>
  <c r="S8" i="68"/>
  <c r="S61" i="68" s="1"/>
  <c r="S9" i="68"/>
  <c r="S62" i="68" s="1"/>
  <c r="S10" i="68"/>
  <c r="S63" i="68" s="1"/>
  <c r="Q4" i="68"/>
  <c r="Q57" i="68" s="1"/>
  <c r="Q5" i="68"/>
  <c r="Q58" i="68" s="1"/>
  <c r="Q6" i="68"/>
  <c r="Q59" i="68" s="1"/>
  <c r="Q7" i="68"/>
  <c r="Q60" i="68" s="1"/>
  <c r="Q109" i="68" s="1"/>
  <c r="Q8" i="68"/>
  <c r="Q61" i="68" s="1"/>
  <c r="Q9" i="68"/>
  <c r="Q62" i="68" s="1"/>
  <c r="Q10" i="68"/>
  <c r="Q63" i="68" s="1"/>
  <c r="P4" i="68"/>
  <c r="P57" i="68" s="1"/>
  <c r="P5" i="68"/>
  <c r="P58" i="68" s="1"/>
  <c r="P6" i="68"/>
  <c r="P59" i="68" s="1"/>
  <c r="P7" i="68"/>
  <c r="P60" i="68" s="1"/>
  <c r="P8" i="68"/>
  <c r="P61" i="68" s="1"/>
  <c r="P110" i="68" s="1"/>
  <c r="P9" i="68"/>
  <c r="P62" i="68" s="1"/>
  <c r="P10" i="68"/>
  <c r="P63" i="68" s="1"/>
  <c r="I4" i="68"/>
  <c r="I57" i="68" s="1"/>
  <c r="I5" i="68"/>
  <c r="I58" i="68" s="1"/>
  <c r="I6" i="68"/>
  <c r="I59" i="68" s="1"/>
  <c r="I7" i="68"/>
  <c r="I60" i="68" s="1"/>
  <c r="I8" i="68"/>
  <c r="I61" i="68" s="1"/>
  <c r="I9" i="68"/>
  <c r="I62" i="68" s="1"/>
  <c r="I111" i="68" s="1"/>
  <c r="I10" i="68"/>
  <c r="I63" i="68" s="1"/>
  <c r="H4" i="68"/>
  <c r="H57" i="68" s="1"/>
  <c r="H5" i="68"/>
  <c r="H58" i="68" s="1"/>
  <c r="H6" i="68"/>
  <c r="H59" i="68" s="1"/>
  <c r="H108" i="68" s="1"/>
  <c r="H7" i="68"/>
  <c r="H60" i="68" s="1"/>
  <c r="H8" i="68"/>
  <c r="H61" i="68" s="1"/>
  <c r="H9" i="68"/>
  <c r="H62" i="68" s="1"/>
  <c r="H10" i="68"/>
  <c r="H63" i="68" s="1"/>
  <c r="BF4" i="69"/>
  <c r="BF57" i="69" s="1"/>
  <c r="BF5" i="69"/>
  <c r="BF58" i="69" s="1"/>
  <c r="BF6" i="69"/>
  <c r="BF59" i="69" s="1"/>
  <c r="BF7" i="69"/>
  <c r="BF60" i="69" s="1"/>
  <c r="BF110" i="69" s="1"/>
  <c r="BF8" i="69"/>
  <c r="BF61" i="69" s="1"/>
  <c r="BF9" i="69"/>
  <c r="BF62" i="69" s="1"/>
  <c r="BF10" i="69"/>
  <c r="BF63" i="69" s="1"/>
  <c r="BE4" i="69"/>
  <c r="BE57" i="69" s="1"/>
  <c r="BE5" i="69"/>
  <c r="BE58" i="69" s="1"/>
  <c r="BE6" i="69"/>
  <c r="BE59" i="69" s="1"/>
  <c r="BE7" i="69"/>
  <c r="BE60" i="69" s="1"/>
  <c r="BE8" i="69"/>
  <c r="BE61" i="69" s="1"/>
  <c r="BE111" i="69" s="1"/>
  <c r="BE9" i="69"/>
  <c r="BE62" i="69" s="1"/>
  <c r="BE10" i="69"/>
  <c r="BE63" i="69" s="1"/>
  <c r="BD4" i="69"/>
  <c r="BD57" i="69" s="1"/>
  <c r="BD5" i="69"/>
  <c r="BD58" i="69" s="1"/>
  <c r="BD6" i="69"/>
  <c r="BD59" i="69" s="1"/>
  <c r="BD7" i="69"/>
  <c r="BD60" i="69" s="1"/>
  <c r="BD8" i="69"/>
  <c r="BD61" i="69" s="1"/>
  <c r="BD9" i="69"/>
  <c r="BD62" i="69" s="1"/>
  <c r="BD112" i="69" s="1"/>
  <c r="BD10" i="69"/>
  <c r="BD63" i="69" s="1"/>
  <c r="AI4" i="69"/>
  <c r="AI57" i="69" s="1"/>
  <c r="AI5" i="69"/>
  <c r="AI58" i="69" s="1"/>
  <c r="AI6" i="69"/>
  <c r="AI59" i="69" s="1"/>
  <c r="AI109" i="69" s="1"/>
  <c r="AI7" i="69"/>
  <c r="AI60" i="69" s="1"/>
  <c r="AI8" i="69"/>
  <c r="AI61" i="69" s="1"/>
  <c r="AI9" i="69"/>
  <c r="AI62" i="69" s="1"/>
  <c r="AI10" i="69"/>
  <c r="AI63" i="69" s="1"/>
  <c r="AH4" i="69"/>
  <c r="AH57" i="69" s="1"/>
  <c r="AH5" i="69"/>
  <c r="AH58" i="69" s="1"/>
  <c r="AH6" i="69"/>
  <c r="AH59" i="69" s="1"/>
  <c r="AH7" i="69"/>
  <c r="AH60" i="69" s="1"/>
  <c r="AH110" i="69" s="1"/>
  <c r="AH8" i="69"/>
  <c r="AH61" i="69" s="1"/>
  <c r="AH9" i="69"/>
  <c r="AH62" i="69" s="1"/>
  <c r="AH10" i="69"/>
  <c r="AH63" i="69" s="1"/>
  <c r="AG4" i="69"/>
  <c r="AG57" i="69" s="1"/>
  <c r="AG5" i="69"/>
  <c r="AG58" i="69" s="1"/>
  <c r="AG6" i="69"/>
  <c r="AG59" i="69" s="1"/>
  <c r="AG7" i="69"/>
  <c r="AG60" i="69" s="1"/>
  <c r="AG8" i="69"/>
  <c r="AG61" i="69" s="1"/>
  <c r="AG111" i="69" s="1"/>
  <c r="AG9" i="69"/>
  <c r="AG62" i="69" s="1"/>
  <c r="AG10" i="69"/>
  <c r="AG63" i="69" s="1"/>
  <c r="L4" i="69"/>
  <c r="L5" i="69"/>
  <c r="L58" i="69"/>
  <c r="L6" i="69"/>
  <c r="L59" i="69" s="1"/>
  <c r="L109" i="69" s="1"/>
  <c r="L7" i="69"/>
  <c r="L60" i="69"/>
  <c r="L8" i="69"/>
  <c r="L61" i="69" s="1"/>
  <c r="L111" i="69" s="1"/>
  <c r="L9" i="69"/>
  <c r="L62" i="69" s="1"/>
  <c r="L10" i="69"/>
  <c r="L63" i="69" s="1"/>
  <c r="L116" i="69"/>
  <c r="L117" i="69"/>
  <c r="L119" i="69"/>
  <c r="L120" i="69"/>
  <c r="L121" i="69"/>
  <c r="L123" i="69"/>
  <c r="K4" i="69"/>
  <c r="K5" i="69"/>
  <c r="K58" i="69" s="1"/>
  <c r="K6" i="69"/>
  <c r="K59" i="69"/>
  <c r="K109" i="69" s="1"/>
  <c r="K7" i="69"/>
  <c r="K60" i="69" s="1"/>
  <c r="K110" i="69" s="1"/>
  <c r="K8" i="69"/>
  <c r="K61" i="69"/>
  <c r="K9" i="69"/>
  <c r="K62" i="69" s="1"/>
  <c r="K10" i="69"/>
  <c r="K63" i="69"/>
  <c r="K114" i="69" s="1"/>
  <c r="K115" i="69"/>
  <c r="K119" i="69"/>
  <c r="K123" i="69"/>
  <c r="J4" i="69"/>
  <c r="J57" i="69" s="1"/>
  <c r="J5" i="69"/>
  <c r="J58" i="69" s="1"/>
  <c r="J6" i="69"/>
  <c r="J59" i="69" s="1"/>
  <c r="J7" i="69"/>
  <c r="J60" i="69" s="1"/>
  <c r="J8" i="69"/>
  <c r="J61" i="69"/>
  <c r="J9" i="69"/>
  <c r="J62" i="69" s="1"/>
  <c r="J112" i="69" s="1"/>
  <c r="J10" i="69"/>
  <c r="J63" i="69"/>
  <c r="J114" i="69" s="1"/>
  <c r="J118" i="69"/>
  <c r="J122" i="69"/>
  <c r="G23" i="104"/>
  <c r="H23" i="104"/>
  <c r="C23" i="104"/>
  <c r="C24" i="104" s="1"/>
  <c r="C25" i="104" s="1"/>
  <c r="C26" i="104" s="1"/>
  <c r="C27" i="104" s="1"/>
  <c r="C28" i="104" s="1"/>
  <c r="C29" i="104" s="1"/>
  <c r="C30" i="104" s="1"/>
  <c r="C31" i="104" s="1"/>
  <c r="C32" i="104" s="1"/>
  <c r="C33" i="104" s="1"/>
  <c r="C34" i="104" s="1"/>
  <c r="C35" i="104" s="1"/>
  <c r="C36" i="104" s="1"/>
  <c r="C37" i="104" s="1"/>
  <c r="C38" i="104" s="1"/>
  <c r="C39" i="104" s="1"/>
  <c r="C40" i="104" s="1"/>
  <c r="C41" i="104" s="1"/>
  <c r="C42" i="104" s="1"/>
  <c r="C43" i="104" s="1"/>
  <c r="C44" i="104" s="1"/>
  <c r="C45" i="104" s="1"/>
  <c r="C46" i="104" s="1"/>
  <c r="C47" i="104" s="1"/>
  <c r="C48" i="104" s="1"/>
  <c r="A17" i="104"/>
  <c r="I28" i="103"/>
  <c r="G28" i="103"/>
  <c r="I23" i="103"/>
  <c r="C23" i="103"/>
  <c r="C24" i="103" s="1"/>
  <c r="C25" i="103" s="1"/>
  <c r="C26" i="103" s="1"/>
  <c r="C28" i="103"/>
  <c r="C29" i="103" s="1"/>
  <c r="C30" i="103" s="1"/>
  <c r="C31" i="103" s="1"/>
  <c r="C32" i="103" s="1"/>
  <c r="C33" i="103" s="1"/>
  <c r="C34" i="103" s="1"/>
  <c r="C35" i="103" s="1"/>
  <c r="C36" i="103" s="1"/>
  <c r="C37" i="103" s="1"/>
  <c r="C38" i="103" s="1"/>
  <c r="C39" i="103" s="1"/>
  <c r="C40" i="103" s="1"/>
  <c r="C41" i="103" s="1"/>
  <c r="C42" i="103" s="1"/>
  <c r="C43" i="103" s="1"/>
  <c r="C44" i="103" s="1"/>
  <c r="C45" i="103" s="1"/>
  <c r="C46" i="103" s="1"/>
  <c r="C47" i="103" s="1"/>
  <c r="C48" i="103" s="1"/>
  <c r="C49" i="103" s="1"/>
  <c r="A17" i="103"/>
  <c r="A18" i="103" s="1"/>
  <c r="A19" i="103" s="1"/>
  <c r="A20" i="103" s="1"/>
  <c r="I23" i="104"/>
  <c r="G23" i="103"/>
  <c r="J123" i="69"/>
  <c r="J119" i="69"/>
  <c r="J115" i="69"/>
  <c r="K120" i="69"/>
  <c r="K116" i="69"/>
  <c r="J121" i="69"/>
  <c r="J117" i="69"/>
  <c r="K122" i="69"/>
  <c r="K118" i="69"/>
  <c r="L115" i="69"/>
  <c r="J120" i="69"/>
  <c r="J116" i="69"/>
  <c r="K121" i="69"/>
  <c r="K117" i="69"/>
  <c r="L122" i="69"/>
  <c r="L118" i="69"/>
  <c r="Z122" i="68"/>
  <c r="Z114" i="68"/>
  <c r="H122" i="68"/>
  <c r="H118" i="68"/>
  <c r="H114" i="68"/>
  <c r="I119" i="68"/>
  <c r="P119" i="68"/>
  <c r="P115" i="68"/>
  <c r="Q116" i="68"/>
  <c r="AR121" i="68"/>
  <c r="AR117" i="68"/>
  <c r="AY122" i="68"/>
  <c r="AY118" i="68"/>
  <c r="AY114" i="68"/>
  <c r="AZ119" i="68"/>
  <c r="AZ115" i="68"/>
  <c r="A18" i="104"/>
  <c r="A19" i="104" s="1"/>
  <c r="BI121" i="68"/>
  <c r="BI117" i="68"/>
  <c r="S121" i="68"/>
  <c r="S117" i="68"/>
  <c r="BB120" i="68"/>
  <c r="BB116" i="68"/>
  <c r="BI122" i="68"/>
  <c r="BI114" i="68"/>
  <c r="G24" i="103"/>
  <c r="I115" i="68"/>
  <c r="Q120" i="68"/>
  <c r="Z119" i="68"/>
  <c r="AQ120" i="68"/>
  <c r="H120" i="68"/>
  <c r="H116" i="68"/>
  <c r="P121" i="68"/>
  <c r="P117" i="68"/>
  <c r="Q122" i="68"/>
  <c r="Q114" i="68"/>
  <c r="Z117" i="68"/>
  <c r="AQ122" i="68"/>
  <c r="AQ114" i="68"/>
  <c r="AR119" i="68"/>
  <c r="AR115" i="68"/>
  <c r="AY116" i="68"/>
  <c r="AZ121" i="68"/>
  <c r="BB122" i="68"/>
  <c r="BB118" i="68"/>
  <c r="BB114" i="68"/>
  <c r="BI115" i="68"/>
  <c r="I121" i="68"/>
  <c r="I117" i="68"/>
  <c r="Q118" i="68"/>
  <c r="S119" i="68"/>
  <c r="S115" i="68"/>
  <c r="Z121" i="68"/>
  <c r="AY120" i="68"/>
  <c r="AZ117" i="68"/>
  <c r="Z116" i="68"/>
  <c r="BI118" i="68"/>
  <c r="Z115" i="68"/>
  <c r="AQ116" i="68"/>
  <c r="Z120" i="68"/>
  <c r="BI119" i="68"/>
  <c r="BI120" i="68"/>
  <c r="BI116" i="68"/>
  <c r="Z118" i="68"/>
  <c r="AQ118" i="68"/>
  <c r="AQ119" i="68"/>
  <c r="I120" i="68"/>
  <c r="I116" i="68"/>
  <c r="AY119" i="68"/>
  <c r="AZ116" i="68"/>
  <c r="BB119" i="68"/>
  <c r="H121" i="68"/>
  <c r="H117" i="68"/>
  <c r="P120" i="68"/>
  <c r="P116" i="68"/>
  <c r="AR122" i="68"/>
  <c r="AR118" i="68"/>
  <c r="AR114" i="68"/>
  <c r="AY117" i="68"/>
  <c r="AY113" i="68"/>
  <c r="AZ120" i="68"/>
  <c r="BB121" i="68"/>
  <c r="BB117" i="68"/>
  <c r="BB113" i="68"/>
  <c r="AQ115" i="68"/>
  <c r="H23" i="103"/>
  <c r="I122" i="68"/>
  <c r="I118" i="68"/>
  <c r="I114" i="68"/>
  <c r="Q121" i="68"/>
  <c r="Q119" i="68"/>
  <c r="Q117" i="68"/>
  <c r="Q115" i="68"/>
  <c r="AY121" i="68"/>
  <c r="AZ118" i="68"/>
  <c r="AZ114" i="68"/>
  <c r="AY123" i="68"/>
  <c r="H119" i="68"/>
  <c r="H115" i="68"/>
  <c r="P122" i="68"/>
  <c r="P118" i="68"/>
  <c r="P114" i="68"/>
  <c r="AR120" i="68"/>
  <c r="AR116" i="68"/>
  <c r="AY115" i="68"/>
  <c r="AZ122" i="68"/>
  <c r="BB115" i="68"/>
  <c r="S122" i="68"/>
  <c r="S120" i="68"/>
  <c r="S118" i="68"/>
  <c r="S116" i="68"/>
  <c r="S114" i="68"/>
  <c r="AQ121" i="68"/>
  <c r="AQ117" i="68"/>
  <c r="AQ113" i="68"/>
  <c r="AG120" i="69"/>
  <c r="AG116" i="69"/>
  <c r="AH121" i="69"/>
  <c r="AH117" i="69"/>
  <c r="AI122" i="69"/>
  <c r="AI118" i="69"/>
  <c r="AG122" i="69"/>
  <c r="AG118" i="69"/>
  <c r="AH123" i="69"/>
  <c r="AH119" i="69"/>
  <c r="AH115" i="69"/>
  <c r="AI120" i="69"/>
  <c r="AI116" i="69"/>
  <c r="AG121" i="69"/>
  <c r="AG117" i="69"/>
  <c r="AH122" i="69"/>
  <c r="AH118" i="69"/>
  <c r="AI123" i="69"/>
  <c r="AI119" i="69"/>
  <c r="AI115" i="69"/>
  <c r="AG123" i="69"/>
  <c r="AG119" i="69"/>
  <c r="AG115" i="69"/>
  <c r="AH120" i="69"/>
  <c r="AH116" i="69"/>
  <c r="AI121" i="69"/>
  <c r="AI117" i="69"/>
  <c r="G24" i="104"/>
  <c r="I24" i="104"/>
  <c r="G29" i="103"/>
  <c r="I29" i="103"/>
  <c r="G30" i="103"/>
  <c r="H29" i="103"/>
  <c r="H23" i="102"/>
  <c r="C23" i="102"/>
  <c r="C24" i="102" s="1"/>
  <c r="C25" i="102" s="1"/>
  <c r="C26" i="102" s="1"/>
  <c r="C28" i="102"/>
  <c r="C29" i="102" s="1"/>
  <c r="C30" i="102" s="1"/>
  <c r="C31" i="102" s="1"/>
  <c r="C32" i="102" s="1"/>
  <c r="C33" i="102" s="1"/>
  <c r="C34" i="102" s="1"/>
  <c r="C35" i="102" s="1"/>
  <c r="C36" i="102" s="1"/>
  <c r="C37" i="102" s="1"/>
  <c r="C38" i="102" s="1"/>
  <c r="C39" i="102" s="1"/>
  <c r="C40" i="102" s="1"/>
  <c r="C41" i="102" s="1"/>
  <c r="C42" i="102" s="1"/>
  <c r="C43" i="102" s="1"/>
  <c r="C44" i="102" s="1"/>
  <c r="C45" i="102" s="1"/>
  <c r="C46" i="102" s="1"/>
  <c r="C47" i="102" s="1"/>
  <c r="C48" i="102" s="1"/>
  <c r="A17" i="102"/>
  <c r="H23" i="101"/>
  <c r="C23" i="101"/>
  <c r="C24" i="101" s="1"/>
  <c r="C25" i="101" s="1"/>
  <c r="C26" i="101" s="1"/>
  <c r="C27" i="101" s="1"/>
  <c r="C28" i="101" s="1"/>
  <c r="C29" i="101" s="1"/>
  <c r="C30" i="101" s="1"/>
  <c r="C31" i="101" s="1"/>
  <c r="C32" i="101" s="1"/>
  <c r="C33" i="101" s="1"/>
  <c r="C34" i="101" s="1"/>
  <c r="C35" i="101" s="1"/>
  <c r="C36" i="101" s="1"/>
  <c r="C37" i="101" s="1"/>
  <c r="C38" i="101" s="1"/>
  <c r="C39" i="101" s="1"/>
  <c r="C40" i="101" s="1"/>
  <c r="C41" i="101" s="1"/>
  <c r="C42" i="101" s="1"/>
  <c r="C43" i="101" s="1"/>
  <c r="C44" i="101" s="1"/>
  <c r="C45" i="101" s="1"/>
  <c r="C46" i="101" s="1"/>
  <c r="C47" i="101" s="1"/>
  <c r="C48" i="101" s="1"/>
  <c r="C49" i="101" s="1"/>
  <c r="A17" i="101"/>
  <c r="H23" i="100"/>
  <c r="C23" i="100"/>
  <c r="C24" i="100" s="1"/>
  <c r="C25" i="100" s="1"/>
  <c r="C26" i="100" s="1"/>
  <c r="C28" i="100"/>
  <c r="C29" i="100" s="1"/>
  <c r="C30" i="100" s="1"/>
  <c r="C31" i="100" s="1"/>
  <c r="C32" i="100" s="1"/>
  <c r="C33" i="100" s="1"/>
  <c r="C34" i="100" s="1"/>
  <c r="C35" i="100" s="1"/>
  <c r="C36" i="100" s="1"/>
  <c r="C37" i="100" s="1"/>
  <c r="C38" i="100" s="1"/>
  <c r="C39" i="100" s="1"/>
  <c r="C40" i="100" s="1"/>
  <c r="C41" i="100" s="1"/>
  <c r="C42" i="100" s="1"/>
  <c r="C43" i="100" s="1"/>
  <c r="C44" i="100" s="1"/>
  <c r="C45" i="100" s="1"/>
  <c r="C46" i="100" s="1"/>
  <c r="C47" i="100" s="1"/>
  <c r="C48" i="100" s="1"/>
  <c r="A17" i="100"/>
  <c r="H23" i="99"/>
  <c r="C23" i="99"/>
  <c r="C24" i="99" s="1"/>
  <c r="C25" i="99" s="1"/>
  <c r="C26" i="99" s="1"/>
  <c r="C27" i="99" s="1"/>
  <c r="C28" i="99" s="1"/>
  <c r="C29" i="99" s="1"/>
  <c r="C30" i="99" s="1"/>
  <c r="C31" i="99" s="1"/>
  <c r="C32" i="99" s="1"/>
  <c r="C33" i="99" s="1"/>
  <c r="C34" i="99" s="1"/>
  <c r="C35" i="99" s="1"/>
  <c r="C36" i="99" s="1"/>
  <c r="C37" i="99" s="1"/>
  <c r="C38" i="99" s="1"/>
  <c r="C39" i="99" s="1"/>
  <c r="C40" i="99" s="1"/>
  <c r="C41" i="99" s="1"/>
  <c r="C42" i="99" s="1"/>
  <c r="C43" i="99" s="1"/>
  <c r="C44" i="99" s="1"/>
  <c r="C45" i="99" s="1"/>
  <c r="C46" i="99" s="1"/>
  <c r="C47" i="99" s="1"/>
  <c r="C48" i="99" s="1"/>
  <c r="A17" i="99"/>
  <c r="A18" i="99" s="1"/>
  <c r="A19" i="99" s="1"/>
  <c r="I23" i="101"/>
  <c r="A18" i="101"/>
  <c r="A19" i="101" s="1"/>
  <c r="AZ123" i="68"/>
  <c r="A18" i="100"/>
  <c r="A19" i="100" s="1"/>
  <c r="A18" i="102"/>
  <c r="A19" i="102" s="1"/>
  <c r="H24" i="104"/>
  <c r="I25" i="104"/>
  <c r="G25" i="104"/>
  <c r="G23" i="101"/>
  <c r="H30" i="103"/>
  <c r="I24" i="103"/>
  <c r="I30" i="103"/>
  <c r="I23" i="102"/>
  <c r="G23" i="99"/>
  <c r="G23" i="102"/>
  <c r="I23" i="99"/>
  <c r="I23" i="100"/>
  <c r="G23" i="100"/>
  <c r="I24" i="101"/>
  <c r="G24" i="101"/>
  <c r="I24" i="100"/>
  <c r="G24" i="99"/>
  <c r="C23" i="98"/>
  <c r="C24" i="98" s="1"/>
  <c r="C25" i="98" s="1"/>
  <c r="C26" i="98" s="1"/>
  <c r="C28" i="98"/>
  <c r="C29" i="98" s="1"/>
  <c r="C30" i="98" s="1"/>
  <c r="C31" i="98" s="1"/>
  <c r="C32" i="98" s="1"/>
  <c r="C33" i="98" s="1"/>
  <c r="C34" i="98" s="1"/>
  <c r="C35" i="98" s="1"/>
  <c r="C36" i="98" s="1"/>
  <c r="C37" i="98" s="1"/>
  <c r="C38" i="98" s="1"/>
  <c r="C39" i="98" s="1"/>
  <c r="C40" i="98" s="1"/>
  <c r="C41" i="98" s="1"/>
  <c r="C42" i="98" s="1"/>
  <c r="C43" i="98" s="1"/>
  <c r="C44" i="98" s="1"/>
  <c r="C45" i="98" s="1"/>
  <c r="C46" i="98" s="1"/>
  <c r="C47" i="98" s="1"/>
  <c r="C48" i="98" s="1"/>
  <c r="C49" i="98" s="1"/>
  <c r="A17" i="98"/>
  <c r="C23" i="97"/>
  <c r="C24" i="97" s="1"/>
  <c r="C25" i="97" s="1"/>
  <c r="C26" i="97" s="1"/>
  <c r="C28" i="97"/>
  <c r="C29" i="97" s="1"/>
  <c r="C30" i="97" s="1"/>
  <c r="C31" i="97" s="1"/>
  <c r="C32" i="97" s="1"/>
  <c r="C33" i="97" s="1"/>
  <c r="C34" i="97" s="1"/>
  <c r="C35" i="97" s="1"/>
  <c r="C36" i="97" s="1"/>
  <c r="C37" i="97" s="1"/>
  <c r="C38" i="97" s="1"/>
  <c r="C39" i="97" s="1"/>
  <c r="C40" i="97" s="1"/>
  <c r="C41" i="97" s="1"/>
  <c r="C42" i="97" s="1"/>
  <c r="C43" i="97" s="1"/>
  <c r="C44" i="97" s="1"/>
  <c r="C45" i="97" s="1"/>
  <c r="C46" i="97" s="1"/>
  <c r="C47" i="97" s="1"/>
  <c r="C48" i="97" s="1"/>
  <c r="A17" i="97"/>
  <c r="H23" i="96"/>
  <c r="I23" i="96"/>
  <c r="C23" i="96"/>
  <c r="C24" i="96"/>
  <c r="C25" i="96" s="1"/>
  <c r="C26" i="96" s="1"/>
  <c r="C28" i="96"/>
  <c r="C29" i="96" s="1"/>
  <c r="A17" i="96"/>
  <c r="A18" i="96" s="1"/>
  <c r="A19" i="96" s="1"/>
  <c r="A18" i="98"/>
  <c r="A19" i="98" s="1"/>
  <c r="A18" i="97"/>
  <c r="A19" i="97" s="1"/>
  <c r="A20" i="97" s="1"/>
  <c r="H23" i="98"/>
  <c r="G26" i="104"/>
  <c r="H25" i="104"/>
  <c r="G23" i="98"/>
  <c r="G23" i="97"/>
  <c r="I23" i="98"/>
  <c r="J124" i="69"/>
  <c r="G23" i="96"/>
  <c r="I25" i="101"/>
  <c r="H24" i="100"/>
  <c r="I28" i="99"/>
  <c r="G24" i="98"/>
  <c r="I24" i="98"/>
  <c r="H23" i="97"/>
  <c r="I23" i="97"/>
  <c r="H24" i="96"/>
  <c r="AG124" i="69"/>
  <c r="I24" i="96"/>
  <c r="I26" i="101"/>
  <c r="I29" i="99"/>
  <c r="G28" i="99"/>
  <c r="I24" i="97"/>
  <c r="G29" i="102"/>
  <c r="I27" i="101"/>
  <c r="G28" i="101"/>
  <c r="G29" i="99"/>
  <c r="H28" i="98"/>
  <c r="G29" i="104"/>
  <c r="I29" i="104"/>
  <c r="G30" i="102"/>
  <c r="I28" i="101"/>
  <c r="H28" i="101"/>
  <c r="G29" i="101"/>
  <c r="I28" i="100"/>
  <c r="G28" i="100"/>
  <c r="H29" i="98"/>
  <c r="I28" i="96"/>
  <c r="V27" i="48"/>
  <c r="P27" i="48"/>
  <c r="U2" i="48"/>
  <c r="V27" i="47"/>
  <c r="P27" i="47"/>
  <c r="U2" i="47"/>
  <c r="I30" i="104"/>
  <c r="G30" i="104"/>
  <c r="H29" i="104"/>
  <c r="H28" i="99"/>
  <c r="I29" i="102"/>
  <c r="G30" i="101"/>
  <c r="H29" i="101"/>
  <c r="I29" i="101"/>
  <c r="H28" i="100"/>
  <c r="G29" i="100"/>
  <c r="I29" i="100"/>
  <c r="G28" i="98"/>
  <c r="I28" i="98"/>
  <c r="H28" i="96"/>
  <c r="I29" i="96"/>
  <c r="V27" i="46"/>
  <c r="P27" i="46"/>
  <c r="G31" i="104"/>
  <c r="H30" i="104"/>
  <c r="I31" i="104"/>
  <c r="H29" i="99"/>
  <c r="H29" i="102"/>
  <c r="I30" i="101"/>
  <c r="H30" i="101"/>
  <c r="I30" i="100"/>
  <c r="H29" i="100"/>
  <c r="G30" i="100"/>
  <c r="G29" i="98"/>
  <c r="I29" i="98"/>
  <c r="I28" i="97"/>
  <c r="G29" i="97"/>
  <c r="H28" i="97"/>
  <c r="H29" i="96"/>
  <c r="G29" i="96"/>
  <c r="I32" i="104"/>
  <c r="H31" i="104"/>
  <c r="G32" i="104"/>
  <c r="H30" i="102"/>
  <c r="I31" i="101"/>
  <c r="H30" i="100"/>
  <c r="G30" i="98"/>
  <c r="H29" i="97"/>
  <c r="G30" i="97"/>
  <c r="I29" i="97"/>
  <c r="G33" i="104"/>
  <c r="H32" i="104"/>
  <c r="I33" i="104"/>
  <c r="H31" i="100"/>
  <c r="I30" i="97"/>
  <c r="H30" i="97"/>
  <c r="A65" i="56"/>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A86" i="56" s="1"/>
  <c r="A87" i="56" s="1"/>
  <c r="A88" i="56" s="1"/>
  <c r="A95" i="56"/>
  <c r="H33" i="104"/>
  <c r="G34" i="104"/>
  <c r="I34" i="104"/>
  <c r="A6" i="56"/>
  <c r="I35" i="104"/>
  <c r="G35" i="104"/>
  <c r="H34" i="104"/>
  <c r="A5" i="92"/>
  <c r="A6" i="92" s="1"/>
  <c r="A7" i="92" s="1"/>
  <c r="A8" i="92" s="1"/>
  <c r="A9" i="92" s="1"/>
  <c r="A10" i="92" s="1"/>
  <c r="A11" i="92" s="1"/>
  <c r="A12" i="92" s="1"/>
  <c r="A13" i="92" s="1"/>
  <c r="A14" i="92" s="1"/>
  <c r="A15" i="92" s="1"/>
  <c r="A16" i="92" s="1"/>
  <c r="A17" i="92" s="1"/>
  <c r="A18" i="92" s="1"/>
  <c r="A19" i="92" s="1"/>
  <c r="A20" i="92" s="1"/>
  <c r="A21" i="92" s="1"/>
  <c r="A22" i="92" s="1"/>
  <c r="A23" i="92" s="1"/>
  <c r="A24" i="92" s="1"/>
  <c r="A25" i="92" s="1"/>
  <c r="A26" i="92" s="1"/>
  <c r="A27" i="92" s="1"/>
  <c r="A28" i="92" s="1"/>
  <c r="A29" i="92" s="1"/>
  <c r="A30" i="92" s="1"/>
  <c r="A31" i="92" s="1"/>
  <c r="A32" i="92" s="1"/>
  <c r="A33" i="92" s="1"/>
  <c r="A34" i="92" s="1"/>
  <c r="A35" i="92" s="1"/>
  <c r="A36" i="92" s="1"/>
  <c r="A37" i="92" s="1"/>
  <c r="A38" i="92" s="1"/>
  <c r="A39" i="92" s="1"/>
  <c r="A40" i="92" s="1"/>
  <c r="A41" i="92" s="1"/>
  <c r="A42" i="92" s="1"/>
  <c r="A43" i="92" s="1"/>
  <c r="A44" i="92" s="1"/>
  <c r="A45" i="92" s="1"/>
  <c r="H35" i="104"/>
  <c r="G36" i="104"/>
  <c r="I36" i="104"/>
  <c r="J43" i="63"/>
  <c r="N43" i="63"/>
  <c r="J44" i="63"/>
  <c r="N44" i="63"/>
  <c r="J45" i="63"/>
  <c r="N45" i="63"/>
  <c r="J46" i="63"/>
  <c r="N46" i="63"/>
  <c r="J47" i="63"/>
  <c r="N47" i="63"/>
  <c r="J43" i="46"/>
  <c r="J44" i="46"/>
  <c r="J45" i="46"/>
  <c r="J46" i="46"/>
  <c r="J47" i="46"/>
  <c r="N43" i="84"/>
  <c r="R43" i="84"/>
  <c r="N44" i="84"/>
  <c r="R44" i="84"/>
  <c r="N45" i="84"/>
  <c r="R45" i="84"/>
  <c r="N46" i="84"/>
  <c r="R46" i="84"/>
  <c r="N47" i="84"/>
  <c r="R47" i="84"/>
  <c r="G43" i="65"/>
  <c r="H43" i="65"/>
  <c r="I43" i="65"/>
  <c r="H44" i="65"/>
  <c r="I44" i="65"/>
  <c r="I37" i="104"/>
  <c r="G37" i="104"/>
  <c r="H36" i="104"/>
  <c r="G44" i="65"/>
  <c r="G38" i="104"/>
  <c r="H37" i="104"/>
  <c r="I38" i="104"/>
  <c r="G45" i="65"/>
  <c r="H45" i="65"/>
  <c r="I45" i="65"/>
  <c r="I39" i="104"/>
  <c r="H38" i="104"/>
  <c r="G39" i="104"/>
  <c r="H46" i="65"/>
  <c r="I46" i="65"/>
  <c r="G46" i="65"/>
  <c r="G40" i="104"/>
  <c r="H39" i="104"/>
  <c r="I40" i="104"/>
  <c r="I47" i="65"/>
  <c r="G47" i="65"/>
  <c r="H47" i="65"/>
  <c r="H40" i="104"/>
  <c r="I41" i="104"/>
  <c r="G41" i="104"/>
  <c r="H41" i="104"/>
  <c r="G42" i="104"/>
  <c r="I42" i="104"/>
  <c r="H42" i="104"/>
  <c r="E24" i="45"/>
  <c r="E25" i="45"/>
  <c r="L24" i="45"/>
  <c r="L23" i="45"/>
  <c r="M26" i="45"/>
  <c r="S25" i="45"/>
  <c r="M25" i="45"/>
  <c r="L25" i="45"/>
  <c r="AJ35" i="56"/>
  <c r="A135" i="68"/>
  <c r="A134" i="68"/>
  <c r="A133" i="68"/>
  <c r="A132" i="68"/>
  <c r="A131" i="68"/>
  <c r="A130" i="68"/>
  <c r="A129" i="68"/>
  <c r="A128" i="68"/>
  <c r="A127" i="68"/>
  <c r="A126" i="68"/>
  <c r="A125" i="68"/>
  <c r="A124" i="68"/>
  <c r="A123" i="68"/>
  <c r="A122" i="68"/>
  <c r="A121" i="68"/>
  <c r="A120" i="68"/>
  <c r="A119" i="68"/>
  <c r="A118" i="68"/>
  <c r="A117" i="68"/>
  <c r="A116" i="68"/>
  <c r="A115" i="68"/>
  <c r="A114" i="68"/>
  <c r="A113" i="68"/>
  <c r="A112" i="68"/>
  <c r="A111" i="68"/>
  <c r="A110" i="68"/>
  <c r="A109" i="68"/>
  <c r="A108" i="68"/>
  <c r="AJ135" i="68"/>
  <c r="AJ134" i="68"/>
  <c r="AJ133" i="68"/>
  <c r="AJ132" i="68"/>
  <c r="AJ131" i="68"/>
  <c r="AJ130" i="68"/>
  <c r="AJ129" i="68"/>
  <c r="AJ128" i="68"/>
  <c r="AJ127" i="68"/>
  <c r="AJ126" i="68"/>
  <c r="AJ125" i="68"/>
  <c r="AJ124" i="68"/>
  <c r="AJ123" i="68"/>
  <c r="AJ122" i="68"/>
  <c r="AJ121" i="68"/>
  <c r="AJ120" i="68"/>
  <c r="AJ119" i="68"/>
  <c r="AJ118" i="68"/>
  <c r="AJ117" i="68"/>
  <c r="AJ116" i="68"/>
  <c r="AJ115" i="68"/>
  <c r="AJ114" i="68"/>
  <c r="AJ113" i="68"/>
  <c r="AJ112" i="68"/>
  <c r="AJ111" i="68"/>
  <c r="AJ110" i="68"/>
  <c r="AJ109" i="68"/>
  <c r="AJ108" i="68"/>
  <c r="X136" i="69"/>
  <c r="X135" i="69"/>
  <c r="X134" i="69"/>
  <c r="X133" i="69"/>
  <c r="X132" i="69"/>
  <c r="X131" i="69"/>
  <c r="X130" i="69"/>
  <c r="X129" i="69"/>
  <c r="X128" i="69"/>
  <c r="X127" i="69"/>
  <c r="X126" i="69"/>
  <c r="X125" i="69"/>
  <c r="X124" i="69"/>
  <c r="X123" i="69"/>
  <c r="X122" i="69"/>
  <c r="X121" i="69"/>
  <c r="X120" i="69"/>
  <c r="X119" i="69"/>
  <c r="X118" i="69"/>
  <c r="X117" i="69"/>
  <c r="X116" i="69"/>
  <c r="X115" i="69"/>
  <c r="X114" i="69"/>
  <c r="X113" i="69"/>
  <c r="X112" i="69"/>
  <c r="X111" i="69"/>
  <c r="X110" i="69"/>
  <c r="X109" i="69"/>
  <c r="A136" i="69"/>
  <c r="A135" i="69"/>
  <c r="A134" i="69"/>
  <c r="A133" i="69"/>
  <c r="A132" i="69"/>
  <c r="A131" i="69"/>
  <c r="A130" i="69"/>
  <c r="A129" i="69"/>
  <c r="A128" i="69"/>
  <c r="A127" i="69"/>
  <c r="A126" i="69"/>
  <c r="A125" i="69"/>
  <c r="A124" i="69"/>
  <c r="A123" i="69"/>
  <c r="A122" i="69"/>
  <c r="A121" i="69"/>
  <c r="A120" i="69"/>
  <c r="A119" i="69"/>
  <c r="A118" i="69"/>
  <c r="A117" i="69"/>
  <c r="A116" i="69"/>
  <c r="A115" i="69"/>
  <c r="A114" i="69"/>
  <c r="A113" i="69"/>
  <c r="A112" i="69"/>
  <c r="A111" i="69"/>
  <c r="A110" i="69"/>
  <c r="A109" i="69"/>
  <c r="BS135" i="68"/>
  <c r="BS134" i="68"/>
  <c r="BS133" i="68"/>
  <c r="BS132" i="68"/>
  <c r="BS131" i="68"/>
  <c r="BS130" i="68"/>
  <c r="BS129" i="68"/>
  <c r="BS128" i="68"/>
  <c r="BS127" i="68"/>
  <c r="BS126" i="68"/>
  <c r="BS125" i="68"/>
  <c r="BS124" i="68"/>
  <c r="BS123" i="68"/>
  <c r="BS122" i="68"/>
  <c r="BS121" i="68"/>
  <c r="BS120" i="68"/>
  <c r="BS119" i="68"/>
  <c r="BS118" i="68"/>
  <c r="BS117" i="68"/>
  <c r="BS116" i="68"/>
  <c r="BS115" i="68"/>
  <c r="BS114" i="68"/>
  <c r="BS113" i="68"/>
  <c r="BS112" i="68"/>
  <c r="BS111" i="68"/>
  <c r="BS110" i="68"/>
  <c r="BS109" i="68"/>
  <c r="BS108" i="68"/>
  <c r="AU136" i="69"/>
  <c r="AU135" i="69"/>
  <c r="AU134" i="69"/>
  <c r="AU133" i="69"/>
  <c r="AU132" i="69"/>
  <c r="AU131" i="69"/>
  <c r="AU130" i="69"/>
  <c r="AU129" i="69"/>
  <c r="AU128" i="69"/>
  <c r="AU127" i="69"/>
  <c r="AU126" i="69"/>
  <c r="AU125" i="69"/>
  <c r="AU124" i="69"/>
  <c r="AU123" i="69"/>
  <c r="AU122" i="69"/>
  <c r="AU121" i="69"/>
  <c r="AU120" i="69"/>
  <c r="AU119" i="69"/>
  <c r="AU118" i="69"/>
  <c r="AU117" i="69"/>
  <c r="AU116" i="69"/>
  <c r="AU115" i="69"/>
  <c r="AU114" i="69"/>
  <c r="AU113" i="69"/>
  <c r="AU112" i="69"/>
  <c r="AU111" i="69"/>
  <c r="AU110" i="69"/>
  <c r="AU109" i="69"/>
  <c r="G8" i="59"/>
  <c r="H8" i="59"/>
  <c r="I8" i="59"/>
  <c r="G9" i="59"/>
  <c r="H9" i="59"/>
  <c r="I9" i="59"/>
  <c r="G10" i="59"/>
  <c r="H10" i="59"/>
  <c r="I10" i="59"/>
  <c r="G11" i="59"/>
  <c r="H11" i="59"/>
  <c r="I11" i="59"/>
  <c r="G12" i="59"/>
  <c r="H12" i="59"/>
  <c r="I12" i="59"/>
  <c r="G13" i="59"/>
  <c r="H13" i="59"/>
  <c r="I13" i="59"/>
  <c r="G14" i="59"/>
  <c r="H14" i="59"/>
  <c r="I14" i="59"/>
  <c r="G15" i="59"/>
  <c r="H15" i="59"/>
  <c r="I15" i="59"/>
  <c r="G16" i="59"/>
  <c r="H16" i="59"/>
  <c r="I16" i="59"/>
  <c r="G17" i="59"/>
  <c r="H17" i="59"/>
  <c r="I17" i="59"/>
  <c r="G18" i="59"/>
  <c r="H18" i="59"/>
  <c r="I18" i="59"/>
  <c r="G19" i="59"/>
  <c r="H19" i="59"/>
  <c r="I19" i="59"/>
  <c r="G20" i="59"/>
  <c r="H20" i="59"/>
  <c r="I20" i="59"/>
  <c r="G21" i="59"/>
  <c r="H21" i="59"/>
  <c r="I21" i="59"/>
  <c r="G8" i="42"/>
  <c r="H8" i="42"/>
  <c r="I8" i="42"/>
  <c r="G9" i="42"/>
  <c r="H9" i="42"/>
  <c r="I9" i="42"/>
  <c r="G10" i="42"/>
  <c r="H10" i="42"/>
  <c r="I10" i="42"/>
  <c r="G11" i="42"/>
  <c r="H11" i="42"/>
  <c r="I11" i="42"/>
  <c r="G12" i="42"/>
  <c r="H12" i="42"/>
  <c r="I12" i="42"/>
  <c r="G14" i="42"/>
  <c r="H14" i="42"/>
  <c r="I14" i="42"/>
  <c r="G15" i="42"/>
  <c r="H15" i="42"/>
  <c r="I15" i="42"/>
  <c r="G16" i="42"/>
  <c r="H16" i="42"/>
  <c r="I16" i="42"/>
  <c r="G17" i="42"/>
  <c r="H17" i="42"/>
  <c r="I17" i="42"/>
  <c r="G18" i="42"/>
  <c r="H18" i="42"/>
  <c r="I18" i="42"/>
  <c r="G19" i="42"/>
  <c r="H19" i="42"/>
  <c r="I19" i="42"/>
  <c r="G20" i="42"/>
  <c r="H20" i="42"/>
  <c r="I20" i="42"/>
  <c r="Q7" i="47"/>
  <c r="G8" i="1"/>
  <c r="H8" i="1"/>
  <c r="I8" i="1"/>
  <c r="G9" i="1"/>
  <c r="H9" i="1"/>
  <c r="I9" i="1"/>
  <c r="G11" i="1"/>
  <c r="H11" i="1"/>
  <c r="I11" i="1"/>
  <c r="G12" i="1"/>
  <c r="H12" i="1"/>
  <c r="I12" i="1"/>
  <c r="G13" i="1"/>
  <c r="H13" i="1"/>
  <c r="I13" i="1"/>
  <c r="G14" i="1"/>
  <c r="H14" i="1"/>
  <c r="I14" i="1"/>
  <c r="G15" i="1"/>
  <c r="H15" i="1"/>
  <c r="I15" i="1"/>
  <c r="G16" i="1"/>
  <c r="H16" i="1"/>
  <c r="I16" i="1"/>
  <c r="G17" i="1"/>
  <c r="H17" i="1"/>
  <c r="I17" i="1"/>
  <c r="G18" i="1"/>
  <c r="H18" i="1"/>
  <c r="I18" i="1"/>
  <c r="G19" i="1"/>
  <c r="H19" i="1"/>
  <c r="I19" i="1"/>
  <c r="G20" i="1"/>
  <c r="H20" i="1"/>
  <c r="I20" i="1"/>
  <c r="G21" i="1"/>
  <c r="H21" i="1"/>
  <c r="I21" i="1"/>
  <c r="G22" i="1"/>
  <c r="H22" i="1"/>
  <c r="I22" i="1"/>
  <c r="G23" i="1"/>
  <c r="H23" i="1"/>
  <c r="I23" i="1"/>
  <c r="G9" i="23"/>
  <c r="H9" i="23"/>
  <c r="I9" i="23"/>
  <c r="G10" i="23"/>
  <c r="H10" i="23"/>
  <c r="I10" i="23"/>
  <c r="G11" i="23"/>
  <c r="H11" i="23"/>
  <c r="I11" i="23"/>
  <c r="G12" i="23"/>
  <c r="H12" i="23"/>
  <c r="I12" i="23"/>
  <c r="G13" i="23"/>
  <c r="H13" i="23"/>
  <c r="I13" i="23"/>
  <c r="G14" i="23"/>
  <c r="H14" i="23"/>
  <c r="I14" i="23"/>
  <c r="G15" i="23"/>
  <c r="H15" i="23"/>
  <c r="I15" i="23"/>
  <c r="G16" i="23"/>
  <c r="H16" i="23"/>
  <c r="I16" i="23"/>
  <c r="G17" i="23"/>
  <c r="H17" i="23"/>
  <c r="I17" i="23"/>
  <c r="G18" i="23"/>
  <c r="H18" i="23"/>
  <c r="I18" i="23"/>
  <c r="G19" i="23"/>
  <c r="H19" i="23"/>
  <c r="I19" i="23"/>
  <c r="G20" i="23"/>
  <c r="H20" i="23"/>
  <c r="I20" i="23"/>
  <c r="G21" i="23"/>
  <c r="H21" i="23"/>
  <c r="I21" i="23"/>
  <c r="G22" i="23"/>
  <c r="H22" i="23"/>
  <c r="I22" i="23"/>
  <c r="G23" i="23"/>
  <c r="H23" i="23"/>
  <c r="I23" i="23"/>
  <c r="G10" i="7"/>
  <c r="H10" i="7"/>
  <c r="I10" i="7"/>
  <c r="G11" i="7"/>
  <c r="H11" i="7"/>
  <c r="I11" i="7"/>
  <c r="G12" i="7"/>
  <c r="H12" i="7"/>
  <c r="I12" i="7"/>
  <c r="G13" i="7"/>
  <c r="H13" i="7"/>
  <c r="I13" i="7"/>
  <c r="G14" i="7"/>
  <c r="H14" i="7"/>
  <c r="I14" i="7"/>
  <c r="G15" i="7"/>
  <c r="H15" i="7"/>
  <c r="I15" i="7"/>
  <c r="G16" i="7"/>
  <c r="H16" i="7"/>
  <c r="I16" i="7"/>
  <c r="G17" i="7"/>
  <c r="H17" i="7"/>
  <c r="I17" i="7"/>
  <c r="G18" i="7"/>
  <c r="H18" i="7"/>
  <c r="I18" i="7"/>
  <c r="G19" i="7"/>
  <c r="H19" i="7"/>
  <c r="I19" i="7"/>
  <c r="G20" i="7"/>
  <c r="H20" i="7"/>
  <c r="I20" i="7"/>
  <c r="G21" i="7"/>
  <c r="H21" i="7"/>
  <c r="I21" i="7"/>
  <c r="G22" i="7"/>
  <c r="H22" i="7"/>
  <c r="I22" i="7"/>
  <c r="G23" i="7"/>
  <c r="H23" i="7"/>
  <c r="I23" i="7"/>
  <c r="G14" i="35"/>
  <c r="H14" i="35"/>
  <c r="I14" i="35"/>
  <c r="G15" i="35"/>
  <c r="H15" i="35"/>
  <c r="I15" i="35"/>
  <c r="G16" i="35"/>
  <c r="H16" i="35"/>
  <c r="I16" i="35"/>
  <c r="G17" i="35"/>
  <c r="H17" i="35"/>
  <c r="I17" i="35"/>
  <c r="G18" i="35"/>
  <c r="H18" i="35"/>
  <c r="I18" i="35"/>
  <c r="G19" i="35"/>
  <c r="H19" i="35"/>
  <c r="I19" i="35"/>
  <c r="G20" i="35"/>
  <c r="H20" i="35"/>
  <c r="I20" i="35"/>
  <c r="G21" i="35"/>
  <c r="H21" i="35"/>
  <c r="I21" i="35"/>
  <c r="G22" i="35"/>
  <c r="H22" i="35"/>
  <c r="I22" i="35"/>
  <c r="G23" i="35"/>
  <c r="H23" i="35"/>
  <c r="I23" i="35"/>
  <c r="G8" i="36"/>
  <c r="H8" i="36"/>
  <c r="I8" i="36"/>
  <c r="G9" i="36"/>
  <c r="H9" i="36"/>
  <c r="I9" i="36"/>
  <c r="G10" i="36"/>
  <c r="H10" i="36"/>
  <c r="I10" i="36"/>
  <c r="G11" i="36"/>
  <c r="H11" i="36"/>
  <c r="I11" i="36"/>
  <c r="G12" i="36"/>
  <c r="H12" i="36"/>
  <c r="I12" i="36"/>
  <c r="G13" i="36"/>
  <c r="H13" i="36"/>
  <c r="I13" i="36"/>
  <c r="G14" i="36"/>
  <c r="H14" i="36"/>
  <c r="I14" i="36"/>
  <c r="G15" i="36"/>
  <c r="H15" i="36"/>
  <c r="I15" i="36"/>
  <c r="G16" i="36"/>
  <c r="H16" i="36"/>
  <c r="I16" i="36"/>
  <c r="G17" i="36"/>
  <c r="H17" i="36"/>
  <c r="I17" i="36"/>
  <c r="G18" i="36"/>
  <c r="H18" i="36"/>
  <c r="I18" i="36"/>
  <c r="G19" i="36"/>
  <c r="H19" i="36"/>
  <c r="I19" i="36"/>
  <c r="G20" i="36"/>
  <c r="H20" i="36"/>
  <c r="I20" i="36"/>
  <c r="G21" i="36"/>
  <c r="H21" i="36"/>
  <c r="I21" i="36"/>
  <c r="G22" i="36"/>
  <c r="H22" i="36"/>
  <c r="I22" i="36"/>
  <c r="G23" i="36"/>
  <c r="H23" i="36"/>
  <c r="I23" i="36"/>
  <c r="G24" i="36"/>
  <c r="H24" i="36"/>
  <c r="I24" i="36"/>
  <c r="G8" i="38"/>
  <c r="H8" i="38"/>
  <c r="I8" i="38"/>
  <c r="G9" i="38"/>
  <c r="H9" i="38"/>
  <c r="I9" i="38"/>
  <c r="G10" i="38"/>
  <c r="H10" i="38"/>
  <c r="I10" i="38"/>
  <c r="G11" i="38"/>
  <c r="H11" i="38"/>
  <c r="I11" i="38"/>
  <c r="G12" i="38"/>
  <c r="H12" i="38"/>
  <c r="I12" i="38"/>
  <c r="G13" i="38"/>
  <c r="H13" i="38"/>
  <c r="I13" i="38"/>
  <c r="G14" i="38"/>
  <c r="H14" i="38"/>
  <c r="I14" i="38"/>
  <c r="G15" i="38"/>
  <c r="H15" i="38"/>
  <c r="I15" i="38"/>
  <c r="G16" i="38"/>
  <c r="H16" i="38"/>
  <c r="I16" i="38"/>
  <c r="G17" i="38"/>
  <c r="H17" i="38"/>
  <c r="I17" i="38"/>
  <c r="G18" i="38"/>
  <c r="H18" i="38"/>
  <c r="I18" i="38"/>
  <c r="G19" i="38"/>
  <c r="H19" i="38"/>
  <c r="I19" i="38"/>
  <c r="G20" i="38"/>
  <c r="H20" i="38"/>
  <c r="I20" i="38"/>
  <c r="G21" i="38"/>
  <c r="H21" i="38"/>
  <c r="I21" i="38"/>
  <c r="G22" i="38"/>
  <c r="H22" i="38"/>
  <c r="I22" i="38"/>
  <c r="G23" i="38"/>
  <c r="H23" i="38"/>
  <c r="I23" i="38"/>
  <c r="G8" i="39"/>
  <c r="H8" i="39"/>
  <c r="I8" i="39"/>
  <c r="G9" i="39"/>
  <c r="H9" i="39"/>
  <c r="I9" i="39"/>
  <c r="G10" i="39"/>
  <c r="H10" i="39"/>
  <c r="I10" i="39"/>
  <c r="G11" i="39"/>
  <c r="H11" i="39"/>
  <c r="I11" i="39"/>
  <c r="G12" i="39"/>
  <c r="H12" i="39"/>
  <c r="I12" i="39"/>
  <c r="G13" i="39"/>
  <c r="H13" i="39"/>
  <c r="I13" i="39"/>
  <c r="G14" i="39"/>
  <c r="H14" i="39"/>
  <c r="I14" i="39"/>
  <c r="G15" i="39"/>
  <c r="H15" i="39"/>
  <c r="I15" i="39"/>
  <c r="G16" i="39"/>
  <c r="H16" i="39"/>
  <c r="I16" i="39"/>
  <c r="G17" i="39"/>
  <c r="H17" i="39"/>
  <c r="I17" i="39"/>
  <c r="G18" i="39"/>
  <c r="H18" i="39"/>
  <c r="I18" i="39"/>
  <c r="G19" i="39"/>
  <c r="H19" i="39"/>
  <c r="I19" i="39"/>
  <c r="G20" i="39"/>
  <c r="H20" i="39"/>
  <c r="I20" i="39"/>
  <c r="G21" i="39"/>
  <c r="H21" i="39"/>
  <c r="I21" i="39"/>
  <c r="G22" i="39"/>
  <c r="H22" i="39"/>
  <c r="I22" i="39"/>
  <c r="G23" i="39"/>
  <c r="H23" i="39"/>
  <c r="I23" i="39"/>
  <c r="G22" i="66"/>
  <c r="H22" i="66"/>
  <c r="I22" i="66"/>
  <c r="G23" i="66"/>
  <c r="H23" i="66"/>
  <c r="I23" i="66"/>
  <c r="G22" i="67"/>
  <c r="H22" i="67"/>
  <c r="I22" i="67"/>
  <c r="G23" i="67"/>
  <c r="H23" i="67"/>
  <c r="I23" i="67"/>
  <c r="G8" i="43"/>
  <c r="H8" i="43"/>
  <c r="I8" i="43"/>
  <c r="G9" i="43"/>
  <c r="H9" i="43"/>
  <c r="I9" i="43"/>
  <c r="G10" i="43"/>
  <c r="H10" i="43"/>
  <c r="I10" i="43"/>
  <c r="G11" i="43"/>
  <c r="H11" i="43"/>
  <c r="I11" i="43"/>
  <c r="G12" i="43"/>
  <c r="H12" i="43"/>
  <c r="I12" i="43"/>
  <c r="G13" i="43"/>
  <c r="H13" i="43"/>
  <c r="I13" i="43"/>
  <c r="G14" i="43"/>
  <c r="H14" i="43"/>
  <c r="I14" i="43"/>
  <c r="G15" i="43"/>
  <c r="H15" i="43"/>
  <c r="I15" i="43"/>
  <c r="G16" i="43"/>
  <c r="H16" i="43"/>
  <c r="I16" i="43"/>
  <c r="G17" i="43"/>
  <c r="H17" i="43"/>
  <c r="I17" i="43"/>
  <c r="G18" i="43"/>
  <c r="H18" i="43"/>
  <c r="I18" i="43"/>
  <c r="G19" i="43"/>
  <c r="H19" i="43"/>
  <c r="I19" i="43"/>
  <c r="G20" i="43"/>
  <c r="H20" i="43"/>
  <c r="I20" i="43"/>
  <c r="G21" i="43"/>
  <c r="H21" i="43"/>
  <c r="I21" i="43"/>
  <c r="G22" i="43"/>
  <c r="H22" i="43"/>
  <c r="I22" i="43"/>
  <c r="G23" i="43"/>
  <c r="H23" i="43"/>
  <c r="I23" i="43"/>
  <c r="G24" i="43"/>
  <c r="H24" i="43"/>
  <c r="I24" i="43"/>
  <c r="G25" i="43"/>
  <c r="H25" i="43"/>
  <c r="I25" i="43"/>
  <c r="G26" i="43"/>
  <c r="H26" i="43"/>
  <c r="I26" i="43"/>
  <c r="C23" i="88"/>
  <c r="C24" i="88" s="1"/>
  <c r="C25" i="88" s="1"/>
  <c r="C26" i="88" s="1"/>
  <c r="C27" i="88" s="1"/>
  <c r="C28" i="88" s="1"/>
  <c r="C29" i="88" s="1"/>
  <c r="C30" i="88" s="1"/>
  <c r="C31" i="88" s="1"/>
  <c r="C32" i="88" s="1"/>
  <c r="R7" i="45"/>
  <c r="J18" i="45"/>
  <c r="J19" i="45"/>
  <c r="J20" i="45"/>
  <c r="J21" i="45"/>
  <c r="J22" i="45"/>
  <c r="I8" i="45"/>
  <c r="I9" i="45"/>
  <c r="I10" i="45"/>
  <c r="I11" i="45"/>
  <c r="I12" i="45"/>
  <c r="I13" i="45"/>
  <c r="I14" i="45"/>
  <c r="I15" i="45"/>
  <c r="I16" i="45"/>
  <c r="I17" i="45"/>
  <c r="I18" i="45"/>
  <c r="I19" i="45"/>
  <c r="I20" i="45"/>
  <c r="I21" i="45"/>
  <c r="I22" i="45"/>
  <c r="I23" i="45"/>
  <c r="I24" i="45"/>
  <c r="H20" i="45"/>
  <c r="H21" i="45"/>
  <c r="H22" i="45"/>
  <c r="H23" i="45"/>
  <c r="H24" i="45"/>
  <c r="H8" i="45"/>
  <c r="H9" i="45"/>
  <c r="H10" i="45"/>
  <c r="H11" i="45"/>
  <c r="H12" i="45"/>
  <c r="H13" i="45"/>
  <c r="H14" i="45"/>
  <c r="H15" i="45"/>
  <c r="H16" i="45"/>
  <c r="H17" i="45"/>
  <c r="H18" i="45"/>
  <c r="H19" i="45"/>
  <c r="Q7" i="46"/>
  <c r="M23" i="46"/>
  <c r="M24" i="46"/>
  <c r="M25" i="46"/>
  <c r="J28" i="46"/>
  <c r="J29" i="46"/>
  <c r="J30" i="46"/>
  <c r="J31" i="46"/>
  <c r="J32" i="46"/>
  <c r="J33" i="46"/>
  <c r="J34" i="46"/>
  <c r="J35" i="46"/>
  <c r="J36" i="46"/>
  <c r="J37" i="46"/>
  <c r="J38" i="46"/>
  <c r="J39" i="46"/>
  <c r="J40" i="46"/>
  <c r="J41" i="46"/>
  <c r="J42" i="46"/>
  <c r="J8" i="46"/>
  <c r="J9" i="46"/>
  <c r="J10" i="46"/>
  <c r="J11" i="46"/>
  <c r="J12" i="46"/>
  <c r="J13" i="46"/>
  <c r="J14" i="46"/>
  <c r="J15" i="46"/>
  <c r="J16" i="46"/>
  <c r="J17" i="46"/>
  <c r="J18" i="46"/>
  <c r="J19" i="46"/>
  <c r="J20" i="46"/>
  <c r="J21" i="46"/>
  <c r="J22" i="46"/>
  <c r="J23" i="46"/>
  <c r="J24" i="46"/>
  <c r="J25" i="46"/>
  <c r="J26" i="46"/>
  <c r="J27" i="46"/>
  <c r="I9" i="46"/>
  <c r="I10" i="46"/>
  <c r="R10" i="46" s="1"/>
  <c r="I11" i="46"/>
  <c r="R11" i="46" s="1"/>
  <c r="I12" i="46"/>
  <c r="R12" i="46" s="1"/>
  <c r="I13" i="46"/>
  <c r="I14" i="46"/>
  <c r="R14" i="46" s="1"/>
  <c r="I15" i="46"/>
  <c r="R15" i="46"/>
  <c r="I16" i="46"/>
  <c r="R16" i="46" s="1"/>
  <c r="I17" i="46"/>
  <c r="I18" i="46"/>
  <c r="R18" i="46" s="1"/>
  <c r="I19" i="46"/>
  <c r="R19" i="46" s="1"/>
  <c r="I20" i="46"/>
  <c r="R20" i="46" s="1"/>
  <c r="I21" i="46"/>
  <c r="I22" i="46"/>
  <c r="R22" i="46"/>
  <c r="I23" i="46"/>
  <c r="R23" i="46" s="1"/>
  <c r="I24" i="46"/>
  <c r="R24" i="46" s="1"/>
  <c r="I25" i="46"/>
  <c r="I26" i="46"/>
  <c r="R26" i="46" s="1"/>
  <c r="I27" i="46"/>
  <c r="R27" i="46" s="1"/>
  <c r="I8" i="46"/>
  <c r="R13" i="46"/>
  <c r="H23" i="46"/>
  <c r="H18" i="46"/>
  <c r="H19" i="46"/>
  <c r="H20" i="46"/>
  <c r="H21" i="46"/>
  <c r="H22" i="46"/>
  <c r="H11" i="46"/>
  <c r="H12" i="46"/>
  <c r="H13" i="46"/>
  <c r="H14" i="46"/>
  <c r="H15" i="46"/>
  <c r="H16" i="46"/>
  <c r="H17" i="46"/>
  <c r="H10" i="46"/>
  <c r="H8" i="46"/>
  <c r="H9" i="46"/>
  <c r="J25" i="48"/>
  <c r="I25" i="48"/>
  <c r="H25" i="48"/>
  <c r="J24" i="48"/>
  <c r="I24" i="48"/>
  <c r="H24" i="48"/>
  <c r="J23" i="48"/>
  <c r="I23" i="48"/>
  <c r="H23" i="48"/>
  <c r="J22" i="48"/>
  <c r="I22" i="48"/>
  <c r="H22" i="48"/>
  <c r="J20" i="48"/>
  <c r="I20" i="48"/>
  <c r="H20" i="48"/>
  <c r="J19" i="48"/>
  <c r="I19" i="48"/>
  <c r="H19" i="48"/>
  <c r="J18" i="48"/>
  <c r="I18" i="48"/>
  <c r="H18" i="48"/>
  <c r="J17" i="48"/>
  <c r="I17" i="48"/>
  <c r="H17" i="48"/>
  <c r="J16" i="48"/>
  <c r="I16" i="48"/>
  <c r="H16" i="48"/>
  <c r="J15" i="48"/>
  <c r="I15" i="48"/>
  <c r="H15" i="48"/>
  <c r="J14" i="48"/>
  <c r="I14" i="48"/>
  <c r="H14" i="48"/>
  <c r="J13" i="48"/>
  <c r="I13" i="48"/>
  <c r="H13" i="48"/>
  <c r="J12" i="48"/>
  <c r="I12" i="48"/>
  <c r="H12" i="48"/>
  <c r="J11" i="48"/>
  <c r="I11" i="48"/>
  <c r="H11" i="48"/>
  <c r="J10" i="48"/>
  <c r="I10" i="48"/>
  <c r="H10" i="48"/>
  <c r="J9" i="48"/>
  <c r="I9" i="48"/>
  <c r="H9" i="48"/>
  <c r="J8" i="48"/>
  <c r="I8" i="48"/>
  <c r="H8" i="48"/>
  <c r="J8" i="47"/>
  <c r="J10" i="47"/>
  <c r="J11" i="47"/>
  <c r="J12" i="47"/>
  <c r="J13" i="47"/>
  <c r="J14" i="47"/>
  <c r="J15" i="47"/>
  <c r="J16" i="47"/>
  <c r="J17" i="47"/>
  <c r="J18" i="47"/>
  <c r="J19" i="47"/>
  <c r="J20" i="47"/>
  <c r="J21" i="47"/>
  <c r="J22" i="47"/>
  <c r="J23" i="47"/>
  <c r="J24" i="47"/>
  <c r="J25" i="47"/>
  <c r="J26" i="47"/>
  <c r="I8" i="47"/>
  <c r="I9" i="47"/>
  <c r="I10" i="47"/>
  <c r="I11" i="47"/>
  <c r="I12" i="47"/>
  <c r="I13" i="47"/>
  <c r="I14" i="47"/>
  <c r="I15" i="47"/>
  <c r="I16" i="47"/>
  <c r="I17" i="47"/>
  <c r="I18" i="47"/>
  <c r="I19" i="47"/>
  <c r="I20" i="47"/>
  <c r="I21" i="47"/>
  <c r="I22" i="47"/>
  <c r="I23" i="47"/>
  <c r="H8" i="47"/>
  <c r="H9" i="47"/>
  <c r="H10" i="47"/>
  <c r="H11" i="47"/>
  <c r="H12" i="47"/>
  <c r="H13" i="47"/>
  <c r="H14" i="47"/>
  <c r="H15" i="47"/>
  <c r="H16" i="47"/>
  <c r="H17" i="47"/>
  <c r="H18" i="47"/>
  <c r="H19" i="47"/>
  <c r="H20" i="47"/>
  <c r="H21" i="47"/>
  <c r="H22" i="47"/>
  <c r="H23" i="47"/>
  <c r="J21" i="48"/>
  <c r="I21" i="48"/>
  <c r="H21" i="48"/>
  <c r="R17" i="46"/>
  <c r="S17" i="46"/>
  <c r="S18" i="46"/>
  <c r="S19" i="46"/>
  <c r="S20" i="46"/>
  <c r="R21" i="46"/>
  <c r="S21" i="46"/>
  <c r="S22" i="46"/>
  <c r="S23" i="46"/>
  <c r="S24" i="46"/>
  <c r="S25" i="46"/>
  <c r="R20" i="45"/>
  <c r="S20" i="45"/>
  <c r="R21" i="45"/>
  <c r="S21" i="45"/>
  <c r="S22" i="45"/>
  <c r="S23" i="45"/>
  <c r="S24" i="45"/>
  <c r="I26" i="48"/>
  <c r="I26" i="86"/>
  <c r="H25" i="23"/>
  <c r="AB9" i="47"/>
  <c r="AC9" i="47"/>
  <c r="AB10" i="47"/>
  <c r="AC10" i="47"/>
  <c r="AB11" i="47"/>
  <c r="AC11" i="47"/>
  <c r="AB12" i="47"/>
  <c r="AB13" i="47"/>
  <c r="AC13" i="47"/>
  <c r="AC14" i="47"/>
  <c r="AC15" i="47"/>
  <c r="AC16" i="47"/>
  <c r="AC17" i="47"/>
  <c r="AB18" i="47"/>
  <c r="AC18" i="47"/>
  <c r="AC8" i="47"/>
  <c r="AB8" i="47"/>
  <c r="A96" i="56"/>
  <c r="A97" i="56"/>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J42" i="63"/>
  <c r="N42" i="63"/>
  <c r="J42" i="74"/>
  <c r="N42" i="74"/>
  <c r="R42" i="74"/>
  <c r="J42" i="75"/>
  <c r="N42" i="75"/>
  <c r="R42" i="75"/>
  <c r="G42" i="44"/>
  <c r="H42" i="44"/>
  <c r="I42" i="44"/>
  <c r="CM8" i="68"/>
  <c r="CM61" i="68" s="1"/>
  <c r="CN8" i="68"/>
  <c r="CN61" i="68" s="1"/>
  <c r="CO8" i="68"/>
  <c r="CO61" i="68" s="1"/>
  <c r="CP8" i="68"/>
  <c r="CP61" i="68" s="1"/>
  <c r="CQ8" i="68"/>
  <c r="CQ61" i="68" s="1"/>
  <c r="CS8" i="68"/>
  <c r="CS61" i="68" s="1"/>
  <c r="CM9" i="68"/>
  <c r="CM62" i="68" s="1"/>
  <c r="CN9" i="68"/>
  <c r="CN62" i="68" s="1"/>
  <c r="CO9" i="68"/>
  <c r="CO62" i="68" s="1"/>
  <c r="CO111" i="68" s="1"/>
  <c r="CP9" i="68"/>
  <c r="CP62" i="68" s="1"/>
  <c r="CQ9" i="68"/>
  <c r="CQ62" i="68"/>
  <c r="CS9" i="68"/>
  <c r="CS62" i="68" s="1"/>
  <c r="CS111" i="68" s="1"/>
  <c r="CM10" i="68"/>
  <c r="CM63" i="68"/>
  <c r="CM112" i="68" s="1"/>
  <c r="CN10" i="68"/>
  <c r="CN63" i="68" s="1"/>
  <c r="CO10" i="68"/>
  <c r="CO63" i="68" s="1"/>
  <c r="CP10" i="68"/>
  <c r="CP63" i="68" s="1"/>
  <c r="CQ10" i="68"/>
  <c r="CQ63" i="68" s="1"/>
  <c r="CQ112" i="68" s="1"/>
  <c r="CS10" i="68"/>
  <c r="CS63" i="68" s="1"/>
  <c r="CS7" i="68"/>
  <c r="CS60" i="68" s="1"/>
  <c r="CQ7" i="68"/>
  <c r="CQ60" i="68" s="1"/>
  <c r="CP7" i="68"/>
  <c r="CP60" i="68" s="1"/>
  <c r="CO7" i="68"/>
  <c r="CO60" i="68" s="1"/>
  <c r="CN7" i="68"/>
  <c r="CN60" i="68" s="1"/>
  <c r="CM7" i="68"/>
  <c r="CM60" i="68" s="1"/>
  <c r="CS6" i="68"/>
  <c r="CS59" i="68" s="1"/>
  <c r="CQ6" i="68"/>
  <c r="CQ59" i="68" s="1"/>
  <c r="CP6" i="68"/>
  <c r="CP59" i="68" s="1"/>
  <c r="CO6" i="68"/>
  <c r="CO59" i="68" s="1"/>
  <c r="CN6" i="68"/>
  <c r="CN59" i="68" s="1"/>
  <c r="CM6" i="68"/>
  <c r="CM59" i="68" s="1"/>
  <c r="CS5" i="68"/>
  <c r="CS58" i="68" s="1"/>
  <c r="CQ5" i="68"/>
  <c r="CQ58" i="68" s="1"/>
  <c r="CP5" i="68"/>
  <c r="CP58" i="68" s="1"/>
  <c r="CO5" i="68"/>
  <c r="CO58" i="68" s="1"/>
  <c r="CN5" i="68"/>
  <c r="CN58" i="68" s="1"/>
  <c r="CM5" i="68"/>
  <c r="CM58" i="68" s="1"/>
  <c r="CS4" i="68"/>
  <c r="CS57" i="68" s="1"/>
  <c r="CQ4" i="68"/>
  <c r="CQ57" i="68" s="1"/>
  <c r="CP4" i="68"/>
  <c r="CP57" i="68" s="1"/>
  <c r="CO4" i="68"/>
  <c r="CO57" i="68" s="1"/>
  <c r="CN4" i="68"/>
  <c r="CN57" i="68" s="1"/>
  <c r="CM4" i="68"/>
  <c r="CM57" i="68" s="1"/>
  <c r="BD5" i="68"/>
  <c r="BE5" i="68"/>
  <c r="BE58" i="68" s="1"/>
  <c r="BF5" i="68"/>
  <c r="BF58" i="68"/>
  <c r="BG5" i="68"/>
  <c r="BG58" i="68" s="1"/>
  <c r="BH5" i="68"/>
  <c r="BH58" i="68"/>
  <c r="BJ5" i="68"/>
  <c r="BJ58" i="68" s="1"/>
  <c r="BJ108" i="68" s="1"/>
  <c r="BD6" i="68"/>
  <c r="BD59" i="68"/>
  <c r="BE6" i="68"/>
  <c r="BE59" i="68" s="1"/>
  <c r="BF6" i="68"/>
  <c r="BF59" i="68"/>
  <c r="BG6" i="68"/>
  <c r="BG59" i="68" s="1"/>
  <c r="BG108" i="68" s="1"/>
  <c r="BH6" i="68"/>
  <c r="BH59" i="68"/>
  <c r="BH108" i="68" s="1"/>
  <c r="BJ6" i="68"/>
  <c r="BJ59" i="68" s="1"/>
  <c r="BD7" i="68"/>
  <c r="BD60" i="68" s="1"/>
  <c r="BE7" i="68"/>
  <c r="BE60" i="68" s="1"/>
  <c r="BF7" i="68"/>
  <c r="BF60" i="68" s="1"/>
  <c r="BF109" i="68" s="1"/>
  <c r="BG7" i="68"/>
  <c r="BG60" i="68" s="1"/>
  <c r="BH7" i="68"/>
  <c r="BH60" i="68"/>
  <c r="BJ7" i="68"/>
  <c r="BJ60" i="68" s="1"/>
  <c r="BJ109" i="68" s="1"/>
  <c r="BD8" i="68"/>
  <c r="BD61" i="68"/>
  <c r="BD110" i="68" s="1"/>
  <c r="BE8" i="68"/>
  <c r="BE61" i="68" s="1"/>
  <c r="BF8" i="68"/>
  <c r="BF61" i="68" s="1"/>
  <c r="BG8" i="68"/>
  <c r="BG61" i="68" s="1"/>
  <c r="BH8" i="68"/>
  <c r="BH61" i="68" s="1"/>
  <c r="BH110" i="68" s="1"/>
  <c r="BJ8" i="68"/>
  <c r="BJ61" i="68" s="1"/>
  <c r="BJ110" i="68" s="1"/>
  <c r="BD9" i="68"/>
  <c r="BE9" i="68"/>
  <c r="BE62" i="68" s="1"/>
  <c r="BF9" i="68"/>
  <c r="BF62" i="68" s="1"/>
  <c r="BF111" i="68" s="1"/>
  <c r="BG9" i="68"/>
  <c r="BG62" i="68" s="1"/>
  <c r="BG111" i="68" s="1"/>
  <c r="BH9" i="68"/>
  <c r="BH62" i="68"/>
  <c r="BJ9" i="68"/>
  <c r="BJ62" i="68" s="1"/>
  <c r="BD10" i="68"/>
  <c r="BD63" i="68"/>
  <c r="BE10" i="68"/>
  <c r="BE63" i="68" s="1"/>
  <c r="BF10" i="68"/>
  <c r="BF63" i="68"/>
  <c r="BF113" i="68" s="1"/>
  <c r="BG10" i="68"/>
  <c r="BG63" i="68" s="1"/>
  <c r="BH10" i="68"/>
  <c r="BH63" i="68"/>
  <c r="BH112" i="68" s="1"/>
  <c r="BJ10" i="68"/>
  <c r="BJ63" i="68" s="1"/>
  <c r="BH114" i="68"/>
  <c r="BF115" i="68"/>
  <c r="BH116" i="68"/>
  <c r="BF117" i="68"/>
  <c r="BH118" i="68"/>
  <c r="BF119" i="68"/>
  <c r="BD120" i="68"/>
  <c r="BH120" i="68"/>
  <c r="BF121" i="68"/>
  <c r="BH122" i="68"/>
  <c r="BJ4" i="68"/>
  <c r="BJ57" i="68" s="1"/>
  <c r="BH4" i="68"/>
  <c r="BH57" i="68"/>
  <c r="BG4" i="68"/>
  <c r="BG57" i="68" s="1"/>
  <c r="BF4" i="68"/>
  <c r="BF57" i="68"/>
  <c r="BE4" i="68"/>
  <c r="BE57" i="68" s="1"/>
  <c r="BD4" i="68"/>
  <c r="BD57" i="68"/>
  <c r="W5" i="68"/>
  <c r="W58" i="68" s="1"/>
  <c r="X58" i="68"/>
  <c r="Y5" i="68"/>
  <c r="Y58" i="68" s="1"/>
  <c r="AA5" i="68"/>
  <c r="AA58" i="68" s="1"/>
  <c r="W6" i="68"/>
  <c r="W59" i="68" s="1"/>
  <c r="X59" i="68"/>
  <c r="X108" i="68"/>
  <c r="Y6" i="68"/>
  <c r="Y59" i="68" s="1"/>
  <c r="AA6" i="68"/>
  <c r="AA59" i="68" s="1"/>
  <c r="AA108" i="68" s="1"/>
  <c r="W7" i="68"/>
  <c r="W60" i="68" s="1"/>
  <c r="X60" i="68"/>
  <c r="Y7" i="68"/>
  <c r="Y60" i="68" s="1"/>
  <c r="AA7" i="68"/>
  <c r="AA60" i="68" s="1"/>
  <c r="W8" i="68"/>
  <c r="W61" i="68" s="1"/>
  <c r="X61" i="68"/>
  <c r="X110" i="68"/>
  <c r="Y8" i="68"/>
  <c r="Y61" i="68" s="1"/>
  <c r="AA8" i="68"/>
  <c r="AA61" i="68" s="1"/>
  <c r="W9" i="68"/>
  <c r="W62" i="68" s="1"/>
  <c r="X62" i="68"/>
  <c r="Y9" i="68"/>
  <c r="Y62" i="68" s="1"/>
  <c r="AA9" i="68"/>
  <c r="AA62" i="68" s="1"/>
  <c r="W10" i="68"/>
  <c r="W63" i="68" s="1"/>
  <c r="X63" i="68"/>
  <c r="X112" i="68"/>
  <c r="Y10" i="68"/>
  <c r="Y63" i="68" s="1"/>
  <c r="AA10" i="68"/>
  <c r="AA63" i="68" s="1"/>
  <c r="X113" i="68"/>
  <c r="W114" i="68"/>
  <c r="X114" i="68"/>
  <c r="Y114" i="68"/>
  <c r="AA114" i="68"/>
  <c r="W115" i="68"/>
  <c r="X115" i="68"/>
  <c r="Y115" i="68"/>
  <c r="AA115" i="68"/>
  <c r="W116" i="68"/>
  <c r="X116" i="68"/>
  <c r="Y116" i="68"/>
  <c r="AA116" i="68"/>
  <c r="X117" i="68"/>
  <c r="Y117" i="68"/>
  <c r="W118" i="68"/>
  <c r="X118" i="68"/>
  <c r="Y118" i="68"/>
  <c r="AA118" i="68"/>
  <c r="W119" i="68"/>
  <c r="X119" i="68"/>
  <c r="Y119" i="68"/>
  <c r="AA119" i="68"/>
  <c r="W120" i="68"/>
  <c r="X120" i="68"/>
  <c r="Y120" i="68"/>
  <c r="AA120" i="68"/>
  <c r="W121" i="68"/>
  <c r="X121" i="68"/>
  <c r="Y121" i="68"/>
  <c r="AA121" i="68"/>
  <c r="W122" i="68"/>
  <c r="X122" i="68"/>
  <c r="Y122" i="68"/>
  <c r="AA122" i="68"/>
  <c r="AA4" i="68"/>
  <c r="AA57" i="68"/>
  <c r="Y4" i="68"/>
  <c r="Y57" i="68" s="1"/>
  <c r="X57" i="68"/>
  <c r="W4" i="68"/>
  <c r="W57" i="68" s="1"/>
  <c r="V5" i="68"/>
  <c r="V58" i="68" s="1"/>
  <c r="V6" i="68"/>
  <c r="V59" i="68" s="1"/>
  <c r="V7" i="68"/>
  <c r="V60" i="68" s="1"/>
  <c r="V8" i="68"/>
  <c r="V61" i="68" s="1"/>
  <c r="V9" i="68"/>
  <c r="V62" i="68" s="1"/>
  <c r="V10" i="68"/>
  <c r="V63" i="68" s="1"/>
  <c r="V114" i="68"/>
  <c r="V118" i="68"/>
  <c r="V122" i="68"/>
  <c r="V4" i="68"/>
  <c r="V57" i="68"/>
  <c r="U5" i="68"/>
  <c r="U58" i="68" s="1"/>
  <c r="U108" i="68" s="1"/>
  <c r="U6" i="68"/>
  <c r="U59" i="68"/>
  <c r="U7" i="68"/>
  <c r="U60" i="68" s="1"/>
  <c r="U8" i="68"/>
  <c r="U61" i="68" s="1"/>
  <c r="U9" i="68"/>
  <c r="U62" i="68" s="1"/>
  <c r="U10" i="68"/>
  <c r="U63" i="68" s="1"/>
  <c r="U113" i="68" s="1"/>
  <c r="U117" i="68"/>
  <c r="U121" i="68"/>
  <c r="U4" i="68"/>
  <c r="U57" i="68"/>
  <c r="BG5" i="69"/>
  <c r="BG58" i="69" s="1"/>
  <c r="BG109" i="69" s="1"/>
  <c r="BH5" i="69"/>
  <c r="BH58" i="69"/>
  <c r="BI5" i="69"/>
  <c r="BI58" i="69" s="1"/>
  <c r="BJ5" i="69"/>
  <c r="BK5" i="69"/>
  <c r="BK58" i="69" s="1"/>
  <c r="BG6" i="69"/>
  <c r="BG59" i="69" s="1"/>
  <c r="BH6" i="69"/>
  <c r="BH59" i="69" s="1"/>
  <c r="BI6" i="69"/>
  <c r="BJ6" i="69"/>
  <c r="BJ59" i="69" s="1"/>
  <c r="BK6" i="69"/>
  <c r="BK59" i="69"/>
  <c r="BG7" i="69"/>
  <c r="BG60" i="69" s="1"/>
  <c r="BH7" i="69"/>
  <c r="BH60" i="69"/>
  <c r="BI7" i="69"/>
  <c r="BI60" i="69" s="1"/>
  <c r="BJ7" i="69"/>
  <c r="BJ60" i="69"/>
  <c r="BK7" i="69"/>
  <c r="BK60" i="69" s="1"/>
  <c r="BG8" i="69"/>
  <c r="BG61" i="69"/>
  <c r="BH8" i="69"/>
  <c r="BH61" i="69" s="1"/>
  <c r="BI8" i="69"/>
  <c r="BI61" i="69"/>
  <c r="BJ8" i="69"/>
  <c r="BJ61" i="69" s="1"/>
  <c r="BK8" i="69"/>
  <c r="BG9" i="69"/>
  <c r="BG62" i="69" s="1"/>
  <c r="BH9" i="69"/>
  <c r="BH62" i="69" s="1"/>
  <c r="BI9" i="69"/>
  <c r="BJ9" i="69"/>
  <c r="BJ62" i="69"/>
  <c r="BK9" i="69"/>
  <c r="BK62" i="69" s="1"/>
  <c r="BK112" i="69" s="1"/>
  <c r="BG10" i="69"/>
  <c r="BG63" i="69"/>
  <c r="BH10" i="69"/>
  <c r="BH63" i="69" s="1"/>
  <c r="BI10" i="69"/>
  <c r="BI63" i="69"/>
  <c r="BJ10" i="69"/>
  <c r="BJ63" i="69" s="1"/>
  <c r="BK10" i="69"/>
  <c r="BK4" i="69"/>
  <c r="BK57" i="69" s="1"/>
  <c r="BJ4" i="69"/>
  <c r="BJ57" i="69" s="1"/>
  <c r="BI4" i="69"/>
  <c r="BI57" i="69" s="1"/>
  <c r="BH4" i="69"/>
  <c r="BH57" i="69" s="1"/>
  <c r="BG4" i="69"/>
  <c r="BG57" i="69" s="1"/>
  <c r="AJ5" i="69"/>
  <c r="AJ58" i="69" s="1"/>
  <c r="AK5" i="69"/>
  <c r="AK58" i="69" s="1"/>
  <c r="AL5" i="69"/>
  <c r="AL58" i="69" s="1"/>
  <c r="AM5" i="69"/>
  <c r="AM58" i="69" s="1"/>
  <c r="AN5" i="69"/>
  <c r="AN58" i="69" s="1"/>
  <c r="AJ6" i="69"/>
  <c r="AJ59" i="69" s="1"/>
  <c r="AK6" i="69"/>
  <c r="AK59" i="69" s="1"/>
  <c r="AL6" i="69"/>
  <c r="AM6" i="69"/>
  <c r="AM59" i="69" s="1"/>
  <c r="AN6" i="69"/>
  <c r="AN59" i="69"/>
  <c r="AJ7" i="69"/>
  <c r="AJ60" i="69" s="1"/>
  <c r="AK7" i="69"/>
  <c r="AK60" i="69"/>
  <c r="AL7" i="69"/>
  <c r="AL60" i="69" s="1"/>
  <c r="AM7" i="69"/>
  <c r="AM60" i="69"/>
  <c r="AN7" i="69"/>
  <c r="AN60" i="69" s="1"/>
  <c r="AJ8" i="69"/>
  <c r="AJ61" i="69"/>
  <c r="AK8" i="69"/>
  <c r="AL8" i="69"/>
  <c r="AL61" i="69" s="1"/>
  <c r="AM8" i="69"/>
  <c r="AM61" i="69" s="1"/>
  <c r="AN8" i="69"/>
  <c r="AN61" i="69" s="1"/>
  <c r="AJ9" i="69"/>
  <c r="AJ62" i="69" s="1"/>
  <c r="AK9" i="69"/>
  <c r="AK62" i="69" s="1"/>
  <c r="AL9" i="69"/>
  <c r="AL62" i="69" s="1"/>
  <c r="AM9" i="69"/>
  <c r="AN9" i="69"/>
  <c r="AN62" i="69" s="1"/>
  <c r="AJ10" i="69"/>
  <c r="AJ63" i="69"/>
  <c r="AK10" i="69"/>
  <c r="AK63" i="69" s="1"/>
  <c r="AL10" i="69"/>
  <c r="AL63" i="69"/>
  <c r="AM10" i="69"/>
  <c r="AM63" i="69" s="1"/>
  <c r="AN10" i="69"/>
  <c r="AN63" i="69"/>
  <c r="AN4" i="69"/>
  <c r="AM4" i="69"/>
  <c r="AM57" i="69" s="1"/>
  <c r="AL4" i="69"/>
  <c r="AL57" i="69" s="1"/>
  <c r="AK4" i="69"/>
  <c r="AK57" i="69" s="1"/>
  <c r="AJ4" i="69"/>
  <c r="AJ57" i="69" s="1"/>
  <c r="Q5" i="69"/>
  <c r="Q6" i="69"/>
  <c r="Q59" i="69"/>
  <c r="Q7" i="69"/>
  <c r="Q8" i="69"/>
  <c r="Q61" i="69" s="1"/>
  <c r="Q9" i="69"/>
  <c r="Q10" i="69"/>
  <c r="Q63" i="69"/>
  <c r="Q123" i="69"/>
  <c r="Q4" i="69"/>
  <c r="Q57" i="69" s="1"/>
  <c r="P5" i="69"/>
  <c r="P58" i="69" s="1"/>
  <c r="P6" i="69"/>
  <c r="P7" i="69"/>
  <c r="P60" i="69" s="1"/>
  <c r="P8" i="69"/>
  <c r="P61" i="69"/>
  <c r="P9" i="69"/>
  <c r="P62" i="69" s="1"/>
  <c r="P10" i="69"/>
  <c r="P63" i="69" s="1"/>
  <c r="P114" i="69" s="1"/>
  <c r="P116" i="69"/>
  <c r="P118" i="69"/>
  <c r="P120" i="69"/>
  <c r="P122" i="69"/>
  <c r="P4" i="69"/>
  <c r="P57" i="69" s="1"/>
  <c r="O5" i="69"/>
  <c r="O58" i="69"/>
  <c r="O6" i="69"/>
  <c r="O59" i="69" s="1"/>
  <c r="O7" i="69"/>
  <c r="O60" i="69" s="1"/>
  <c r="O8" i="69"/>
  <c r="O61" i="69" s="1"/>
  <c r="O111" i="69" s="1"/>
  <c r="O9" i="69"/>
  <c r="O62" i="69" s="1"/>
  <c r="O112" i="69" s="1"/>
  <c r="O10" i="69"/>
  <c r="O63" i="69"/>
  <c r="O115" i="69"/>
  <c r="O117" i="69"/>
  <c r="O119" i="69"/>
  <c r="O121" i="69"/>
  <c r="O123" i="69"/>
  <c r="O4" i="69"/>
  <c r="O57" i="69" s="1"/>
  <c r="N5" i="69"/>
  <c r="N58" i="69"/>
  <c r="N6" i="69"/>
  <c r="N59" i="69" s="1"/>
  <c r="N109" i="69" s="1"/>
  <c r="N7" i="69"/>
  <c r="N60" i="69"/>
  <c r="N8" i="69"/>
  <c r="N61" i="69" s="1"/>
  <c r="N9" i="69"/>
  <c r="N62" i="69" s="1"/>
  <c r="N10" i="69"/>
  <c r="N116" i="69"/>
  <c r="N120" i="69"/>
  <c r="N122" i="69"/>
  <c r="N4" i="69"/>
  <c r="N57" i="69"/>
  <c r="M5" i="69"/>
  <c r="M58" i="69" s="1"/>
  <c r="M6" i="69"/>
  <c r="M59" i="69"/>
  <c r="M7" i="69"/>
  <c r="M60" i="69" s="1"/>
  <c r="M8" i="69"/>
  <c r="M61" i="69" s="1"/>
  <c r="M9" i="69"/>
  <c r="M62" i="69" s="1"/>
  <c r="M10" i="69"/>
  <c r="M63" i="69" s="1"/>
  <c r="M117" i="69"/>
  <c r="M121" i="69"/>
  <c r="M4" i="69"/>
  <c r="M57" i="69"/>
  <c r="G79" i="42"/>
  <c r="G80" i="42"/>
  <c r="G81" i="42"/>
  <c r="G82" i="42"/>
  <c r="J82" i="42" s="1"/>
  <c r="G83" i="42"/>
  <c r="I79" i="42"/>
  <c r="K79" i="42"/>
  <c r="M79" i="42"/>
  <c r="I80" i="42"/>
  <c r="K80" i="42"/>
  <c r="M80" i="42"/>
  <c r="I81" i="42"/>
  <c r="J81" i="42" s="1"/>
  <c r="G30" i="42"/>
  <c r="K81" i="42"/>
  <c r="L81" i="42"/>
  <c r="M81" i="42"/>
  <c r="N81" i="42" s="1"/>
  <c r="I82" i="42"/>
  <c r="K82" i="42"/>
  <c r="L82" i="42" s="1"/>
  <c r="H31" i="42"/>
  <c r="M82" i="42"/>
  <c r="I83" i="42"/>
  <c r="K83" i="42"/>
  <c r="M83" i="42"/>
  <c r="N73" i="42"/>
  <c r="L73" i="42"/>
  <c r="J73" i="42"/>
  <c r="E73" i="42"/>
  <c r="D73" i="42"/>
  <c r="C73" i="42"/>
  <c r="M83" i="61"/>
  <c r="M84" i="61"/>
  <c r="M85" i="61"/>
  <c r="M86" i="61"/>
  <c r="M87" i="61"/>
  <c r="K83" i="61"/>
  <c r="K84" i="61"/>
  <c r="K85" i="61"/>
  <c r="K86" i="61"/>
  <c r="K87" i="61"/>
  <c r="I83" i="61"/>
  <c r="I84" i="61"/>
  <c r="J84" i="61" s="1"/>
  <c r="G84" i="61"/>
  <c r="I85" i="61"/>
  <c r="I86" i="61"/>
  <c r="I87" i="61"/>
  <c r="F77" i="61"/>
  <c r="E77" i="61"/>
  <c r="D77" i="61"/>
  <c r="C77" i="61"/>
  <c r="G87" i="61"/>
  <c r="G86" i="61"/>
  <c r="G85" i="61"/>
  <c r="G83" i="61"/>
  <c r="N77" i="61"/>
  <c r="L77" i="61"/>
  <c r="J77" i="61"/>
  <c r="E83" i="41"/>
  <c r="I83" i="41"/>
  <c r="J83" i="41" s="1"/>
  <c r="E84" i="41"/>
  <c r="E85" i="41"/>
  <c r="E86" i="41"/>
  <c r="E87" i="41"/>
  <c r="K83" i="41"/>
  <c r="K84" i="41"/>
  <c r="L84" i="41" s="1"/>
  <c r="K85" i="41"/>
  <c r="K86" i="41"/>
  <c r="K87" i="41"/>
  <c r="L87" i="41" s="1"/>
  <c r="I82" i="41"/>
  <c r="I84" i="41"/>
  <c r="I85" i="41"/>
  <c r="I86" i="41"/>
  <c r="I87" i="41"/>
  <c r="G83" i="41"/>
  <c r="G84" i="41"/>
  <c r="H84" i="41"/>
  <c r="G85" i="41"/>
  <c r="G86" i="41"/>
  <c r="G87" i="41"/>
  <c r="D77" i="41"/>
  <c r="C77" i="41"/>
  <c r="L77" i="41"/>
  <c r="J77" i="41"/>
  <c r="H77" i="41"/>
  <c r="L79" i="37"/>
  <c r="L80" i="37"/>
  <c r="L81" i="37"/>
  <c r="L82" i="37"/>
  <c r="L83" i="37"/>
  <c r="J79" i="37"/>
  <c r="J80" i="37"/>
  <c r="J81" i="37"/>
  <c r="J82" i="37"/>
  <c r="J83" i="37"/>
  <c r="K83" i="37" s="1"/>
  <c r="F83" i="37"/>
  <c r="M73" i="37"/>
  <c r="K73" i="37"/>
  <c r="I73" i="37"/>
  <c r="H83" i="37"/>
  <c r="H82" i="37"/>
  <c r="H81" i="37"/>
  <c r="H80" i="37"/>
  <c r="H79" i="37"/>
  <c r="H24" i="37"/>
  <c r="F79" i="37"/>
  <c r="F80" i="37"/>
  <c r="F81" i="37"/>
  <c r="F82" i="37"/>
  <c r="I23" i="37"/>
  <c r="H23" i="90"/>
  <c r="C23" i="90"/>
  <c r="C24" i="90" s="1"/>
  <c r="C25" i="90" s="1"/>
  <c r="C26" i="90" s="1"/>
  <c r="C27" i="90" s="1"/>
  <c r="C28" i="90" s="1"/>
  <c r="C29" i="90" s="1"/>
  <c r="C30" i="90" s="1"/>
  <c r="C31" i="90" s="1"/>
  <c r="C32" i="90" s="1"/>
  <c r="C33" i="90" s="1"/>
  <c r="A17" i="90"/>
  <c r="A18" i="90"/>
  <c r="H26" i="4"/>
  <c r="H23" i="89"/>
  <c r="C23" i="89"/>
  <c r="C24" i="89"/>
  <c r="C25" i="89" s="1"/>
  <c r="C26" i="89" s="1"/>
  <c r="C27" i="89" s="1"/>
  <c r="C28" i="89" s="1"/>
  <c r="C29" i="89" s="1"/>
  <c r="C30" i="89" s="1"/>
  <c r="C31" i="89" s="1"/>
  <c r="C32" i="89" s="1"/>
  <c r="A17" i="89"/>
  <c r="A18" i="89" s="1"/>
  <c r="A19" i="89" s="1"/>
  <c r="A20" i="89" s="1"/>
  <c r="A21" i="89" s="1"/>
  <c r="A22" i="89" s="1"/>
  <c r="A23" i="89" s="1"/>
  <c r="A24" i="89" s="1"/>
  <c r="A25" i="89" s="1"/>
  <c r="A26" i="89" s="1"/>
  <c r="A27" i="89" s="1"/>
  <c r="G23" i="81"/>
  <c r="I23" i="81"/>
  <c r="H23" i="81"/>
  <c r="C23" i="81"/>
  <c r="C24" i="81" s="1"/>
  <c r="C25" i="81" s="1"/>
  <c r="C26" i="81" s="1"/>
  <c r="C27" i="81" s="1"/>
  <c r="C28" i="81" s="1"/>
  <c r="C29" i="81" s="1"/>
  <c r="C30" i="81" s="1"/>
  <c r="C31" i="81" s="1"/>
  <c r="C32" i="81" s="1"/>
  <c r="C33" i="81" s="1"/>
  <c r="A17" i="81"/>
  <c r="A18" i="81"/>
  <c r="H23" i="82"/>
  <c r="C23" i="82"/>
  <c r="C24" i="82" s="1"/>
  <c r="C25" i="82" s="1"/>
  <c r="C26" i="82" s="1"/>
  <c r="C27" i="82" s="1"/>
  <c r="C28" i="82" s="1"/>
  <c r="C29" i="82" s="1"/>
  <c r="C30" i="82" s="1"/>
  <c r="C31" i="82" s="1"/>
  <c r="C32" i="82" s="1"/>
  <c r="C33" i="82" s="1"/>
  <c r="A17" i="82"/>
  <c r="A18" i="82"/>
  <c r="A19" i="82" s="1"/>
  <c r="A20" i="82" s="1"/>
  <c r="A21" i="82" s="1"/>
  <c r="A22" i="82" s="1"/>
  <c r="A23" i="82" s="1"/>
  <c r="A24" i="82" s="1"/>
  <c r="A25" i="82" s="1"/>
  <c r="A26" i="82" s="1"/>
  <c r="A27" i="82" s="1"/>
  <c r="A28" i="82" s="1"/>
  <c r="A29" i="82" s="1"/>
  <c r="A30" i="82" s="1"/>
  <c r="A31" i="82" s="1"/>
  <c r="A32" i="82" s="1"/>
  <c r="A33" i="82" s="1"/>
  <c r="A34" i="82" s="1"/>
  <c r="A35" i="82" s="1"/>
  <c r="A36" i="82" s="1"/>
  <c r="A37" i="82" s="1"/>
  <c r="A38" i="82" s="1"/>
  <c r="A39" i="82" s="1"/>
  <c r="A40" i="82" s="1"/>
  <c r="I23" i="83"/>
  <c r="H23" i="83"/>
  <c r="G23" i="83"/>
  <c r="C23" i="83"/>
  <c r="C24" i="83" s="1"/>
  <c r="C25" i="83" s="1"/>
  <c r="C26" i="83" s="1"/>
  <c r="C27" i="83" s="1"/>
  <c r="C28" i="83" s="1"/>
  <c r="C29" i="83" s="1"/>
  <c r="C30" i="83" s="1"/>
  <c r="C31" i="83" s="1"/>
  <c r="C32" i="83" s="1"/>
  <c r="A17" i="83"/>
  <c r="N33" i="84"/>
  <c r="R32" i="84"/>
  <c r="N32" i="84"/>
  <c r="R31" i="84"/>
  <c r="N31" i="84"/>
  <c r="R30" i="84"/>
  <c r="N30" i="84"/>
  <c r="R29" i="84"/>
  <c r="N29" i="84"/>
  <c r="R28" i="84"/>
  <c r="N28" i="84"/>
  <c r="R27" i="84"/>
  <c r="N27" i="84"/>
  <c r="R26" i="84"/>
  <c r="N26" i="84"/>
  <c r="R25" i="84"/>
  <c r="N25" i="84"/>
  <c r="R24" i="84"/>
  <c r="N24" i="84"/>
  <c r="R23" i="84"/>
  <c r="N23" i="84"/>
  <c r="I23" i="84"/>
  <c r="G23" i="84"/>
  <c r="C23" i="84"/>
  <c r="C24" i="84" s="1"/>
  <c r="C25" i="84" s="1"/>
  <c r="C26" i="84" s="1"/>
  <c r="C27" i="84" s="1"/>
  <c r="C28" i="84" s="1"/>
  <c r="C29" i="84" s="1"/>
  <c r="C30" i="84" s="1"/>
  <c r="C31" i="84" s="1"/>
  <c r="C32" i="84" s="1"/>
  <c r="C33" i="84" s="1"/>
  <c r="A17" i="84"/>
  <c r="A18" i="84"/>
  <c r="I23" i="85"/>
  <c r="C23" i="85"/>
  <c r="C24" i="85" s="1"/>
  <c r="C25" i="85" s="1"/>
  <c r="C26" i="85" s="1"/>
  <c r="C27" i="85" s="1"/>
  <c r="C28" i="85" s="1"/>
  <c r="C29" i="85" s="1"/>
  <c r="C30" i="85" s="1"/>
  <c r="C31" i="85" s="1"/>
  <c r="C32" i="85" s="1"/>
  <c r="C33" i="85" s="1"/>
  <c r="A17" i="85"/>
  <c r="A18" i="85"/>
  <c r="H23" i="86"/>
  <c r="G23" i="86"/>
  <c r="C23" i="86"/>
  <c r="C24" i="86"/>
  <c r="C25" i="86" s="1"/>
  <c r="C26" i="86" s="1"/>
  <c r="C27" i="86" s="1"/>
  <c r="C28" i="86" s="1"/>
  <c r="C29" i="86" s="1"/>
  <c r="C30" i="86" s="1"/>
  <c r="C31" i="86" s="1"/>
  <c r="C32" i="86" s="1"/>
  <c r="C33" i="86" s="1"/>
  <c r="C34" i="86" s="1"/>
  <c r="C35" i="86" s="1"/>
  <c r="A17" i="86"/>
  <c r="A18" i="86" s="1"/>
  <c r="A19" i="86" s="1"/>
  <c r="H23" i="87"/>
  <c r="C23" i="87"/>
  <c r="C24" i="87" s="1"/>
  <c r="C25" i="87" s="1"/>
  <c r="C26" i="87" s="1"/>
  <c r="C27" i="87" s="1"/>
  <c r="C28" i="87" s="1"/>
  <c r="C29" i="87" s="1"/>
  <c r="C30" i="87" s="1"/>
  <c r="C31" i="87" s="1"/>
  <c r="C32" i="87" s="1"/>
  <c r="A17" i="87"/>
  <c r="H24" i="88"/>
  <c r="G23" i="88"/>
  <c r="A17" i="88"/>
  <c r="I23" i="80"/>
  <c r="G23" i="80"/>
  <c r="C23" i="80"/>
  <c r="C24" i="80" s="1"/>
  <c r="C25" i="80" s="1"/>
  <c r="C26" i="80" s="1"/>
  <c r="C27" i="80" s="1"/>
  <c r="C28" i="80" s="1"/>
  <c r="C29" i="80" s="1"/>
  <c r="C30" i="80" s="1"/>
  <c r="C31" i="80" s="1"/>
  <c r="C32" i="80" s="1"/>
  <c r="A17" i="80"/>
  <c r="C23" i="75"/>
  <c r="C24" i="75"/>
  <c r="C25" i="75" s="1"/>
  <c r="C26" i="75" s="1"/>
  <c r="C27" i="75" s="1"/>
  <c r="C28" i="75" s="1"/>
  <c r="C29" i="75" s="1"/>
  <c r="C30" i="75" s="1"/>
  <c r="C31" i="75" s="1"/>
  <c r="C32" i="75" s="1"/>
  <c r="C33" i="75" s="1"/>
  <c r="C34" i="75" s="1"/>
  <c r="C35" i="75" s="1"/>
  <c r="C36" i="75" s="1"/>
  <c r="C37" i="75" s="1"/>
  <c r="C38" i="75" s="1"/>
  <c r="C39" i="75" s="1"/>
  <c r="C40" i="75" s="1"/>
  <c r="C41" i="75" s="1"/>
  <c r="C42" i="75" s="1"/>
  <c r="R41" i="75"/>
  <c r="N41" i="75"/>
  <c r="J41" i="75"/>
  <c r="R40" i="75"/>
  <c r="N40" i="75"/>
  <c r="J40" i="75"/>
  <c r="R39" i="75"/>
  <c r="N39" i="75"/>
  <c r="J39" i="75"/>
  <c r="R38" i="75"/>
  <c r="N38" i="75"/>
  <c r="J38" i="75"/>
  <c r="R37" i="75"/>
  <c r="N37" i="75"/>
  <c r="J37" i="75"/>
  <c r="R36" i="75"/>
  <c r="N36" i="75"/>
  <c r="J36" i="75"/>
  <c r="R35" i="75"/>
  <c r="N35" i="75"/>
  <c r="J35" i="75"/>
  <c r="R34" i="75"/>
  <c r="N34" i="75"/>
  <c r="J34" i="75"/>
  <c r="R33" i="75"/>
  <c r="N33" i="75"/>
  <c r="J33" i="75"/>
  <c r="R32" i="75"/>
  <c r="N32" i="75"/>
  <c r="J32" i="75"/>
  <c r="R31" i="75"/>
  <c r="N31" i="75"/>
  <c r="J31" i="75"/>
  <c r="R30" i="75"/>
  <c r="N30" i="75"/>
  <c r="J30" i="75"/>
  <c r="R29" i="75"/>
  <c r="N29" i="75"/>
  <c r="J29" i="75"/>
  <c r="R28" i="75"/>
  <c r="N28" i="75"/>
  <c r="J28" i="75"/>
  <c r="R27" i="75"/>
  <c r="N27" i="75"/>
  <c r="J27" i="75"/>
  <c r="R26" i="75"/>
  <c r="N26" i="75"/>
  <c r="J26" i="75"/>
  <c r="R25" i="75"/>
  <c r="N25" i="75"/>
  <c r="J25" i="75"/>
  <c r="R24" i="75"/>
  <c r="N24" i="75"/>
  <c r="J24" i="75"/>
  <c r="R23" i="75"/>
  <c r="N23" i="75"/>
  <c r="J23" i="75"/>
  <c r="F23" i="75"/>
  <c r="F24" i="75"/>
  <c r="I24" i="75" s="1"/>
  <c r="E23" i="75"/>
  <c r="H23" i="75" s="1"/>
  <c r="D23" i="75"/>
  <c r="D24" i="75" s="1"/>
  <c r="K24" i="75" s="1"/>
  <c r="L24" i="75" s="1"/>
  <c r="A17" i="75"/>
  <c r="A18" i="75" s="1"/>
  <c r="A19" i="75" s="1"/>
  <c r="A20" i="75" s="1"/>
  <c r="A21" i="75" s="1"/>
  <c r="A22" i="75" s="1"/>
  <c r="A23" i="75" s="1"/>
  <c r="A24" i="75" s="1"/>
  <c r="A25" i="75" s="1"/>
  <c r="A26" i="75" s="1"/>
  <c r="A27" i="75" s="1"/>
  <c r="A28" i="75" s="1"/>
  <c r="A29" i="75" s="1"/>
  <c r="A30" i="75" s="1"/>
  <c r="A31" i="75" s="1"/>
  <c r="A32" i="75" s="1"/>
  <c r="A33" i="75" s="1"/>
  <c r="A34" i="75" s="1"/>
  <c r="A35" i="75" s="1"/>
  <c r="A36" i="75" s="1"/>
  <c r="A37" i="75"/>
  <c r="A38" i="75" s="1"/>
  <c r="A39" i="75" s="1"/>
  <c r="A40" i="75" s="1"/>
  <c r="A41" i="75" s="1"/>
  <c r="A42" i="75" s="1"/>
  <c r="A43" i="75" s="1"/>
  <c r="A44" i="75" s="1"/>
  <c r="A45" i="75" s="1"/>
  <c r="A46" i="75" s="1"/>
  <c r="R41" i="74"/>
  <c r="N41" i="74"/>
  <c r="J41" i="74"/>
  <c r="R40" i="74"/>
  <c r="N40" i="74"/>
  <c r="J40" i="74"/>
  <c r="R39" i="74"/>
  <c r="N39" i="74"/>
  <c r="J39" i="74"/>
  <c r="R38" i="74"/>
  <c r="N38" i="74"/>
  <c r="J38" i="74"/>
  <c r="R37" i="74"/>
  <c r="N37" i="74"/>
  <c r="J37" i="74"/>
  <c r="R36" i="74"/>
  <c r="N36" i="74"/>
  <c r="J36" i="74"/>
  <c r="R35" i="74"/>
  <c r="N35" i="74"/>
  <c r="J35" i="74"/>
  <c r="R34" i="74"/>
  <c r="N34" i="74"/>
  <c r="J34" i="74"/>
  <c r="R33" i="74"/>
  <c r="N33" i="74"/>
  <c r="J33" i="74"/>
  <c r="R32" i="74"/>
  <c r="N32" i="74"/>
  <c r="J32" i="74"/>
  <c r="R31" i="74"/>
  <c r="N31" i="74"/>
  <c r="J31" i="74"/>
  <c r="R30" i="74"/>
  <c r="N30" i="74"/>
  <c r="J30" i="74"/>
  <c r="R29" i="74"/>
  <c r="N29" i="74"/>
  <c r="J29" i="74"/>
  <c r="R28" i="74"/>
  <c r="N28" i="74"/>
  <c r="J28" i="74"/>
  <c r="R27" i="74"/>
  <c r="N27" i="74"/>
  <c r="J27" i="74"/>
  <c r="R26" i="74"/>
  <c r="N26" i="74"/>
  <c r="J26" i="74"/>
  <c r="R25" i="74"/>
  <c r="N25" i="74"/>
  <c r="J25" i="74"/>
  <c r="R24" i="74"/>
  <c r="N24" i="74"/>
  <c r="J24" i="74"/>
  <c r="R23" i="74"/>
  <c r="N23" i="74"/>
  <c r="J23" i="74"/>
  <c r="E23" i="74"/>
  <c r="E24" i="74" s="1"/>
  <c r="D23" i="74"/>
  <c r="D24" i="74" s="1"/>
  <c r="R22" i="74"/>
  <c r="O22" i="74"/>
  <c r="N22" i="74"/>
  <c r="K22" i="74"/>
  <c r="L22" i="74" s="1"/>
  <c r="J22" i="74"/>
  <c r="R21" i="74"/>
  <c r="N21" i="74"/>
  <c r="J21" i="74"/>
  <c r="R20" i="74"/>
  <c r="N20" i="74"/>
  <c r="J20" i="74"/>
  <c r="L20" i="74" s="1"/>
  <c r="K20" i="74"/>
  <c r="S19" i="74"/>
  <c r="R19" i="74"/>
  <c r="O19" i="74"/>
  <c r="N19" i="74"/>
  <c r="K19" i="74"/>
  <c r="J19" i="74"/>
  <c r="L19" i="74" s="1"/>
  <c r="S18" i="74"/>
  <c r="R18" i="74"/>
  <c r="O18" i="74"/>
  <c r="N18" i="74"/>
  <c r="P18" i="74"/>
  <c r="K18" i="74"/>
  <c r="J18" i="74"/>
  <c r="S17" i="74"/>
  <c r="R17" i="74"/>
  <c r="T17" i="74" s="1"/>
  <c r="O17" i="74"/>
  <c r="N17" i="74"/>
  <c r="P17" i="74"/>
  <c r="K17" i="74"/>
  <c r="J17" i="74"/>
  <c r="A17" i="74"/>
  <c r="A18" i="74"/>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S16" i="74"/>
  <c r="R16" i="74"/>
  <c r="O16" i="74"/>
  <c r="N16" i="74"/>
  <c r="K16" i="74"/>
  <c r="J16" i="74"/>
  <c r="L16" i="74" s="1"/>
  <c r="S15" i="74"/>
  <c r="R15" i="74"/>
  <c r="T15" i="74" s="1"/>
  <c r="O15" i="74"/>
  <c r="N15" i="74"/>
  <c r="K15" i="74"/>
  <c r="J15" i="74"/>
  <c r="L15" i="74" s="1"/>
  <c r="S14" i="74"/>
  <c r="R14" i="74"/>
  <c r="T14" i="74"/>
  <c r="O14" i="74"/>
  <c r="N14" i="74"/>
  <c r="K14" i="74"/>
  <c r="J14" i="74"/>
  <c r="L14" i="74" s="1"/>
  <c r="S13" i="74"/>
  <c r="R13" i="74"/>
  <c r="O13" i="74"/>
  <c r="N13" i="74"/>
  <c r="P13" i="74" s="1"/>
  <c r="K13" i="74"/>
  <c r="J13" i="74"/>
  <c r="S12" i="74"/>
  <c r="R12" i="74"/>
  <c r="O12" i="74"/>
  <c r="N12" i="74"/>
  <c r="K12" i="74"/>
  <c r="J12" i="74"/>
  <c r="S11" i="74"/>
  <c r="R11" i="74"/>
  <c r="O11" i="74"/>
  <c r="N11" i="74"/>
  <c r="K11" i="74"/>
  <c r="J11" i="74"/>
  <c r="S10" i="74"/>
  <c r="R10" i="74"/>
  <c r="O10" i="74"/>
  <c r="N10" i="74"/>
  <c r="P10" i="74" s="1"/>
  <c r="K10" i="74"/>
  <c r="J10" i="74"/>
  <c r="S9" i="74"/>
  <c r="R9" i="74"/>
  <c r="O9" i="74"/>
  <c r="N9" i="74"/>
  <c r="K9" i="74"/>
  <c r="J9" i="74"/>
  <c r="L9" i="74"/>
  <c r="S8" i="74"/>
  <c r="R8" i="74"/>
  <c r="O8" i="74"/>
  <c r="P8" i="74"/>
  <c r="K8" i="74"/>
  <c r="J8" i="74"/>
  <c r="U7" i="74"/>
  <c r="Q7" i="74"/>
  <c r="M7" i="74"/>
  <c r="C7" i="74"/>
  <c r="C8" i="74"/>
  <c r="C9" i="74"/>
  <c r="C10" i="74" s="1"/>
  <c r="C11" i="74" s="1"/>
  <c r="C12" i="74" s="1"/>
  <c r="C13" i="74" s="1"/>
  <c r="C14" i="74" s="1"/>
  <c r="C15" i="74" s="1"/>
  <c r="C16" i="74" s="1"/>
  <c r="C17" i="74" s="1"/>
  <c r="C18" i="74" s="1"/>
  <c r="C19" i="74" s="1"/>
  <c r="C20" i="74" s="1"/>
  <c r="C21" i="74" s="1"/>
  <c r="C22" i="74" s="1"/>
  <c r="C23" i="74" s="1"/>
  <c r="C24" i="74" s="1"/>
  <c r="C25" i="74" s="1"/>
  <c r="C26" i="74" s="1"/>
  <c r="C27" i="74" s="1"/>
  <c r="C28" i="74" s="1"/>
  <c r="C29" i="74" s="1"/>
  <c r="C30" i="74" s="1"/>
  <c r="C31" i="74" s="1"/>
  <c r="C32" i="74" s="1"/>
  <c r="C33" i="74" s="1"/>
  <c r="C34" i="74" s="1"/>
  <c r="C35" i="74" s="1"/>
  <c r="C36" i="74" s="1"/>
  <c r="C37" i="74" s="1"/>
  <c r="C38" i="74" s="1"/>
  <c r="C39" i="74" s="1"/>
  <c r="C40" i="74" s="1"/>
  <c r="C41" i="74" s="1"/>
  <c r="C42" i="74" s="1"/>
  <c r="C43" i="74" s="1"/>
  <c r="C44" i="74" s="1"/>
  <c r="C45" i="74" s="1"/>
  <c r="C46" i="74" s="1"/>
  <c r="C47" i="74" s="1"/>
  <c r="C48" i="74" s="1"/>
  <c r="C49" i="74" s="1"/>
  <c r="C50" i="74" s="1"/>
  <c r="C51" i="74" s="1"/>
  <c r="C52" i="74" s="1"/>
  <c r="C53" i="74" s="1"/>
  <c r="C54" i="74" s="1"/>
  <c r="O22" i="48"/>
  <c r="U14" i="45"/>
  <c r="U13" i="45"/>
  <c r="U12" i="45"/>
  <c r="U11" i="45"/>
  <c r="U9" i="45"/>
  <c r="O12" i="45"/>
  <c r="O11" i="45"/>
  <c r="O10" i="45"/>
  <c r="G22" i="63"/>
  <c r="H22" i="63"/>
  <c r="I22" i="63"/>
  <c r="S115" i="69"/>
  <c r="M14" i="46"/>
  <c r="AE114" i="68"/>
  <c r="S116" i="69"/>
  <c r="BN116" i="68"/>
  <c r="S117" i="69"/>
  <c r="S118" i="69"/>
  <c r="S119" i="69"/>
  <c r="A5" i="70"/>
  <c r="A6" i="70" s="1"/>
  <c r="A7" i="70" s="1"/>
  <c r="A8" i="70" s="1"/>
  <c r="A9" i="70" s="1"/>
  <c r="A10" i="70" s="1"/>
  <c r="A11" i="70" s="1"/>
  <c r="A12" i="70" s="1"/>
  <c r="A13" i="70" s="1"/>
  <c r="A14" i="70" s="1"/>
  <c r="A15" i="70" s="1"/>
  <c r="A16" i="70" s="1"/>
  <c r="A17" i="70" s="1"/>
  <c r="A18" i="70" s="1"/>
  <c r="A19" i="70" s="1"/>
  <c r="A20" i="70" s="1"/>
  <c r="O20" i="45"/>
  <c r="G21" i="63"/>
  <c r="H21" i="63"/>
  <c r="I21" i="63"/>
  <c r="G21" i="65"/>
  <c r="H21" i="65"/>
  <c r="I21" i="65"/>
  <c r="G21" i="64"/>
  <c r="H21" i="64"/>
  <c r="I21" i="64"/>
  <c r="I21" i="62"/>
  <c r="G21" i="61"/>
  <c r="H21" i="61"/>
  <c r="I21" i="61"/>
  <c r="G21" i="60"/>
  <c r="H21" i="60"/>
  <c r="I21" i="60"/>
  <c r="I21" i="41"/>
  <c r="G21" i="37"/>
  <c r="H21" i="37"/>
  <c r="I21" i="37"/>
  <c r="I21" i="58"/>
  <c r="H21" i="58"/>
  <c r="G21" i="58"/>
  <c r="I21" i="67"/>
  <c r="H24" i="46"/>
  <c r="S120" i="69"/>
  <c r="H21" i="67"/>
  <c r="G21" i="67"/>
  <c r="C26" i="59"/>
  <c r="C27" i="59" s="1"/>
  <c r="C28" i="59" s="1"/>
  <c r="C29" i="59" s="1"/>
  <c r="C30" i="59" s="1"/>
  <c r="C31" i="59" s="1"/>
  <c r="C32" i="59" s="1"/>
  <c r="C33" i="59" s="1"/>
  <c r="C34" i="59" s="1"/>
  <c r="J41" i="63"/>
  <c r="J21" i="63"/>
  <c r="K21" i="63"/>
  <c r="J22" i="63"/>
  <c r="K22" i="63"/>
  <c r="K23" i="63"/>
  <c r="J23" i="63"/>
  <c r="J24" i="63"/>
  <c r="J25" i="63"/>
  <c r="J26" i="63"/>
  <c r="J28" i="63"/>
  <c r="N41" i="63"/>
  <c r="O21" i="63"/>
  <c r="N22" i="63"/>
  <c r="O22" i="63"/>
  <c r="O23" i="63"/>
  <c r="N23" i="63"/>
  <c r="O24" i="63"/>
  <c r="N24" i="63"/>
  <c r="O25" i="63"/>
  <c r="N25" i="63"/>
  <c r="N26" i="63"/>
  <c r="N28" i="63"/>
  <c r="I41" i="44"/>
  <c r="G25" i="23"/>
  <c r="G25" i="4"/>
  <c r="Z8" i="48"/>
  <c r="CW6" i="68" s="1"/>
  <c r="CW59" i="68" s="1"/>
  <c r="Z9" i="48"/>
  <c r="CW7" i="68"/>
  <c r="CW60" i="68"/>
  <c r="Z10" i="48"/>
  <c r="CW8" i="68" s="1"/>
  <c r="CW61" i="68" s="1"/>
  <c r="Z11" i="48"/>
  <c r="CW9" i="68" s="1"/>
  <c r="CW62" i="68" s="1"/>
  <c r="Z12" i="48"/>
  <c r="CW10" i="68"/>
  <c r="CW63" i="68" s="1"/>
  <c r="G20" i="67"/>
  <c r="I20" i="63"/>
  <c r="I24" i="66"/>
  <c r="CU4" i="68"/>
  <c r="CU57" i="68" s="1"/>
  <c r="CV4" i="68"/>
  <c r="CV57" i="68" s="1"/>
  <c r="CX4" i="68"/>
  <c r="CX57" i="68" s="1"/>
  <c r="CW4" i="68"/>
  <c r="CW57" i="68" s="1"/>
  <c r="BT4" i="68"/>
  <c r="BT57" i="68"/>
  <c r="BU4" i="68"/>
  <c r="BU57" i="68" s="1"/>
  <c r="BV4" i="68"/>
  <c r="BV57" i="68" s="1"/>
  <c r="BW4" i="68"/>
  <c r="BW57" i="68" s="1"/>
  <c r="BX4" i="68"/>
  <c r="BX57" i="68" s="1"/>
  <c r="BY4" i="68"/>
  <c r="BY57" i="68" s="1"/>
  <c r="CB4" i="68"/>
  <c r="CB57" i="68" s="1"/>
  <c r="CC4" i="68"/>
  <c r="CC57" i="68" s="1"/>
  <c r="CD4" i="68"/>
  <c r="CD57" i="68" s="1"/>
  <c r="CE4" i="68"/>
  <c r="CE57" i="68" s="1"/>
  <c r="CF4" i="68"/>
  <c r="CF57" i="68" s="1"/>
  <c r="CG4" i="68"/>
  <c r="CG57" i="68" s="1"/>
  <c r="CJ4" i="68"/>
  <c r="CJ57" i="68" s="1"/>
  <c r="CU5" i="68"/>
  <c r="CU58" i="68" s="1"/>
  <c r="CV5" i="68"/>
  <c r="CV58" i="68" s="1"/>
  <c r="CX5" i="68"/>
  <c r="CX58" i="68" s="1"/>
  <c r="BV5" i="68"/>
  <c r="BV58" i="68" s="1"/>
  <c r="BW5" i="68"/>
  <c r="BW58" i="68" s="1"/>
  <c r="BX5" i="68"/>
  <c r="BX58" i="68" s="1"/>
  <c r="BY5" i="68"/>
  <c r="BY58" i="68" s="1"/>
  <c r="CB5" i="68"/>
  <c r="CB58" i="68" s="1"/>
  <c r="CC5" i="68"/>
  <c r="CC58" i="68" s="1"/>
  <c r="CD5" i="68"/>
  <c r="CD58" i="68" s="1"/>
  <c r="CE5" i="68"/>
  <c r="CE58" i="68" s="1"/>
  <c r="CF5" i="68"/>
  <c r="CF58" i="68" s="1"/>
  <c r="CG5" i="68"/>
  <c r="CG58" i="68" s="1"/>
  <c r="CJ5" i="68"/>
  <c r="CJ58" i="68" s="1"/>
  <c r="BM4" i="69"/>
  <c r="BM57" i="69" s="1"/>
  <c r="BN4" i="69"/>
  <c r="BN57" i="69" s="1"/>
  <c r="AV4" i="69"/>
  <c r="AV57" i="69" s="1"/>
  <c r="AW4" i="69"/>
  <c r="AW57" i="69" s="1"/>
  <c r="AX4" i="69"/>
  <c r="AX57" i="69" s="1"/>
  <c r="AY4" i="69"/>
  <c r="AY57" i="69" s="1"/>
  <c r="AZ4" i="69"/>
  <c r="AZ57" i="69" s="1"/>
  <c r="BA4" i="69"/>
  <c r="BA57" i="69" s="1"/>
  <c r="BB4" i="69"/>
  <c r="BB57" i="69" s="1"/>
  <c r="BC4" i="69"/>
  <c r="BM5" i="69"/>
  <c r="BM58" i="69" s="1"/>
  <c r="BO58" i="69" s="1"/>
  <c r="AX5" i="69"/>
  <c r="AX58" i="69"/>
  <c r="AX6" i="69"/>
  <c r="AX59" i="69" s="1"/>
  <c r="AX109" i="69" s="1"/>
  <c r="CL4" i="68"/>
  <c r="CL57" i="68"/>
  <c r="L19" i="45"/>
  <c r="R19" i="45"/>
  <c r="H20" i="67"/>
  <c r="A7" i="56"/>
  <c r="A8" i="56" s="1"/>
  <c r="A9" i="56" s="1"/>
  <c r="A10" i="56" s="1"/>
  <c r="A11" i="56" s="1"/>
  <c r="A12" i="56" s="1"/>
  <c r="A13" i="56" s="1"/>
  <c r="A14" i="56" s="1"/>
  <c r="A15" i="56" s="1"/>
  <c r="A16" i="56" s="1"/>
  <c r="G20" i="63"/>
  <c r="N21" i="63"/>
  <c r="H24" i="66"/>
  <c r="G24" i="66"/>
  <c r="H24" i="47"/>
  <c r="R25" i="46"/>
  <c r="A18" i="45"/>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O18" i="45"/>
  <c r="AE6" i="68"/>
  <c r="AE59" i="68" s="1"/>
  <c r="AD6" i="68"/>
  <c r="AD59" i="68" s="1"/>
  <c r="AC6" i="68"/>
  <c r="AE10" i="68"/>
  <c r="AE63" i="68" s="1"/>
  <c r="AE113" i="68" s="1"/>
  <c r="AD10" i="68"/>
  <c r="AD63" i="68"/>
  <c r="AC10" i="68"/>
  <c r="AE9" i="68"/>
  <c r="AE62" i="68" s="1"/>
  <c r="AD9" i="68"/>
  <c r="AD62" i="68" s="1"/>
  <c r="AC9" i="68"/>
  <c r="AE8" i="68"/>
  <c r="AE61" i="68" s="1"/>
  <c r="AD8" i="68"/>
  <c r="AD61" i="68"/>
  <c r="AC8" i="68"/>
  <c r="AE7" i="68"/>
  <c r="AE60" i="68" s="1"/>
  <c r="AD7" i="68"/>
  <c r="AD60" i="68"/>
  <c r="AC7" i="68"/>
  <c r="BN10" i="68"/>
  <c r="BN63" i="68" s="1"/>
  <c r="BL10" i="68"/>
  <c r="BN9" i="68"/>
  <c r="BN62" i="68"/>
  <c r="BM9" i="68"/>
  <c r="BM62" i="68" s="1"/>
  <c r="BL9" i="68"/>
  <c r="BN8" i="68"/>
  <c r="BN61" i="68" s="1"/>
  <c r="BM8" i="68"/>
  <c r="BM61" i="68" s="1"/>
  <c r="BL8" i="68"/>
  <c r="BN7" i="68"/>
  <c r="BN60" i="68"/>
  <c r="BM7" i="68"/>
  <c r="BM60" i="68" s="1"/>
  <c r="BL7" i="68"/>
  <c r="BN6" i="68"/>
  <c r="BN59" i="68" s="1"/>
  <c r="BM6" i="68"/>
  <c r="BM59" i="68" s="1"/>
  <c r="BL6" i="68"/>
  <c r="BM4" i="68"/>
  <c r="BM57" i="68"/>
  <c r="S10" i="69"/>
  <c r="S63" i="69" s="1"/>
  <c r="S9" i="69"/>
  <c r="S62" i="69"/>
  <c r="S8" i="69"/>
  <c r="S61" i="69" s="1"/>
  <c r="S7" i="69"/>
  <c r="S60" i="69"/>
  <c r="S6" i="69"/>
  <c r="S59" i="69" s="1"/>
  <c r="W12" i="45"/>
  <c r="W11" i="45"/>
  <c r="W10" i="45"/>
  <c r="W9" i="45"/>
  <c r="W8" i="45"/>
  <c r="AP10" i="69"/>
  <c r="AP63" i="69"/>
  <c r="AP9" i="69"/>
  <c r="AP62" i="69" s="1"/>
  <c r="AP8" i="69"/>
  <c r="AP61" i="69"/>
  <c r="AP7" i="69"/>
  <c r="AP60" i="69" s="1"/>
  <c r="AP6" i="69"/>
  <c r="AP59" i="69"/>
  <c r="A15" i="7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A6" i="69"/>
  <c r="AA59" i="69" s="1"/>
  <c r="D6" i="69"/>
  <c r="D59" i="69" s="1"/>
  <c r="K8" i="48"/>
  <c r="W8" i="48" s="1"/>
  <c r="Q8" i="48"/>
  <c r="X8" i="46"/>
  <c r="X8" i="47"/>
  <c r="X9" i="46"/>
  <c r="X10" i="46"/>
  <c r="X10" i="47"/>
  <c r="X11" i="46"/>
  <c r="X11" i="47"/>
  <c r="X12" i="46"/>
  <c r="X12" i="47"/>
  <c r="K7" i="46"/>
  <c r="H24" i="67"/>
  <c r="G22" i="65"/>
  <c r="H22" i="65"/>
  <c r="I22" i="65"/>
  <c r="G23" i="65"/>
  <c r="H23" i="65"/>
  <c r="I23" i="65"/>
  <c r="G24" i="65"/>
  <c r="H24" i="65"/>
  <c r="I24" i="65"/>
  <c r="G22" i="64"/>
  <c r="H22" i="64"/>
  <c r="I22" i="64"/>
  <c r="G23" i="64"/>
  <c r="H23" i="64"/>
  <c r="I23" i="64"/>
  <c r="G24" i="64"/>
  <c r="H24" i="64"/>
  <c r="I24" i="64"/>
  <c r="G23" i="63"/>
  <c r="H23" i="63"/>
  <c r="I23" i="63"/>
  <c r="G24" i="63"/>
  <c r="H24" i="63"/>
  <c r="I24" i="63"/>
  <c r="H25" i="63"/>
  <c r="I25" i="63"/>
  <c r="G22" i="62"/>
  <c r="H22" i="62"/>
  <c r="I22" i="62"/>
  <c r="G23" i="62"/>
  <c r="H23" i="62"/>
  <c r="I23" i="62"/>
  <c r="G24" i="62"/>
  <c r="H24" i="62"/>
  <c r="I24" i="62"/>
  <c r="H25" i="62"/>
  <c r="I25" i="62"/>
  <c r="G22" i="41"/>
  <c r="H22" i="41"/>
  <c r="I22" i="41"/>
  <c r="G24" i="39"/>
  <c r="H24" i="38"/>
  <c r="I24" i="38"/>
  <c r="I25" i="36"/>
  <c r="G22" i="59"/>
  <c r="G23" i="59"/>
  <c r="G22" i="58"/>
  <c r="H22" i="58"/>
  <c r="I22" i="58"/>
  <c r="G23" i="58"/>
  <c r="H23" i="58"/>
  <c r="I23" i="58"/>
  <c r="G24" i="58"/>
  <c r="H24" i="58"/>
  <c r="I24" i="58"/>
  <c r="G24" i="35"/>
  <c r="H24" i="35"/>
  <c r="I24" i="35"/>
  <c r="G24" i="7"/>
  <c r="H24" i="7"/>
  <c r="I24" i="7"/>
  <c r="H25" i="7"/>
  <c r="I25" i="7"/>
  <c r="G24" i="23"/>
  <c r="H24" i="23"/>
  <c r="I24" i="23"/>
  <c r="I26" i="23"/>
  <c r="G22" i="4"/>
  <c r="H22" i="4"/>
  <c r="I22" i="4"/>
  <c r="G23" i="4"/>
  <c r="H23" i="4"/>
  <c r="I23" i="4"/>
  <c r="G24" i="4"/>
  <c r="H24" i="4"/>
  <c r="I24" i="4"/>
  <c r="L20" i="45"/>
  <c r="M20" i="45"/>
  <c r="R16" i="45"/>
  <c r="M20" i="47"/>
  <c r="S20" i="47"/>
  <c r="AA5" i="69"/>
  <c r="AA58" i="69" s="1"/>
  <c r="AP5" i="69"/>
  <c r="AP58" i="69" s="1"/>
  <c r="Z7" i="48"/>
  <c r="CW5" i="68" s="1"/>
  <c r="BL4" i="68"/>
  <c r="BN4" i="68"/>
  <c r="BN57" i="68" s="1"/>
  <c r="BO4" i="68"/>
  <c r="BO57" i="68" s="1"/>
  <c r="AK4" i="68"/>
  <c r="AK57" i="68" s="1"/>
  <c r="AL4" i="68"/>
  <c r="AL57" i="68" s="1"/>
  <c r="AM4" i="68"/>
  <c r="AM57" i="68" s="1"/>
  <c r="AN4" i="68"/>
  <c r="AN57" i="68" s="1"/>
  <c r="AO4" i="68"/>
  <c r="AO57" i="68" s="1"/>
  <c r="AP4" i="68"/>
  <c r="AP57" i="68" s="1"/>
  <c r="AS4" i="68"/>
  <c r="AS57" i="68" s="1"/>
  <c r="AT4" i="68"/>
  <c r="AT57" i="68" s="1"/>
  <c r="AU4" i="68"/>
  <c r="AU57" i="68" s="1"/>
  <c r="AV4" i="68"/>
  <c r="AV57" i="68" s="1"/>
  <c r="AW4" i="68"/>
  <c r="AW57" i="68" s="1"/>
  <c r="AX4" i="68"/>
  <c r="AX57" i="68" s="1"/>
  <c r="BA4" i="68"/>
  <c r="BA57" i="68" s="1"/>
  <c r="BC4" i="68"/>
  <c r="BC57" i="68" s="1"/>
  <c r="AC4" i="68"/>
  <c r="AD4" i="68"/>
  <c r="AD57" i="68" s="1"/>
  <c r="AE4" i="68"/>
  <c r="AE57" i="68"/>
  <c r="AF4" i="68"/>
  <c r="AF57" i="68" s="1"/>
  <c r="B4" i="68"/>
  <c r="B57" i="68"/>
  <c r="C4" i="68"/>
  <c r="C57" i="68" s="1"/>
  <c r="D4" i="68"/>
  <c r="D57" i="68"/>
  <c r="E4" i="68"/>
  <c r="E57" i="68" s="1"/>
  <c r="F4" i="68"/>
  <c r="F57" i="68"/>
  <c r="G4" i="68"/>
  <c r="G57" i="68" s="1"/>
  <c r="J4" i="68"/>
  <c r="J57" i="68"/>
  <c r="K4" i="68"/>
  <c r="K57" i="68" s="1"/>
  <c r="L4" i="68"/>
  <c r="L57" i="68"/>
  <c r="M4" i="68"/>
  <c r="M57" i="68" s="1"/>
  <c r="N4" i="68"/>
  <c r="N57" i="68"/>
  <c r="O4" i="68"/>
  <c r="O57" i="68" s="1"/>
  <c r="R4" i="68"/>
  <c r="R57" i="68"/>
  <c r="T4" i="68"/>
  <c r="T57" i="68" s="1"/>
  <c r="AP4" i="69"/>
  <c r="AP57" i="69"/>
  <c r="AQ4" i="69"/>
  <c r="AQ57" i="69" s="1"/>
  <c r="AR57" i="69" s="1"/>
  <c r="Y4" i="69"/>
  <c r="Y57" i="69"/>
  <c r="Z4" i="69"/>
  <c r="Z57" i="69" s="1"/>
  <c r="AA4" i="69"/>
  <c r="AA57" i="69"/>
  <c r="AB4" i="69"/>
  <c r="AB57" i="69" s="1"/>
  <c r="AC4" i="69"/>
  <c r="AC57" i="69"/>
  <c r="AD4" i="69"/>
  <c r="AD57" i="69" s="1"/>
  <c r="AE4" i="69"/>
  <c r="AE57" i="69"/>
  <c r="AF4" i="69"/>
  <c r="AF57" i="69" s="1"/>
  <c r="S4" i="69"/>
  <c r="T4" i="69"/>
  <c r="T57" i="69"/>
  <c r="B4" i="69"/>
  <c r="B57" i="69" s="1"/>
  <c r="C4" i="69"/>
  <c r="C57" i="69" s="1"/>
  <c r="D4" i="69"/>
  <c r="D57" i="69" s="1"/>
  <c r="E4" i="69"/>
  <c r="E57" i="69" s="1"/>
  <c r="F4" i="69"/>
  <c r="F57" i="69" s="1"/>
  <c r="G4" i="69"/>
  <c r="G57" i="69" s="1"/>
  <c r="H4" i="69"/>
  <c r="H57" i="69" s="1"/>
  <c r="I4" i="69"/>
  <c r="I57" i="69" s="1"/>
  <c r="BA5" i="68"/>
  <c r="BA58" i="68" s="1"/>
  <c r="AX5" i="68"/>
  <c r="AX58" i="68" s="1"/>
  <c r="AW5" i="68"/>
  <c r="AW58" i="68" s="1"/>
  <c r="AV5" i="68"/>
  <c r="AV58" i="68" s="1"/>
  <c r="AU5" i="68"/>
  <c r="AU58" i="68" s="1"/>
  <c r="AT5" i="68"/>
  <c r="AT58" i="68" s="1"/>
  <c r="AS5" i="68"/>
  <c r="AS58" i="68" s="1"/>
  <c r="AP5" i="68"/>
  <c r="AP58" i="68" s="1"/>
  <c r="AO5" i="68"/>
  <c r="AO58" i="68" s="1"/>
  <c r="AN5" i="68"/>
  <c r="AN58" i="68" s="1"/>
  <c r="AM5" i="68"/>
  <c r="AM58" i="68" s="1"/>
  <c r="R5" i="68"/>
  <c r="R58" i="68" s="1"/>
  <c r="O5" i="68"/>
  <c r="O58" i="68" s="1"/>
  <c r="N5" i="68"/>
  <c r="N58" i="68" s="1"/>
  <c r="M5" i="68"/>
  <c r="M58" i="68" s="1"/>
  <c r="L5" i="68"/>
  <c r="L58" i="68" s="1"/>
  <c r="K5" i="68"/>
  <c r="K58" i="68" s="1"/>
  <c r="J5" i="68"/>
  <c r="J58" i="68" s="1"/>
  <c r="G5" i="68"/>
  <c r="G58" i="68" s="1"/>
  <c r="F5" i="68"/>
  <c r="F58" i="68" s="1"/>
  <c r="E5" i="68"/>
  <c r="E58" i="68" s="1"/>
  <c r="D5" i="68"/>
  <c r="D58" i="68" s="1"/>
  <c r="BO5" i="68"/>
  <c r="BO58" i="68" s="1"/>
  <c r="BN5" i="68"/>
  <c r="BN58" i="68" s="1"/>
  <c r="T7" i="47"/>
  <c r="BM5" i="68" s="1"/>
  <c r="BL5" i="68"/>
  <c r="AF5" i="68"/>
  <c r="AF58" i="68" s="1"/>
  <c r="N7" i="48"/>
  <c r="AE5" i="68" s="1"/>
  <c r="AD5" i="68"/>
  <c r="AD58" i="68" s="1"/>
  <c r="AC5" i="68"/>
  <c r="D5" i="69"/>
  <c r="D58" i="69" s="1"/>
  <c r="S5" i="69"/>
  <c r="S58" i="69" s="1"/>
  <c r="J40" i="63"/>
  <c r="N40" i="63"/>
  <c r="I40" i="44"/>
  <c r="G40" i="44"/>
  <c r="A18" i="46"/>
  <c r="A19" i="46" s="1"/>
  <c r="A18" i="47"/>
  <c r="A19" i="47" s="1"/>
  <c r="A18" i="48"/>
  <c r="A19" i="48" s="1"/>
  <c r="A20" i="48" s="1"/>
  <c r="B64" i="38"/>
  <c r="B65" i="38"/>
  <c r="B66" i="38" s="1"/>
  <c r="B67" i="38" s="1"/>
  <c r="B68" i="38" s="1"/>
  <c r="B69" i="38" s="1"/>
  <c r="B70" i="38" s="1"/>
  <c r="B71" i="38" s="1"/>
  <c r="D72" i="23"/>
  <c r="D71" i="23"/>
  <c r="D70" i="23"/>
  <c r="D69" i="23"/>
  <c r="D68" i="23"/>
  <c r="D67" i="23"/>
  <c r="D66" i="23"/>
  <c r="D65" i="23"/>
  <c r="BU5" i="68"/>
  <c r="BU58" i="68" s="1"/>
  <c r="C7" i="66"/>
  <c r="C8" i="66"/>
  <c r="C9" i="66" s="1"/>
  <c r="C10" i="66" s="1"/>
  <c r="C11" i="66" s="1"/>
  <c r="C12" i="66" s="1"/>
  <c r="C13" i="66" s="1"/>
  <c r="C14" i="66" s="1"/>
  <c r="C15" i="66" s="1"/>
  <c r="C16" i="66" s="1"/>
  <c r="C17" i="66" s="1"/>
  <c r="C18" i="66" s="1"/>
  <c r="C19" i="66" s="1"/>
  <c r="C20" i="66" s="1"/>
  <c r="C21" i="66" s="1"/>
  <c r="G9" i="66"/>
  <c r="H9" i="66"/>
  <c r="G10" i="66"/>
  <c r="H10" i="66"/>
  <c r="H11" i="66"/>
  <c r="G13" i="66"/>
  <c r="I13" i="66"/>
  <c r="H14" i="66"/>
  <c r="I14" i="66"/>
  <c r="H15" i="66"/>
  <c r="H16" i="66"/>
  <c r="A17" i="66"/>
  <c r="H17" i="66"/>
  <c r="I18" i="66"/>
  <c r="C23" i="66"/>
  <c r="C24" i="66" s="1"/>
  <c r="C25" i="66" s="1"/>
  <c r="C26" i="66" s="1"/>
  <c r="C27" i="66" s="1"/>
  <c r="C28" i="66" s="1"/>
  <c r="C29" i="66" s="1"/>
  <c r="C30" i="66" s="1"/>
  <c r="C31" i="66" s="1"/>
  <c r="C32" i="66" s="1"/>
  <c r="C33" i="66" s="1"/>
  <c r="C34" i="66" s="1"/>
  <c r="C35" i="66" s="1"/>
  <c r="C36" i="66" s="1"/>
  <c r="C37" i="66" s="1"/>
  <c r="C38" i="66" s="1"/>
  <c r="C7" i="67"/>
  <c r="C8" i="67" s="1"/>
  <c r="C9" i="67" s="1"/>
  <c r="C10" i="67" s="1"/>
  <c r="C11" i="67" s="1"/>
  <c r="C12" i="67" s="1"/>
  <c r="C13" i="67" s="1"/>
  <c r="C14" i="67" s="1"/>
  <c r="C15" i="67" s="1"/>
  <c r="C16" i="67" s="1"/>
  <c r="C17" i="67" s="1"/>
  <c r="C18" i="67" s="1"/>
  <c r="C19" i="67" s="1"/>
  <c r="C20" i="67" s="1"/>
  <c r="C21" i="67" s="1"/>
  <c r="G8" i="67"/>
  <c r="AW6" i="68"/>
  <c r="AW59" i="68" s="1"/>
  <c r="I8" i="67"/>
  <c r="G9" i="67"/>
  <c r="H9" i="67"/>
  <c r="H14" i="67"/>
  <c r="I14" i="67"/>
  <c r="G15" i="67"/>
  <c r="H16" i="67"/>
  <c r="A17" i="67"/>
  <c r="A18" i="67" s="1"/>
  <c r="I17" i="67"/>
  <c r="G18" i="67"/>
  <c r="I18" i="67"/>
  <c r="C23" i="67"/>
  <c r="C24" i="67" s="1"/>
  <c r="C25" i="67" s="1"/>
  <c r="C26" i="67" s="1"/>
  <c r="C27" i="67" s="1"/>
  <c r="C28" i="67" s="1"/>
  <c r="C29" i="67" s="1"/>
  <c r="C30" i="67" s="1"/>
  <c r="C31" i="67" s="1"/>
  <c r="C32" i="67" s="1"/>
  <c r="C33" i="67" s="1"/>
  <c r="C34" i="67" s="1"/>
  <c r="C35" i="67" s="1"/>
  <c r="C36" i="67" s="1"/>
  <c r="C37" i="67" s="1"/>
  <c r="C38" i="67" s="1"/>
  <c r="C39" i="67" s="1"/>
  <c r="C40" i="67" s="1"/>
  <c r="C41" i="67" s="1"/>
  <c r="C42" i="67" s="1"/>
  <c r="C43" i="67" s="1"/>
  <c r="C44" i="67" s="1"/>
  <c r="C45" i="67" s="1"/>
  <c r="C46" i="67" s="1"/>
  <c r="C47" i="67" s="1"/>
  <c r="C48" i="67" s="1"/>
  <c r="C7" i="63"/>
  <c r="C8" i="63"/>
  <c r="C9" i="63" s="1"/>
  <c r="C10" i="63" s="1"/>
  <c r="C11" i="63" s="1"/>
  <c r="C12" i="63" s="1"/>
  <c r="C13" i="63" s="1"/>
  <c r="C14" i="63" s="1"/>
  <c r="C15" i="63" s="1"/>
  <c r="C16" i="63" s="1"/>
  <c r="C17" i="63" s="1"/>
  <c r="C18" i="63" s="1"/>
  <c r="C19" i="63" s="1"/>
  <c r="C20" i="63" s="1"/>
  <c r="C21" i="63" s="1"/>
  <c r="G8" i="63"/>
  <c r="H8" i="63"/>
  <c r="I8" i="63"/>
  <c r="H9" i="63"/>
  <c r="G10" i="63"/>
  <c r="I10" i="63"/>
  <c r="H11" i="63"/>
  <c r="G12" i="63"/>
  <c r="H12" i="63"/>
  <c r="I12" i="63"/>
  <c r="H13" i="63"/>
  <c r="I13" i="63"/>
  <c r="H14" i="63"/>
  <c r="G15" i="63"/>
  <c r="H15" i="63"/>
  <c r="G16" i="63"/>
  <c r="H16" i="63"/>
  <c r="I16" i="63"/>
  <c r="A17" i="63"/>
  <c r="A18" i="63" s="1"/>
  <c r="G17" i="63"/>
  <c r="I17" i="63"/>
  <c r="H18" i="63"/>
  <c r="H19" i="63"/>
  <c r="J29" i="63"/>
  <c r="N29" i="63"/>
  <c r="J30" i="63"/>
  <c r="N30" i="63"/>
  <c r="J31" i="63"/>
  <c r="N31" i="63"/>
  <c r="J32" i="63"/>
  <c r="N32" i="63"/>
  <c r="J33" i="63"/>
  <c r="N33" i="63"/>
  <c r="J34" i="63"/>
  <c r="N34" i="63"/>
  <c r="J35" i="63"/>
  <c r="N35" i="63"/>
  <c r="J36" i="63"/>
  <c r="N36" i="63"/>
  <c r="J37" i="63"/>
  <c r="N37" i="63"/>
  <c r="J38" i="63"/>
  <c r="N38" i="63"/>
  <c r="J39" i="63"/>
  <c r="N39" i="63"/>
  <c r="C7" i="64"/>
  <c r="C8" i="64" s="1"/>
  <c r="C9" i="64" s="1"/>
  <c r="C10" i="64" s="1"/>
  <c r="C11" i="64" s="1"/>
  <c r="C12" i="64" s="1"/>
  <c r="C13" i="64" s="1"/>
  <c r="C14" i="64" s="1"/>
  <c r="C15" i="64" s="1"/>
  <c r="C16" i="64" s="1"/>
  <c r="C17" i="64" s="1"/>
  <c r="C18" i="64" s="1"/>
  <c r="C19" i="64" s="1"/>
  <c r="C20" i="64" s="1"/>
  <c r="C21" i="64" s="1"/>
  <c r="C22" i="64" s="1"/>
  <c r="C23" i="64" s="1"/>
  <c r="C24" i="64" s="1"/>
  <c r="C25" i="64" s="1"/>
  <c r="C26" i="64" s="1"/>
  <c r="C27" i="64" s="1"/>
  <c r="C28" i="64" s="1"/>
  <c r="C29" i="64" s="1"/>
  <c r="C30" i="64" s="1"/>
  <c r="C31" i="64" s="1"/>
  <c r="C32" i="64" s="1"/>
  <c r="C33" i="64" s="1"/>
  <c r="C34" i="64" s="1"/>
  <c r="C35" i="64" s="1"/>
  <c r="C36" i="64" s="1"/>
  <c r="C37" i="64" s="1"/>
  <c r="C38" i="64" s="1"/>
  <c r="C39" i="64" s="1"/>
  <c r="C40" i="64" s="1"/>
  <c r="C41" i="64" s="1"/>
  <c r="C42" i="64" s="1"/>
  <c r="C43" i="64" s="1"/>
  <c r="C44" i="64" s="1"/>
  <c r="C45" i="64" s="1"/>
  <c r="C46" i="64" s="1"/>
  <c r="C47" i="64" s="1"/>
  <c r="C48" i="64" s="1"/>
  <c r="C49" i="64" s="1"/>
  <c r="A17" i="64"/>
  <c r="A18" i="64" s="1"/>
  <c r="C7" i="65"/>
  <c r="C8" i="65" s="1"/>
  <c r="C9" i="65" s="1"/>
  <c r="C10" i="65" s="1"/>
  <c r="C11" i="65" s="1"/>
  <c r="C12" i="65" s="1"/>
  <c r="C13" i="65" s="1"/>
  <c r="C14" i="65" s="1"/>
  <c r="C15" i="65" s="1"/>
  <c r="C16" i="65" s="1"/>
  <c r="C17" i="65" s="1"/>
  <c r="C18" i="65" s="1"/>
  <c r="C19" i="65" s="1"/>
  <c r="C20" i="65" s="1"/>
  <c r="C21" i="65" s="1"/>
  <c r="C22" i="65" s="1"/>
  <c r="C23" i="65" s="1"/>
  <c r="C24" i="65" s="1"/>
  <c r="C25" i="65" s="1"/>
  <c r="C26" i="65" s="1"/>
  <c r="C27" i="65" s="1"/>
  <c r="C28" i="65" s="1"/>
  <c r="C29" i="65" s="1"/>
  <c r="C30" i="65" s="1"/>
  <c r="C31" i="65" s="1"/>
  <c r="C32" i="65" s="1"/>
  <c r="C33" i="65" s="1"/>
  <c r="C34" i="65" s="1"/>
  <c r="C35" i="65" s="1"/>
  <c r="C36" i="65" s="1"/>
  <c r="C37" i="65" s="1"/>
  <c r="C38" i="65" s="1"/>
  <c r="C39" i="65" s="1"/>
  <c r="C40" i="65" s="1"/>
  <c r="C41" i="65" s="1"/>
  <c r="C42" i="65" s="1"/>
  <c r="C43" i="65" s="1"/>
  <c r="C44" i="65" s="1"/>
  <c r="C45" i="65" s="1"/>
  <c r="C46" i="65" s="1"/>
  <c r="C47" i="65" s="1"/>
  <c r="C48" i="65" s="1"/>
  <c r="C49" i="65" s="1"/>
  <c r="A17" i="65"/>
  <c r="A18" i="65" s="1"/>
  <c r="C7" i="62"/>
  <c r="C8" i="62" s="1"/>
  <c r="C9" i="62" s="1"/>
  <c r="C10" i="62" s="1"/>
  <c r="C11" i="62" s="1"/>
  <c r="C12" i="62" s="1"/>
  <c r="C13" i="62" s="1"/>
  <c r="C14" i="62" s="1"/>
  <c r="C15" i="62" s="1"/>
  <c r="C16" i="62" s="1"/>
  <c r="C17" i="62" s="1"/>
  <c r="C18" i="62" s="1"/>
  <c r="C19" i="62" s="1"/>
  <c r="C20" i="62" s="1"/>
  <c r="C21" i="62" s="1"/>
  <c r="C22" i="62" s="1"/>
  <c r="C23" i="62" s="1"/>
  <c r="C24" i="62" s="1"/>
  <c r="C25" i="62" s="1"/>
  <c r="C26" i="62" s="1"/>
  <c r="C27" i="62" s="1"/>
  <c r="C28" i="62" s="1"/>
  <c r="C29" i="62" s="1"/>
  <c r="C30" i="62" s="1"/>
  <c r="C31" i="62" s="1"/>
  <c r="C32" i="62" s="1"/>
  <c r="C33" i="62" s="1"/>
  <c r="C34" i="62" s="1"/>
  <c r="C35" i="62" s="1"/>
  <c r="C36" i="62" s="1"/>
  <c r="C37" i="62" s="1"/>
  <c r="C38" i="62" s="1"/>
  <c r="C39" i="62" s="1"/>
  <c r="C40" i="62" s="1"/>
  <c r="C41" i="62" s="1"/>
  <c r="C42" i="62" s="1"/>
  <c r="C43" i="62" s="1"/>
  <c r="C44" i="62" s="1"/>
  <c r="C45" i="62" s="1"/>
  <c r="C46" i="62" s="1"/>
  <c r="C47" i="62" s="1"/>
  <c r="C48" i="62" s="1"/>
  <c r="G8" i="62"/>
  <c r="I8" i="62"/>
  <c r="H9" i="62"/>
  <c r="I9" i="62"/>
  <c r="G12" i="62"/>
  <c r="H12" i="62"/>
  <c r="I12" i="62"/>
  <c r="G13" i="62"/>
  <c r="H13" i="62"/>
  <c r="I14" i="62"/>
  <c r="G15" i="62"/>
  <c r="G16" i="62"/>
  <c r="A17" i="62"/>
  <c r="A18" i="62" s="1"/>
  <c r="G18" i="62"/>
  <c r="G19" i="62"/>
  <c r="I19" i="62"/>
  <c r="C7" i="61"/>
  <c r="C8" i="61"/>
  <c r="C9" i="61" s="1"/>
  <c r="C10" i="61" s="1"/>
  <c r="C11" i="61" s="1"/>
  <c r="C12" i="61" s="1"/>
  <c r="C13" i="61" s="1"/>
  <c r="C14" i="61" s="1"/>
  <c r="C15" i="61" s="1"/>
  <c r="C16" i="61" s="1"/>
  <c r="C17" i="61" s="1"/>
  <c r="C18" i="61" s="1"/>
  <c r="C19" i="61" s="1"/>
  <c r="C20" i="61" s="1"/>
  <c r="C21" i="61" s="1"/>
  <c r="C22" i="61" s="1"/>
  <c r="C23" i="61" s="1"/>
  <c r="C24" i="61" s="1"/>
  <c r="C25" i="61" s="1"/>
  <c r="C26" i="61" s="1"/>
  <c r="C27" i="61" s="1"/>
  <c r="C28" i="61" s="1"/>
  <c r="C29" i="61" s="1"/>
  <c r="C30" i="61" s="1"/>
  <c r="C31" i="61" s="1"/>
  <c r="C32" i="61" s="1"/>
  <c r="C33" i="61" s="1"/>
  <c r="C34" i="61" s="1"/>
  <c r="C35" i="61" s="1"/>
  <c r="C36" i="61" s="1"/>
  <c r="C37" i="61" s="1"/>
  <c r="C38" i="61" s="1"/>
  <c r="C39" i="61" s="1"/>
  <c r="C40" i="61" s="1"/>
  <c r="C41" i="61" s="1"/>
  <c r="C42" i="61" s="1"/>
  <c r="C43" i="61" s="1"/>
  <c r="C44" i="61" s="1"/>
  <c r="C45" i="61" s="1"/>
  <c r="C46" i="61" s="1"/>
  <c r="C47" i="61" s="1"/>
  <c r="C48" i="61" s="1"/>
  <c r="A17" i="61"/>
  <c r="A18" i="61"/>
  <c r="C7" i="60"/>
  <c r="C8" i="60"/>
  <c r="C9" i="60" s="1"/>
  <c r="C10" i="60" s="1"/>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AO6" i="68"/>
  <c r="AO59" i="68" s="1"/>
  <c r="AO108" i="68" s="1"/>
  <c r="A17" i="60"/>
  <c r="C7" i="59"/>
  <c r="C8" i="59"/>
  <c r="C9" i="59" s="1"/>
  <c r="C10" i="59" s="1"/>
  <c r="C11" i="59" s="1"/>
  <c r="C12" i="59" s="1"/>
  <c r="C13" i="59" s="1"/>
  <c r="C14" i="59" s="1"/>
  <c r="C15" i="59" s="1"/>
  <c r="C16" i="59" s="1"/>
  <c r="C17" i="59" s="1"/>
  <c r="C18" i="59" s="1"/>
  <c r="C19" i="59" s="1"/>
  <c r="C20" i="59" s="1"/>
  <c r="C21" i="59" s="1"/>
  <c r="C22" i="59" s="1"/>
  <c r="C23" i="59" s="1"/>
  <c r="C24" i="59" s="1"/>
  <c r="T5" i="69"/>
  <c r="T58" i="69"/>
  <c r="AQ5" i="69"/>
  <c r="AQ58" i="69"/>
  <c r="BN5" i="69"/>
  <c r="BN58" i="69"/>
  <c r="V8" i="59"/>
  <c r="A17" i="59"/>
  <c r="A18" i="59" s="1"/>
  <c r="C7" i="58"/>
  <c r="C8" i="58" s="1"/>
  <c r="C9" i="58" s="1"/>
  <c r="M7" i="58"/>
  <c r="Q7" i="58"/>
  <c r="U7" i="58"/>
  <c r="BA5" i="69" s="1"/>
  <c r="J8" i="58"/>
  <c r="K8" i="58"/>
  <c r="O8" i="58"/>
  <c r="P8" i="58" s="1"/>
  <c r="Q8" i="58" s="1"/>
  <c r="R8" i="58"/>
  <c r="S8" i="58"/>
  <c r="J9" i="58"/>
  <c r="K9" i="58"/>
  <c r="L9" i="58" s="1"/>
  <c r="M9" i="58" s="1"/>
  <c r="G7" i="69" s="1"/>
  <c r="G60" i="69" s="1"/>
  <c r="G110" i="69" s="1"/>
  <c r="N9" i="58"/>
  <c r="O9" i="58"/>
  <c r="R9" i="58"/>
  <c r="S9" i="58"/>
  <c r="G8" i="69"/>
  <c r="G61" i="69" s="1"/>
  <c r="AD8" i="69"/>
  <c r="AD61" i="69" s="1"/>
  <c r="BA8" i="69"/>
  <c r="BA61" i="69" s="1"/>
  <c r="G9" i="69"/>
  <c r="G62" i="69" s="1"/>
  <c r="G112" i="69" s="1"/>
  <c r="AD9" i="69"/>
  <c r="AD62" i="69" s="1"/>
  <c r="BA9" i="69"/>
  <c r="BA62" i="69" s="1"/>
  <c r="G10" i="69"/>
  <c r="G63" i="69" s="1"/>
  <c r="AD10" i="69"/>
  <c r="AD63" i="69" s="1"/>
  <c r="BA10" i="69"/>
  <c r="BA63" i="69" s="1"/>
  <c r="G115" i="69"/>
  <c r="A17" i="58"/>
  <c r="A18" i="58" s="1"/>
  <c r="G118" i="69"/>
  <c r="G119" i="69"/>
  <c r="C21" i="58"/>
  <c r="C22" i="58" s="1"/>
  <c r="C23" i="58" s="1"/>
  <c r="C24" i="58" s="1"/>
  <c r="C25" i="58" s="1"/>
  <c r="C26" i="58" s="1"/>
  <c r="C27" i="58" s="1"/>
  <c r="C28" i="58" s="1"/>
  <c r="C29" i="58" s="1"/>
  <c r="C30" i="58" s="1"/>
  <c r="C31" i="58" s="1"/>
  <c r="C32" i="58" s="1"/>
  <c r="C33" i="58" s="1"/>
  <c r="C34" i="58" s="1"/>
  <c r="S19" i="47"/>
  <c r="C5" i="69"/>
  <c r="C58" i="69" s="1"/>
  <c r="E5" i="69"/>
  <c r="E58" i="69"/>
  <c r="H5" i="69"/>
  <c r="H58" i="69" s="1"/>
  <c r="CL5" i="68"/>
  <c r="CL58" i="68"/>
  <c r="I71" i="1"/>
  <c r="H87" i="46"/>
  <c r="Z5" i="69"/>
  <c r="Z58" i="69"/>
  <c r="AB5" i="69"/>
  <c r="AB58" i="69" s="1"/>
  <c r="AC6" i="69"/>
  <c r="AC59" i="69"/>
  <c r="AF5" i="69"/>
  <c r="AK5" i="68"/>
  <c r="AK58" i="68" s="1"/>
  <c r="AM6" i="68"/>
  <c r="AM59" i="68" s="1"/>
  <c r="D6" i="68"/>
  <c r="D59" i="68" s="1"/>
  <c r="L17" i="45"/>
  <c r="R18" i="45"/>
  <c r="L8" i="45"/>
  <c r="L7" i="45"/>
  <c r="C7" i="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AY5" i="69"/>
  <c r="AY58" i="69" s="1"/>
  <c r="BC5" i="69"/>
  <c r="BC58" i="69" s="1"/>
  <c r="A17" i="44"/>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C7" i="44"/>
  <c r="C8" i="44" s="1"/>
  <c r="C9" i="44" s="1"/>
  <c r="C10" i="44" s="1"/>
  <c r="C11" i="44" s="1"/>
  <c r="C12" i="44" s="1"/>
  <c r="C13" i="44" s="1"/>
  <c r="C14" i="44" s="1"/>
  <c r="C15" i="44" s="1"/>
  <c r="C16" i="44" s="1"/>
  <c r="C17" i="44" s="1"/>
  <c r="C18" i="44" s="1"/>
  <c r="C19" i="44" s="1"/>
  <c r="C20" i="44" s="1"/>
  <c r="C21" i="44" s="1"/>
  <c r="C22" i="44" s="1"/>
  <c r="C23" i="44" s="1"/>
  <c r="C24" i="44" s="1"/>
  <c r="C25" i="44" s="1"/>
  <c r="C26" i="44" s="1"/>
  <c r="C27" i="44" s="1"/>
  <c r="C28" i="44" s="1"/>
  <c r="C29" i="44" s="1"/>
  <c r="C30" i="44" s="1"/>
  <c r="C31" i="44" s="1"/>
  <c r="C32" i="44" s="1"/>
  <c r="C33" i="44" s="1"/>
  <c r="C34" i="44" s="1"/>
  <c r="C35" i="44" s="1"/>
  <c r="C36" i="44" s="1"/>
  <c r="C37" i="44" s="1"/>
  <c r="C38" i="44" s="1"/>
  <c r="C39" i="44" s="1"/>
  <c r="C40" i="44" s="1"/>
  <c r="C41" i="44" s="1"/>
  <c r="C42" i="44" s="1"/>
  <c r="C43" i="44" s="1"/>
  <c r="C44" i="44" s="1"/>
  <c r="C45" i="44" s="1"/>
  <c r="C46" i="44" s="1"/>
  <c r="C47" i="44" s="1"/>
  <c r="C48" i="44" s="1"/>
  <c r="G39" i="44"/>
  <c r="H39" i="44"/>
  <c r="I39" i="44"/>
  <c r="T5" i="68"/>
  <c r="T58" i="68" s="1"/>
  <c r="G8" i="44"/>
  <c r="G13" i="44"/>
  <c r="G17" i="44"/>
  <c r="G21" i="44"/>
  <c r="G28" i="44"/>
  <c r="G31" i="44"/>
  <c r="G32" i="44"/>
  <c r="G37" i="44"/>
  <c r="G38" i="44"/>
  <c r="BC5" i="68"/>
  <c r="BC58" i="68" s="1"/>
  <c r="H10" i="44"/>
  <c r="H17" i="44"/>
  <c r="H19" i="44"/>
  <c r="H32" i="44"/>
  <c r="H33" i="44"/>
  <c r="H34" i="44"/>
  <c r="I25" i="44"/>
  <c r="I26" i="44"/>
  <c r="I31" i="44"/>
  <c r="I32" i="44"/>
  <c r="A17" i="43"/>
  <c r="A18" i="43" s="1"/>
  <c r="C7" i="43"/>
  <c r="C8" i="43" s="1"/>
  <c r="C9" i="43" s="1"/>
  <c r="C10" i="43" s="1"/>
  <c r="C11" i="43" s="1"/>
  <c r="C12" i="43" s="1"/>
  <c r="C13" i="43" s="1"/>
  <c r="C14" i="43" s="1"/>
  <c r="C15" i="43" s="1"/>
  <c r="C16" i="43" s="1"/>
  <c r="C17" i="43" s="1"/>
  <c r="C18" i="43" s="1"/>
  <c r="C19" i="43" s="1"/>
  <c r="C20" i="43" s="1"/>
  <c r="C21" i="43" s="1"/>
  <c r="C22" i="43" s="1"/>
  <c r="C23" i="43" s="1"/>
  <c r="C24" i="43" s="1"/>
  <c r="C25" i="43" s="1"/>
  <c r="C26" i="43" s="1"/>
  <c r="C27" i="43" s="1"/>
  <c r="C28" i="43" s="1"/>
  <c r="C29" i="43" s="1"/>
  <c r="C30" i="43" s="1"/>
  <c r="C31" i="43" s="1"/>
  <c r="C32" i="43" s="1"/>
  <c r="C33" i="43" s="1"/>
  <c r="C34" i="43" s="1"/>
  <c r="C35" i="43" s="1"/>
  <c r="A17" i="42"/>
  <c r="A18" i="42" s="1"/>
  <c r="A19" i="42" s="1"/>
  <c r="C7" i="42"/>
  <c r="A17" i="41"/>
  <c r="A18" i="41" s="1"/>
  <c r="A19" i="41" s="1"/>
  <c r="C7" i="41"/>
  <c r="C8" i="41" s="1"/>
  <c r="C9" i="41" s="1"/>
  <c r="C10" i="41" s="1"/>
  <c r="C11" i="41" s="1"/>
  <c r="C12" i="41" s="1"/>
  <c r="C13" i="41" s="1"/>
  <c r="C14" i="41" s="1"/>
  <c r="C15" i="41" s="1"/>
  <c r="C16" i="41" s="1"/>
  <c r="C17" i="41" s="1"/>
  <c r="C18" i="41" s="1"/>
  <c r="C19" i="41" s="1"/>
  <c r="C20" i="41" s="1"/>
  <c r="C21" i="41" s="1"/>
  <c r="C22" i="41" s="1"/>
  <c r="C23" i="41" s="1"/>
  <c r="C24" i="41" s="1"/>
  <c r="C25" i="41" s="1"/>
  <c r="C26" i="41" s="1"/>
  <c r="C27" i="41" s="1"/>
  <c r="C28" i="41" s="1"/>
  <c r="C29" i="41" s="1"/>
  <c r="C30" i="41" s="1"/>
  <c r="C31" i="41" s="1"/>
  <c r="C32" i="41" s="1"/>
  <c r="C33" i="41" s="1"/>
  <c r="C34" i="41" s="1"/>
  <c r="C35" i="41" s="1"/>
  <c r="C36" i="41" s="1"/>
  <c r="C37" i="41" s="1"/>
  <c r="C38" i="41" s="1"/>
  <c r="C39" i="41" s="1"/>
  <c r="C40" i="41" s="1"/>
  <c r="C41" i="41" s="1"/>
  <c r="C42" i="41" s="1"/>
  <c r="C43" i="41" s="1"/>
  <c r="C44" i="41" s="1"/>
  <c r="C45" i="41" s="1"/>
  <c r="C46" i="41" s="1"/>
  <c r="C47" i="41" s="1"/>
  <c r="C48" i="41" s="1"/>
  <c r="C49" i="41" s="1"/>
  <c r="C7" i="40"/>
  <c r="C8" i="40"/>
  <c r="C9" i="40" s="1"/>
  <c r="C10" i="40" s="1"/>
  <c r="C11" i="40" s="1"/>
  <c r="C12" i="40" s="1"/>
  <c r="C13" i="40" s="1"/>
  <c r="C14" i="40" s="1"/>
  <c r="C15" i="40" s="1"/>
  <c r="C16" i="40" s="1"/>
  <c r="C17" i="40" s="1"/>
  <c r="C18" i="40" s="1"/>
  <c r="C19" i="40" s="1"/>
  <c r="C20" i="40" s="1"/>
  <c r="C21" i="40" s="1"/>
  <c r="C22" i="40" s="1"/>
  <c r="C23" i="40" s="1"/>
  <c r="C24" i="40" s="1"/>
  <c r="C25" i="40" s="1"/>
  <c r="C26" i="40" s="1"/>
  <c r="C27" i="40" s="1"/>
  <c r="C28" i="40" s="1"/>
  <c r="C29" i="40" s="1"/>
  <c r="C30" i="40" s="1"/>
  <c r="C31" i="40" s="1"/>
  <c r="C32" i="40" s="1"/>
  <c r="C33" i="40" s="1"/>
  <c r="C34" i="40" s="1"/>
  <c r="C35" i="40" s="1"/>
  <c r="C36" i="40" s="1"/>
  <c r="C37" i="40" s="1"/>
  <c r="C38" i="40" s="1"/>
  <c r="C39" i="40" s="1"/>
  <c r="C40" i="40" s="1"/>
  <c r="C41" i="40" s="1"/>
  <c r="C42" i="40" s="1"/>
  <c r="C43" i="40" s="1"/>
  <c r="C44" i="40" s="1"/>
  <c r="C45" i="40" s="1"/>
  <c r="C46" i="40" s="1"/>
  <c r="C47" i="40" s="1"/>
  <c r="C48" i="40" s="1"/>
  <c r="C49" i="40" s="1"/>
  <c r="C50" i="40" s="1"/>
  <c r="C51" i="40" s="1"/>
  <c r="A17" i="40"/>
  <c r="A18" i="40"/>
  <c r="A19" i="40" s="1"/>
  <c r="A20" i="40" s="1"/>
  <c r="A21" i="40" s="1"/>
  <c r="A22" i="40" s="1"/>
  <c r="A23" i="40" s="1"/>
  <c r="A24" i="40" s="1"/>
  <c r="A25" i="40" s="1"/>
  <c r="A26" i="40" s="1"/>
  <c r="A27" i="40" s="1"/>
  <c r="A28" i="40" s="1"/>
  <c r="A29" i="40" s="1"/>
  <c r="A30" i="40" s="1"/>
  <c r="A31" i="40" s="1"/>
  <c r="A32" i="40" s="1"/>
  <c r="A33" i="40" s="1"/>
  <c r="A34" i="40" s="1"/>
  <c r="A35" i="40" s="1"/>
  <c r="A36" i="40" s="1"/>
  <c r="A37" i="40" s="1"/>
  <c r="A38" i="40" s="1"/>
  <c r="A39" i="40" s="1"/>
  <c r="A40" i="40" s="1"/>
  <c r="A41" i="40" s="1"/>
  <c r="A42" i="40" s="1"/>
  <c r="A43" i="40" s="1"/>
  <c r="A44" i="40" s="1"/>
  <c r="A45" i="40" s="1"/>
  <c r="A46" i="40" s="1"/>
  <c r="A47" i="40" s="1"/>
  <c r="A48" i="40" s="1"/>
  <c r="A49" i="40" s="1"/>
  <c r="A50" i="40" s="1"/>
  <c r="A51" i="40" s="1"/>
  <c r="A52" i="40" s="1"/>
  <c r="A53" i="40" s="1"/>
  <c r="A54" i="40" s="1"/>
  <c r="A17" i="39"/>
  <c r="C7" i="39"/>
  <c r="C8" i="39" s="1"/>
  <c r="C9" i="39" s="1"/>
  <c r="C10" i="39" s="1"/>
  <c r="C11" i="39" s="1"/>
  <c r="C12" i="39" s="1"/>
  <c r="C13" i="39" s="1"/>
  <c r="C14" i="39" s="1"/>
  <c r="C15" i="39" s="1"/>
  <c r="C16" i="39" s="1"/>
  <c r="C17" i="39" s="1"/>
  <c r="C18" i="39" s="1"/>
  <c r="C19" i="39" s="1"/>
  <c r="C20" i="39" s="1"/>
  <c r="C21" i="39" s="1"/>
  <c r="C22" i="39" s="1"/>
  <c r="C23" i="39" s="1"/>
  <c r="C24" i="39" s="1"/>
  <c r="C25" i="39" s="1"/>
  <c r="C26" i="39" s="1"/>
  <c r="C27" i="39" s="1"/>
  <c r="C28" i="39" s="1"/>
  <c r="C29" i="39" s="1"/>
  <c r="C30" i="39" s="1"/>
  <c r="C31" i="39" s="1"/>
  <c r="C32" i="39" s="1"/>
  <c r="C33" i="39" s="1"/>
  <c r="C34" i="39" s="1"/>
  <c r="C35" i="39" s="1"/>
  <c r="C36" i="39" s="1"/>
  <c r="C37" i="39" s="1"/>
  <c r="C38" i="39" s="1"/>
  <c r="C39" i="39" s="1"/>
  <c r="C40" i="39" s="1"/>
  <c r="C41" i="39" s="1"/>
  <c r="C42" i="39" s="1"/>
  <c r="C43" i="39" s="1"/>
  <c r="C44" i="39" s="1"/>
  <c r="C45" i="39" s="1"/>
  <c r="C46" i="39" s="1"/>
  <c r="C47" i="39" s="1"/>
  <c r="C48" i="39" s="1"/>
  <c r="A17" i="38"/>
  <c r="C7" i="38"/>
  <c r="A17" i="37"/>
  <c r="C7" i="37"/>
  <c r="C8" i="37" s="1"/>
  <c r="C9" i="37" s="1"/>
  <c r="C10" i="37" s="1"/>
  <c r="C11" i="37" s="1"/>
  <c r="C12" i="37" s="1"/>
  <c r="C13" i="37" s="1"/>
  <c r="C14" i="37" s="1"/>
  <c r="C15" i="37" s="1"/>
  <c r="C16" i="37" s="1"/>
  <c r="C17" i="37" s="1"/>
  <c r="C18" i="37" s="1"/>
  <c r="C19" i="37" s="1"/>
  <c r="C20" i="37" s="1"/>
  <c r="C21" i="37" s="1"/>
  <c r="C22" i="37" s="1"/>
  <c r="C23" i="37" s="1"/>
  <c r="C24" i="37" s="1"/>
  <c r="C25" i="37" s="1"/>
  <c r="C26" i="37" s="1"/>
  <c r="C27" i="37" s="1"/>
  <c r="C28" i="37" s="1"/>
  <c r="C29" i="37" s="1"/>
  <c r="C30" i="37" s="1"/>
  <c r="C31" i="37" s="1"/>
  <c r="C32" i="37" s="1"/>
  <c r="C33" i="37" s="1"/>
  <c r="C34" i="37" s="1"/>
  <c r="C35" i="37" s="1"/>
  <c r="C36" i="37" s="1"/>
  <c r="C37" i="37" s="1"/>
  <c r="C38" i="37" s="1"/>
  <c r="C39" i="37" s="1"/>
  <c r="C40" i="37" s="1"/>
  <c r="C41" i="37" s="1"/>
  <c r="C42" i="37" s="1"/>
  <c r="C43" i="37" s="1"/>
  <c r="C44" i="37" s="1"/>
  <c r="C45" i="37" s="1"/>
  <c r="C46" i="37" s="1"/>
  <c r="C47" i="37" s="1"/>
  <c r="C48" i="37" s="1"/>
  <c r="A17" i="36"/>
  <c r="C7" i="36"/>
  <c r="K7" i="36"/>
  <c r="A17" i="35"/>
  <c r="A18" i="35" s="1"/>
  <c r="A19" i="35" s="1"/>
  <c r="A20" i="35" s="1"/>
  <c r="A21" i="35" s="1"/>
  <c r="C7" i="35"/>
  <c r="C8" i="35"/>
  <c r="C9" i="35" s="1"/>
  <c r="C10" i="35" s="1"/>
  <c r="C11" i="35" s="1"/>
  <c r="C12" i="35" s="1"/>
  <c r="C13" i="35" s="1"/>
  <c r="C14" i="35" s="1"/>
  <c r="C15" i="35" s="1"/>
  <c r="C16" i="35" s="1"/>
  <c r="C17" i="35" s="1"/>
  <c r="C18" i="35" s="1"/>
  <c r="C19" i="35" s="1"/>
  <c r="C20" i="35" s="1"/>
  <c r="C21" i="35" s="1"/>
  <c r="C22" i="35" s="1"/>
  <c r="C23" i="35" s="1"/>
  <c r="C24" i="35" s="1"/>
  <c r="C25" i="35" s="1"/>
  <c r="C26" i="35" s="1"/>
  <c r="C27" i="35" s="1"/>
  <c r="C28" i="35" s="1"/>
  <c r="C29" i="35" s="1"/>
  <c r="C30" i="35" s="1"/>
  <c r="C31" i="35" s="1"/>
  <c r="C32" i="35" s="1"/>
  <c r="C33" i="35" s="1"/>
  <c r="C34" i="35" s="1"/>
  <c r="C35" i="35" s="1"/>
  <c r="C36" i="35" s="1"/>
  <c r="C37" i="35" s="1"/>
  <c r="C38" i="35" s="1"/>
  <c r="C39" i="35" s="1"/>
  <c r="C40" i="35" s="1"/>
  <c r="C41" i="35" s="1"/>
  <c r="C42" i="35" s="1"/>
  <c r="C43" i="35" s="1"/>
  <c r="C44" i="35" s="1"/>
  <c r="C45" i="35" s="1"/>
  <c r="C46" i="35" s="1"/>
  <c r="C47" i="35" s="1"/>
  <c r="C48" i="35" s="1"/>
  <c r="C49" i="35" s="1"/>
  <c r="A18" i="7"/>
  <c r="A19" i="7" s="1"/>
  <c r="A20" i="7" s="1"/>
  <c r="C7" i="7"/>
  <c r="A18" i="23"/>
  <c r="C9" i="23"/>
  <c r="C10" i="23"/>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A17" i="4"/>
  <c r="C7" i="4"/>
  <c r="C8" i="4" s="1"/>
  <c r="C9" i="4" s="1"/>
  <c r="C10" i="4" s="1"/>
  <c r="C11" i="4" s="1"/>
  <c r="C12" i="4" s="1"/>
  <c r="C13" i="4" s="1"/>
  <c r="C14" i="4" s="1"/>
  <c r="C15" i="4" s="1"/>
  <c r="C16" i="4" s="1"/>
  <c r="C17" i="4" s="1"/>
  <c r="C18" i="4" s="1"/>
  <c r="C19" i="4" s="1"/>
  <c r="C20" i="4" s="1"/>
  <c r="C21" i="4" s="1"/>
  <c r="C22" i="4" s="1"/>
  <c r="C23" i="4" s="1"/>
  <c r="C24" i="4" s="1"/>
  <c r="C25" i="4" s="1"/>
  <c r="C26" i="4" s="1"/>
  <c r="C27" i="4" s="1"/>
  <c r="C28" i="4" s="1"/>
  <c r="C29" i="4" s="1"/>
  <c r="C30" i="4" s="1"/>
  <c r="C31" i="4" s="1"/>
  <c r="C32" i="4" s="1"/>
  <c r="C33" i="4" s="1"/>
  <c r="A17" i="1"/>
  <c r="A18" i="1"/>
  <c r="A19" i="1" s="1"/>
  <c r="I21" i="4"/>
  <c r="H21" i="4"/>
  <c r="G21" i="4"/>
  <c r="M7" i="45"/>
  <c r="S7" i="46"/>
  <c r="S7" i="45"/>
  <c r="R8" i="48"/>
  <c r="R8" i="45"/>
  <c r="L9" i="45"/>
  <c r="R9" i="45"/>
  <c r="L10" i="45"/>
  <c r="R10" i="45"/>
  <c r="L11" i="45"/>
  <c r="R11" i="45"/>
  <c r="L12" i="45"/>
  <c r="R12" i="45"/>
  <c r="R13" i="45"/>
  <c r="L13" i="45"/>
  <c r="L14" i="45"/>
  <c r="L15" i="45"/>
  <c r="R15" i="45"/>
  <c r="L16" i="45"/>
  <c r="Y12" i="48"/>
  <c r="S9" i="46"/>
  <c r="S10" i="46"/>
  <c r="S11" i="46"/>
  <c r="S12" i="46"/>
  <c r="S13" i="46"/>
  <c r="S14" i="46"/>
  <c r="S15" i="46"/>
  <c r="S16" i="46"/>
  <c r="S8" i="46"/>
  <c r="M9" i="46"/>
  <c r="M10" i="46"/>
  <c r="M11" i="46"/>
  <c r="M12" i="46"/>
  <c r="M13" i="46"/>
  <c r="M17" i="48"/>
  <c r="S16" i="48"/>
  <c r="M16" i="48"/>
  <c r="S15" i="48"/>
  <c r="M15" i="48"/>
  <c r="S14" i="48"/>
  <c r="M14" i="48"/>
  <c r="S13" i="48"/>
  <c r="M13" i="48"/>
  <c r="S12" i="48"/>
  <c r="M12" i="48"/>
  <c r="S11" i="48"/>
  <c r="M11" i="48"/>
  <c r="S10" i="48"/>
  <c r="M10" i="48"/>
  <c r="S9" i="48"/>
  <c r="M9" i="48"/>
  <c r="S8" i="48"/>
  <c r="M17" i="47"/>
  <c r="M16" i="47"/>
  <c r="S15" i="47"/>
  <c r="M15" i="47"/>
  <c r="S14" i="47"/>
  <c r="M14" i="47"/>
  <c r="M13" i="47"/>
  <c r="M12" i="47"/>
  <c r="S11" i="47"/>
  <c r="M11" i="47"/>
  <c r="S10" i="47"/>
  <c r="M10" i="47"/>
  <c r="S9" i="47"/>
  <c r="M9" i="47"/>
  <c r="M8" i="47"/>
  <c r="M8" i="46"/>
  <c r="S9" i="45"/>
  <c r="S10" i="45"/>
  <c r="S11" i="45"/>
  <c r="S12" i="45"/>
  <c r="S13" i="45"/>
  <c r="S16" i="45"/>
  <c r="S8" i="45"/>
  <c r="X7" i="48"/>
  <c r="R7" i="48"/>
  <c r="A2" i="48"/>
  <c r="A1" i="48"/>
  <c r="K7" i="44"/>
  <c r="J33" i="47"/>
  <c r="J32" i="47"/>
  <c r="J31" i="47"/>
  <c r="J30" i="47"/>
  <c r="J29" i="47"/>
  <c r="J28" i="47"/>
  <c r="J27" i="47"/>
  <c r="X7" i="47"/>
  <c r="X6" i="47"/>
  <c r="R6" i="47"/>
  <c r="L6" i="47"/>
  <c r="A2" i="47"/>
  <c r="A1" i="47"/>
  <c r="R8" i="46"/>
  <c r="X6" i="46"/>
  <c r="R6" i="46"/>
  <c r="L6" i="46"/>
  <c r="A2" i="46"/>
  <c r="A1" i="46"/>
  <c r="X6" i="45"/>
  <c r="R6" i="45"/>
  <c r="L6" i="45"/>
  <c r="A2" i="45"/>
  <c r="A1" i="45"/>
  <c r="O7" i="44"/>
  <c r="I8" i="44"/>
  <c r="H8" i="44"/>
  <c r="G11" i="44"/>
  <c r="I11" i="44"/>
  <c r="I12" i="44"/>
  <c r="H14" i="44"/>
  <c r="I15" i="44"/>
  <c r="H36" i="44"/>
  <c r="H35" i="44"/>
  <c r="G35" i="44"/>
  <c r="I34" i="44"/>
  <c r="H31" i="44"/>
  <c r="H28" i="44"/>
  <c r="H27" i="44"/>
  <c r="G26" i="44"/>
  <c r="G24" i="44"/>
  <c r="G22" i="44"/>
  <c r="H21" i="44"/>
  <c r="I17" i="44"/>
  <c r="S6" i="44"/>
  <c r="O6" i="44"/>
  <c r="K6" i="44"/>
  <c r="S6" i="39"/>
  <c r="O6" i="39"/>
  <c r="K6" i="39"/>
  <c r="S6" i="38"/>
  <c r="O6" i="38"/>
  <c r="K6" i="38"/>
  <c r="S6" i="37"/>
  <c r="O6" i="37"/>
  <c r="K6" i="37"/>
  <c r="S6" i="36"/>
  <c r="O6" i="36"/>
  <c r="K6" i="36"/>
  <c r="J62" i="7"/>
  <c r="K62" i="7" s="1"/>
  <c r="E62" i="7"/>
  <c r="I62" i="7"/>
  <c r="J61" i="7"/>
  <c r="E61" i="7"/>
  <c r="M61" i="7" s="1"/>
  <c r="I61" i="7"/>
  <c r="S6" i="4"/>
  <c r="O6" i="4"/>
  <c r="K6" i="4"/>
  <c r="S7" i="1"/>
  <c r="S6" i="1"/>
  <c r="O6" i="1"/>
  <c r="K6" i="1"/>
  <c r="A1" i="7"/>
  <c r="A2" i="7"/>
  <c r="A1" i="23"/>
  <c r="A2" i="23"/>
  <c r="A1" i="4"/>
  <c r="A2" i="4"/>
  <c r="M9" i="45"/>
  <c r="M10" i="45"/>
  <c r="M11" i="45"/>
  <c r="M12" i="45"/>
  <c r="M13" i="45"/>
  <c r="M14" i="45"/>
  <c r="M8" i="45"/>
  <c r="M15" i="45"/>
  <c r="M16" i="45"/>
  <c r="S14" i="45"/>
  <c r="S15" i="45"/>
  <c r="R14" i="45"/>
  <c r="S18" i="45"/>
  <c r="R17" i="45"/>
  <c r="S17" i="45"/>
  <c r="M17" i="45"/>
  <c r="S17" i="48"/>
  <c r="S18" i="47"/>
  <c r="S17" i="47"/>
  <c r="S16" i="47"/>
  <c r="G18" i="44"/>
  <c r="M18" i="48"/>
  <c r="S18" i="48"/>
  <c r="M18" i="47"/>
  <c r="M19" i="47"/>
  <c r="M18" i="46"/>
  <c r="M19" i="48"/>
  <c r="S19" i="48"/>
  <c r="Y20" i="48"/>
  <c r="S19" i="45"/>
  <c r="S20" i="48"/>
  <c r="M20" i="48"/>
  <c r="G22" i="60"/>
  <c r="H22" i="60"/>
  <c r="I22" i="60"/>
  <c r="I23" i="60"/>
  <c r="G24" i="60"/>
  <c r="H24" i="60"/>
  <c r="I24" i="60"/>
  <c r="M21" i="45"/>
  <c r="H21" i="41"/>
  <c r="G120" i="69"/>
  <c r="S123" i="69"/>
  <c r="M22" i="45"/>
  <c r="G22" i="37"/>
  <c r="H22" i="37"/>
  <c r="I22" i="37"/>
  <c r="G24" i="38"/>
  <c r="G25" i="38"/>
  <c r="G21" i="41"/>
  <c r="H24" i="1"/>
  <c r="I24" i="1"/>
  <c r="I26" i="1"/>
  <c r="H26" i="1"/>
  <c r="O20" i="74"/>
  <c r="P20" i="74"/>
  <c r="O21" i="74"/>
  <c r="P21" i="74" s="1"/>
  <c r="K21" i="74"/>
  <c r="S21" i="74"/>
  <c r="G23" i="74"/>
  <c r="K23" i="74"/>
  <c r="L23" i="74" s="1"/>
  <c r="S20" i="74"/>
  <c r="T20" i="74" s="1"/>
  <c r="S21" i="48"/>
  <c r="G24" i="59"/>
  <c r="F23" i="74"/>
  <c r="S23" i="74" s="1"/>
  <c r="T23" i="74" s="1"/>
  <c r="S22" i="74"/>
  <c r="T22" i="74"/>
  <c r="G25" i="59"/>
  <c r="F24" i="74"/>
  <c r="S24" i="74" s="1"/>
  <c r="T24" i="74" s="1"/>
  <c r="S22" i="48"/>
  <c r="H22" i="59"/>
  <c r="H23" i="59"/>
  <c r="H24" i="59"/>
  <c r="I24" i="59"/>
  <c r="I25" i="45"/>
  <c r="I25" i="1"/>
  <c r="G24" i="89"/>
  <c r="I24" i="89"/>
  <c r="G23" i="89"/>
  <c r="I23" i="89"/>
  <c r="H23" i="80"/>
  <c r="H23" i="88"/>
  <c r="G23" i="87"/>
  <c r="I23" i="87"/>
  <c r="H24" i="87"/>
  <c r="I23" i="86"/>
  <c r="H24" i="86"/>
  <c r="H23" i="85"/>
  <c r="H23" i="84"/>
  <c r="G24" i="82"/>
  <c r="O23" i="84"/>
  <c r="G24" i="81"/>
  <c r="G23" i="82"/>
  <c r="I23" i="82"/>
  <c r="H24" i="82"/>
  <c r="F25" i="75"/>
  <c r="F26" i="75" s="1"/>
  <c r="S24" i="75"/>
  <c r="T24" i="75" s="1"/>
  <c r="I23" i="75"/>
  <c r="S23" i="75"/>
  <c r="T23" i="75"/>
  <c r="U23" i="75" s="1"/>
  <c r="U24" i="75" s="1"/>
  <c r="U25" i="75" s="1"/>
  <c r="H24" i="83"/>
  <c r="G24" i="1"/>
  <c r="G26" i="1"/>
  <c r="I24" i="86"/>
  <c r="S23" i="84"/>
  <c r="G23" i="85"/>
  <c r="I23" i="88"/>
  <c r="I25" i="82"/>
  <c r="I24" i="82"/>
  <c r="H25" i="80"/>
  <c r="H24" i="80"/>
  <c r="J35" i="47"/>
  <c r="J36" i="47"/>
  <c r="I25" i="65"/>
  <c r="H25" i="65"/>
  <c r="G25" i="65"/>
  <c r="G25" i="64"/>
  <c r="H25" i="64"/>
  <c r="H26" i="64"/>
  <c r="I25" i="64"/>
  <c r="H26" i="60"/>
  <c r="H25" i="60"/>
  <c r="G25" i="60"/>
  <c r="I27" i="60"/>
  <c r="I25" i="60"/>
  <c r="H25" i="38"/>
  <c r="I25" i="38"/>
  <c r="H25" i="36"/>
  <c r="H27" i="36"/>
  <c r="I24" i="90"/>
  <c r="G23" i="90"/>
  <c r="I23" i="90"/>
  <c r="I27" i="4"/>
  <c r="I25" i="86"/>
  <c r="G24" i="86"/>
  <c r="I26" i="87"/>
  <c r="I25" i="87"/>
  <c r="I24" i="83"/>
  <c r="I26" i="65"/>
  <c r="H26" i="65"/>
  <c r="I28" i="64"/>
  <c r="G26" i="39"/>
  <c r="H26" i="36"/>
  <c r="I26" i="58"/>
  <c r="H26" i="58"/>
  <c r="G26" i="58"/>
  <c r="I25" i="90"/>
  <c r="G26" i="23"/>
  <c r="G25" i="86"/>
  <c r="I27" i="65"/>
  <c r="H27" i="65"/>
  <c r="H27" i="58"/>
  <c r="H29" i="58"/>
  <c r="H28" i="58"/>
  <c r="H23" i="41"/>
  <c r="G23" i="41"/>
  <c r="J84" i="41"/>
  <c r="J87" i="41"/>
  <c r="H85" i="41"/>
  <c r="H23" i="37"/>
  <c r="I25" i="58"/>
  <c r="H25" i="58"/>
  <c r="G25" i="58"/>
  <c r="I25" i="35"/>
  <c r="H25" i="35"/>
  <c r="G25" i="35"/>
  <c r="I27" i="43"/>
  <c r="H26" i="62"/>
  <c r="C8" i="38"/>
  <c r="C9" i="38"/>
  <c r="C10" i="38" s="1"/>
  <c r="C11" i="38" s="1"/>
  <c r="C12" i="38" s="1"/>
  <c r="C13" i="38" s="1"/>
  <c r="C14" i="38" s="1"/>
  <c r="C15" i="38" s="1"/>
  <c r="C16" i="38" s="1"/>
  <c r="C17" i="38" s="1"/>
  <c r="C18" i="38" s="1"/>
  <c r="C19" i="38" s="1"/>
  <c r="C20" i="38" s="1"/>
  <c r="C21" i="38" s="1"/>
  <c r="C22" i="38" s="1"/>
  <c r="C23" i="38" s="1"/>
  <c r="C24" i="38" s="1"/>
  <c r="C25" i="38" s="1"/>
  <c r="C26" i="38" s="1"/>
  <c r="C27" i="38" s="1"/>
  <c r="C28" i="38" s="1"/>
  <c r="C29" i="38" s="1"/>
  <c r="C30" i="38" s="1"/>
  <c r="C31" i="38" s="1"/>
  <c r="C32" i="38" s="1"/>
  <c r="C33" i="38" s="1"/>
  <c r="K7" i="38"/>
  <c r="G28" i="65"/>
  <c r="H28" i="65"/>
  <c r="I28" i="65"/>
  <c r="I29" i="65"/>
  <c r="I27" i="58"/>
  <c r="G24" i="83"/>
  <c r="G25" i="83"/>
  <c r="I25" i="89"/>
  <c r="I26" i="89"/>
  <c r="H25" i="1"/>
  <c r="A19" i="23"/>
  <c r="A20" i="23" s="1"/>
  <c r="G20" i="44"/>
  <c r="I28" i="44"/>
  <c r="G36" i="44"/>
  <c r="G27" i="58"/>
  <c r="G27" i="65"/>
  <c r="H27" i="60"/>
  <c r="G26" i="65"/>
  <c r="H25" i="87"/>
  <c r="G25" i="87"/>
  <c r="A18" i="4"/>
  <c r="A19" i="4"/>
  <c r="A20" i="4" s="1"/>
  <c r="H26" i="44"/>
  <c r="H25" i="82"/>
  <c r="H25" i="86"/>
  <c r="G25" i="36"/>
  <c r="H25" i="59"/>
  <c r="I36" i="44"/>
  <c r="G12" i="44"/>
  <c r="I9" i="44"/>
  <c r="C8" i="7"/>
  <c r="H18" i="44"/>
  <c r="H9" i="44"/>
  <c r="I10" i="44"/>
  <c r="O7" i="42"/>
  <c r="I24" i="44"/>
  <c r="G16" i="44"/>
  <c r="H13" i="44"/>
  <c r="I13" i="44"/>
  <c r="AT6" i="68"/>
  <c r="AT59" i="68" s="1"/>
  <c r="AT108" i="68" s="1"/>
  <c r="AZ5" i="69"/>
  <c r="AZ58" i="69" s="1"/>
  <c r="B5" i="68"/>
  <c r="B58" i="68"/>
  <c r="AC5" i="69"/>
  <c r="AC58" i="69" s="1"/>
  <c r="AC109" i="69" s="1"/>
  <c r="Q8" i="47"/>
  <c r="R8" i="47" s="1"/>
  <c r="A18" i="83"/>
  <c r="P12" i="74"/>
  <c r="G25" i="7"/>
  <c r="A18" i="87"/>
  <c r="A19" i="87" s="1"/>
  <c r="H23" i="60"/>
  <c r="A18" i="88"/>
  <c r="A19" i="88" s="1"/>
  <c r="A19" i="84"/>
  <c r="A20" i="84" s="1"/>
  <c r="L11" i="74"/>
  <c r="T12" i="74"/>
  <c r="T13" i="74"/>
  <c r="P16" i="74"/>
  <c r="L18" i="74"/>
  <c r="I82" i="37"/>
  <c r="AC20" i="47"/>
  <c r="H29" i="65"/>
  <c r="H26" i="87"/>
  <c r="G29" i="65"/>
  <c r="G26" i="36"/>
  <c r="I22" i="59"/>
  <c r="H30" i="65"/>
  <c r="H31" i="65"/>
  <c r="L22" i="45"/>
  <c r="M23" i="45"/>
  <c r="M21" i="46"/>
  <c r="M22" i="46"/>
  <c r="M24" i="45"/>
  <c r="M16" i="46"/>
  <c r="M18" i="45"/>
  <c r="H27" i="7"/>
  <c r="S57" i="69"/>
  <c r="U57" i="69" s="1"/>
  <c r="G31" i="42"/>
  <c r="G31" i="65"/>
  <c r="G30" i="65"/>
  <c r="I26" i="64"/>
  <c r="I26" i="36"/>
  <c r="I25" i="23"/>
  <c r="I25" i="4"/>
  <c r="H25" i="4"/>
  <c r="H32" i="65"/>
  <c r="AB20" i="47"/>
  <c r="I29" i="58"/>
  <c r="H32" i="42"/>
  <c r="G25" i="1"/>
  <c r="S24" i="84"/>
  <c r="I28" i="58"/>
  <c r="L21" i="45"/>
  <c r="J37" i="47"/>
  <c r="S25" i="75"/>
  <c r="T25" i="75"/>
  <c r="I25" i="75"/>
  <c r="H20" i="44"/>
  <c r="H15" i="44"/>
  <c r="G14" i="44"/>
  <c r="G9" i="44"/>
  <c r="G22" i="61"/>
  <c r="H22" i="61"/>
  <c r="I22" i="61"/>
  <c r="I26" i="62"/>
  <c r="H30" i="58"/>
  <c r="G25" i="67"/>
  <c r="G25" i="89"/>
  <c r="L62" i="7"/>
  <c r="I30" i="44"/>
  <c r="C5" i="68"/>
  <c r="C58" i="68"/>
  <c r="G26" i="4"/>
  <c r="G27" i="44"/>
  <c r="G33" i="44"/>
  <c r="AW5" i="69"/>
  <c r="AW58" i="69" s="1"/>
  <c r="G24" i="80"/>
  <c r="H24" i="81"/>
  <c r="I14" i="44"/>
  <c r="I24" i="67"/>
  <c r="AB15" i="47"/>
  <c r="AB14" i="47"/>
  <c r="G24" i="67"/>
  <c r="G25" i="62"/>
  <c r="G26" i="62"/>
  <c r="AB17" i="47"/>
  <c r="Q8" i="74"/>
  <c r="K24" i="63"/>
  <c r="T8" i="74"/>
  <c r="U8" i="74" s="1"/>
  <c r="P11" i="74"/>
  <c r="T19" i="74"/>
  <c r="I24" i="61"/>
  <c r="N34" i="84"/>
  <c r="I30" i="65"/>
  <c r="G32" i="65"/>
  <c r="I26" i="4"/>
  <c r="I30" i="58"/>
  <c r="K25" i="63"/>
  <c r="G25" i="63"/>
  <c r="I25" i="83"/>
  <c r="AC19" i="47"/>
  <c r="J25" i="45"/>
  <c r="J38" i="47"/>
  <c r="G29" i="58"/>
  <c r="H33" i="65"/>
  <c r="G33" i="65"/>
  <c r="I31" i="65"/>
  <c r="H34" i="65"/>
  <c r="G26" i="63"/>
  <c r="K26" i="63"/>
  <c r="G30" i="58"/>
  <c r="AB19" i="47"/>
  <c r="M19" i="46"/>
  <c r="M20" i="46"/>
  <c r="I31" i="58"/>
  <c r="I32" i="65"/>
  <c r="G34" i="65"/>
  <c r="G31" i="58"/>
  <c r="I33" i="65"/>
  <c r="I34" i="65"/>
  <c r="M21" i="48"/>
  <c r="M22" i="48"/>
  <c r="M23" i="48"/>
  <c r="S23" i="48"/>
  <c r="H26" i="63"/>
  <c r="O26" i="63"/>
  <c r="G26" i="86"/>
  <c r="S24" i="48"/>
  <c r="M24" i="48"/>
  <c r="H27" i="43"/>
  <c r="G27" i="43"/>
  <c r="N85" i="61"/>
  <c r="G26" i="38"/>
  <c r="M83" i="37"/>
  <c r="M82" i="37"/>
  <c r="I31" i="37"/>
  <c r="K81" i="37"/>
  <c r="K80" i="37"/>
  <c r="H26" i="37"/>
  <c r="I25" i="37"/>
  <c r="S25" i="48"/>
  <c r="I27" i="89"/>
  <c r="H24" i="61"/>
  <c r="H30" i="61"/>
  <c r="G24" i="61"/>
  <c r="G26" i="60"/>
  <c r="I26" i="60"/>
  <c r="I25" i="41"/>
  <c r="G29" i="41"/>
  <c r="H24" i="41"/>
  <c r="Q22" i="45"/>
  <c r="R22" i="45" s="1"/>
  <c r="M81" i="37"/>
  <c r="L87" i="61"/>
  <c r="L83" i="61"/>
  <c r="H47" i="44"/>
  <c r="K9" i="47"/>
  <c r="K8" i="47"/>
  <c r="H9" i="7"/>
  <c r="I9" i="7"/>
  <c r="G9" i="7"/>
  <c r="BL59" i="68"/>
  <c r="C9"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N124" i="69"/>
  <c r="I27" i="44"/>
  <c r="G34" i="44"/>
  <c r="J34" i="47"/>
  <c r="G6" i="68"/>
  <c r="G59" i="68" s="1"/>
  <c r="G108" i="68" s="1"/>
  <c r="AC58" i="68"/>
  <c r="L7" i="47"/>
  <c r="K7" i="47"/>
  <c r="W7" i="47" s="1"/>
  <c r="AC61" i="68"/>
  <c r="G41" i="44"/>
  <c r="P19" i="74"/>
  <c r="T21" i="74"/>
  <c r="P22" i="74"/>
  <c r="K82" i="37"/>
  <c r="J83" i="61"/>
  <c r="L86" i="61"/>
  <c r="H31" i="61"/>
  <c r="N84" i="61"/>
  <c r="M120" i="69"/>
  <c r="M116" i="69"/>
  <c r="M112" i="69"/>
  <c r="N121" i="69"/>
  <c r="O122" i="69"/>
  <c r="O118" i="69"/>
  <c r="O114" i="69"/>
  <c r="P119" i="69"/>
  <c r="P115" i="69"/>
  <c r="G47" i="44"/>
  <c r="H18" i="62"/>
  <c r="L8" i="48"/>
  <c r="Q9" i="48"/>
  <c r="O7" i="38"/>
  <c r="G24" i="75"/>
  <c r="I18" i="44"/>
  <c r="I16" i="44"/>
  <c r="R7" i="46"/>
  <c r="S8" i="47"/>
  <c r="S7" i="7"/>
  <c r="C8" i="36"/>
  <c r="C9" i="36"/>
  <c r="C10" i="36" s="1"/>
  <c r="C11" i="36" s="1"/>
  <c r="C12" i="36" s="1"/>
  <c r="C13" i="36" s="1"/>
  <c r="C14" i="36" s="1"/>
  <c r="C15" i="36" s="1"/>
  <c r="C16" i="36" s="1"/>
  <c r="C17" i="36" s="1"/>
  <c r="C18" i="36" s="1"/>
  <c r="C19" i="36" s="1"/>
  <c r="C20" i="36" s="1"/>
  <c r="C21" i="36" s="1"/>
  <c r="C22" i="36" s="1"/>
  <c r="C23" i="36" s="1"/>
  <c r="C24" i="36" s="1"/>
  <c r="C25" i="36" s="1"/>
  <c r="C26" i="36" s="1"/>
  <c r="C27" i="36" s="1"/>
  <c r="C28" i="36" s="1"/>
  <c r="C29" i="36" s="1"/>
  <c r="C30" i="36" s="1"/>
  <c r="C31" i="36" s="1"/>
  <c r="C32" i="36" s="1"/>
  <c r="C33" i="36" s="1"/>
  <c r="C34" i="36" s="1"/>
  <c r="C35" i="36" s="1"/>
  <c r="C36" i="36" s="1"/>
  <c r="C37" i="36" s="1"/>
  <c r="C38" i="36" s="1"/>
  <c r="G10" i="1"/>
  <c r="I10" i="1"/>
  <c r="H10" i="1"/>
  <c r="L8" i="58"/>
  <c r="AC60" i="68"/>
  <c r="AC59" i="68"/>
  <c r="P25" i="63"/>
  <c r="T9" i="74"/>
  <c r="T10" i="74"/>
  <c r="T11" i="74"/>
  <c r="T16" i="74"/>
  <c r="C33" i="89"/>
  <c r="J86" i="61"/>
  <c r="L85" i="61"/>
  <c r="N87" i="61"/>
  <c r="N83" i="61"/>
  <c r="L83" i="42"/>
  <c r="V110" i="68"/>
  <c r="K9" i="48"/>
  <c r="G30" i="44"/>
  <c r="X7" i="45"/>
  <c r="R7" i="47"/>
  <c r="Y16" i="48"/>
  <c r="AL6" i="68"/>
  <c r="AL59" i="68"/>
  <c r="AK6" i="68"/>
  <c r="AK59" i="68" s="1"/>
  <c r="G8" i="7"/>
  <c r="H8" i="7"/>
  <c r="I8" i="7"/>
  <c r="BL60" i="68"/>
  <c r="BC57" i="69"/>
  <c r="P9" i="74"/>
  <c r="Q9" i="74" s="1"/>
  <c r="Q10" i="74" s="1"/>
  <c r="Q11" i="74" s="1"/>
  <c r="Q12" i="74" s="1"/>
  <c r="Q13" i="74" s="1"/>
  <c r="L10" i="74"/>
  <c r="L12" i="74"/>
  <c r="L17" i="74"/>
  <c r="I83" i="37"/>
  <c r="H87" i="41"/>
  <c r="H83" i="41"/>
  <c r="J85" i="61"/>
  <c r="L84" i="61"/>
  <c r="H29" i="61"/>
  <c r="N86" i="61"/>
  <c r="S121" i="69"/>
  <c r="S126" i="69"/>
  <c r="G121" i="69"/>
  <c r="G117" i="69"/>
  <c r="M123" i="69"/>
  <c r="M119" i="69"/>
  <c r="M115" i="69"/>
  <c r="M111" i="69"/>
  <c r="Q119" i="69"/>
  <c r="S122" i="69"/>
  <c r="G116" i="69"/>
  <c r="M122" i="69"/>
  <c r="M118" i="69"/>
  <c r="M114" i="69"/>
  <c r="M110" i="69"/>
  <c r="N123" i="69"/>
  <c r="N119" i="69"/>
  <c r="N115" i="69"/>
  <c r="N111" i="69"/>
  <c r="O120" i="69"/>
  <c r="O116" i="69"/>
  <c r="P121" i="69"/>
  <c r="P117" i="69"/>
  <c r="Q122" i="69"/>
  <c r="V120" i="68"/>
  <c r="V116" i="68"/>
  <c r="V112" i="68"/>
  <c r="V108" i="68"/>
  <c r="CN110" i="68"/>
  <c r="W117" i="68"/>
  <c r="CM109" i="68"/>
  <c r="X123" i="68"/>
  <c r="BH109" i="68"/>
  <c r="CQ115" i="68"/>
  <c r="CQ113" i="68"/>
  <c r="CQ111" i="68"/>
  <c r="G23" i="75"/>
  <c r="O23" i="75"/>
  <c r="P23" i="75" s="1"/>
  <c r="Q23" i="75" s="1"/>
  <c r="D25" i="75"/>
  <c r="E24" i="75"/>
  <c r="K23" i="75"/>
  <c r="L23" i="75" s="1"/>
  <c r="M23" i="75" s="1"/>
  <c r="M24" i="75" s="1"/>
  <c r="BG122" i="68"/>
  <c r="BE121" i="68"/>
  <c r="BG120" i="68"/>
  <c r="BE119" i="68"/>
  <c r="BG118" i="68"/>
  <c r="BE117" i="68"/>
  <c r="BE115" i="68"/>
  <c r="BG114" i="68"/>
  <c r="BE111" i="68"/>
  <c r="CO108" i="68"/>
  <c r="CN119" i="68"/>
  <c r="CP118" i="68"/>
  <c r="CN117" i="68"/>
  <c r="CP116" i="68"/>
  <c r="CN113" i="68"/>
  <c r="CN111" i="68"/>
  <c r="CP110" i="68"/>
  <c r="BG116" i="68"/>
  <c r="C34" i="82"/>
  <c r="CP119" i="68"/>
  <c r="CN118" i="68"/>
  <c r="CP117" i="68"/>
  <c r="CN116" i="68"/>
  <c r="CP113" i="68"/>
  <c r="CN112" i="68"/>
  <c r="M15" i="46"/>
  <c r="Y19" i="48"/>
  <c r="Y11" i="48"/>
  <c r="Y21" i="48"/>
  <c r="M17" i="46"/>
  <c r="Y15" i="48"/>
  <c r="BA122" i="69"/>
  <c r="AB16" i="47"/>
  <c r="BH121" i="68"/>
  <c r="BH119" i="68"/>
  <c r="BH117" i="68"/>
  <c r="BH115" i="68"/>
  <c r="BH113" i="68"/>
  <c r="BH111" i="68"/>
  <c r="CQ121" i="68"/>
  <c r="BE122" i="68"/>
  <c r="BG121" i="68"/>
  <c r="BE120" i="68"/>
  <c r="BG119" i="68"/>
  <c r="BE118" i="68"/>
  <c r="BG117" i="68"/>
  <c r="BE116" i="68"/>
  <c r="BG115" i="68"/>
  <c r="BE114" i="68"/>
  <c r="BE110" i="68"/>
  <c r="CQ108" i="68"/>
  <c r="U122" i="68"/>
  <c r="U118" i="68"/>
  <c r="U114" i="68"/>
  <c r="V119" i="68"/>
  <c r="V115" i="68"/>
  <c r="V111" i="68"/>
  <c r="CN108" i="68"/>
  <c r="CP109" i="68"/>
  <c r="CQ110" i="68"/>
  <c r="CM110" i="68"/>
  <c r="CQ109" i="68"/>
  <c r="U120" i="68"/>
  <c r="U116" i="68"/>
  <c r="U112" i="68"/>
  <c r="V121" i="68"/>
  <c r="V117" i="68"/>
  <c r="V113" i="68"/>
  <c r="V109" i="68"/>
  <c r="CP108" i="68"/>
  <c r="CN109" i="68"/>
  <c r="AQ7" i="69"/>
  <c r="AQ60" i="69"/>
  <c r="CX6" i="68"/>
  <c r="CX59" i="68" s="1"/>
  <c r="CX108" i="68" s="1"/>
  <c r="Q10" i="48"/>
  <c r="R10" i="48" s="1"/>
  <c r="Y17" i="48"/>
  <c r="Y13" i="48"/>
  <c r="Y9" i="48"/>
  <c r="AD122" i="69"/>
  <c r="U119" i="68"/>
  <c r="U115" i="68"/>
  <c r="U111" i="68"/>
  <c r="CM108" i="68"/>
  <c r="CO109" i="68"/>
  <c r="BX6" i="68"/>
  <c r="BX59" i="68" s="1"/>
  <c r="BX108" i="68" s="1"/>
  <c r="Y14" i="48"/>
  <c r="Y10" i="48"/>
  <c r="BF122" i="68"/>
  <c r="BD121" i="68"/>
  <c r="BF120" i="68"/>
  <c r="BF118" i="68"/>
  <c r="BD117" i="68"/>
  <c r="BF116" i="68"/>
  <c r="BF114" i="68"/>
  <c r="BD113" i="68"/>
  <c r="BF112" i="68"/>
  <c r="BF110" i="68"/>
  <c r="BD109" i="68"/>
  <c r="BF108" i="68"/>
  <c r="CO122" i="68"/>
  <c r="CM121" i="68"/>
  <c r="CO120" i="68"/>
  <c r="CM115" i="68"/>
  <c r="CO114" i="68"/>
  <c r="CM113" i="68"/>
  <c r="CO112" i="68"/>
  <c r="CM111" i="68"/>
  <c r="CO110" i="68"/>
  <c r="AM121" i="69"/>
  <c r="AJ120" i="69"/>
  <c r="U5" i="69"/>
  <c r="BG120" i="69"/>
  <c r="BA120" i="69"/>
  <c r="U4" i="69"/>
  <c r="AK121" i="69"/>
  <c r="AL120" i="69"/>
  <c r="AR5" i="69"/>
  <c r="BJ124" i="69"/>
  <c r="AD119" i="69"/>
  <c r="AM117" i="69"/>
  <c r="AJ116" i="69"/>
  <c r="AK115" i="69"/>
  <c r="H30" i="7"/>
  <c r="H29" i="7"/>
  <c r="H26" i="7"/>
  <c r="J82" i="41"/>
  <c r="I30" i="41"/>
  <c r="I27" i="41"/>
  <c r="A41" i="82"/>
  <c r="A42" i="82"/>
  <c r="A43" i="82" s="1"/>
  <c r="A44" i="82" s="1"/>
  <c r="A45" i="82" s="1"/>
  <c r="A46" i="82" s="1"/>
  <c r="A47" i="82" s="1"/>
  <c r="A48" i="82" s="1"/>
  <c r="A49" i="82" s="1"/>
  <c r="A50" i="82" s="1"/>
  <c r="A51" i="82" s="1"/>
  <c r="A52" i="82" s="1"/>
  <c r="A53" i="82" s="1"/>
  <c r="A54" i="82" s="1"/>
  <c r="H32" i="37"/>
  <c r="G31" i="37"/>
  <c r="I81" i="37"/>
  <c r="CS115" i="68"/>
  <c r="AP118" i="69"/>
  <c r="AE119" i="68"/>
  <c r="AL123" i="69"/>
  <c r="AJ118" i="69"/>
  <c r="AK117" i="69"/>
  <c r="AL116" i="69"/>
  <c r="BI120" i="69"/>
  <c r="AR4" i="69"/>
  <c r="BO5" i="69"/>
  <c r="BA119" i="69"/>
  <c r="I27" i="38"/>
  <c r="G27" i="23"/>
  <c r="J39" i="47"/>
  <c r="T24" i="84"/>
  <c r="I19" i="44"/>
  <c r="H24" i="44"/>
  <c r="I35" i="44"/>
  <c r="H30" i="44"/>
  <c r="C33" i="87"/>
  <c r="C34" i="87" s="1"/>
  <c r="C35" i="87" s="1"/>
  <c r="C36" i="87" s="1"/>
  <c r="C37" i="87" s="1"/>
  <c r="C38" i="87" s="1"/>
  <c r="C39" i="87" s="1"/>
  <c r="C40" i="87" s="1"/>
  <c r="C41" i="87" s="1"/>
  <c r="C42" i="87" s="1"/>
  <c r="C43" i="87" s="1"/>
  <c r="C44" i="87" s="1"/>
  <c r="C45" i="87" s="1"/>
  <c r="C46" i="87" s="1"/>
  <c r="C47" i="87" s="1"/>
  <c r="C48" i="87" s="1"/>
  <c r="C49" i="87" s="1"/>
  <c r="I27" i="1"/>
  <c r="C33" i="80"/>
  <c r="C33" i="83"/>
  <c r="I38" i="44"/>
  <c r="H29" i="44"/>
  <c r="H25" i="41"/>
  <c r="BO4" i="69"/>
  <c r="G23" i="44"/>
  <c r="H16" i="44"/>
  <c r="I27" i="64"/>
  <c r="G29" i="44"/>
  <c r="G19" i="44"/>
  <c r="H22" i="44"/>
  <c r="G27" i="63"/>
  <c r="G15" i="44"/>
  <c r="Y18" i="48"/>
  <c r="G10" i="44"/>
  <c r="I18" i="63"/>
  <c r="H17" i="63"/>
  <c r="BL58" i="68"/>
  <c r="H20" i="63"/>
  <c r="I19" i="63"/>
  <c r="BL63" i="68"/>
  <c r="P9" i="58"/>
  <c r="G18" i="63"/>
  <c r="I11" i="63"/>
  <c r="P26" i="63"/>
  <c r="BL62" i="68"/>
  <c r="P23" i="63"/>
  <c r="P21" i="63"/>
  <c r="Y25" i="48"/>
  <c r="BL57" i="68"/>
  <c r="BL61" i="68"/>
  <c r="AP116" i="69"/>
  <c r="AM119" i="69"/>
  <c r="AL114" i="69"/>
  <c r="BH115" i="69"/>
  <c r="G122" i="69"/>
  <c r="L23" i="63"/>
  <c r="L21" i="63"/>
  <c r="BN123" i="68"/>
  <c r="BJ121" i="68"/>
  <c r="AD115" i="69"/>
  <c r="AD120" i="69"/>
  <c r="AD117" i="69"/>
  <c r="AL118" i="69"/>
  <c r="BJ118" i="69"/>
  <c r="BJ115" i="68"/>
  <c r="BJ113" i="68"/>
  <c r="AP114" i="69"/>
  <c r="AK123" i="69"/>
  <c r="AM122" i="69"/>
  <c r="AK118" i="69"/>
  <c r="AJ113" i="69"/>
  <c r="BI121" i="69"/>
  <c r="BH117" i="69"/>
  <c r="BJ116" i="69"/>
  <c r="BG112" i="69"/>
  <c r="BH110" i="69"/>
  <c r="BA121" i="69"/>
  <c r="AJ123" i="69"/>
  <c r="AL122" i="69"/>
  <c r="AL119" i="69"/>
  <c r="AL113" i="69"/>
  <c r="AM123" i="69"/>
  <c r="AK122" i="69"/>
  <c r="AK119" i="69"/>
  <c r="AJ114" i="69"/>
  <c r="AJ112" i="69"/>
  <c r="AK109" i="69"/>
  <c r="BK121" i="69"/>
  <c r="BH118" i="69"/>
  <c r="BH116" i="69"/>
  <c r="BJ115" i="69"/>
  <c r="BI114" i="69"/>
  <c r="BG113" i="69"/>
  <c r="BH109" i="69"/>
  <c r="BL125" i="68"/>
  <c r="M19" i="45"/>
  <c r="AP119" i="69"/>
  <c r="AP120" i="69"/>
  <c r="L18" i="45"/>
  <c r="AD116" i="68"/>
  <c r="AP115" i="69"/>
  <c r="AL121" i="69"/>
  <c r="AM120" i="69"/>
  <c r="AJ119" i="69"/>
  <c r="AJ117" i="69"/>
  <c r="AK116" i="69"/>
  <c r="AL115" i="69"/>
  <c r="AL112" i="69"/>
  <c r="AN109" i="69"/>
  <c r="AJ109" i="69"/>
  <c r="BH123" i="69"/>
  <c r="BI122" i="69"/>
  <c r="BG121" i="69"/>
  <c r="BI119" i="69"/>
  <c r="BK109" i="69"/>
  <c r="AC109" i="68"/>
  <c r="AD121" i="69"/>
  <c r="AD118" i="69"/>
  <c r="AD116" i="69"/>
  <c r="BM118" i="68"/>
  <c r="AE117" i="68"/>
  <c r="AP117" i="69"/>
  <c r="BM114" i="68"/>
  <c r="AK120" i="69"/>
  <c r="AM118" i="69"/>
  <c r="AL117" i="69"/>
  <c r="AJ115" i="69"/>
  <c r="AM111" i="69"/>
  <c r="AK110" i="69"/>
  <c r="BJ123" i="69"/>
  <c r="BK122" i="69"/>
  <c r="BG122" i="69"/>
  <c r="BG119" i="69"/>
  <c r="BJ117" i="69"/>
  <c r="CS108" i="68"/>
  <c r="AA117" i="68"/>
  <c r="BN118" i="68"/>
  <c r="BJ119" i="68"/>
  <c r="AD110" i="68"/>
  <c r="CW119" i="68"/>
  <c r="BJ116" i="68"/>
  <c r="AC57" i="68"/>
  <c r="AC63" i="68"/>
  <c r="AD115" i="68"/>
  <c r="BM115" i="68"/>
  <c r="CS120" i="68"/>
  <c r="CS114" i="68"/>
  <c r="BL124" i="68"/>
  <c r="AE121" i="68"/>
  <c r="AC62" i="68"/>
  <c r="CY4" i="68"/>
  <c r="CW114" i="68"/>
  <c r="AD118" i="68"/>
  <c r="BN119" i="68"/>
  <c r="CS122" i="68"/>
  <c r="AD113" i="68"/>
  <c r="CS109" i="68"/>
  <c r="BL123" i="68"/>
  <c r="AE120" i="68"/>
  <c r="BL109" i="68"/>
  <c r="AE115" i="68"/>
  <c r="AD114" i="68"/>
  <c r="BJ122" i="68"/>
  <c r="BJ114" i="68"/>
  <c r="AE122" i="68"/>
  <c r="BL122" i="68"/>
  <c r="BM116" i="68"/>
  <c r="BN114" i="68"/>
  <c r="AC108" i="68"/>
  <c r="AD119" i="68"/>
  <c r="BM119" i="68"/>
  <c r="BN120" i="68"/>
  <c r="AD117" i="68"/>
  <c r="AE116" i="68"/>
  <c r="BJ117" i="68"/>
  <c r="CS121" i="68"/>
  <c r="BM120" i="68"/>
  <c r="BN117" i="68"/>
  <c r="BJ120" i="68"/>
  <c r="AD120" i="68"/>
  <c r="AE118" i="68"/>
  <c r="BM117" i="68"/>
  <c r="BN115" i="68"/>
  <c r="BJ118" i="68"/>
  <c r="CS110" i="68"/>
  <c r="H23" i="74"/>
  <c r="G26" i="74"/>
  <c r="O23" i="74"/>
  <c r="P23" i="74"/>
  <c r="C27" i="63"/>
  <c r="H26" i="67"/>
  <c r="I31" i="41"/>
  <c r="I32" i="41"/>
  <c r="I29" i="41"/>
  <c r="I26" i="41"/>
  <c r="G30" i="41"/>
  <c r="G32" i="41"/>
  <c r="G33" i="41"/>
  <c r="G28" i="41"/>
  <c r="H31" i="37"/>
  <c r="H30" i="37"/>
  <c r="G27" i="4"/>
  <c r="G28" i="4"/>
  <c r="I30" i="42"/>
  <c r="H30" i="42"/>
  <c r="H26" i="42"/>
  <c r="N79" i="42"/>
  <c r="H28" i="62"/>
  <c r="H27" i="62"/>
  <c r="I25" i="61"/>
  <c r="H25" i="61"/>
  <c r="H28" i="61"/>
  <c r="I32" i="61"/>
  <c r="I28" i="61"/>
  <c r="I31" i="61"/>
  <c r="I29" i="61"/>
  <c r="I30" i="61"/>
  <c r="G29" i="61"/>
  <c r="G31" i="61"/>
  <c r="G30" i="61"/>
  <c r="G27" i="61"/>
  <c r="G25" i="61"/>
  <c r="G28" i="61"/>
  <c r="G26" i="41"/>
  <c r="C34" i="90"/>
  <c r="C35" i="90" s="1"/>
  <c r="C36" i="90" s="1"/>
  <c r="C37" i="90" s="1"/>
  <c r="C38" i="90" s="1"/>
  <c r="C39" i="90" s="1"/>
  <c r="C40" i="90" s="1"/>
  <c r="C41" i="90" s="1"/>
  <c r="C42" i="90" s="1"/>
  <c r="C43" i="90" s="1"/>
  <c r="C44" i="90" s="1"/>
  <c r="C45" i="90" s="1"/>
  <c r="C46" i="90" s="1"/>
  <c r="C47" i="90" s="1"/>
  <c r="C48" i="90" s="1"/>
  <c r="C49" i="90" s="1"/>
  <c r="M79" i="37"/>
  <c r="I79" i="37"/>
  <c r="K79" i="37"/>
  <c r="H27" i="35"/>
  <c r="H28" i="35"/>
  <c r="H29" i="35"/>
  <c r="G27" i="1"/>
  <c r="G23" i="37"/>
  <c r="AQ6" i="69"/>
  <c r="H27" i="59"/>
  <c r="H26" i="59"/>
  <c r="I24" i="41"/>
  <c r="G24" i="41"/>
  <c r="I23" i="41"/>
  <c r="H26" i="80"/>
  <c r="L80" i="42"/>
  <c r="J83" i="42"/>
  <c r="H13" i="42"/>
  <c r="G13" i="42"/>
  <c r="I13" i="42"/>
  <c r="H21" i="42"/>
  <c r="G21" i="42"/>
  <c r="I21" i="42"/>
  <c r="N83" i="42"/>
  <c r="N82" i="42"/>
  <c r="J79" i="42"/>
  <c r="N80" i="42"/>
  <c r="I22" i="42"/>
  <c r="G22" i="42"/>
  <c r="H22" i="42"/>
  <c r="J80" i="42"/>
  <c r="H24" i="42"/>
  <c r="G24" i="42"/>
  <c r="L79" i="42"/>
  <c r="H23" i="42"/>
  <c r="I23" i="42"/>
  <c r="G23" i="42"/>
  <c r="I24" i="42"/>
  <c r="I24" i="87"/>
  <c r="H28" i="1"/>
  <c r="H27" i="1"/>
  <c r="H27" i="4"/>
  <c r="H26" i="23"/>
  <c r="I28" i="23"/>
  <c r="I27" i="23"/>
  <c r="I27" i="37"/>
  <c r="I27" i="61"/>
  <c r="H27" i="37"/>
  <c r="H29" i="37"/>
  <c r="I33" i="37"/>
  <c r="I32" i="37"/>
  <c r="I24" i="37"/>
  <c r="G32" i="37"/>
  <c r="K28" i="63"/>
  <c r="L28" i="63" s="1"/>
  <c r="H32" i="61"/>
  <c r="K29" i="63"/>
  <c r="L29" i="63" s="1"/>
  <c r="G25" i="85"/>
  <c r="H25" i="37"/>
  <c r="BN6" i="69"/>
  <c r="BN59" i="69" s="1"/>
  <c r="G26" i="89"/>
  <c r="R9" i="48"/>
  <c r="G26" i="59"/>
  <c r="I37" i="44"/>
  <c r="AN6" i="68"/>
  <c r="AN59" i="68" s="1"/>
  <c r="AN108" i="68" s="1"/>
  <c r="I27" i="62"/>
  <c r="T6" i="68"/>
  <c r="T59" i="68" s="1"/>
  <c r="T108" i="68" s="1"/>
  <c r="O124" i="69"/>
  <c r="U123" i="68"/>
  <c r="G24" i="85"/>
  <c r="Q124" i="69"/>
  <c r="G24" i="37"/>
  <c r="H26" i="48"/>
  <c r="I26" i="59"/>
  <c r="BB5" i="69"/>
  <c r="BB58" i="69" s="1"/>
  <c r="S7" i="36"/>
  <c r="I27" i="36"/>
  <c r="I23" i="59"/>
  <c r="Z6" i="69"/>
  <c r="Z59" i="69" s="1"/>
  <c r="Z109" i="69" s="1"/>
  <c r="I25" i="66"/>
  <c r="I24" i="85"/>
  <c r="I25" i="85"/>
  <c r="I24" i="80"/>
  <c r="Y6" i="69"/>
  <c r="Y59" i="69" s="1"/>
  <c r="D27" i="74"/>
  <c r="I26" i="82"/>
  <c r="I27" i="39"/>
  <c r="I25" i="59"/>
  <c r="K26" i="74"/>
  <c r="L26" i="74" s="1"/>
  <c r="I29" i="44"/>
  <c r="K7" i="39"/>
  <c r="I33" i="44"/>
  <c r="I23" i="44"/>
  <c r="I21" i="44"/>
  <c r="H12" i="44"/>
  <c r="G25" i="44"/>
  <c r="Y5" i="69"/>
  <c r="Y58" i="69" s="1"/>
  <c r="O7" i="1"/>
  <c r="B5" i="69"/>
  <c r="B58" i="69"/>
  <c r="K7" i="1"/>
  <c r="W8" i="59"/>
  <c r="T6" i="69"/>
  <c r="G9" i="63"/>
  <c r="G26" i="83"/>
  <c r="H25" i="46"/>
  <c r="E26" i="46"/>
  <c r="G25" i="88"/>
  <c r="S7" i="42"/>
  <c r="C8" i="42"/>
  <c r="C9" i="42" s="1"/>
  <c r="C10" i="42" s="1"/>
  <c r="C11" i="42" s="1"/>
  <c r="C12" i="42" s="1"/>
  <c r="C13" i="42" s="1"/>
  <c r="C14" i="42" s="1"/>
  <c r="C15" i="42" s="1"/>
  <c r="C16" i="42" s="1"/>
  <c r="C17" i="42" s="1"/>
  <c r="C18" i="42" s="1"/>
  <c r="C19" i="42" s="1"/>
  <c r="C20" i="42" s="1"/>
  <c r="C21" i="42" s="1"/>
  <c r="C22" i="42" s="1"/>
  <c r="C23" i="42" s="1"/>
  <c r="C24" i="42" s="1"/>
  <c r="C25" i="42" s="1"/>
  <c r="C26" i="42" s="1"/>
  <c r="C27" i="42" s="1"/>
  <c r="C28" i="42" s="1"/>
  <c r="C29" i="42" s="1"/>
  <c r="C30" i="42" s="1"/>
  <c r="C31" i="42" s="1"/>
  <c r="C32" i="42" s="1"/>
  <c r="C33" i="42" s="1"/>
  <c r="C34" i="42" s="1"/>
  <c r="C35" i="42" s="1"/>
  <c r="C36" i="42" s="1"/>
  <c r="C37" i="42" s="1"/>
  <c r="C38" i="42" s="1"/>
  <c r="C39" i="42" s="1"/>
  <c r="C40" i="42" s="1"/>
  <c r="C41" i="42" s="1"/>
  <c r="C42" i="42" s="1"/>
  <c r="C43" i="42" s="1"/>
  <c r="C44" i="42" s="1"/>
  <c r="C45" i="42" s="1"/>
  <c r="C46" i="42" s="1"/>
  <c r="C47" i="42" s="1"/>
  <c r="K7" i="42"/>
  <c r="G12" i="66"/>
  <c r="L7" i="46"/>
  <c r="K8" i="46"/>
  <c r="Q8" i="46"/>
  <c r="X7" i="46"/>
  <c r="I24" i="47"/>
  <c r="I22" i="44"/>
  <c r="I20" i="44"/>
  <c r="H25" i="44"/>
  <c r="H11" i="44"/>
  <c r="AE5" i="69"/>
  <c r="AE58" i="69"/>
  <c r="O7" i="36"/>
  <c r="H17" i="62"/>
  <c r="I15" i="63"/>
  <c r="H10" i="63"/>
  <c r="H23" i="44"/>
  <c r="H37" i="44"/>
  <c r="H38" i="44"/>
  <c r="AV5" i="69"/>
  <c r="AV58" i="69" s="1"/>
  <c r="I19" i="67"/>
  <c r="H40" i="44"/>
  <c r="I16" i="62"/>
  <c r="I13" i="62"/>
  <c r="G11" i="62"/>
  <c r="I14" i="63"/>
  <c r="H19" i="66"/>
  <c r="I16" i="66"/>
  <c r="H25" i="67"/>
  <c r="AC7" i="69"/>
  <c r="AC60" i="69"/>
  <c r="AC110" i="69" s="1"/>
  <c r="I17" i="62"/>
  <c r="G19" i="63"/>
  <c r="G11" i="63"/>
  <c r="G14" i="67"/>
  <c r="I12" i="67"/>
  <c r="I17" i="66"/>
  <c r="T9" i="58"/>
  <c r="T8" i="58"/>
  <c r="U8" i="58"/>
  <c r="BA6" i="69" s="1"/>
  <c r="BO6" i="68"/>
  <c r="BP6" i="68" s="1"/>
  <c r="H19" i="67"/>
  <c r="I12" i="66"/>
  <c r="G20" i="62"/>
  <c r="H41" i="44"/>
  <c r="L25" i="63"/>
  <c r="T23" i="84"/>
  <c r="U23" i="84"/>
  <c r="I80" i="37"/>
  <c r="I15" i="62"/>
  <c r="H8" i="62"/>
  <c r="H10" i="67"/>
  <c r="I19" i="66"/>
  <c r="G17" i="66"/>
  <c r="G14" i="66"/>
  <c r="H21" i="66"/>
  <c r="G14" i="63"/>
  <c r="G13" i="67"/>
  <c r="I11" i="67"/>
  <c r="CF6" i="68"/>
  <c r="Y22" i="45"/>
  <c r="I20" i="66"/>
  <c r="J27" i="48"/>
  <c r="J26" i="48"/>
  <c r="CQ123" i="68"/>
  <c r="AJ124" i="69"/>
  <c r="I28" i="37"/>
  <c r="J86" i="41"/>
  <c r="G21" i="66"/>
  <c r="M80" i="37"/>
  <c r="L83" i="41"/>
  <c r="I20" i="67"/>
  <c r="P22" i="63"/>
  <c r="L22" i="63"/>
  <c r="G21" i="62"/>
  <c r="P23" i="84"/>
  <c r="Q23" i="84" s="1"/>
  <c r="H86" i="41"/>
  <c r="J87" i="61"/>
  <c r="M124" i="69"/>
  <c r="I27" i="48"/>
  <c r="I47" i="44"/>
  <c r="Y23" i="48"/>
  <c r="Y24" i="48"/>
  <c r="O7" i="7"/>
  <c r="K7" i="7"/>
  <c r="M62" i="7"/>
  <c r="I26" i="7"/>
  <c r="G26" i="7"/>
  <c r="K61" i="7"/>
  <c r="G27" i="7"/>
  <c r="L61" i="7"/>
  <c r="F5" i="69"/>
  <c r="F58" i="69" s="1"/>
  <c r="I26" i="35"/>
  <c r="G26" i="35"/>
  <c r="H26" i="35"/>
  <c r="AD5" i="69"/>
  <c r="AD58" i="69" s="1"/>
  <c r="M8" i="58"/>
  <c r="G5" i="69"/>
  <c r="G58" i="69" s="1"/>
  <c r="I28" i="36"/>
  <c r="G27" i="36"/>
  <c r="A18" i="36"/>
  <c r="AF6" i="69"/>
  <c r="AF59" i="69" s="1"/>
  <c r="AF109" i="69" s="1"/>
  <c r="S7" i="37"/>
  <c r="K7" i="37"/>
  <c r="I5" i="69"/>
  <c r="I58" i="69" s="1"/>
  <c r="A18" i="37"/>
  <c r="AF58" i="69"/>
  <c r="BL4" i="69"/>
  <c r="G24" i="90"/>
  <c r="BG114" i="69"/>
  <c r="H24" i="90"/>
  <c r="AJ121" i="69"/>
  <c r="A19" i="90"/>
  <c r="N63" i="69"/>
  <c r="N113" i="69" s="1"/>
  <c r="N117" i="69"/>
  <c r="AK61" i="69"/>
  <c r="AK111" i="69" s="1"/>
  <c r="A18" i="80"/>
  <c r="A19" i="80"/>
  <c r="A20" i="80" s="1"/>
  <c r="BH124" i="69"/>
  <c r="G25" i="80"/>
  <c r="R4" i="69"/>
  <c r="H25" i="81"/>
  <c r="AL59" i="69"/>
  <c r="AL109" i="69" s="1"/>
  <c r="BI59" i="69"/>
  <c r="G25" i="81"/>
  <c r="I24" i="81"/>
  <c r="A19" i="81"/>
  <c r="BI62" i="69"/>
  <c r="BI112" i="69"/>
  <c r="H26" i="82"/>
  <c r="P123" i="69"/>
  <c r="AM124" i="69"/>
  <c r="G25" i="82"/>
  <c r="I27" i="82"/>
  <c r="J39" i="72"/>
  <c r="E39" i="72"/>
  <c r="F39" i="72"/>
  <c r="G39" i="72"/>
  <c r="AM115" i="69"/>
  <c r="AM62" i="69"/>
  <c r="AM112" i="69" s="1"/>
  <c r="BJ58" i="69"/>
  <c r="P59" i="69"/>
  <c r="P109" i="69" s="1"/>
  <c r="Q120" i="69"/>
  <c r="BK119" i="69"/>
  <c r="A19" i="83"/>
  <c r="A20" i="83" s="1"/>
  <c r="A21" i="83" s="1"/>
  <c r="G27" i="83"/>
  <c r="Q62" i="69"/>
  <c r="Q112" i="69" s="1"/>
  <c r="AN122" i="69"/>
  <c r="BK61" i="69"/>
  <c r="I27" i="83"/>
  <c r="AO4" i="69"/>
  <c r="AN57" i="69"/>
  <c r="AN116" i="69"/>
  <c r="Q118" i="69"/>
  <c r="Q60" i="69"/>
  <c r="Q110" i="69" s="1"/>
  <c r="AN120" i="69"/>
  <c r="I26" i="83"/>
  <c r="Q114" i="69"/>
  <c r="BK63" i="69"/>
  <c r="H25" i="83"/>
  <c r="Q116" i="69"/>
  <c r="Q58" i="69"/>
  <c r="Q109" i="69" s="1"/>
  <c r="AN118" i="69"/>
  <c r="AN114" i="69"/>
  <c r="I28" i="38"/>
  <c r="I26" i="38"/>
  <c r="S7" i="38"/>
  <c r="BT5" i="68"/>
  <c r="BT58" i="68" s="1"/>
  <c r="H26" i="38"/>
  <c r="A18" i="38"/>
  <c r="I26" i="39"/>
  <c r="G25" i="39"/>
  <c r="H26" i="39"/>
  <c r="H24" i="39"/>
  <c r="G27" i="39"/>
  <c r="I25" i="39"/>
  <c r="S7" i="39"/>
  <c r="A18" i="39"/>
  <c r="AL5" i="68"/>
  <c r="AL58" i="68" s="1"/>
  <c r="AL108" i="68" s="1"/>
  <c r="O7" i="39"/>
  <c r="I24" i="39"/>
  <c r="G27" i="60"/>
  <c r="A18" i="60"/>
  <c r="A19" i="60"/>
  <c r="A20" i="60" s="1"/>
  <c r="G23" i="60"/>
  <c r="A19" i="61"/>
  <c r="A20" i="61" s="1"/>
  <c r="AP6" i="68"/>
  <c r="AP59" i="68" s="1"/>
  <c r="AP108" i="68" s="1"/>
  <c r="H33" i="61"/>
  <c r="G17" i="62"/>
  <c r="H14" i="62"/>
  <c r="I11" i="62"/>
  <c r="H10" i="62"/>
  <c r="G9" i="62"/>
  <c r="CB6" i="68"/>
  <c r="I20" i="62"/>
  <c r="H19" i="62"/>
  <c r="H15" i="62"/>
  <c r="G14" i="62"/>
  <c r="H11" i="62"/>
  <c r="G10" i="62"/>
  <c r="H20" i="62"/>
  <c r="H16" i="62"/>
  <c r="H21" i="62"/>
  <c r="I18" i="62"/>
  <c r="I10" i="62"/>
  <c r="AS6" i="68"/>
  <c r="AS59" i="68" s="1"/>
  <c r="AS108" i="68" s="1"/>
  <c r="I29" i="62"/>
  <c r="G27" i="62"/>
  <c r="I28" i="62"/>
  <c r="G26" i="64"/>
  <c r="CD6" i="68"/>
  <c r="I35" i="65"/>
  <c r="AU6" i="68"/>
  <c r="AU59" i="68" s="1"/>
  <c r="AU108" i="68" s="1"/>
  <c r="CT4" i="68"/>
  <c r="I15" i="66"/>
  <c r="I11" i="66"/>
  <c r="G18" i="66"/>
  <c r="I8" i="66"/>
  <c r="I21" i="66"/>
  <c r="H20" i="66"/>
  <c r="G19" i="66"/>
  <c r="G15" i="66"/>
  <c r="H12" i="66"/>
  <c r="G11" i="66"/>
  <c r="I9" i="66"/>
  <c r="H8" i="66"/>
  <c r="H18" i="66"/>
  <c r="G20" i="66"/>
  <c r="G16" i="66"/>
  <c r="H13" i="66"/>
  <c r="I10" i="66"/>
  <c r="G8" i="66"/>
  <c r="H26" i="66"/>
  <c r="H25" i="66"/>
  <c r="A18" i="66"/>
  <c r="AV6" i="68"/>
  <c r="AV59" i="68" s="1"/>
  <c r="AV108" i="68" s="1"/>
  <c r="I16" i="67"/>
  <c r="G10" i="67"/>
  <c r="G19" i="67"/>
  <c r="I13" i="67"/>
  <c r="H12" i="67"/>
  <c r="G11" i="67"/>
  <c r="I9" i="67"/>
  <c r="H8" i="67"/>
  <c r="H18" i="67"/>
  <c r="G17" i="67"/>
  <c r="I15" i="67"/>
  <c r="H15" i="67"/>
  <c r="H11" i="67"/>
  <c r="AW7" i="68"/>
  <c r="AW60" i="68" s="1"/>
  <c r="AW109" i="68" s="1"/>
  <c r="H17" i="67"/>
  <c r="G16" i="67"/>
  <c r="H13" i="67"/>
  <c r="G12" i="67"/>
  <c r="I10" i="67"/>
  <c r="I25" i="67"/>
  <c r="G26" i="67"/>
  <c r="AB4" i="68"/>
  <c r="H28" i="43"/>
  <c r="BA6" i="68"/>
  <c r="BA59" i="68" s="1"/>
  <c r="BA108" i="68" s="1"/>
  <c r="K7" i="43"/>
  <c r="S7" i="43"/>
  <c r="O7" i="43"/>
  <c r="AB5" i="68"/>
  <c r="BK4" i="68"/>
  <c r="H33" i="42"/>
  <c r="H24" i="85"/>
  <c r="A19" i="85"/>
  <c r="BD122" i="68"/>
  <c r="BD118" i="68"/>
  <c r="BD114" i="68"/>
  <c r="BD62" i="68"/>
  <c r="BD111" i="68" s="1"/>
  <c r="BD58" i="68"/>
  <c r="BD108" i="68" s="1"/>
  <c r="C34" i="85"/>
  <c r="C35" i="85" s="1"/>
  <c r="C36" i="85" s="1"/>
  <c r="C37" i="85" s="1"/>
  <c r="C38" i="85" s="1"/>
  <c r="G24" i="84"/>
  <c r="O24" i="84"/>
  <c r="P24" i="84"/>
  <c r="H24" i="84"/>
  <c r="R33" i="84"/>
  <c r="I24" i="84"/>
  <c r="A20" i="86"/>
  <c r="A21" i="86" s="1"/>
  <c r="A22" i="86" s="1"/>
  <c r="H26" i="86"/>
  <c r="G26" i="87"/>
  <c r="I27" i="87"/>
  <c r="G24" i="87"/>
  <c r="C33" i="88"/>
  <c r="C34" i="88" s="1"/>
  <c r="C35" i="88" s="1"/>
  <c r="C36" i="88" s="1"/>
  <c r="C37" i="88" s="1"/>
  <c r="C38" i="88" s="1"/>
  <c r="C39" i="88" s="1"/>
  <c r="C40" i="88" s="1"/>
  <c r="C41" i="88" s="1"/>
  <c r="C42" i="88" s="1"/>
  <c r="C43" i="88" s="1"/>
  <c r="C44" i="88" s="1"/>
  <c r="C45" i="88" s="1"/>
  <c r="C46" i="88" s="1"/>
  <c r="C47" i="88" s="1"/>
  <c r="C48" i="88" s="1"/>
  <c r="H25" i="88"/>
  <c r="I24" i="88"/>
  <c r="G24" i="88"/>
  <c r="I28" i="89"/>
  <c r="H24" i="89"/>
  <c r="I29" i="89"/>
  <c r="G27" i="89"/>
  <c r="AA123" i="68"/>
  <c r="J23" i="45"/>
  <c r="H25" i="45"/>
  <c r="H26" i="45"/>
  <c r="L26" i="45"/>
  <c r="H25" i="47"/>
  <c r="I9" i="63"/>
  <c r="AF6" i="68"/>
  <c r="AG6" i="68" s="1"/>
  <c r="G13" i="63"/>
  <c r="Q9" i="47"/>
  <c r="R9" i="47"/>
  <c r="L8" i="47"/>
  <c r="W8" i="47"/>
  <c r="Z8" i="47" s="1"/>
  <c r="P24" i="63"/>
  <c r="L26" i="63"/>
  <c r="L24" i="63"/>
  <c r="O28" i="63"/>
  <c r="P28" i="63" s="1"/>
  <c r="H28" i="63"/>
  <c r="H27" i="63"/>
  <c r="I26" i="63"/>
  <c r="CW120" i="68"/>
  <c r="BN121" i="68"/>
  <c r="Y22" i="48"/>
  <c r="AE123" i="68"/>
  <c r="AP121" i="69"/>
  <c r="AP123" i="69"/>
  <c r="CW123" i="68"/>
  <c r="M25" i="48"/>
  <c r="S124" i="69"/>
  <c r="BL110" i="68"/>
  <c r="BL121" i="68"/>
  <c r="K11" i="47"/>
  <c r="V9" i="59"/>
  <c r="AC115" i="68"/>
  <c r="Q10" i="47"/>
  <c r="R10" i="47" s="1"/>
  <c r="BI125" i="69"/>
  <c r="U24" i="84"/>
  <c r="AC114" i="68"/>
  <c r="S125" i="69"/>
  <c r="Q115" i="69"/>
  <c r="Q117" i="69"/>
  <c r="Q23" i="45"/>
  <c r="R23" i="45" s="1"/>
  <c r="N114" i="69"/>
  <c r="Q121" i="69"/>
  <c r="P124" i="69"/>
  <c r="Q113" i="69"/>
  <c r="Q111" i="69"/>
  <c r="N118" i="69"/>
  <c r="AR7" i="69"/>
  <c r="G25" i="75"/>
  <c r="D26" i="75"/>
  <c r="K25" i="75"/>
  <c r="L25" i="75"/>
  <c r="E25" i="75"/>
  <c r="O24" i="75"/>
  <c r="P24" i="75" s="1"/>
  <c r="H24" i="75"/>
  <c r="U9" i="58"/>
  <c r="BA7" i="69" s="1"/>
  <c r="BA60" i="69" s="1"/>
  <c r="CB59" i="68"/>
  <c r="CB108" i="68" s="1"/>
  <c r="BD119" i="68"/>
  <c r="CD59" i="68"/>
  <c r="CD108" i="68" s="1"/>
  <c r="K10" i="48"/>
  <c r="Q11" i="48"/>
  <c r="R11" i="48" s="1"/>
  <c r="BD112" i="68"/>
  <c r="BD115" i="68"/>
  <c r="CF59" i="68"/>
  <c r="CF108" i="68" s="1"/>
  <c r="BD116" i="68"/>
  <c r="V4" i="69"/>
  <c r="C29" i="63"/>
  <c r="C30" i="63" s="1"/>
  <c r="C31" i="63" s="1"/>
  <c r="C32" i="63" s="1"/>
  <c r="C33" i="63" s="1"/>
  <c r="C34" i="63" s="1"/>
  <c r="C35" i="63" s="1"/>
  <c r="C36" i="63" s="1"/>
  <c r="C37" i="63" s="1"/>
  <c r="C38" i="63" s="1"/>
  <c r="C39" i="63" s="1"/>
  <c r="C40" i="63" s="1"/>
  <c r="C41" i="63" s="1"/>
  <c r="C42" i="63" s="1"/>
  <c r="C43" i="63" s="1"/>
  <c r="C44" i="63" s="1"/>
  <c r="C45" i="63" s="1"/>
  <c r="C46" i="63" s="1"/>
  <c r="C47" i="63" s="1"/>
  <c r="C48" i="63" s="1"/>
  <c r="BL118" i="68"/>
  <c r="BL111" i="68"/>
  <c r="BL117" i="68"/>
  <c r="BL116" i="68"/>
  <c r="BL112" i="68"/>
  <c r="AS4" i="69"/>
  <c r="I33" i="41"/>
  <c r="H27" i="61"/>
  <c r="I27" i="42"/>
  <c r="I39" i="72"/>
  <c r="I30" i="37"/>
  <c r="G30" i="37"/>
  <c r="BP4" i="69"/>
  <c r="BL115" i="68"/>
  <c r="BL120" i="68"/>
  <c r="BL119" i="68"/>
  <c r="BN124" i="68"/>
  <c r="BL113" i="68"/>
  <c r="BL114" i="68"/>
  <c r="G35" i="65"/>
  <c r="H26" i="41"/>
  <c r="H35" i="65"/>
  <c r="I28" i="1"/>
  <c r="G28" i="1"/>
  <c r="D30" i="63"/>
  <c r="D31" i="63" s="1"/>
  <c r="H29" i="60"/>
  <c r="H28" i="60"/>
  <c r="H26" i="47"/>
  <c r="BL108" i="68"/>
  <c r="H27" i="64"/>
  <c r="BN125" i="68"/>
  <c r="AN115" i="69"/>
  <c r="AC124" i="68"/>
  <c r="AC117" i="68"/>
  <c r="AC113" i="68"/>
  <c r="AC118" i="68"/>
  <c r="AC111" i="68"/>
  <c r="AK112" i="69"/>
  <c r="AM116" i="69"/>
  <c r="AN121" i="69"/>
  <c r="BI113" i="69"/>
  <c r="AN117" i="69"/>
  <c r="AC123" i="68"/>
  <c r="AC121" i="68"/>
  <c r="AN123" i="69"/>
  <c r="BK120" i="69"/>
  <c r="AJ122" i="69"/>
  <c r="BK114" i="69"/>
  <c r="AN119" i="69"/>
  <c r="AP122" i="69"/>
  <c r="AC116" i="68"/>
  <c r="AC125" i="68"/>
  <c r="AC119" i="68"/>
  <c r="AC120" i="68"/>
  <c r="CW121" i="68"/>
  <c r="CZ4" i="68"/>
  <c r="CW122" i="68"/>
  <c r="AC122" i="68"/>
  <c r="BK5" i="68"/>
  <c r="AC112" i="68"/>
  <c r="CT5" i="68"/>
  <c r="BN122" i="68"/>
  <c r="AE124" i="68"/>
  <c r="E27" i="74"/>
  <c r="H26" i="74"/>
  <c r="O26" i="74"/>
  <c r="P26" i="74" s="1"/>
  <c r="F27" i="74"/>
  <c r="I26" i="74"/>
  <c r="S26" i="74"/>
  <c r="T26" i="74" s="1"/>
  <c r="G29" i="63"/>
  <c r="I33" i="61"/>
  <c r="H33" i="37"/>
  <c r="G29" i="4"/>
  <c r="J28" i="48"/>
  <c r="I25" i="42"/>
  <c r="G26" i="42"/>
  <c r="I26" i="42"/>
  <c r="I31" i="42"/>
  <c r="I32" i="42"/>
  <c r="I29" i="42"/>
  <c r="I28" i="42"/>
  <c r="H28" i="42"/>
  <c r="H27" i="42"/>
  <c r="H29" i="42"/>
  <c r="H25" i="42"/>
  <c r="G28" i="42"/>
  <c r="G32" i="42"/>
  <c r="G29" i="42"/>
  <c r="H29" i="62"/>
  <c r="I26" i="61"/>
  <c r="H26" i="61"/>
  <c r="G28" i="37"/>
  <c r="H28" i="37"/>
  <c r="G26" i="37"/>
  <c r="H28" i="23"/>
  <c r="AQ59" i="69"/>
  <c r="AR6" i="69"/>
  <c r="H28" i="59"/>
  <c r="I26" i="66"/>
  <c r="G26" i="85"/>
  <c r="H28" i="4"/>
  <c r="AW6" i="69"/>
  <c r="AW59" i="69" s="1"/>
  <c r="C6" i="69"/>
  <c r="C59" i="69"/>
  <c r="I29" i="23"/>
  <c r="H27" i="23"/>
  <c r="G28" i="23"/>
  <c r="I30" i="23"/>
  <c r="G25" i="41"/>
  <c r="G31" i="41"/>
  <c r="I23" i="61"/>
  <c r="G23" i="61"/>
  <c r="H23" i="61"/>
  <c r="I28" i="4"/>
  <c r="Y7" i="69"/>
  <c r="Y60" i="69" s="1"/>
  <c r="Y110" i="69" s="1"/>
  <c r="I29" i="1"/>
  <c r="AV6" i="69"/>
  <c r="AV59" i="69"/>
  <c r="H27" i="48"/>
  <c r="G29" i="37"/>
  <c r="F6" i="68"/>
  <c r="F59" i="68" s="1"/>
  <c r="F108" i="68" s="1"/>
  <c r="H29" i="1"/>
  <c r="L9" i="48"/>
  <c r="W9" i="48"/>
  <c r="X9" i="48" s="1"/>
  <c r="H34" i="61"/>
  <c r="G25" i="37"/>
  <c r="G26" i="61"/>
  <c r="I26" i="37"/>
  <c r="H26" i="46"/>
  <c r="U6" i="69"/>
  <c r="T59" i="69"/>
  <c r="T109" i="69" s="1"/>
  <c r="I28" i="43"/>
  <c r="D28" i="74"/>
  <c r="D29" i="74" s="1"/>
  <c r="K27" i="74"/>
  <c r="L27" i="74" s="1"/>
  <c r="G27" i="74"/>
  <c r="G27" i="59"/>
  <c r="G34" i="37"/>
  <c r="J6" i="68"/>
  <c r="J59" i="68" s="1"/>
  <c r="G32" i="61"/>
  <c r="I28" i="41"/>
  <c r="I29" i="37"/>
  <c r="I25" i="47"/>
  <c r="Q9" i="46"/>
  <c r="K9" i="46"/>
  <c r="L9" i="46" s="1"/>
  <c r="I25" i="80"/>
  <c r="Z7" i="69"/>
  <c r="Z60" i="69"/>
  <c r="Z110" i="69" s="1"/>
  <c r="I27" i="59"/>
  <c r="J40" i="47"/>
  <c r="G33" i="37"/>
  <c r="I27" i="7"/>
  <c r="AY6" i="69"/>
  <c r="AY59" i="69" s="1"/>
  <c r="AY109" i="69" s="1"/>
  <c r="F6" i="69"/>
  <c r="F59" i="69" s="1"/>
  <c r="F109" i="69" s="1"/>
  <c r="AC8" i="69"/>
  <c r="AC61" i="69" s="1"/>
  <c r="AC111" i="69" s="1"/>
  <c r="I27" i="35"/>
  <c r="AZ6" i="69"/>
  <c r="AZ59" i="69" s="1"/>
  <c r="AZ109" i="69" s="1"/>
  <c r="G27" i="35"/>
  <c r="AO5" i="69"/>
  <c r="AS5" i="69" s="1"/>
  <c r="G6" i="69"/>
  <c r="G59" i="69" s="1"/>
  <c r="G109" i="69" s="1"/>
  <c r="R5" i="69"/>
  <c r="V5" i="69" s="1"/>
  <c r="I29" i="36"/>
  <c r="A19" i="36"/>
  <c r="H28" i="36"/>
  <c r="G28" i="36"/>
  <c r="A19" i="37"/>
  <c r="H34" i="37"/>
  <c r="I34" i="37"/>
  <c r="A20" i="90"/>
  <c r="H25" i="90"/>
  <c r="I26" i="90"/>
  <c r="G25" i="90"/>
  <c r="G26" i="80"/>
  <c r="BH125" i="69"/>
  <c r="A20" i="81"/>
  <c r="A21" i="81" s="1"/>
  <c r="A22" i="81" s="1"/>
  <c r="G26" i="81"/>
  <c r="I25" i="81"/>
  <c r="H26" i="81"/>
  <c r="C34" i="81"/>
  <c r="AM125" i="69"/>
  <c r="I28" i="82"/>
  <c r="G26" i="82"/>
  <c r="H26" i="83"/>
  <c r="BK124" i="69"/>
  <c r="G28" i="83"/>
  <c r="I28" i="83"/>
  <c r="AN124" i="69"/>
  <c r="I29" i="38"/>
  <c r="BT6" i="68"/>
  <c r="BT59" i="68" s="1"/>
  <c r="G27" i="38"/>
  <c r="A19" i="38"/>
  <c r="I30" i="38"/>
  <c r="H27" i="38"/>
  <c r="AK7" i="68"/>
  <c r="AK60" i="68" s="1"/>
  <c r="I28" i="39"/>
  <c r="G28" i="39"/>
  <c r="H25" i="39"/>
  <c r="A19" i="39"/>
  <c r="BU6" i="68"/>
  <c r="BU59" i="68" s="1"/>
  <c r="BU108" i="68" s="1"/>
  <c r="H27" i="39"/>
  <c r="I34" i="41"/>
  <c r="H27" i="41"/>
  <c r="G28" i="60"/>
  <c r="H35" i="61"/>
  <c r="I30" i="62"/>
  <c r="I29" i="64"/>
  <c r="G27" i="64"/>
  <c r="G36" i="65"/>
  <c r="I36" i="65"/>
  <c r="AU7" i="68"/>
  <c r="AU60" i="68" s="1"/>
  <c r="H27" i="66"/>
  <c r="G25" i="66"/>
  <c r="AV7" i="68"/>
  <c r="AV60" i="68" s="1"/>
  <c r="AV109" i="68" s="1"/>
  <c r="A19" i="66"/>
  <c r="A20" i="66" s="1"/>
  <c r="A21" i="66" s="1"/>
  <c r="A22" i="66" s="1"/>
  <c r="A23" i="66" s="1"/>
  <c r="A24" i="66" s="1"/>
  <c r="A25" i="66" s="1"/>
  <c r="A26" i="66" s="1"/>
  <c r="A27" i="66" s="1"/>
  <c r="I28" i="66"/>
  <c r="I26" i="67"/>
  <c r="G27" i="67"/>
  <c r="H28" i="67"/>
  <c r="R6" i="68"/>
  <c r="R59" i="68" s="1"/>
  <c r="R108" i="68" s="1"/>
  <c r="H29" i="43"/>
  <c r="CJ6" i="68"/>
  <c r="CJ59" i="68" s="1"/>
  <c r="CJ108" i="68" s="1"/>
  <c r="H34" i="42"/>
  <c r="I26" i="85"/>
  <c r="H25" i="85"/>
  <c r="A20" i="85"/>
  <c r="G25" i="84"/>
  <c r="I25" i="84"/>
  <c r="S25" i="84"/>
  <c r="T25" i="84"/>
  <c r="U25" i="84" s="1"/>
  <c r="F26" i="84"/>
  <c r="N35" i="84"/>
  <c r="R34" i="84"/>
  <c r="C34" i="84"/>
  <c r="C35" i="84" s="1"/>
  <c r="C36" i="84" s="1"/>
  <c r="C37" i="84" s="1"/>
  <c r="C38" i="84" s="1"/>
  <c r="C39" i="84" s="1"/>
  <c r="C40" i="84" s="1"/>
  <c r="C41" i="84" s="1"/>
  <c r="C42" i="84" s="1"/>
  <c r="C43" i="84" s="1"/>
  <c r="C44" i="84" s="1"/>
  <c r="C45" i="84" s="1"/>
  <c r="C46" i="84" s="1"/>
  <c r="C47" i="84" s="1"/>
  <c r="C48" i="84" s="1"/>
  <c r="E26" i="84"/>
  <c r="H25" i="84"/>
  <c r="O25" i="84"/>
  <c r="P25" i="84" s="1"/>
  <c r="H27" i="86"/>
  <c r="G27" i="86"/>
  <c r="I27" i="86"/>
  <c r="G27" i="87"/>
  <c r="I28" i="87"/>
  <c r="X124" i="68"/>
  <c r="I25" i="88"/>
  <c r="H26" i="88"/>
  <c r="H25" i="89"/>
  <c r="I30" i="89"/>
  <c r="J26" i="45"/>
  <c r="BO59" i="68"/>
  <c r="AF59" i="68"/>
  <c r="L9" i="47"/>
  <c r="Q11" i="47"/>
  <c r="R11" i="47" s="1"/>
  <c r="I27" i="63"/>
  <c r="O29" i="63"/>
  <c r="P29" i="63" s="1"/>
  <c r="E30" i="63"/>
  <c r="E31" i="63" s="1"/>
  <c r="H29" i="63"/>
  <c r="AE125" i="68"/>
  <c r="CW124" i="68"/>
  <c r="G28" i="62"/>
  <c r="K10" i="47"/>
  <c r="L10" i="47" s="1"/>
  <c r="Q24" i="45"/>
  <c r="R24" i="45" s="1"/>
  <c r="K26" i="75"/>
  <c r="L26" i="75" s="1"/>
  <c r="O25" i="75"/>
  <c r="P25" i="75" s="1"/>
  <c r="E26" i="75"/>
  <c r="H25" i="75"/>
  <c r="D27" i="75"/>
  <c r="G26" i="75"/>
  <c r="L10" i="48"/>
  <c r="W10" i="48"/>
  <c r="X10" i="48" s="1"/>
  <c r="K11" i="48"/>
  <c r="L11" i="48" s="1"/>
  <c r="Q12" i="48"/>
  <c r="R12" i="48" s="1"/>
  <c r="J29" i="48"/>
  <c r="H29" i="80"/>
  <c r="G30" i="4"/>
  <c r="G29" i="1"/>
  <c r="G30" i="63"/>
  <c r="K30" i="63"/>
  <c r="H36" i="65"/>
  <c r="G28" i="89"/>
  <c r="H28" i="64"/>
  <c r="Q12" i="47"/>
  <c r="R12" i="47" s="1"/>
  <c r="H27" i="47"/>
  <c r="K12" i="47"/>
  <c r="W12" i="47" s="1"/>
  <c r="Z12" i="47" s="1"/>
  <c r="AR59" i="69"/>
  <c r="AQ109" i="69"/>
  <c r="AQ110" i="69"/>
  <c r="BM123" i="69"/>
  <c r="H27" i="74"/>
  <c r="O27" i="74"/>
  <c r="P27" i="74" s="1"/>
  <c r="E28" i="74"/>
  <c r="I27" i="74"/>
  <c r="F28" i="74"/>
  <c r="S27" i="74"/>
  <c r="T27" i="74" s="1"/>
  <c r="H28" i="87"/>
  <c r="I34" i="61"/>
  <c r="G34" i="41"/>
  <c r="G25" i="42"/>
  <c r="I33" i="42"/>
  <c r="G33" i="42"/>
  <c r="H30" i="62"/>
  <c r="I29" i="60"/>
  <c r="C35" i="81"/>
  <c r="H29" i="59"/>
  <c r="G29" i="23"/>
  <c r="J41" i="47"/>
  <c r="I28" i="59"/>
  <c r="I26" i="80"/>
  <c r="I35" i="37"/>
  <c r="G28" i="59"/>
  <c r="I29" i="43"/>
  <c r="H27" i="46"/>
  <c r="I29" i="4"/>
  <c r="I26" i="47"/>
  <c r="G28" i="74"/>
  <c r="H30" i="1"/>
  <c r="H29" i="23"/>
  <c r="G26" i="88"/>
  <c r="L8" i="46"/>
  <c r="W8" i="46"/>
  <c r="Z8" i="46" s="1"/>
  <c r="Q10" i="46"/>
  <c r="K10" i="46"/>
  <c r="L10" i="46" s="1"/>
  <c r="G33" i="61"/>
  <c r="I28" i="7"/>
  <c r="G29" i="7"/>
  <c r="I28" i="35"/>
  <c r="AC9" i="69"/>
  <c r="AC62" i="69" s="1"/>
  <c r="I30" i="36"/>
  <c r="H29" i="36"/>
  <c r="A20" i="36"/>
  <c r="G29" i="36"/>
  <c r="I31" i="36"/>
  <c r="H35" i="37"/>
  <c r="A20" i="37"/>
  <c r="A21" i="37" s="1"/>
  <c r="G26" i="90"/>
  <c r="H26" i="90"/>
  <c r="A21" i="90"/>
  <c r="H30" i="80"/>
  <c r="G27" i="80"/>
  <c r="I26" i="81"/>
  <c r="G27" i="81"/>
  <c r="H39" i="72"/>
  <c r="I29" i="82"/>
  <c r="H28" i="82"/>
  <c r="AN125" i="69"/>
  <c r="I29" i="83"/>
  <c r="G29" i="83"/>
  <c r="H27" i="83"/>
  <c r="I31" i="38"/>
  <c r="G28" i="38"/>
  <c r="BT7" i="68"/>
  <c r="BT60" i="68" s="1"/>
  <c r="A20" i="38"/>
  <c r="H28" i="38"/>
  <c r="I29" i="39"/>
  <c r="H28" i="39"/>
  <c r="G29" i="39"/>
  <c r="A20" i="39"/>
  <c r="H28" i="41"/>
  <c r="I35" i="41"/>
  <c r="G29" i="60"/>
  <c r="H36" i="61"/>
  <c r="I31" i="62"/>
  <c r="I30" i="64"/>
  <c r="G28" i="64"/>
  <c r="I37" i="65"/>
  <c r="H37" i="65"/>
  <c r="G37" i="65"/>
  <c r="I29" i="66"/>
  <c r="G26" i="66"/>
  <c r="H28" i="66"/>
  <c r="H29" i="67"/>
  <c r="G28" i="67"/>
  <c r="I27" i="67"/>
  <c r="G29" i="43"/>
  <c r="H35" i="42"/>
  <c r="A21" i="85"/>
  <c r="A22" i="85" s="1"/>
  <c r="A23" i="85" s="1"/>
  <c r="A24" i="85" s="1"/>
  <c r="A25" i="85" s="1"/>
  <c r="A26" i="85" s="1"/>
  <c r="A27" i="85" s="1"/>
  <c r="A28" i="85" s="1"/>
  <c r="H26" i="85"/>
  <c r="G26" i="84"/>
  <c r="N36" i="84"/>
  <c r="R35" i="84"/>
  <c r="O26" i="84"/>
  <c r="P26" i="84" s="1"/>
  <c r="H26" i="84"/>
  <c r="E27" i="84"/>
  <c r="O27" i="84" s="1"/>
  <c r="P27" i="84" s="1"/>
  <c r="I26" i="84"/>
  <c r="S26" i="84"/>
  <c r="T26" i="84"/>
  <c r="F27" i="84"/>
  <c r="G28" i="86"/>
  <c r="H28" i="86"/>
  <c r="G28" i="87"/>
  <c r="I29" i="87"/>
  <c r="H27" i="88"/>
  <c r="I26" i="88"/>
  <c r="I31" i="89"/>
  <c r="J27" i="45"/>
  <c r="W10" i="47"/>
  <c r="Z10" i="47" s="1"/>
  <c r="L11" i="47"/>
  <c r="W9" i="47"/>
  <c r="W11" i="47"/>
  <c r="Z11" i="47" s="1"/>
  <c r="H30" i="63"/>
  <c r="G30" i="48"/>
  <c r="J30" i="48" s="1"/>
  <c r="CW125" i="68"/>
  <c r="H28" i="47"/>
  <c r="J43" i="47"/>
  <c r="Q25" i="45"/>
  <c r="R25" i="45"/>
  <c r="O26" i="75"/>
  <c r="P26" i="75" s="1"/>
  <c r="H26" i="75"/>
  <c r="E27" i="75"/>
  <c r="D28" i="75"/>
  <c r="D29" i="75" s="1"/>
  <c r="G27" i="75"/>
  <c r="K27" i="75"/>
  <c r="L27" i="75" s="1"/>
  <c r="Q13" i="48"/>
  <c r="R13" i="48" s="1"/>
  <c r="K12" i="48"/>
  <c r="W12" i="48" s="1"/>
  <c r="X12" i="48" s="1"/>
  <c r="G29" i="62"/>
  <c r="H30" i="60"/>
  <c r="G29" i="89"/>
  <c r="C36" i="81"/>
  <c r="C37" i="81" s="1"/>
  <c r="C38" i="81" s="1"/>
  <c r="C39" i="81" s="1"/>
  <c r="C40" i="81" s="1"/>
  <c r="C41" i="81" s="1"/>
  <c r="C42" i="81" s="1"/>
  <c r="C43" i="81" s="1"/>
  <c r="C44" i="81" s="1"/>
  <c r="C45" i="81" s="1"/>
  <c r="C46" i="81" s="1"/>
  <c r="C47" i="81" s="1"/>
  <c r="C48" i="81" s="1"/>
  <c r="Q13" i="47"/>
  <c r="R13" i="47" s="1"/>
  <c r="H29" i="64"/>
  <c r="L13" i="47"/>
  <c r="E29" i="74"/>
  <c r="O29" i="74" s="1"/>
  <c r="P29" i="74" s="1"/>
  <c r="O28" i="74"/>
  <c r="P28" i="74" s="1"/>
  <c r="H28" i="74"/>
  <c r="F29" i="74"/>
  <c r="I29" i="74" s="1"/>
  <c r="S28" i="74"/>
  <c r="T28" i="74" s="1"/>
  <c r="I28" i="74"/>
  <c r="H29" i="87"/>
  <c r="I35" i="61"/>
  <c r="G35" i="41"/>
  <c r="H36" i="37"/>
  <c r="H29" i="4"/>
  <c r="I34" i="42"/>
  <c r="G34" i="42"/>
  <c r="H31" i="62"/>
  <c r="I30" i="60"/>
  <c r="H30" i="59"/>
  <c r="G30" i="23"/>
  <c r="I27" i="47"/>
  <c r="G34" i="61"/>
  <c r="H28" i="46"/>
  <c r="I30" i="43"/>
  <c r="G29" i="59"/>
  <c r="W9" i="46"/>
  <c r="Z9" i="46" s="1"/>
  <c r="CU7" i="68" s="1"/>
  <c r="H30" i="23"/>
  <c r="I30" i="4"/>
  <c r="I36" i="37"/>
  <c r="Q11" i="46"/>
  <c r="K11" i="46"/>
  <c r="L11" i="46" s="1"/>
  <c r="G27" i="88"/>
  <c r="I29" i="59"/>
  <c r="G35" i="37"/>
  <c r="H29" i="48"/>
  <c r="J42" i="47"/>
  <c r="I29" i="7"/>
  <c r="G30" i="7"/>
  <c r="I29" i="35"/>
  <c r="G29" i="35"/>
  <c r="H30" i="36"/>
  <c r="G30" i="36"/>
  <c r="A21" i="36"/>
  <c r="G36" i="37"/>
  <c r="A22" i="90"/>
  <c r="A23" i="90" s="1"/>
  <c r="A24" i="90" s="1"/>
  <c r="G27" i="90"/>
  <c r="G28" i="81"/>
  <c r="I30" i="82"/>
  <c r="H29" i="82"/>
  <c r="G28" i="82"/>
  <c r="H28" i="83"/>
  <c r="G30" i="83"/>
  <c r="I30" i="83"/>
  <c r="AN126" i="69"/>
  <c r="A21" i="38"/>
  <c r="G29" i="38"/>
  <c r="H29" i="38"/>
  <c r="I30" i="39"/>
  <c r="G30" i="39"/>
  <c r="A21" i="39"/>
  <c r="A22" i="39"/>
  <c r="A23" i="39" s="1"/>
  <c r="H29" i="39"/>
  <c r="I36" i="41"/>
  <c r="H29" i="41"/>
  <c r="G30" i="60"/>
  <c r="H37" i="61"/>
  <c r="I32" i="62"/>
  <c r="G30" i="62"/>
  <c r="G29" i="64"/>
  <c r="H38" i="65"/>
  <c r="G38" i="65"/>
  <c r="I38" i="65"/>
  <c r="I30" i="66"/>
  <c r="H29" i="66"/>
  <c r="G29" i="67"/>
  <c r="I28" i="67"/>
  <c r="H30" i="67"/>
  <c r="G30" i="43"/>
  <c r="H36" i="42"/>
  <c r="G29" i="85"/>
  <c r="I27" i="84"/>
  <c r="S27" i="84"/>
  <c r="T27" i="84" s="1"/>
  <c r="G27" i="84"/>
  <c r="H27" i="84"/>
  <c r="N37" i="84"/>
  <c r="R36" i="84"/>
  <c r="H29" i="86"/>
  <c r="G29" i="86"/>
  <c r="I29" i="86"/>
  <c r="G29" i="87"/>
  <c r="I30" i="87"/>
  <c r="H28" i="88"/>
  <c r="I27" i="88"/>
  <c r="I32" i="89"/>
  <c r="S127" i="69"/>
  <c r="H29" i="47"/>
  <c r="Q14" i="47"/>
  <c r="R14" i="47" s="1"/>
  <c r="L14" i="47"/>
  <c r="I29" i="63"/>
  <c r="J44" i="47"/>
  <c r="D26" i="45"/>
  <c r="D27" i="45" s="1"/>
  <c r="G28" i="75"/>
  <c r="E28" i="75"/>
  <c r="H27" i="75"/>
  <c r="O27" i="75"/>
  <c r="P27" i="75" s="1"/>
  <c r="L12" i="48"/>
  <c r="K13" i="48"/>
  <c r="Q14" i="48"/>
  <c r="R14" i="48"/>
  <c r="G30" i="89"/>
  <c r="H29" i="74"/>
  <c r="F30" i="74"/>
  <c r="F31" i="74" s="1"/>
  <c r="H30" i="87"/>
  <c r="I36" i="61"/>
  <c r="G36" i="41"/>
  <c r="I35" i="42"/>
  <c r="G35" i="42"/>
  <c r="H32" i="62"/>
  <c r="G28" i="88"/>
  <c r="G35" i="61"/>
  <c r="G37" i="37"/>
  <c r="I28" i="47"/>
  <c r="W10" i="46"/>
  <c r="Z10" i="46" s="1"/>
  <c r="I30" i="59"/>
  <c r="Q12" i="46"/>
  <c r="K12" i="46"/>
  <c r="L12" i="46" s="1"/>
  <c r="H29" i="46"/>
  <c r="I30" i="7"/>
  <c r="G31" i="7"/>
  <c r="I30" i="35"/>
  <c r="G30" i="35"/>
  <c r="A22" i="36"/>
  <c r="I37" i="37"/>
  <c r="I29" i="90"/>
  <c r="G29" i="80"/>
  <c r="H29" i="81"/>
  <c r="G29" i="81"/>
  <c r="H30" i="82"/>
  <c r="G29" i="82"/>
  <c r="I31" i="82"/>
  <c r="I31" i="83"/>
  <c r="G31" i="83"/>
  <c r="H29" i="83"/>
  <c r="G30" i="38"/>
  <c r="A22" i="38"/>
  <c r="I31" i="39"/>
  <c r="G31" i="39"/>
  <c r="H30" i="39"/>
  <c r="I37" i="41"/>
  <c r="H30" i="41"/>
  <c r="H38" i="61"/>
  <c r="G31" i="62"/>
  <c r="I33" i="62"/>
  <c r="G30" i="64"/>
  <c r="I39" i="65"/>
  <c r="H39" i="65"/>
  <c r="G39" i="65"/>
  <c r="G28" i="66"/>
  <c r="H30" i="66"/>
  <c r="I31" i="66"/>
  <c r="G30" i="67"/>
  <c r="I29" i="67"/>
  <c r="H31" i="67"/>
  <c r="H37" i="42"/>
  <c r="I29" i="85"/>
  <c r="G30" i="85"/>
  <c r="N38" i="84"/>
  <c r="R37" i="84"/>
  <c r="H28" i="84"/>
  <c r="O28" i="84"/>
  <c r="P28" i="84" s="1"/>
  <c r="G28" i="84"/>
  <c r="I28" i="84"/>
  <c r="S28" i="84"/>
  <c r="T28" i="84"/>
  <c r="G30" i="86"/>
  <c r="H30" i="86"/>
  <c r="G30" i="87"/>
  <c r="I31" i="87"/>
  <c r="H29" i="88"/>
  <c r="I28" i="88"/>
  <c r="I33" i="89"/>
  <c r="H28" i="89"/>
  <c r="L15" i="47"/>
  <c r="Q15" i="47"/>
  <c r="R15" i="47" s="1"/>
  <c r="I30" i="63"/>
  <c r="I26" i="45"/>
  <c r="R26" i="45"/>
  <c r="J45" i="47"/>
  <c r="Q27" i="45"/>
  <c r="E29" i="75"/>
  <c r="O28" i="75"/>
  <c r="P28" i="75" s="1"/>
  <c r="H28" i="75"/>
  <c r="W13" i="48"/>
  <c r="X13" i="48"/>
  <c r="L13" i="48"/>
  <c r="Q15" i="48"/>
  <c r="R15" i="48" s="1"/>
  <c r="K14" i="48"/>
  <c r="G31" i="89"/>
  <c r="I30" i="74"/>
  <c r="H31" i="87"/>
  <c r="I37" i="61"/>
  <c r="G37" i="41"/>
  <c r="H38" i="37"/>
  <c r="H37" i="37"/>
  <c r="I36" i="42"/>
  <c r="G36" i="42"/>
  <c r="H33" i="62"/>
  <c r="I38" i="37"/>
  <c r="Q13" i="46"/>
  <c r="L13" i="46"/>
  <c r="W11" i="46"/>
  <c r="Z11" i="46" s="1"/>
  <c r="I29" i="47"/>
  <c r="G29" i="88"/>
  <c r="I29" i="80"/>
  <c r="G38" i="37"/>
  <c r="G36" i="61"/>
  <c r="A23" i="36"/>
  <c r="H29" i="90"/>
  <c r="I30" i="90"/>
  <c r="G29" i="90"/>
  <c r="I29" i="81"/>
  <c r="H30" i="81"/>
  <c r="G30" i="81"/>
  <c r="G30" i="82"/>
  <c r="I32" i="82"/>
  <c r="H31" i="82"/>
  <c r="H30" i="83"/>
  <c r="G32" i="83"/>
  <c r="I32" i="83"/>
  <c r="A23" i="38"/>
  <c r="I32" i="39"/>
  <c r="H31" i="39"/>
  <c r="G32" i="39"/>
  <c r="H31" i="41"/>
  <c r="I38" i="41"/>
  <c r="H39" i="61"/>
  <c r="G32" i="62"/>
  <c r="I34" i="62"/>
  <c r="H40" i="65"/>
  <c r="G40" i="65"/>
  <c r="I40" i="65"/>
  <c r="G29" i="66"/>
  <c r="I30" i="67"/>
  <c r="G31" i="67"/>
  <c r="H38" i="42"/>
  <c r="H29" i="85"/>
  <c r="I30" i="85"/>
  <c r="N39" i="84"/>
  <c r="R38" i="84"/>
  <c r="T38" i="84" s="1"/>
  <c r="I29" i="84"/>
  <c r="S29" i="84"/>
  <c r="T29" i="84" s="1"/>
  <c r="O29" i="84"/>
  <c r="P29" i="84"/>
  <c r="H29" i="84"/>
  <c r="G29" i="84"/>
  <c r="H31" i="86"/>
  <c r="G31" i="87"/>
  <c r="I32" i="87"/>
  <c r="I29" i="88"/>
  <c r="H30" i="88"/>
  <c r="H29" i="89"/>
  <c r="J30" i="45"/>
  <c r="L16" i="47"/>
  <c r="Q16" i="47"/>
  <c r="R16" i="47" s="1"/>
  <c r="I31" i="63"/>
  <c r="J46" i="47"/>
  <c r="O29" i="75"/>
  <c r="P29" i="75" s="1"/>
  <c r="H29" i="75"/>
  <c r="E30" i="75"/>
  <c r="Q16" i="48"/>
  <c r="R16" i="48" s="1"/>
  <c r="K15" i="48"/>
  <c r="L14" i="48"/>
  <c r="W14" i="48"/>
  <c r="X14" i="48" s="1"/>
  <c r="G32" i="89"/>
  <c r="H32" i="87"/>
  <c r="I38" i="61"/>
  <c r="G38" i="41"/>
  <c r="H39" i="37"/>
  <c r="I37" i="42"/>
  <c r="G37" i="42"/>
  <c r="H34" i="62"/>
  <c r="I30" i="80"/>
  <c r="Q14" i="46"/>
  <c r="L14" i="46"/>
  <c r="I39" i="37"/>
  <c r="G37" i="61"/>
  <c r="G39" i="37"/>
  <c r="G30" i="88"/>
  <c r="W12" i="46"/>
  <c r="Z12" i="46" s="1"/>
  <c r="A24" i="36"/>
  <c r="G30" i="90"/>
  <c r="H30" i="90"/>
  <c r="G31" i="81"/>
  <c r="I30" i="81"/>
  <c r="H31" i="81"/>
  <c r="G31" i="82"/>
  <c r="I33" i="82"/>
  <c r="H32" i="82"/>
  <c r="G33" i="83"/>
  <c r="I33" i="83"/>
  <c r="H31" i="83"/>
  <c r="A24" i="38"/>
  <c r="A25" i="38" s="1"/>
  <c r="A26" i="38" s="1"/>
  <c r="I33" i="39"/>
  <c r="G33" i="39"/>
  <c r="H32" i="39"/>
  <c r="I39" i="41"/>
  <c r="H32" i="41"/>
  <c r="H40" i="61"/>
  <c r="G33" i="62"/>
  <c r="I35" i="62"/>
  <c r="I41" i="65"/>
  <c r="H41" i="65"/>
  <c r="G41" i="65"/>
  <c r="G30" i="66"/>
  <c r="I31" i="67"/>
  <c r="H39" i="42"/>
  <c r="S30" i="84"/>
  <c r="T30" i="84" s="1"/>
  <c r="I30" i="84"/>
  <c r="R39" i="84"/>
  <c r="N40" i="84"/>
  <c r="O30" i="84"/>
  <c r="P30" i="84"/>
  <c r="H30" i="84"/>
  <c r="G30" i="84"/>
  <c r="H32" i="86"/>
  <c r="G32" i="87"/>
  <c r="I33" i="87"/>
  <c r="H31" i="88"/>
  <c r="I30" i="88"/>
  <c r="H30" i="89"/>
  <c r="J31" i="45"/>
  <c r="H32" i="47"/>
  <c r="Q17" i="47"/>
  <c r="R17" i="47" s="1"/>
  <c r="L17" i="47"/>
  <c r="J47" i="47"/>
  <c r="E31" i="75"/>
  <c r="H30" i="75"/>
  <c r="O30" i="75"/>
  <c r="P30" i="75" s="1"/>
  <c r="K16" i="48"/>
  <c r="W16" i="48" s="1"/>
  <c r="X16" i="48" s="1"/>
  <c r="Q17" i="48"/>
  <c r="R17" i="48" s="1"/>
  <c r="W15" i="48"/>
  <c r="X15" i="48" s="1"/>
  <c r="L15" i="48"/>
  <c r="G33" i="89"/>
  <c r="H33" i="87"/>
  <c r="I39" i="61"/>
  <c r="G39" i="41"/>
  <c r="H40" i="37"/>
  <c r="I38" i="42"/>
  <c r="G38" i="42"/>
  <c r="H35" i="62"/>
  <c r="G38" i="61"/>
  <c r="Q15" i="46"/>
  <c r="L15" i="46"/>
  <c r="G31" i="88"/>
  <c r="G40" i="37"/>
  <c r="A25" i="36"/>
  <c r="H32" i="81"/>
  <c r="G32" i="81"/>
  <c r="I31" i="81"/>
  <c r="I34" i="82"/>
  <c r="G32" i="82"/>
  <c r="H33" i="82"/>
  <c r="H32" i="83"/>
  <c r="I34" i="39"/>
  <c r="H33" i="39"/>
  <c r="G34" i="39"/>
  <c r="H33" i="41"/>
  <c r="I40" i="41"/>
  <c r="H41" i="61"/>
  <c r="I36" i="62"/>
  <c r="G34" i="62"/>
  <c r="H42" i="65"/>
  <c r="G42" i="65"/>
  <c r="I42" i="65"/>
  <c r="H40" i="42"/>
  <c r="I31" i="84"/>
  <c r="S31" i="84"/>
  <c r="T31" i="84" s="1"/>
  <c r="G31" i="84"/>
  <c r="O31" i="84"/>
  <c r="P31" i="84" s="1"/>
  <c r="H31" i="84"/>
  <c r="R40" i="84"/>
  <c r="N41" i="84"/>
  <c r="G33" i="87"/>
  <c r="I34" i="87"/>
  <c r="I31" i="88"/>
  <c r="H32" i="88"/>
  <c r="H31" i="89"/>
  <c r="J32" i="45"/>
  <c r="Q18" i="47"/>
  <c r="R18" i="47" s="1"/>
  <c r="L18" i="47"/>
  <c r="J48" i="47"/>
  <c r="E32" i="75"/>
  <c r="O31" i="75"/>
  <c r="P31" i="75" s="1"/>
  <c r="H31" i="75"/>
  <c r="Q18" i="48"/>
  <c r="R18" i="48" s="1"/>
  <c r="K17" i="48"/>
  <c r="W17" i="48" s="1"/>
  <c r="X17" i="48" s="1"/>
  <c r="H43" i="61"/>
  <c r="A26" i="36"/>
  <c r="A27" i="36" s="1"/>
  <c r="H34" i="87"/>
  <c r="I40" i="61"/>
  <c r="G40" i="41"/>
  <c r="H41" i="37"/>
  <c r="I39" i="42"/>
  <c r="G39" i="42"/>
  <c r="H36" i="62"/>
  <c r="I40" i="37"/>
  <c r="Q16" i="46"/>
  <c r="L16" i="46"/>
  <c r="G32" i="88"/>
  <c r="G39" i="61"/>
  <c r="G41" i="37"/>
  <c r="I41" i="37"/>
  <c r="I32" i="81"/>
  <c r="G33" i="81"/>
  <c r="H33" i="81"/>
  <c r="G33" i="82"/>
  <c r="H34" i="82"/>
  <c r="H33" i="83"/>
  <c r="I35" i="39"/>
  <c r="G35" i="39"/>
  <c r="H34" i="39"/>
  <c r="H34" i="41"/>
  <c r="I41" i="41"/>
  <c r="H42" i="61"/>
  <c r="I37" i="62"/>
  <c r="G35" i="62"/>
  <c r="H41" i="42"/>
  <c r="R41" i="84"/>
  <c r="N42" i="84"/>
  <c r="G32" i="84"/>
  <c r="I32" i="84"/>
  <c r="S32" i="84"/>
  <c r="T32" i="84" s="1"/>
  <c r="H32" i="84"/>
  <c r="O32" i="84"/>
  <c r="P32" i="84"/>
  <c r="G34" i="87"/>
  <c r="I35" i="87"/>
  <c r="H33" i="88"/>
  <c r="I32" i="88"/>
  <c r="H32" i="89"/>
  <c r="J33" i="45"/>
  <c r="Q19" i="47"/>
  <c r="R19" i="47"/>
  <c r="L19" i="47"/>
  <c r="Y16" i="47"/>
  <c r="J49" i="47"/>
  <c r="O32" i="75"/>
  <c r="P32" i="75" s="1"/>
  <c r="E33" i="75"/>
  <c r="H32" i="75"/>
  <c r="K18" i="48"/>
  <c r="L18" i="48" s="1"/>
  <c r="Q19" i="48"/>
  <c r="R19" i="48" s="1"/>
  <c r="L17" i="48"/>
  <c r="H44" i="61"/>
  <c r="I43" i="41"/>
  <c r="H35" i="87"/>
  <c r="I41" i="61"/>
  <c r="G41" i="41"/>
  <c r="I40" i="42"/>
  <c r="G40" i="42"/>
  <c r="H37" i="62"/>
  <c r="G33" i="88"/>
  <c r="Q17" i="46"/>
  <c r="L17" i="46"/>
  <c r="G40" i="61"/>
  <c r="H34" i="81"/>
  <c r="I33" i="81"/>
  <c r="G34" i="81"/>
  <c r="G34" i="82"/>
  <c r="I36" i="39"/>
  <c r="H35" i="39"/>
  <c r="G36" i="39"/>
  <c r="I42" i="41"/>
  <c r="H35" i="41"/>
  <c r="G36" i="62"/>
  <c r="I38" i="62"/>
  <c r="H42" i="42"/>
  <c r="S33" i="84"/>
  <c r="T33" i="84"/>
  <c r="I33" i="84"/>
  <c r="R42" i="84"/>
  <c r="O33" i="84"/>
  <c r="P33" i="84" s="1"/>
  <c r="H33" i="84"/>
  <c r="G33" i="84"/>
  <c r="G35" i="87"/>
  <c r="I36" i="87"/>
  <c r="I33" i="88"/>
  <c r="H34" i="88"/>
  <c r="H33" i="89"/>
  <c r="J34" i="45"/>
  <c r="L20" i="47"/>
  <c r="Q20" i="47"/>
  <c r="R20" i="47"/>
  <c r="CV116" i="68"/>
  <c r="J50" i="47"/>
  <c r="E34" i="75"/>
  <c r="H33" i="75"/>
  <c r="O33" i="75"/>
  <c r="P33" i="75" s="1"/>
  <c r="K19" i="48"/>
  <c r="O10" i="48"/>
  <c r="Q20" i="48"/>
  <c r="R20" i="48" s="1"/>
  <c r="H43" i="42"/>
  <c r="H45" i="61"/>
  <c r="I43" i="61"/>
  <c r="H44" i="42"/>
  <c r="I44" i="41"/>
  <c r="G43" i="41"/>
  <c r="H42" i="37"/>
  <c r="G42" i="37"/>
  <c r="I42" i="37"/>
  <c r="H36" i="87"/>
  <c r="I42" i="61"/>
  <c r="G42" i="41"/>
  <c r="I41" i="42"/>
  <c r="G41" i="42"/>
  <c r="H38" i="62"/>
  <c r="G41" i="61"/>
  <c r="Q18" i="46"/>
  <c r="L18" i="46"/>
  <c r="Y15" i="46"/>
  <c r="G34" i="88"/>
  <c r="G35" i="81"/>
  <c r="H35" i="81"/>
  <c r="I34" i="81"/>
  <c r="I37" i="39"/>
  <c r="H36" i="39"/>
  <c r="G37" i="39"/>
  <c r="H36" i="41"/>
  <c r="I39" i="62"/>
  <c r="G37" i="62"/>
  <c r="G34" i="84"/>
  <c r="S34" i="84"/>
  <c r="T34" i="84"/>
  <c r="I34" i="84"/>
  <c r="O34" i="84"/>
  <c r="P34" i="84"/>
  <c r="H34" i="84"/>
  <c r="G36" i="87"/>
  <c r="I37" i="87"/>
  <c r="H35" i="88"/>
  <c r="I34" i="88"/>
  <c r="J35" i="45"/>
  <c r="Q21" i="47"/>
  <c r="R21" i="47"/>
  <c r="L21" i="47"/>
  <c r="J51" i="47"/>
  <c r="O34" i="75"/>
  <c r="P34" i="75" s="1"/>
  <c r="E35" i="75"/>
  <c r="H35" i="75" s="1"/>
  <c r="H34" i="75"/>
  <c r="K20" i="48"/>
  <c r="Q21" i="48"/>
  <c r="R21" i="48" s="1"/>
  <c r="W19" i="48"/>
  <c r="X19" i="48" s="1"/>
  <c r="L19" i="48"/>
  <c r="H46" i="61"/>
  <c r="I44" i="61"/>
  <c r="G43" i="61"/>
  <c r="I43" i="42"/>
  <c r="G43" i="42"/>
  <c r="I45" i="41"/>
  <c r="G44" i="41"/>
  <c r="H43" i="37"/>
  <c r="G43" i="37"/>
  <c r="I43" i="37"/>
  <c r="H37" i="87"/>
  <c r="I42" i="42"/>
  <c r="G42" i="42"/>
  <c r="H39" i="62"/>
  <c r="G35" i="88"/>
  <c r="Q19" i="46"/>
  <c r="L19" i="46"/>
  <c r="G42" i="61"/>
  <c r="G36" i="81"/>
  <c r="I35" i="81"/>
  <c r="H36" i="81"/>
  <c r="I38" i="39"/>
  <c r="H37" i="39"/>
  <c r="G38" i="39"/>
  <c r="H37" i="41"/>
  <c r="G38" i="62"/>
  <c r="I40" i="62"/>
  <c r="O35" i="84"/>
  <c r="P35" i="84" s="1"/>
  <c r="H35" i="84"/>
  <c r="S35" i="84"/>
  <c r="T35" i="84" s="1"/>
  <c r="I35" i="84"/>
  <c r="G35" i="84"/>
  <c r="G37" i="87"/>
  <c r="I38" i="87"/>
  <c r="H36" i="88"/>
  <c r="I35" i="88"/>
  <c r="J36" i="45"/>
  <c r="Y19" i="47"/>
  <c r="L22" i="47"/>
  <c r="Q22" i="47"/>
  <c r="R22" i="47" s="1"/>
  <c r="S21" i="47"/>
  <c r="AC21" i="47"/>
  <c r="J52" i="47"/>
  <c r="E36" i="75"/>
  <c r="O36" i="75" s="1"/>
  <c r="P36" i="75" s="1"/>
  <c r="W20" i="48"/>
  <c r="X20" i="48" s="1"/>
  <c r="L20" i="48"/>
  <c r="K21" i="48"/>
  <c r="Q22" i="48"/>
  <c r="R22" i="48" s="1"/>
  <c r="H45" i="42"/>
  <c r="H47" i="61"/>
  <c r="I45" i="61"/>
  <c r="G44" i="61"/>
  <c r="I44" i="42"/>
  <c r="G44" i="42"/>
  <c r="I46" i="41"/>
  <c r="G45" i="41"/>
  <c r="H44" i="37"/>
  <c r="G44" i="37"/>
  <c r="I44" i="37"/>
  <c r="CU115" i="68"/>
  <c r="H38" i="87"/>
  <c r="H40" i="62"/>
  <c r="Q20" i="46"/>
  <c r="L20" i="46"/>
  <c r="G36" i="88"/>
  <c r="H37" i="81"/>
  <c r="I36" i="81"/>
  <c r="G37" i="81"/>
  <c r="I39" i="39"/>
  <c r="H38" i="39"/>
  <c r="G39" i="39"/>
  <c r="H38" i="41"/>
  <c r="I41" i="62"/>
  <c r="G39" i="62"/>
  <c r="O36" i="84"/>
  <c r="P36" i="84" s="1"/>
  <c r="H36" i="84"/>
  <c r="G36" i="84"/>
  <c r="S36" i="84"/>
  <c r="T36" i="84" s="1"/>
  <c r="I36" i="84"/>
  <c r="G38" i="87"/>
  <c r="I39" i="87"/>
  <c r="H37" i="88"/>
  <c r="I36" i="88"/>
  <c r="J37" i="45"/>
  <c r="L23" i="47"/>
  <c r="Q23" i="47"/>
  <c r="R23" i="47" s="1"/>
  <c r="AC22" i="47"/>
  <c r="S22" i="47"/>
  <c r="CV119" i="68"/>
  <c r="J53" i="47"/>
  <c r="J54" i="47"/>
  <c r="E37" i="75"/>
  <c r="E38" i="75" s="1"/>
  <c r="K22" i="48"/>
  <c r="Q23" i="48"/>
  <c r="R23" i="48" s="1"/>
  <c r="L21" i="48"/>
  <c r="W21" i="48"/>
  <c r="X21" i="48" s="1"/>
  <c r="H46" i="42"/>
  <c r="I46" i="61"/>
  <c r="G45" i="61"/>
  <c r="I45" i="42"/>
  <c r="H47" i="42"/>
  <c r="G45" i="42"/>
  <c r="I43" i="62"/>
  <c r="I47" i="41"/>
  <c r="G46" i="41"/>
  <c r="H45" i="37"/>
  <c r="G45" i="37"/>
  <c r="I45" i="37"/>
  <c r="BM121" i="68"/>
  <c r="H39" i="87"/>
  <c r="H41" i="62"/>
  <c r="L21" i="46"/>
  <c r="Q21" i="46"/>
  <c r="G37" i="88"/>
  <c r="I37" i="81"/>
  <c r="H38" i="81"/>
  <c r="G38" i="81"/>
  <c r="I40" i="39"/>
  <c r="G40" i="39"/>
  <c r="H39" i="39"/>
  <c r="H39" i="41"/>
  <c r="G40" i="62"/>
  <c r="I42" i="62"/>
  <c r="S37" i="84"/>
  <c r="I37" i="84"/>
  <c r="G37" i="84"/>
  <c r="O37" i="84"/>
  <c r="P37" i="84" s="1"/>
  <c r="H37" i="84"/>
  <c r="G39" i="87"/>
  <c r="I40" i="87"/>
  <c r="I37" i="88"/>
  <c r="H38" i="88"/>
  <c r="J38" i="45"/>
  <c r="BP19" i="68"/>
  <c r="S23" i="47"/>
  <c r="Q24" i="47"/>
  <c r="R24" i="47" s="1"/>
  <c r="L24" i="47"/>
  <c r="D53" i="71"/>
  <c r="D54" i="71" s="1"/>
  <c r="D55" i="71" s="1"/>
  <c r="D56" i="71" s="1"/>
  <c r="D57" i="71" s="1"/>
  <c r="D58" i="71" s="1"/>
  <c r="D59" i="71" s="1"/>
  <c r="D60" i="71" s="1"/>
  <c r="D61" i="71" s="1"/>
  <c r="B53" i="71"/>
  <c r="B54" i="71" s="1"/>
  <c r="B55" i="71" s="1"/>
  <c r="B56" i="71" s="1"/>
  <c r="B57" i="71" s="1"/>
  <c r="B58" i="71" s="1"/>
  <c r="B59" i="71" s="1"/>
  <c r="B60" i="71" s="1"/>
  <c r="B61" i="71" s="1"/>
  <c r="H53" i="71"/>
  <c r="H54" i="71" s="1"/>
  <c r="H55" i="71" s="1"/>
  <c r="H56" i="71" s="1"/>
  <c r="H57" i="71" s="1"/>
  <c r="H58" i="71" s="1"/>
  <c r="H59" i="71" s="1"/>
  <c r="H60" i="71" s="1"/>
  <c r="H61" i="71" s="1"/>
  <c r="H37" i="75"/>
  <c r="K23" i="48"/>
  <c r="Q24" i="48"/>
  <c r="R24" i="48" s="1"/>
  <c r="W22" i="48"/>
  <c r="X22" i="48" s="1"/>
  <c r="L22" i="48"/>
  <c r="I47" i="61"/>
  <c r="G46" i="61"/>
  <c r="I46" i="42"/>
  <c r="G46" i="42"/>
  <c r="H43" i="62"/>
  <c r="I44" i="62"/>
  <c r="G47" i="41"/>
  <c r="H46" i="37"/>
  <c r="G46" i="37"/>
  <c r="I46" i="37"/>
  <c r="BM122" i="68"/>
  <c r="H40" i="87"/>
  <c r="H42" i="62"/>
  <c r="G38" i="88"/>
  <c r="Q22" i="46"/>
  <c r="G39" i="81"/>
  <c r="H39" i="81"/>
  <c r="I38" i="81"/>
  <c r="I41" i="39"/>
  <c r="H40" i="39"/>
  <c r="G41" i="39"/>
  <c r="H40" i="41"/>
  <c r="G41" i="62"/>
  <c r="S38" i="84"/>
  <c r="I38" i="84"/>
  <c r="G38" i="84"/>
  <c r="O38" i="84"/>
  <c r="P38" i="84" s="1"/>
  <c r="H38" i="84"/>
  <c r="G40" i="87"/>
  <c r="I41" i="87"/>
  <c r="H39" i="88"/>
  <c r="I38" i="88"/>
  <c r="J39" i="45"/>
  <c r="BP20" i="68"/>
  <c r="AF122" i="68"/>
  <c r="S24" i="47"/>
  <c r="L25" i="47"/>
  <c r="Q25" i="47"/>
  <c r="R25" i="47" s="1"/>
  <c r="F53" i="71"/>
  <c r="F54" i="71"/>
  <c r="F55" i="71" s="1"/>
  <c r="F56" i="71" s="1"/>
  <c r="F57" i="71" s="1"/>
  <c r="F58" i="71" s="1"/>
  <c r="F59" i="71" s="1"/>
  <c r="F60" i="71" s="1"/>
  <c r="F61" i="71" s="1"/>
  <c r="L22" i="46"/>
  <c r="G53" i="71"/>
  <c r="G54" i="71" s="1"/>
  <c r="G55" i="71" s="1"/>
  <c r="G56" i="71" s="1"/>
  <c r="G57" i="71" s="1"/>
  <c r="G58" i="71" s="1"/>
  <c r="G59" i="71" s="1"/>
  <c r="G60" i="71" s="1"/>
  <c r="G61" i="71" s="1"/>
  <c r="W23" i="48"/>
  <c r="X23" i="48" s="1"/>
  <c r="L23" i="48"/>
  <c r="K24" i="48"/>
  <c r="Q25" i="48"/>
  <c r="R25" i="48" s="1"/>
  <c r="G43" i="39"/>
  <c r="I43" i="39"/>
  <c r="G47" i="61"/>
  <c r="I43" i="87"/>
  <c r="I47" i="42"/>
  <c r="G47" i="42"/>
  <c r="G43" i="62"/>
  <c r="I45" i="62"/>
  <c r="H44" i="62"/>
  <c r="H47" i="37"/>
  <c r="G47" i="37"/>
  <c r="I47" i="37"/>
  <c r="BM123" i="68"/>
  <c r="H41" i="87"/>
  <c r="G39" i="88"/>
  <c r="S26" i="48"/>
  <c r="Q23" i="46"/>
  <c r="L23" i="46"/>
  <c r="M26" i="48"/>
  <c r="H40" i="81"/>
  <c r="I39" i="81"/>
  <c r="G40" i="81"/>
  <c r="I42" i="39"/>
  <c r="G42" i="39"/>
  <c r="H41" i="39"/>
  <c r="H41" i="41"/>
  <c r="G42" i="62"/>
  <c r="O39" i="84"/>
  <c r="P39" i="84" s="1"/>
  <c r="H39" i="84"/>
  <c r="G39" i="84"/>
  <c r="S39" i="84"/>
  <c r="T39" i="84" s="1"/>
  <c r="I39" i="84"/>
  <c r="G41" i="87"/>
  <c r="I42" i="87"/>
  <c r="H40" i="88"/>
  <c r="I39" i="88"/>
  <c r="J40" i="45"/>
  <c r="BP21" i="68"/>
  <c r="AF123" i="68"/>
  <c r="S25" i="47"/>
  <c r="C53" i="71"/>
  <c r="C54" i="71"/>
  <c r="C55" i="71" s="1"/>
  <c r="C56" i="71" s="1"/>
  <c r="C57" i="71" s="1"/>
  <c r="C58" i="71" s="1"/>
  <c r="C59" i="71" s="1"/>
  <c r="C60" i="71" s="1"/>
  <c r="C61" i="71" s="1"/>
  <c r="W24" i="48"/>
  <c r="X24" i="48" s="1"/>
  <c r="L24" i="48"/>
  <c r="K25" i="48"/>
  <c r="Q26" i="48"/>
  <c r="R26" i="48" s="1"/>
  <c r="H43" i="39"/>
  <c r="G44" i="39"/>
  <c r="I44" i="39"/>
  <c r="H43" i="87"/>
  <c r="I44" i="87"/>
  <c r="G43" i="87"/>
  <c r="I46" i="62"/>
  <c r="H45" i="62"/>
  <c r="G44" i="62"/>
  <c r="H43" i="41"/>
  <c r="BM124" i="68"/>
  <c r="AE126" i="68"/>
  <c r="BO122" i="68"/>
  <c r="H42" i="87"/>
  <c r="Q24" i="46"/>
  <c r="L24" i="46"/>
  <c r="G40" i="88"/>
  <c r="Y26" i="48"/>
  <c r="CW126" i="68"/>
  <c r="Y21" i="46"/>
  <c r="G41" i="81"/>
  <c r="H41" i="81"/>
  <c r="I40" i="81"/>
  <c r="H42" i="39"/>
  <c r="H42" i="41"/>
  <c r="G40" i="84"/>
  <c r="S40" i="84"/>
  <c r="T40" i="84" s="1"/>
  <c r="I40" i="84"/>
  <c r="O40" i="84"/>
  <c r="P40" i="84" s="1"/>
  <c r="H40" i="84"/>
  <c r="G42" i="87"/>
  <c r="I40" i="88"/>
  <c r="H41" i="88"/>
  <c r="J41" i="45"/>
  <c r="BP22" i="68"/>
  <c r="AF124" i="68"/>
  <c r="Y24" i="47"/>
  <c r="S26" i="47"/>
  <c r="L25" i="48"/>
  <c r="W25" i="48"/>
  <c r="X25" i="48"/>
  <c r="K26" i="48"/>
  <c r="W26" i="48" s="1"/>
  <c r="X26" i="48" s="1"/>
  <c r="Q27" i="48"/>
  <c r="H44" i="39"/>
  <c r="I45" i="39"/>
  <c r="G45" i="39"/>
  <c r="J43" i="45"/>
  <c r="H43" i="88"/>
  <c r="H44" i="87"/>
  <c r="G44" i="87"/>
  <c r="I45" i="87"/>
  <c r="H46" i="62"/>
  <c r="I47" i="62"/>
  <c r="G45" i="62"/>
  <c r="H44" i="41"/>
  <c r="H43" i="81"/>
  <c r="G43" i="81"/>
  <c r="M27" i="48"/>
  <c r="R27" i="48"/>
  <c r="BM125" i="68"/>
  <c r="BO123" i="68"/>
  <c r="Y22" i="46"/>
  <c r="G41" i="88"/>
  <c r="Q25" i="46"/>
  <c r="L25" i="46"/>
  <c r="H42" i="81"/>
  <c r="G42" i="81"/>
  <c r="I41" i="81"/>
  <c r="G41" i="84"/>
  <c r="O41" i="84"/>
  <c r="P41" i="84" s="1"/>
  <c r="H41" i="84"/>
  <c r="S41" i="84"/>
  <c r="I41" i="84"/>
  <c r="H42" i="88"/>
  <c r="I41" i="88"/>
  <c r="J42" i="45"/>
  <c r="BP23" i="68"/>
  <c r="AF125" i="68"/>
  <c r="Y25" i="47"/>
  <c r="CV124" i="68"/>
  <c r="K27" i="48"/>
  <c r="W27" i="48" s="1"/>
  <c r="X27" i="48" s="1"/>
  <c r="I46" i="39"/>
  <c r="G46" i="39"/>
  <c r="H45" i="39"/>
  <c r="J44" i="45"/>
  <c r="G43" i="88"/>
  <c r="I43" i="88"/>
  <c r="H44" i="88"/>
  <c r="I46" i="87"/>
  <c r="H45" i="87"/>
  <c r="G45" i="87"/>
  <c r="G43" i="84"/>
  <c r="I43" i="84"/>
  <c r="S43" i="84"/>
  <c r="T43" i="84" s="1"/>
  <c r="O43" i="84"/>
  <c r="P43" i="84" s="1"/>
  <c r="H43" i="84"/>
  <c r="G46" i="62"/>
  <c r="H47" i="62"/>
  <c r="H45" i="41"/>
  <c r="H44" i="81"/>
  <c r="I43" i="81"/>
  <c r="G44" i="81"/>
  <c r="S27" i="48"/>
  <c r="BO124" i="68"/>
  <c r="CU121" i="68"/>
  <c r="G42" i="88"/>
  <c r="Q26" i="46"/>
  <c r="Y23" i="46"/>
  <c r="I42" i="81"/>
  <c r="S42" i="84"/>
  <c r="T42" i="84" s="1"/>
  <c r="I42" i="84"/>
  <c r="O42" i="84"/>
  <c r="P42" i="84" s="1"/>
  <c r="H42" i="84"/>
  <c r="G42" i="84"/>
  <c r="I42" i="88"/>
  <c r="CV125" i="68"/>
  <c r="I47" i="39"/>
  <c r="H46" i="39"/>
  <c r="G47" i="39"/>
  <c r="L26" i="46"/>
  <c r="J45" i="45"/>
  <c r="I44" i="88"/>
  <c r="H45" i="88"/>
  <c r="G44" i="88"/>
  <c r="G46" i="87"/>
  <c r="I47" i="87"/>
  <c r="H46" i="87"/>
  <c r="O44" i="84"/>
  <c r="P44" i="84" s="1"/>
  <c r="H44" i="84"/>
  <c r="I44" i="84"/>
  <c r="S44" i="84"/>
  <c r="T44" i="84"/>
  <c r="G44" i="84"/>
  <c r="G47" i="62"/>
  <c r="H46" i="41"/>
  <c r="H45" i="81"/>
  <c r="I44" i="81"/>
  <c r="G45" i="81"/>
  <c r="Y27" i="48"/>
  <c r="CW127" i="68"/>
  <c r="CU122" i="68"/>
  <c r="BO125" i="68"/>
  <c r="S26" i="46"/>
  <c r="Q27" i="46"/>
  <c r="BP24" i="68"/>
  <c r="H47" i="39"/>
  <c r="J46" i="45"/>
  <c r="I45" i="88"/>
  <c r="H46" i="88"/>
  <c r="G45" i="88"/>
  <c r="H47" i="87"/>
  <c r="G47" i="87"/>
  <c r="G45" i="84"/>
  <c r="O45" i="84"/>
  <c r="P45" i="84"/>
  <c r="H45" i="84"/>
  <c r="I45" i="84"/>
  <c r="S45" i="84"/>
  <c r="T45" i="84"/>
  <c r="H47" i="41"/>
  <c r="G46" i="81"/>
  <c r="H46" i="81"/>
  <c r="I45" i="81"/>
  <c r="CU123" i="68"/>
  <c r="M26" i="46"/>
  <c r="S27" i="46"/>
  <c r="M28" i="48"/>
  <c r="S28" i="48"/>
  <c r="J47" i="45"/>
  <c r="H47" i="88"/>
  <c r="I46" i="88"/>
  <c r="G46" i="88"/>
  <c r="I46" i="84"/>
  <c r="S46" i="84"/>
  <c r="T46" i="84" s="1"/>
  <c r="O46" i="84"/>
  <c r="P46" i="84" s="1"/>
  <c r="H46" i="84"/>
  <c r="G46" i="84"/>
  <c r="I46" i="81"/>
  <c r="G47" i="81"/>
  <c r="H47" i="81"/>
  <c r="Y27" i="46"/>
  <c r="Y28" i="48"/>
  <c r="G47" i="88"/>
  <c r="I47" i="88"/>
  <c r="G47" i="84"/>
  <c r="I47" i="84"/>
  <c r="S47" i="84"/>
  <c r="T47" i="84" s="1"/>
  <c r="O47" i="84"/>
  <c r="P47" i="84" s="1"/>
  <c r="H47" i="84"/>
  <c r="I47" i="81"/>
  <c r="CU126" i="68"/>
  <c r="M27" i="46"/>
  <c r="CW128" i="68"/>
  <c r="M28" i="46"/>
  <c r="S26" i="45"/>
  <c r="AP126" i="69"/>
  <c r="AP127" i="69"/>
  <c r="AP124" i="69"/>
  <c r="AP125" i="69"/>
  <c r="J9" i="47"/>
  <c r="X9" i="47"/>
  <c r="Z9" i="47" s="1"/>
  <c r="CV7" i="68" s="1"/>
  <c r="CV60" i="68" s="1"/>
  <c r="M21" i="47"/>
  <c r="M25" i="47"/>
  <c r="AG20" i="68"/>
  <c r="AG22" i="68"/>
  <c r="AG21" i="68"/>
  <c r="AB21" i="47"/>
  <c r="M22" i="47"/>
  <c r="AB22" i="47"/>
  <c r="M24" i="47"/>
  <c r="M23" i="47"/>
  <c r="AG19" i="68"/>
  <c r="AG23" i="68"/>
  <c r="AD124" i="68"/>
  <c r="AD123" i="68"/>
  <c r="AD121" i="68"/>
  <c r="AD122" i="68"/>
  <c r="AD125" i="68"/>
  <c r="AC12" i="47"/>
  <c r="S13" i="47"/>
  <c r="S12" i="47"/>
  <c r="BM10" i="68"/>
  <c r="BM63" i="68" s="1"/>
  <c r="R9" i="46"/>
  <c r="J10" i="45"/>
  <c r="X10" i="45"/>
  <c r="Z10" i="45" s="1"/>
  <c r="J12" i="45"/>
  <c r="X12" i="45"/>
  <c r="Z12" i="45" s="1"/>
  <c r="X8" i="45"/>
  <c r="Z8" i="45"/>
  <c r="BM6" i="69" s="1"/>
  <c r="J8" i="45"/>
  <c r="J9" i="45"/>
  <c r="X9" i="45"/>
  <c r="Z9" i="45"/>
  <c r="BM7" i="69" s="1"/>
  <c r="X11" i="45"/>
  <c r="Z11" i="45" s="1"/>
  <c r="J11" i="45"/>
  <c r="J13" i="45"/>
  <c r="J14" i="45"/>
  <c r="J15" i="45"/>
  <c r="J16" i="45"/>
  <c r="J17" i="45"/>
  <c r="Y18" i="45"/>
  <c r="Y17" i="45"/>
  <c r="BM118" i="69"/>
  <c r="O6" i="68"/>
  <c r="AX6" i="68"/>
  <c r="AX59" i="68" s="1"/>
  <c r="AX108" i="68" s="1"/>
  <c r="O59" i="68"/>
  <c r="O108" i="68" s="1"/>
  <c r="O7" i="68"/>
  <c r="O60" i="68" s="1"/>
  <c r="O109" i="68" s="1"/>
  <c r="H27" i="45"/>
  <c r="I27" i="45"/>
  <c r="E42" i="72"/>
  <c r="R27" i="45"/>
  <c r="S27" i="45"/>
  <c r="L27" i="45"/>
  <c r="L28" i="45"/>
  <c r="F42" i="72"/>
  <c r="M27" i="45"/>
  <c r="H30" i="45"/>
  <c r="I29" i="45"/>
  <c r="I42" i="72"/>
  <c r="L42" i="72" s="1"/>
  <c r="I28" i="45"/>
  <c r="R28" i="45"/>
  <c r="H31" i="45"/>
  <c r="M28" i="45"/>
  <c r="H29" i="45"/>
  <c r="H42" i="72"/>
  <c r="H32" i="45"/>
  <c r="I30" i="45"/>
  <c r="S28" i="45"/>
  <c r="S128" i="69"/>
  <c r="H33" i="45"/>
  <c r="I31" i="45"/>
  <c r="AP128" i="69"/>
  <c r="I32" i="45"/>
  <c r="H34" i="45"/>
  <c r="I33" i="45"/>
  <c r="H35" i="45"/>
  <c r="H36" i="45"/>
  <c r="I34" i="45"/>
  <c r="I35" i="45"/>
  <c r="H37" i="45"/>
  <c r="I36" i="45"/>
  <c r="H38" i="45"/>
  <c r="I37" i="45"/>
  <c r="H39" i="45"/>
  <c r="H40" i="45"/>
  <c r="I38" i="45"/>
  <c r="H41" i="45"/>
  <c r="I39" i="45"/>
  <c r="H42" i="45"/>
  <c r="I40" i="45"/>
  <c r="I41" i="45"/>
  <c r="H43" i="45"/>
  <c r="H44" i="45"/>
  <c r="I42" i="45"/>
  <c r="H45" i="45"/>
  <c r="I43" i="45"/>
  <c r="H46" i="45"/>
  <c r="I44" i="45"/>
  <c r="H47" i="45"/>
  <c r="I45" i="45"/>
  <c r="I46" i="45"/>
  <c r="I47" i="45"/>
  <c r="Q28" i="45" l="1"/>
  <c r="C28" i="45"/>
  <c r="H28" i="45" s="1"/>
  <c r="E39" i="75"/>
  <c r="O38" i="75"/>
  <c r="P38" i="75" s="1"/>
  <c r="H38" i="75"/>
  <c r="F32" i="74"/>
  <c r="S31" i="74"/>
  <c r="T31" i="74" s="1"/>
  <c r="I31" i="74"/>
  <c r="D30" i="75"/>
  <c r="K29" i="75"/>
  <c r="L29" i="75" s="1"/>
  <c r="G29" i="75"/>
  <c r="BM113" i="68"/>
  <c r="BM112" i="68"/>
  <c r="BM59" i="69"/>
  <c r="BM109" i="69" s="1"/>
  <c r="BO6" i="69"/>
  <c r="CU60" i="68"/>
  <c r="CV10" i="68"/>
  <c r="CV63" i="68" s="1"/>
  <c r="CV113" i="68" s="1"/>
  <c r="Y13" i="47"/>
  <c r="O31" i="63"/>
  <c r="E32" i="63"/>
  <c r="H31" i="63"/>
  <c r="D30" i="74"/>
  <c r="G29" i="74"/>
  <c r="K29" i="74"/>
  <c r="L29" i="74" s="1"/>
  <c r="BH114" i="69"/>
  <c r="BH113" i="69"/>
  <c r="BJ111" i="68"/>
  <c r="BJ112" i="68"/>
  <c r="Z112" i="68"/>
  <c r="Z113" i="68"/>
  <c r="BK117" i="69"/>
  <c r="BK118" i="69"/>
  <c r="BJ121" i="69"/>
  <c r="BJ122" i="69"/>
  <c r="Y8" i="45"/>
  <c r="Y26" i="46"/>
  <c r="L27" i="48"/>
  <c r="L26" i="48"/>
  <c r="Y20" i="46"/>
  <c r="W18" i="48"/>
  <c r="X18" i="48" s="1"/>
  <c r="S30" i="74"/>
  <c r="T30" i="74" s="1"/>
  <c r="E30" i="74"/>
  <c r="L12" i="47"/>
  <c r="AP112" i="69"/>
  <c r="AP113" i="69"/>
  <c r="H24" i="74"/>
  <c r="O24" i="74"/>
  <c r="P24" i="74" s="1"/>
  <c r="E25" i="74"/>
  <c r="P112" i="69"/>
  <c r="P113" i="69"/>
  <c r="AN111" i="69"/>
  <c r="AN110" i="69"/>
  <c r="BJ114" i="69"/>
  <c r="BJ113" i="69"/>
  <c r="BH112" i="69"/>
  <c r="BH111" i="69"/>
  <c r="BJ109" i="69"/>
  <c r="BJ110" i="69"/>
  <c r="BE113" i="68"/>
  <c r="BE112" i="68"/>
  <c r="BG110" i="68"/>
  <c r="BG109" i="68"/>
  <c r="AR113" i="68"/>
  <c r="AR112" i="68"/>
  <c r="AY112" i="68"/>
  <c r="AY111" i="68"/>
  <c r="AZ111" i="68"/>
  <c r="AZ110" i="68"/>
  <c r="BB109" i="68"/>
  <c r="BB110" i="68"/>
  <c r="BI109" i="68"/>
  <c r="BI108" i="68"/>
  <c r="BI116" i="69"/>
  <c r="BI115" i="69"/>
  <c r="CW118" i="68"/>
  <c r="CW117" i="68"/>
  <c r="BH120" i="69"/>
  <c r="BH119" i="69"/>
  <c r="BM18" i="69"/>
  <c r="BM71" i="69" s="1"/>
  <c r="Y21" i="45"/>
  <c r="Y20" i="45"/>
  <c r="BG123" i="69"/>
  <c r="BG124" i="69"/>
  <c r="X24" i="45"/>
  <c r="Z24" i="45" s="1"/>
  <c r="J24" i="45"/>
  <c r="G28" i="45"/>
  <c r="J28" i="45" s="1"/>
  <c r="X27" i="45"/>
  <c r="Z27" i="45" s="1"/>
  <c r="S111" i="69"/>
  <c r="S112" i="69"/>
  <c r="O109" i="69"/>
  <c r="O110" i="69"/>
  <c r="P111" i="69"/>
  <c r="P110" i="69"/>
  <c r="BK110" i="69"/>
  <c r="BK111" i="69"/>
  <c r="AR110" i="68"/>
  <c r="AR111" i="68"/>
  <c r="AZ109" i="68"/>
  <c r="AZ108" i="68"/>
  <c r="BG116" i="69"/>
  <c r="BG115" i="69"/>
  <c r="T41" i="84"/>
  <c r="CU120" i="68"/>
  <c r="O37" i="75"/>
  <c r="P37" i="75" s="1"/>
  <c r="H36" i="75"/>
  <c r="O35" i="75"/>
  <c r="P35" i="75" s="1"/>
  <c r="L16" i="48"/>
  <c r="S29" i="74"/>
  <c r="T29" i="74" s="1"/>
  <c r="K28" i="75"/>
  <c r="L28" i="75" s="1"/>
  <c r="W11" i="48"/>
  <c r="X11" i="48" s="1"/>
  <c r="O30" i="63"/>
  <c r="P30" i="63" s="1"/>
  <c r="K28" i="74"/>
  <c r="L28" i="74" s="1"/>
  <c r="AP110" i="69"/>
  <c r="AP111" i="69"/>
  <c r="AN112" i="69"/>
  <c r="AN113" i="69"/>
  <c r="AM109" i="69"/>
  <c r="AM110" i="69"/>
  <c r="BJ111" i="69"/>
  <c r="BJ112" i="69"/>
  <c r="BG110" i="69"/>
  <c r="BG111" i="69"/>
  <c r="U109" i="68"/>
  <c r="U110" i="68"/>
  <c r="BG113" i="68"/>
  <c r="BG112" i="68"/>
  <c r="CS112" i="68"/>
  <c r="CS113" i="68"/>
  <c r="L110" i="69"/>
  <c r="AQ112" i="68"/>
  <c r="AZ112" i="68"/>
  <c r="AZ113" i="68"/>
  <c r="BB111" i="68"/>
  <c r="BB112" i="68"/>
  <c r="BI110" i="68"/>
  <c r="BI111" i="68"/>
  <c r="CK111" i="68"/>
  <c r="CN115" i="68"/>
  <c r="CN114" i="68"/>
  <c r="BK115" i="69"/>
  <c r="BK116" i="69"/>
  <c r="BA116" i="69"/>
  <c r="BA115" i="69"/>
  <c r="BG118" i="69"/>
  <c r="BG117" i="69"/>
  <c r="BJ120" i="69"/>
  <c r="BJ119" i="69"/>
  <c r="CN121" i="68"/>
  <c r="CN120" i="68"/>
  <c r="BI123" i="69"/>
  <c r="BI124" i="69"/>
  <c r="U24" i="89"/>
  <c r="CS21" i="68"/>
  <c r="CS74" i="68" s="1"/>
  <c r="CS123" i="68" s="1"/>
  <c r="U26" i="84"/>
  <c r="U27" i="84" s="1"/>
  <c r="U28" i="84" s="1"/>
  <c r="AM114" i="69"/>
  <c r="AM113" i="69"/>
  <c r="AL111" i="69"/>
  <c r="AL110" i="69"/>
  <c r="CP112" i="68"/>
  <c r="CP111" i="68"/>
  <c r="AY110" i="68"/>
  <c r="AY109" i="68"/>
  <c r="CS116" i="68"/>
  <c r="CS117" i="68"/>
  <c r="BA117" i="69"/>
  <c r="BA118" i="69"/>
  <c r="CS119" i="68"/>
  <c r="CS118" i="68"/>
  <c r="Y9" i="45"/>
  <c r="T37" i="84"/>
  <c r="Y14" i="46"/>
  <c r="AC112" i="69"/>
  <c r="I26" i="75"/>
  <c r="S26" i="75"/>
  <c r="T26" i="75" s="1"/>
  <c r="U26" i="75" s="1"/>
  <c r="F27" i="75"/>
  <c r="BA58" i="69"/>
  <c r="BL5" i="69"/>
  <c r="BP5" i="69" s="1"/>
  <c r="AB57" i="68"/>
  <c r="S114" i="69"/>
  <c r="S113" i="69"/>
  <c r="AK114" i="69"/>
  <c r="AK113" i="69"/>
  <c r="AJ110" i="69"/>
  <c r="AJ111" i="69"/>
  <c r="BI111" i="69"/>
  <c r="BI110" i="69"/>
  <c r="BE109" i="68"/>
  <c r="BE108" i="68"/>
  <c r="L113" i="69"/>
  <c r="L114" i="69"/>
  <c r="Z110" i="68"/>
  <c r="Z111" i="68"/>
  <c r="AQ110" i="68"/>
  <c r="AQ109" i="68"/>
  <c r="AR108" i="68"/>
  <c r="AR109" i="68"/>
  <c r="BI112" i="68"/>
  <c r="BI113" i="68"/>
  <c r="CK108" i="68"/>
  <c r="CK109" i="68"/>
  <c r="CR112" i="68"/>
  <c r="B53" i="45"/>
  <c r="I52" i="45"/>
  <c r="J52" i="45"/>
  <c r="CP114" i="68"/>
  <c r="CP115" i="68"/>
  <c r="CW116" i="68"/>
  <c r="CW115" i="68"/>
  <c r="BI118" i="69"/>
  <c r="BI117" i="69"/>
  <c r="BM16" i="69"/>
  <c r="BM69" i="69" s="1"/>
  <c r="Y19" i="45"/>
  <c r="CP121" i="68"/>
  <c r="CP120" i="68"/>
  <c r="BH122" i="69"/>
  <c r="BH121" i="69"/>
  <c r="AR60" i="69"/>
  <c r="M25" i="75"/>
  <c r="M26" i="75" s="1"/>
  <c r="Q24" i="75"/>
  <c r="Q25" i="75" s="1"/>
  <c r="Q26" i="75" s="1"/>
  <c r="AO57" i="69"/>
  <c r="AS57" i="69" s="1"/>
  <c r="M109" i="69"/>
  <c r="N110" i="69"/>
  <c r="C30" i="96"/>
  <c r="C31" i="96" s="1"/>
  <c r="C32" i="96" s="1"/>
  <c r="C33" i="96" s="1"/>
  <c r="C34" i="96" s="1"/>
  <c r="C35" i="96" s="1"/>
  <c r="C36" i="96" s="1"/>
  <c r="C37" i="96" s="1"/>
  <c r="C38" i="96" s="1"/>
  <c r="K111" i="69"/>
  <c r="CH110" i="68"/>
  <c r="BZ123" i="68"/>
  <c r="BE124" i="69"/>
  <c r="U27" i="86"/>
  <c r="CO25" i="68" s="1"/>
  <c r="CO78" i="68" s="1"/>
  <c r="S24" i="98"/>
  <c r="T24" i="98" s="1"/>
  <c r="F25" i="98"/>
  <c r="BI109" i="69"/>
  <c r="AO58" i="69"/>
  <c r="AC110" i="68"/>
  <c r="AF108" i="68"/>
  <c r="BO108" i="68"/>
  <c r="O113" i="69"/>
  <c r="Y111" i="68"/>
  <c r="AA110" i="68"/>
  <c r="Y109" i="68"/>
  <c r="J113" i="69"/>
  <c r="L112" i="69"/>
  <c r="CA110" i="68"/>
  <c r="CR108" i="68"/>
  <c r="I51" i="45"/>
  <c r="Z15" i="45"/>
  <c r="Z17" i="47"/>
  <c r="CQ118" i="68"/>
  <c r="CM118" i="68"/>
  <c r="Z18" i="46"/>
  <c r="CO121" i="68"/>
  <c r="Z22" i="47"/>
  <c r="X23" i="45"/>
  <c r="Z23" i="45" s="1"/>
  <c r="Z24" i="46"/>
  <c r="Z25" i="45"/>
  <c r="T17" i="63"/>
  <c r="T10" i="63"/>
  <c r="T47" i="104"/>
  <c r="T45" i="104"/>
  <c r="T43" i="104"/>
  <c r="T41" i="104"/>
  <c r="T39" i="104"/>
  <c r="T37" i="104"/>
  <c r="T35" i="104"/>
  <c r="T33" i="104"/>
  <c r="T31" i="104"/>
  <c r="T29" i="104"/>
  <c r="T47" i="88"/>
  <c r="T45" i="88"/>
  <c r="T43" i="88"/>
  <c r="T41" i="88"/>
  <c r="T39" i="88"/>
  <c r="T37" i="88"/>
  <c r="T35" i="88"/>
  <c r="U24" i="88"/>
  <c r="CQ22" i="68" s="1"/>
  <c r="CQ75" i="68" s="1"/>
  <c r="CQ124" i="68" s="1"/>
  <c r="T30" i="87"/>
  <c r="S31" i="38"/>
  <c r="F32" i="38"/>
  <c r="S32" i="38" s="1"/>
  <c r="T32" i="83"/>
  <c r="U24" i="83"/>
  <c r="T27" i="82"/>
  <c r="U24" i="82"/>
  <c r="T38" i="37"/>
  <c r="T18" i="37"/>
  <c r="T24" i="35"/>
  <c r="U9" i="35"/>
  <c r="T11" i="7"/>
  <c r="T26" i="36"/>
  <c r="BK113" i="69"/>
  <c r="Q24" i="84"/>
  <c r="Q25" i="84" s="1"/>
  <c r="Q26" i="84" s="1"/>
  <c r="Q27" i="84" s="1"/>
  <c r="Q28" i="84" s="1"/>
  <c r="Q29" i="84" s="1"/>
  <c r="Q30" i="84" s="1"/>
  <c r="Q31" i="84" s="1"/>
  <c r="Q32" i="84" s="1"/>
  <c r="I23" i="74"/>
  <c r="AG57" i="68"/>
  <c r="I24" i="74"/>
  <c r="U9" i="74"/>
  <c r="U10" i="74" s="1"/>
  <c r="U11" i="74" s="1"/>
  <c r="U12" i="74" s="1"/>
  <c r="U13" i="74" s="1"/>
  <c r="U14" i="74" s="1"/>
  <c r="U15" i="74" s="1"/>
  <c r="U16" i="74" s="1"/>
  <c r="U17" i="74" s="1"/>
  <c r="L7" i="48"/>
  <c r="F25" i="74"/>
  <c r="Y8" i="48"/>
  <c r="BA112" i="69"/>
  <c r="L13" i="74"/>
  <c r="P14" i="74"/>
  <c r="Q14" i="74" s="1"/>
  <c r="Q15" i="74" s="1"/>
  <c r="Q16" i="74" s="1"/>
  <c r="Q17" i="74" s="1"/>
  <c r="Q18" i="74" s="1"/>
  <c r="Q19" i="74" s="1"/>
  <c r="Q20" i="74" s="1"/>
  <c r="Q21" i="74" s="1"/>
  <c r="Q22" i="74" s="1"/>
  <c r="Q23" i="74" s="1"/>
  <c r="Q24" i="74" s="1"/>
  <c r="P15" i="74"/>
  <c r="J85" i="41"/>
  <c r="L86" i="41"/>
  <c r="N112" i="69"/>
  <c r="X111" i="68"/>
  <c r="W110" i="68"/>
  <c r="X109" i="68"/>
  <c r="W108" i="68"/>
  <c r="Z14" i="47"/>
  <c r="Z14" i="45"/>
  <c r="CQ116" i="68"/>
  <c r="CM116" i="68"/>
  <c r="Z16" i="46"/>
  <c r="CO119" i="68"/>
  <c r="Z20" i="47"/>
  <c r="CO21" i="68"/>
  <c r="CO74" i="68" s="1"/>
  <c r="CO123" i="68" s="1"/>
  <c r="CH123" i="68"/>
  <c r="CO23" i="68"/>
  <c r="CO76" i="68" s="1"/>
  <c r="CO24" i="68"/>
  <c r="CO77" i="68" s="1"/>
  <c r="CO126" i="68" s="1"/>
  <c r="B49" i="63"/>
  <c r="C49" i="63" s="1"/>
  <c r="F32" i="63"/>
  <c r="S32" i="63" s="1"/>
  <c r="T29" i="63"/>
  <c r="T24" i="63"/>
  <c r="T22" i="63"/>
  <c r="T15" i="63"/>
  <c r="T15" i="64"/>
  <c r="T28" i="83"/>
  <c r="T34" i="37"/>
  <c r="T14" i="37"/>
  <c r="T20" i="35"/>
  <c r="T23" i="7"/>
  <c r="S29" i="1"/>
  <c r="F30" i="1"/>
  <c r="U9" i="1"/>
  <c r="C109" i="69"/>
  <c r="AG4" i="68"/>
  <c r="AH4" i="68" s="1"/>
  <c r="BP4" i="68"/>
  <c r="BQ4" i="68" s="1"/>
  <c r="M8" i="48"/>
  <c r="O7" i="37"/>
  <c r="L21" i="74"/>
  <c r="C30" i="1"/>
  <c r="C31" i="1" s="1"/>
  <c r="C32" i="1" s="1"/>
  <c r="C33" i="1" s="1"/>
  <c r="C34" i="1" s="1"/>
  <c r="C35" i="1" s="1"/>
  <c r="C36" i="1" s="1"/>
  <c r="C37" i="1" s="1"/>
  <c r="C38" i="1" s="1"/>
  <c r="C39" i="1" s="1"/>
  <c r="C40" i="1" s="1"/>
  <c r="C41" i="1" s="1"/>
  <c r="C42" i="1" s="1"/>
  <c r="C43" i="1" s="1"/>
  <c r="C44" i="1" s="1"/>
  <c r="C45" i="1" s="1"/>
  <c r="C46" i="1" s="1"/>
  <c r="C47" i="1" s="1"/>
  <c r="C48" i="1" s="1"/>
  <c r="B27" i="107"/>
  <c r="F27" i="107" s="1"/>
  <c r="F28" i="107" s="1"/>
  <c r="F29" i="107" s="1"/>
  <c r="F30" i="107" s="1"/>
  <c r="F31" i="107" s="1"/>
  <c r="F32" i="107" s="1"/>
  <c r="F33" i="107" s="1"/>
  <c r="F34" i="107" s="1"/>
  <c r="F35" i="107" s="1"/>
  <c r="F36" i="107" s="1"/>
  <c r="F37" i="107" s="1"/>
  <c r="F38" i="107" s="1"/>
  <c r="F39" i="107" s="1"/>
  <c r="F40" i="107" s="1"/>
  <c r="F41" i="107" s="1"/>
  <c r="F42" i="107" s="1"/>
  <c r="F43" i="107" s="1"/>
  <c r="F44" i="107" s="1"/>
  <c r="F45" i="107" s="1"/>
  <c r="F46" i="107" s="1"/>
  <c r="F47" i="107" s="1"/>
  <c r="F48" i="107" s="1"/>
  <c r="F49" i="107" s="1"/>
  <c r="F50" i="107" s="1"/>
  <c r="F51" i="107" s="1"/>
  <c r="F52" i="107" s="1"/>
  <c r="AW108" i="68"/>
  <c r="U58" i="69"/>
  <c r="X8" i="48"/>
  <c r="CW110" i="68"/>
  <c r="L8" i="74"/>
  <c r="M8" i="74" s="1"/>
  <c r="M9" i="74" s="1"/>
  <c r="M10" i="74" s="1"/>
  <c r="M11" i="74" s="1"/>
  <c r="M12" i="74" s="1"/>
  <c r="M13" i="74" s="1"/>
  <c r="M14" i="74" s="1"/>
  <c r="M15" i="74" s="1"/>
  <c r="M16" i="74" s="1"/>
  <c r="M17" i="74" s="1"/>
  <c r="M18" i="74" s="1"/>
  <c r="M19" i="74" s="1"/>
  <c r="M20" i="74" s="1"/>
  <c r="T18" i="74"/>
  <c r="L85" i="41"/>
  <c r="J109" i="69"/>
  <c r="AG109" i="69"/>
  <c r="AH112" i="69"/>
  <c r="AI111" i="69"/>
  <c r="BD110" i="69"/>
  <c r="BE113" i="69"/>
  <c r="BE109" i="69"/>
  <c r="BF112" i="69"/>
  <c r="H110" i="68"/>
  <c r="I109" i="68"/>
  <c r="P108" i="68"/>
  <c r="Q111" i="68"/>
  <c r="S110" i="68"/>
  <c r="BZ109" i="68"/>
  <c r="CA112" i="68"/>
  <c r="CH111" i="68"/>
  <c r="CI108" i="68"/>
  <c r="J50" i="45"/>
  <c r="CO117" i="68"/>
  <c r="CQ122" i="68"/>
  <c r="CM122" i="68"/>
  <c r="CA123" i="68"/>
  <c r="CO22" i="68"/>
  <c r="CO75" i="68" s="1"/>
  <c r="CO124" i="68" s="1"/>
  <c r="Z26" i="45"/>
  <c r="T11" i="63"/>
  <c r="U9" i="63"/>
  <c r="U24" i="104"/>
  <c r="CR22" i="68" s="1"/>
  <c r="CR75" i="68" s="1"/>
  <c r="S31" i="101"/>
  <c r="T31" i="101" s="1"/>
  <c r="F32" i="101"/>
  <c r="E32" i="67"/>
  <c r="H32" i="67" s="1"/>
  <c r="O31" i="67"/>
  <c r="P31" i="67" s="1"/>
  <c r="E24" i="98"/>
  <c r="H24" i="98" s="1"/>
  <c r="O23" i="98"/>
  <c r="O24" i="96"/>
  <c r="P24" i="96" s="1"/>
  <c r="E25" i="96"/>
  <c r="T24" i="87"/>
  <c r="T25" i="85"/>
  <c r="T23" i="85"/>
  <c r="U23" i="85" s="1"/>
  <c r="T47" i="44"/>
  <c r="T41" i="44"/>
  <c r="T39" i="44"/>
  <c r="T32" i="44"/>
  <c r="T23" i="44"/>
  <c r="T13" i="44"/>
  <c r="T11" i="44"/>
  <c r="T8" i="44"/>
  <c r="U8" i="44" s="1"/>
  <c r="T28" i="43"/>
  <c r="T30" i="102"/>
  <c r="T28" i="102"/>
  <c r="T28" i="103"/>
  <c r="T46" i="42"/>
  <c r="T44" i="42"/>
  <c r="T42" i="42"/>
  <c r="T40" i="42"/>
  <c r="T38" i="42"/>
  <c r="T36" i="42"/>
  <c r="T34" i="42"/>
  <c r="T32" i="42"/>
  <c r="T26" i="42"/>
  <c r="T24" i="42"/>
  <c r="T22" i="42"/>
  <c r="T20" i="42"/>
  <c r="T18" i="42"/>
  <c r="T16" i="42"/>
  <c r="T14" i="42"/>
  <c r="T12" i="42"/>
  <c r="T10" i="42"/>
  <c r="T8" i="42"/>
  <c r="U8" i="42" s="1"/>
  <c r="S30" i="67"/>
  <c r="T29" i="67"/>
  <c r="T25" i="67"/>
  <c r="T23" i="67"/>
  <c r="T19" i="67"/>
  <c r="T17" i="67"/>
  <c r="T14" i="67"/>
  <c r="T37" i="62"/>
  <c r="T35" i="62"/>
  <c r="T33" i="62"/>
  <c r="T31" i="62"/>
  <c r="T29" i="62"/>
  <c r="T9" i="62"/>
  <c r="U9" i="62" s="1"/>
  <c r="T26" i="61"/>
  <c r="T24" i="61"/>
  <c r="T22" i="61"/>
  <c r="T20" i="61"/>
  <c r="T15" i="61"/>
  <c r="T12" i="61"/>
  <c r="T48" i="40"/>
  <c r="T46" i="40"/>
  <c r="T44" i="40"/>
  <c r="T41" i="40"/>
  <c r="T30" i="40"/>
  <c r="T28" i="40"/>
  <c r="T25" i="40"/>
  <c r="T23" i="40"/>
  <c r="T17" i="40"/>
  <c r="T15" i="40"/>
  <c r="T9" i="40"/>
  <c r="T23" i="60"/>
  <c r="T26" i="41"/>
  <c r="T24" i="41"/>
  <c r="T21" i="41"/>
  <c r="T19" i="41"/>
  <c r="T17" i="41"/>
  <c r="T15" i="41"/>
  <c r="T13" i="41"/>
  <c r="S26" i="82"/>
  <c r="T26" i="82" s="1"/>
  <c r="T30" i="96"/>
  <c r="T25" i="37"/>
  <c r="T29" i="58"/>
  <c r="T29" i="7"/>
  <c r="T27" i="7"/>
  <c r="T9" i="7"/>
  <c r="U9" i="7" s="1"/>
  <c r="T29" i="23"/>
  <c r="T22" i="36"/>
  <c r="T20" i="36"/>
  <c r="T18" i="36"/>
  <c r="T16" i="36"/>
  <c r="T14" i="36"/>
  <c r="T12" i="36"/>
  <c r="T10" i="36"/>
  <c r="T8" i="36"/>
  <c r="U8" i="36" s="1"/>
  <c r="BB6" i="69" s="1"/>
  <c r="BB59" i="69" s="1"/>
  <c r="BB109" i="69" s="1"/>
  <c r="BD21" i="68"/>
  <c r="BD74" i="68" s="1"/>
  <c r="BD123" i="68" s="1"/>
  <c r="P23" i="88"/>
  <c r="Q23" i="88" s="1"/>
  <c r="P45" i="87"/>
  <c r="P37" i="87"/>
  <c r="P29" i="87"/>
  <c r="P17" i="44"/>
  <c r="P16" i="67"/>
  <c r="P35" i="62"/>
  <c r="P23" i="62"/>
  <c r="Q12" i="35"/>
  <c r="T22" i="44"/>
  <c r="T14" i="44"/>
  <c r="U9" i="43"/>
  <c r="CJ7" i="68" s="1"/>
  <c r="CJ60" i="68" s="1"/>
  <c r="CJ109" i="68" s="1"/>
  <c r="T20" i="67"/>
  <c r="T15" i="66"/>
  <c r="T8" i="64"/>
  <c r="U8" i="64" s="1"/>
  <c r="T21" i="62"/>
  <c r="T17" i="62"/>
  <c r="T10" i="62"/>
  <c r="T19" i="61"/>
  <c r="T10" i="61"/>
  <c r="T47" i="40"/>
  <c r="T31" i="40"/>
  <c r="T24" i="40"/>
  <c r="T16" i="40"/>
  <c r="T8" i="40"/>
  <c r="U8" i="40" s="1"/>
  <c r="BV6" i="68" s="1"/>
  <c r="BV59" i="68" s="1"/>
  <c r="BV108" i="68" s="1"/>
  <c r="U9" i="65"/>
  <c r="CD7" i="68" s="1"/>
  <c r="CD60" i="68" s="1"/>
  <c r="CD109" i="68" s="1"/>
  <c r="T18" i="60"/>
  <c r="T14" i="60"/>
  <c r="T10" i="60"/>
  <c r="U24" i="90"/>
  <c r="BG22" i="69" s="1"/>
  <c r="BG75" i="69" s="1"/>
  <c r="BG125" i="69" s="1"/>
  <c r="T23" i="96"/>
  <c r="U23" i="96" s="1"/>
  <c r="BD21" i="69" s="1"/>
  <c r="BD74" i="69" s="1"/>
  <c r="BD124" i="69" s="1"/>
  <c r="U8" i="37"/>
  <c r="T27" i="23"/>
  <c r="T21" i="23"/>
  <c r="T19" i="23"/>
  <c r="T17" i="23"/>
  <c r="T15" i="23"/>
  <c r="T13" i="23"/>
  <c r="T11" i="23"/>
  <c r="T9" i="23"/>
  <c r="U9" i="23" s="1"/>
  <c r="T29" i="4"/>
  <c r="T27" i="4"/>
  <c r="T25" i="4"/>
  <c r="T23" i="4"/>
  <c r="T21" i="4"/>
  <c r="T19" i="4"/>
  <c r="T17" i="4"/>
  <c r="T15" i="4"/>
  <c r="T13" i="4"/>
  <c r="T11" i="4"/>
  <c r="T9" i="4"/>
  <c r="P31" i="89"/>
  <c r="P23" i="89"/>
  <c r="Q23" i="89" s="1"/>
  <c r="BJ21" i="68" s="1"/>
  <c r="BJ74" i="68" s="1"/>
  <c r="BJ123" i="68" s="1"/>
  <c r="P26" i="85"/>
  <c r="P29" i="42"/>
  <c r="J48" i="104"/>
  <c r="L48" i="104" s="1"/>
  <c r="B49" i="104"/>
  <c r="C49" i="104" s="1"/>
  <c r="N49" i="104"/>
  <c r="P49" i="104" s="1"/>
  <c r="B50" i="87"/>
  <c r="J49" i="87"/>
  <c r="L49" i="87" s="1"/>
  <c r="N50" i="87"/>
  <c r="P50" i="87" s="1"/>
  <c r="T25" i="87"/>
  <c r="T23" i="87"/>
  <c r="U23" i="87" s="1"/>
  <c r="T26" i="85"/>
  <c r="T24" i="85"/>
  <c r="T33" i="44"/>
  <c r="T31" i="44"/>
  <c r="T24" i="44"/>
  <c r="T16" i="44"/>
  <c r="T28" i="101"/>
  <c r="T24" i="101"/>
  <c r="U24" i="101" s="1"/>
  <c r="T47" i="42"/>
  <c r="T45" i="42"/>
  <c r="T43" i="42"/>
  <c r="T41" i="42"/>
  <c r="T39" i="42"/>
  <c r="T37" i="42"/>
  <c r="T35" i="42"/>
  <c r="T33" i="42"/>
  <c r="T27" i="42"/>
  <c r="T25" i="42"/>
  <c r="T23" i="42"/>
  <c r="T21" i="42"/>
  <c r="T19" i="42"/>
  <c r="T17" i="42"/>
  <c r="T15" i="42"/>
  <c r="T13" i="42"/>
  <c r="T11" i="42"/>
  <c r="T9" i="42"/>
  <c r="T28" i="67"/>
  <c r="T26" i="67"/>
  <c r="T24" i="67"/>
  <c r="T22" i="67"/>
  <c r="T11" i="67"/>
  <c r="T9" i="67"/>
  <c r="U9" i="67" s="1"/>
  <c r="T20" i="66"/>
  <c r="T20" i="64"/>
  <c r="T38" i="62"/>
  <c r="T36" i="62"/>
  <c r="T34" i="62"/>
  <c r="T32" i="62"/>
  <c r="T30" i="62"/>
  <c r="T19" i="62"/>
  <c r="T25" i="61"/>
  <c r="T23" i="61"/>
  <c r="T21" i="61"/>
  <c r="T9" i="61"/>
  <c r="T49" i="40"/>
  <c r="T38" i="40"/>
  <c r="T36" i="40"/>
  <c r="T33" i="40"/>
  <c r="T26" i="40"/>
  <c r="T18" i="40"/>
  <c r="T10" i="40"/>
  <c r="T27" i="39"/>
  <c r="T9" i="39"/>
  <c r="T20" i="60"/>
  <c r="T16" i="60"/>
  <c r="T12" i="60"/>
  <c r="T25" i="41"/>
  <c r="T22" i="41"/>
  <c r="T20" i="41"/>
  <c r="T18" i="41"/>
  <c r="T16" i="41"/>
  <c r="T14" i="41"/>
  <c r="T10" i="41"/>
  <c r="T8" i="41"/>
  <c r="U8" i="41" s="1"/>
  <c r="BW6" i="68" s="1"/>
  <c r="BW59" i="68" s="1"/>
  <c r="BW108" i="68" s="1"/>
  <c r="T30" i="59"/>
  <c r="T29" i="80"/>
  <c r="F27" i="80"/>
  <c r="T29" i="90"/>
  <c r="T28" i="97"/>
  <c r="T29" i="98"/>
  <c r="T26" i="37"/>
  <c r="T24" i="37"/>
  <c r="T28" i="23"/>
  <c r="T21" i="36"/>
  <c r="T19" i="36"/>
  <c r="T17" i="36"/>
  <c r="T15" i="36"/>
  <c r="T13" i="36"/>
  <c r="T11" i="36"/>
  <c r="T9" i="36"/>
  <c r="E26" i="89"/>
  <c r="H26" i="89" s="1"/>
  <c r="O25" i="89"/>
  <c r="P25" i="89" s="1"/>
  <c r="P23" i="104"/>
  <c r="Q23" i="104" s="1"/>
  <c r="P49" i="87"/>
  <c r="P41" i="87"/>
  <c r="P33" i="87"/>
  <c r="P38" i="44"/>
  <c r="P14" i="44"/>
  <c r="P47" i="42"/>
  <c r="P24" i="66"/>
  <c r="P42" i="62"/>
  <c r="P27" i="62"/>
  <c r="P29" i="86"/>
  <c r="P25" i="87"/>
  <c r="P23" i="87"/>
  <c r="Q23" i="87" s="1"/>
  <c r="P29" i="44"/>
  <c r="P12" i="44"/>
  <c r="P28" i="101"/>
  <c r="P12" i="66"/>
  <c r="P26" i="64"/>
  <c r="P24" i="64"/>
  <c r="P22" i="64"/>
  <c r="O23" i="99"/>
  <c r="P23" i="99" s="1"/>
  <c r="Q23" i="99" s="1"/>
  <c r="E24" i="99"/>
  <c r="P44" i="39"/>
  <c r="P36" i="39"/>
  <c r="P34" i="65"/>
  <c r="P19" i="65"/>
  <c r="P11" i="65"/>
  <c r="P43" i="41"/>
  <c r="Q10" i="1"/>
  <c r="J35" i="86"/>
  <c r="B36" i="86"/>
  <c r="P47" i="104"/>
  <c r="P45" i="104"/>
  <c r="P43" i="104"/>
  <c r="P41" i="104"/>
  <c r="P39" i="104"/>
  <c r="P37" i="104"/>
  <c r="P35" i="104"/>
  <c r="P33" i="104"/>
  <c r="P31" i="104"/>
  <c r="P29" i="104"/>
  <c r="P24" i="85"/>
  <c r="Q24" i="85" s="1"/>
  <c r="P36" i="44"/>
  <c r="P34" i="44"/>
  <c r="P21" i="44"/>
  <c r="P11" i="44"/>
  <c r="P18" i="67"/>
  <c r="P11" i="66"/>
  <c r="P16" i="64"/>
  <c r="P14" i="64"/>
  <c r="P28" i="99"/>
  <c r="P39" i="41"/>
  <c r="P20" i="41"/>
  <c r="Q25" i="82"/>
  <c r="O30" i="80"/>
  <c r="E31" i="80"/>
  <c r="O31" i="80" s="1"/>
  <c r="P31" i="80" s="1"/>
  <c r="O23" i="97"/>
  <c r="P23" i="97" s="1"/>
  <c r="Q23" i="97" s="1"/>
  <c r="AI21" i="69" s="1"/>
  <c r="AI74" i="69" s="1"/>
  <c r="AI124" i="69" s="1"/>
  <c r="E24" i="97"/>
  <c r="H24" i="97" s="1"/>
  <c r="O30" i="7"/>
  <c r="E31" i="7"/>
  <c r="H31" i="7" s="1"/>
  <c r="P27" i="1"/>
  <c r="D31" i="100"/>
  <c r="G31" i="100" s="1"/>
  <c r="K30" i="100"/>
  <c r="P48" i="88"/>
  <c r="P46" i="88"/>
  <c r="P44" i="88"/>
  <c r="P42" i="88"/>
  <c r="P40" i="88"/>
  <c r="P38" i="88"/>
  <c r="P36" i="88"/>
  <c r="P34" i="88"/>
  <c r="P32" i="88"/>
  <c r="P30" i="88"/>
  <c r="P28" i="88"/>
  <c r="P26" i="88"/>
  <c r="P30" i="86"/>
  <c r="P46" i="44"/>
  <c r="P28" i="44"/>
  <c r="P23" i="44"/>
  <c r="P13" i="44"/>
  <c r="P26" i="43"/>
  <c r="P24" i="43"/>
  <c r="P22" i="43"/>
  <c r="P20" i="43"/>
  <c r="P18" i="43"/>
  <c r="P16" i="43"/>
  <c r="P14" i="43"/>
  <c r="P12" i="43"/>
  <c r="P10" i="43"/>
  <c r="E24" i="102"/>
  <c r="H24" i="102" s="1"/>
  <c r="P40" i="42"/>
  <c r="P26" i="42"/>
  <c r="P24" i="42"/>
  <c r="P22" i="42"/>
  <c r="P29" i="67"/>
  <c r="P25" i="67"/>
  <c r="P23" i="67"/>
  <c r="P13" i="67"/>
  <c r="P10" i="67"/>
  <c r="P28" i="64"/>
  <c r="P25" i="64"/>
  <c r="P23" i="64"/>
  <c r="P21" i="64"/>
  <c r="P49" i="62"/>
  <c r="P37" i="62"/>
  <c r="P32" i="62"/>
  <c r="Q9" i="62"/>
  <c r="P48" i="39"/>
  <c r="P40" i="39"/>
  <c r="P32" i="39"/>
  <c r="P41" i="65"/>
  <c r="P23" i="65"/>
  <c r="P15" i="65"/>
  <c r="Q10" i="65"/>
  <c r="AU8" i="68" s="1"/>
  <c r="AU61" i="68" s="1"/>
  <c r="AU110" i="68" s="1"/>
  <c r="P20" i="60"/>
  <c r="P35" i="41"/>
  <c r="P9" i="41"/>
  <c r="O26" i="82"/>
  <c r="P26" i="82" s="1"/>
  <c r="E27" i="82"/>
  <c r="J33" i="89"/>
  <c r="L33" i="89" s="1"/>
  <c r="B34" i="89"/>
  <c r="O23" i="100"/>
  <c r="P23" i="100" s="1"/>
  <c r="Q23" i="100" s="1"/>
  <c r="AQ21" i="68" s="1"/>
  <c r="AQ74" i="68" s="1"/>
  <c r="AQ123" i="68" s="1"/>
  <c r="P26" i="61"/>
  <c r="P24" i="61"/>
  <c r="P22" i="61"/>
  <c r="P49" i="40"/>
  <c r="P41" i="40"/>
  <c r="P33" i="40"/>
  <c r="P25" i="40"/>
  <c r="P26" i="39"/>
  <c r="P24" i="39"/>
  <c r="P22" i="39"/>
  <c r="P20" i="39"/>
  <c r="P26" i="38"/>
  <c r="P24" i="38"/>
  <c r="P22" i="38"/>
  <c r="P20" i="38"/>
  <c r="P18" i="38"/>
  <c r="P16" i="38"/>
  <c r="P14" i="38"/>
  <c r="P12" i="38"/>
  <c r="P10" i="38"/>
  <c r="Q10" i="38" s="1"/>
  <c r="P13" i="60"/>
  <c r="P24" i="60"/>
  <c r="Q9" i="41"/>
  <c r="P34" i="83"/>
  <c r="P32" i="83"/>
  <c r="P30" i="83"/>
  <c r="P28" i="83"/>
  <c r="P26" i="83"/>
  <c r="P49" i="81"/>
  <c r="P47" i="81"/>
  <c r="P45" i="81"/>
  <c r="P43" i="81"/>
  <c r="P41" i="81"/>
  <c r="P39" i="81"/>
  <c r="P37" i="81"/>
  <c r="P35" i="81"/>
  <c r="P33" i="81"/>
  <c r="P31" i="81"/>
  <c r="P29" i="81"/>
  <c r="P25" i="81"/>
  <c r="P23" i="81"/>
  <c r="Q23" i="81" s="1"/>
  <c r="AL21" i="69" s="1"/>
  <c r="AL74" i="69" s="1"/>
  <c r="AL124" i="69" s="1"/>
  <c r="E27" i="80"/>
  <c r="H27" i="80" s="1"/>
  <c r="P24" i="90"/>
  <c r="P30" i="97"/>
  <c r="P39" i="37"/>
  <c r="P34" i="37"/>
  <c r="P26" i="7"/>
  <c r="P24" i="7"/>
  <c r="P22" i="7"/>
  <c r="P20" i="7"/>
  <c r="P18" i="7"/>
  <c r="P16" i="7"/>
  <c r="P14" i="7"/>
  <c r="P12" i="7"/>
  <c r="P10" i="7"/>
  <c r="Q8" i="7"/>
  <c r="AB6" i="69" s="1"/>
  <c r="AB59" i="69" s="1"/>
  <c r="AB109" i="69" s="1"/>
  <c r="P27" i="23"/>
  <c r="P25" i="23"/>
  <c r="P23" i="23"/>
  <c r="P21" i="23"/>
  <c r="P19" i="23"/>
  <c r="P17" i="23"/>
  <c r="P15" i="23"/>
  <c r="P13" i="23"/>
  <c r="P11" i="23"/>
  <c r="P9" i="23"/>
  <c r="Q9" i="23" s="1"/>
  <c r="P29" i="36"/>
  <c r="P27" i="36"/>
  <c r="P25" i="36"/>
  <c r="P22" i="36"/>
  <c r="P20" i="36"/>
  <c r="P18" i="36"/>
  <c r="P16" i="36"/>
  <c r="P14" i="36"/>
  <c r="P12" i="36"/>
  <c r="P10" i="36"/>
  <c r="Q8" i="36"/>
  <c r="AE6" i="69" s="1"/>
  <c r="AE59" i="69" s="1"/>
  <c r="AE109" i="69" s="1"/>
  <c r="L32" i="84"/>
  <c r="D27" i="85"/>
  <c r="J48" i="44"/>
  <c r="L48" i="44" s="1"/>
  <c r="B49" i="44"/>
  <c r="L18" i="66"/>
  <c r="L12" i="66"/>
  <c r="L23" i="99"/>
  <c r="M23" i="99" s="1"/>
  <c r="L10" i="61"/>
  <c r="D51" i="40"/>
  <c r="K51" i="40" s="1"/>
  <c r="B52" i="40"/>
  <c r="J51" i="40"/>
  <c r="P19" i="61"/>
  <c r="P11" i="61"/>
  <c r="P48" i="40"/>
  <c r="P40" i="40"/>
  <c r="P15" i="40"/>
  <c r="P28" i="39"/>
  <c r="P18" i="39"/>
  <c r="P16" i="39"/>
  <c r="P14" i="39"/>
  <c r="P12" i="39"/>
  <c r="P9" i="39"/>
  <c r="Q9" i="39" s="1"/>
  <c r="P30" i="65"/>
  <c r="P18" i="60"/>
  <c r="P16" i="60"/>
  <c r="P11" i="41"/>
  <c r="P29" i="80"/>
  <c r="E31" i="98"/>
  <c r="P47" i="37"/>
  <c r="P42" i="37"/>
  <c r="P32" i="37"/>
  <c r="P30" i="37"/>
  <c r="L34" i="104"/>
  <c r="L23" i="104"/>
  <c r="M23" i="104" s="1"/>
  <c r="Z21" i="68" s="1"/>
  <c r="Z74" i="68" s="1"/>
  <c r="Z123" i="68" s="1"/>
  <c r="L45" i="87"/>
  <c r="L37" i="87"/>
  <c r="L29" i="87"/>
  <c r="L37" i="84"/>
  <c r="L35" i="84"/>
  <c r="L23" i="84"/>
  <c r="M23" i="84" s="1"/>
  <c r="V21" i="68" s="1"/>
  <c r="V74" i="68" s="1"/>
  <c r="V123" i="68" s="1"/>
  <c r="L40" i="44"/>
  <c r="L38" i="44"/>
  <c r="J38" i="66"/>
  <c r="B39" i="66"/>
  <c r="K30" i="64"/>
  <c r="D31" i="64"/>
  <c r="J27" i="61"/>
  <c r="J28" i="61"/>
  <c r="L28" i="61" s="1"/>
  <c r="D50" i="40"/>
  <c r="K50" i="40" s="1"/>
  <c r="J50" i="40"/>
  <c r="L48" i="40"/>
  <c r="P28" i="100"/>
  <c r="P50" i="40"/>
  <c r="P45" i="40"/>
  <c r="P42" i="40"/>
  <c r="P34" i="40"/>
  <c r="P20" i="40"/>
  <c r="P19" i="39"/>
  <c r="P27" i="38"/>
  <c r="P25" i="38"/>
  <c r="P23" i="38"/>
  <c r="P21" i="38"/>
  <c r="P19" i="38"/>
  <c r="P17" i="38"/>
  <c r="P15" i="38"/>
  <c r="P13" i="38"/>
  <c r="P11" i="38"/>
  <c r="P48" i="65"/>
  <c r="P36" i="65"/>
  <c r="P27" i="65"/>
  <c r="P24" i="65"/>
  <c r="P27" i="60"/>
  <c r="P25" i="60"/>
  <c r="P22" i="60"/>
  <c r="P29" i="41"/>
  <c r="P28" i="82"/>
  <c r="E27" i="81"/>
  <c r="P24" i="81"/>
  <c r="P26" i="80"/>
  <c r="P23" i="80"/>
  <c r="Q23" i="80" s="1"/>
  <c r="AK21" i="69" s="1"/>
  <c r="AK74" i="69" s="1"/>
  <c r="AK124" i="69" s="1"/>
  <c r="Q24" i="90"/>
  <c r="AJ22" i="69" s="1"/>
  <c r="AJ75" i="69" s="1"/>
  <c r="AJ125" i="69" s="1"/>
  <c r="P40" i="37"/>
  <c r="P38" i="37"/>
  <c r="P35" i="37"/>
  <c r="P13" i="7"/>
  <c r="P11" i="7"/>
  <c r="P9" i="7"/>
  <c r="P26" i="23"/>
  <c r="P24" i="23"/>
  <c r="P22" i="23"/>
  <c r="P20" i="23"/>
  <c r="P18" i="23"/>
  <c r="P16" i="23"/>
  <c r="P14" i="23"/>
  <c r="P12" i="23"/>
  <c r="P10" i="23"/>
  <c r="P28" i="1"/>
  <c r="M25" i="87"/>
  <c r="L41" i="44"/>
  <c r="D27" i="66"/>
  <c r="K26" i="66"/>
  <c r="L9" i="61"/>
  <c r="M9" i="61" s="1"/>
  <c r="G7" i="68" s="1"/>
  <c r="G60" i="68" s="1"/>
  <c r="G109" i="68" s="1"/>
  <c r="L24" i="44"/>
  <c r="L30" i="103"/>
  <c r="L28" i="103"/>
  <c r="L27" i="67"/>
  <c r="L15" i="67"/>
  <c r="L14" i="66"/>
  <c r="L9" i="66"/>
  <c r="L8" i="66"/>
  <c r="M8" i="66" s="1"/>
  <c r="M6" i="68" s="1"/>
  <c r="M59" i="68" s="1"/>
  <c r="M108" i="68" s="1"/>
  <c r="L14" i="64"/>
  <c r="L20" i="62"/>
  <c r="M9" i="62"/>
  <c r="L17" i="61"/>
  <c r="L45" i="40"/>
  <c r="L40" i="40"/>
  <c r="L39" i="40"/>
  <c r="L29" i="40"/>
  <c r="L24" i="40"/>
  <c r="L23" i="40"/>
  <c r="L13" i="40"/>
  <c r="K30" i="97"/>
  <c r="D31" i="97"/>
  <c r="L11" i="40"/>
  <c r="L45" i="39"/>
  <c r="L43" i="39"/>
  <c r="L41" i="39"/>
  <c r="L39" i="39"/>
  <c r="L37" i="39"/>
  <c r="L35" i="39"/>
  <c r="L33" i="39"/>
  <c r="L31" i="39"/>
  <c r="L25" i="39"/>
  <c r="L23" i="39"/>
  <c r="L21" i="39"/>
  <c r="L19" i="39"/>
  <c r="L17" i="39"/>
  <c r="L15" i="39"/>
  <c r="L13" i="39"/>
  <c r="L11" i="39"/>
  <c r="L9" i="39"/>
  <c r="L29" i="38"/>
  <c r="L25" i="38"/>
  <c r="L23" i="38"/>
  <c r="L21" i="38"/>
  <c r="L19" i="38"/>
  <c r="L17" i="38"/>
  <c r="L15" i="38"/>
  <c r="L13" i="38"/>
  <c r="L11" i="38"/>
  <c r="L9" i="38"/>
  <c r="L47" i="65"/>
  <c r="L45" i="65"/>
  <c r="L43" i="65"/>
  <c r="L41" i="65"/>
  <c r="L39" i="65"/>
  <c r="L37" i="65"/>
  <c r="L35" i="65"/>
  <c r="L33" i="65"/>
  <c r="L27" i="65"/>
  <c r="L25" i="65"/>
  <c r="L22" i="65"/>
  <c r="L20" i="65"/>
  <c r="L18" i="65"/>
  <c r="L16" i="65"/>
  <c r="L14" i="65"/>
  <c r="L12" i="65"/>
  <c r="L10" i="65"/>
  <c r="L8" i="65"/>
  <c r="M8" i="65" s="1"/>
  <c r="B36" i="60"/>
  <c r="L30" i="60"/>
  <c r="L28" i="60"/>
  <c r="L26" i="60"/>
  <c r="L46" i="41"/>
  <c r="L44" i="41"/>
  <c r="L42" i="41"/>
  <c r="L40" i="41"/>
  <c r="L38" i="41"/>
  <c r="L36" i="41"/>
  <c r="L34" i="41"/>
  <c r="L32" i="41"/>
  <c r="L30" i="41"/>
  <c r="H82" i="41"/>
  <c r="D27" i="41" s="1"/>
  <c r="L12" i="41"/>
  <c r="D31" i="96"/>
  <c r="K30" i="96"/>
  <c r="J34" i="58"/>
  <c r="B35" i="58"/>
  <c r="K30" i="35"/>
  <c r="D31" i="35"/>
  <c r="G31" i="35" s="1"/>
  <c r="J48" i="23"/>
  <c r="B49" i="23"/>
  <c r="L46" i="88"/>
  <c r="L44" i="88"/>
  <c r="L42" i="88"/>
  <c r="L40" i="88"/>
  <c r="L38" i="88"/>
  <c r="L36" i="88"/>
  <c r="L34" i="88"/>
  <c r="L32" i="88"/>
  <c r="L30" i="88"/>
  <c r="L28" i="88"/>
  <c r="L26" i="88"/>
  <c r="L24" i="88"/>
  <c r="K30" i="85"/>
  <c r="L32" i="44"/>
  <c r="L16" i="44"/>
  <c r="B50" i="101"/>
  <c r="D31" i="43"/>
  <c r="G31" i="43" s="1"/>
  <c r="B50" i="103"/>
  <c r="L45" i="42"/>
  <c r="L43" i="42"/>
  <c r="L41" i="42"/>
  <c r="L39" i="42"/>
  <c r="L37" i="42"/>
  <c r="L35" i="42"/>
  <c r="L33" i="42"/>
  <c r="L31" i="42"/>
  <c r="L29" i="42"/>
  <c r="J78" i="42"/>
  <c r="D27" i="42" s="1"/>
  <c r="L25" i="67"/>
  <c r="L23" i="67"/>
  <c r="L18" i="67"/>
  <c r="L10" i="67"/>
  <c r="L26" i="66"/>
  <c r="L24" i="66"/>
  <c r="L22" i="66"/>
  <c r="L16" i="66"/>
  <c r="L28" i="64"/>
  <c r="L26" i="64"/>
  <c r="L24" i="64"/>
  <c r="L22" i="64"/>
  <c r="L17" i="64"/>
  <c r="L9" i="64"/>
  <c r="L27" i="62"/>
  <c r="L25" i="62"/>
  <c r="L23" i="62"/>
  <c r="L17" i="62"/>
  <c r="L11" i="62"/>
  <c r="B49" i="99"/>
  <c r="L28" i="100"/>
  <c r="L48" i="61"/>
  <c r="L25" i="61"/>
  <c r="L23" i="61"/>
  <c r="L21" i="61"/>
  <c r="L14" i="61"/>
  <c r="L47" i="40"/>
  <c r="L37" i="40"/>
  <c r="L31" i="40"/>
  <c r="L21" i="40"/>
  <c r="L16" i="40"/>
  <c r="L12" i="60"/>
  <c r="L19" i="41"/>
  <c r="J48" i="97"/>
  <c r="B49" i="97"/>
  <c r="J38" i="36"/>
  <c r="B39" i="36"/>
  <c r="C39" i="36" s="1"/>
  <c r="L31" i="44"/>
  <c r="L30" i="44"/>
  <c r="L17" i="67"/>
  <c r="L9" i="67"/>
  <c r="L21" i="66"/>
  <c r="L20" i="66"/>
  <c r="L10" i="66"/>
  <c r="L16" i="64"/>
  <c r="L8" i="64"/>
  <c r="M8" i="64" s="1"/>
  <c r="K6" i="68" s="1"/>
  <c r="K59" i="68" s="1"/>
  <c r="K108" i="68" s="1"/>
  <c r="L21" i="62"/>
  <c r="L16" i="62"/>
  <c r="L15" i="62"/>
  <c r="L18" i="61"/>
  <c r="L13" i="61"/>
  <c r="L36" i="40"/>
  <c r="L20" i="40"/>
  <c r="M8" i="39"/>
  <c r="C6" i="68" s="1"/>
  <c r="C59" i="68" s="1"/>
  <c r="C108" i="68" s="1"/>
  <c r="M8" i="38"/>
  <c r="B6" i="68" s="1"/>
  <c r="B59" i="68" s="1"/>
  <c r="B108" i="68" s="1"/>
  <c r="J28" i="41"/>
  <c r="J27" i="41"/>
  <c r="L31" i="82"/>
  <c r="L24" i="80"/>
  <c r="J49" i="98"/>
  <c r="B50" i="98"/>
  <c r="J33" i="4"/>
  <c r="B34" i="4"/>
  <c r="BN78" i="68"/>
  <c r="Q28" i="46"/>
  <c r="L15" i="60"/>
  <c r="L39" i="41"/>
  <c r="L32" i="83"/>
  <c r="L30" i="83"/>
  <c r="L28" i="83"/>
  <c r="L26" i="83"/>
  <c r="L24" i="83"/>
  <c r="M24" i="83" s="1"/>
  <c r="L47" i="81"/>
  <c r="L45" i="81"/>
  <c r="L38" i="81"/>
  <c r="L31" i="81"/>
  <c r="L29" i="81"/>
  <c r="L28" i="90"/>
  <c r="L26" i="37"/>
  <c r="L24" i="37"/>
  <c r="L22" i="37"/>
  <c r="L20" i="37"/>
  <c r="L18" i="37"/>
  <c r="L16" i="37"/>
  <c r="L14" i="37"/>
  <c r="L12" i="37"/>
  <c r="L10" i="37"/>
  <c r="L8" i="37"/>
  <c r="M8" i="37" s="1"/>
  <c r="L29" i="58"/>
  <c r="L27" i="58"/>
  <c r="L25" i="58"/>
  <c r="L22" i="58"/>
  <c r="M22" i="58" s="1"/>
  <c r="L25" i="35"/>
  <c r="L18" i="35"/>
  <c r="L16" i="35"/>
  <c r="B37" i="7"/>
  <c r="C37" i="7" s="1"/>
  <c r="L31" i="7"/>
  <c r="L26" i="7"/>
  <c r="D31" i="23"/>
  <c r="L20" i="4"/>
  <c r="L12" i="4"/>
  <c r="BM77" i="68"/>
  <c r="BM126" i="68" s="1"/>
  <c r="D27" i="47"/>
  <c r="Q27" i="47"/>
  <c r="K26" i="47"/>
  <c r="W26" i="47" s="1"/>
  <c r="Z26" i="47" s="1"/>
  <c r="L14" i="60"/>
  <c r="L8" i="41"/>
  <c r="M8" i="41" s="1"/>
  <c r="M24" i="80"/>
  <c r="N22" i="69" s="1"/>
  <c r="N75" i="69" s="1"/>
  <c r="N125" i="69" s="1"/>
  <c r="K30" i="90"/>
  <c r="L23" i="98"/>
  <c r="M23" i="98" s="1"/>
  <c r="K21" i="69" s="1"/>
  <c r="K74" i="69" s="1"/>
  <c r="K124" i="69" s="1"/>
  <c r="L47" i="37"/>
  <c r="L45" i="37"/>
  <c r="L43" i="37"/>
  <c r="L41" i="37"/>
  <c r="L39" i="37"/>
  <c r="L37" i="37"/>
  <c r="L35" i="37"/>
  <c r="L33" i="37"/>
  <c r="L31" i="37"/>
  <c r="L29" i="37"/>
  <c r="I78" i="37"/>
  <c r="D27" i="37" s="1"/>
  <c r="L28" i="35"/>
  <c r="K30" i="7"/>
  <c r="D30" i="1"/>
  <c r="G30" i="1" s="1"/>
  <c r="K29" i="1"/>
  <c r="BL77" i="68"/>
  <c r="BL126" i="68" s="1"/>
  <c r="BN79" i="68"/>
  <c r="BN128" i="68" s="1"/>
  <c r="L23" i="97"/>
  <c r="M23" i="97" s="1"/>
  <c r="L21" i="69" s="1"/>
  <c r="L74" i="69" s="1"/>
  <c r="L124" i="69" s="1"/>
  <c r="M8" i="7"/>
  <c r="E6" i="69" s="1"/>
  <c r="E59" i="69" s="1"/>
  <c r="E109" i="69" s="1"/>
  <c r="M9" i="4"/>
  <c r="J48" i="1"/>
  <c r="B49" i="1"/>
  <c r="L15" i="63"/>
  <c r="M9" i="63"/>
  <c r="AF7" i="68" s="1"/>
  <c r="P19" i="59"/>
  <c r="P11" i="59"/>
  <c r="L29" i="59"/>
  <c r="L25" i="1"/>
  <c r="L23" i="1"/>
  <c r="L21" i="1"/>
  <c r="L19" i="1"/>
  <c r="L17" i="1"/>
  <c r="L15" i="1"/>
  <c r="L13" i="1"/>
  <c r="P16" i="63"/>
  <c r="Q9" i="63"/>
  <c r="BO7" i="68" s="1"/>
  <c r="AG75" i="68"/>
  <c r="S129" i="69"/>
  <c r="T29" i="46"/>
  <c r="Q30" i="63"/>
  <c r="BO27" i="68"/>
  <c r="BO80" i="68" s="1"/>
  <c r="L21" i="59"/>
  <c r="L13" i="59"/>
  <c r="M9" i="59"/>
  <c r="L25" i="7"/>
  <c r="L23" i="7"/>
  <c r="L21" i="7"/>
  <c r="L19" i="7"/>
  <c r="L17" i="7"/>
  <c r="L15" i="7"/>
  <c r="L13" i="7"/>
  <c r="L11" i="7"/>
  <c r="L29" i="23"/>
  <c r="L25" i="23"/>
  <c r="L23" i="23"/>
  <c r="L21" i="23"/>
  <c r="L19" i="23"/>
  <c r="L17" i="23"/>
  <c r="L15" i="23"/>
  <c r="L13" i="23"/>
  <c r="L11" i="23"/>
  <c r="L9" i="23"/>
  <c r="M9" i="23" s="1"/>
  <c r="L29" i="4"/>
  <c r="L28" i="1"/>
  <c r="L8" i="1"/>
  <c r="M8" i="1" s="1"/>
  <c r="L27" i="36"/>
  <c r="L25" i="36"/>
  <c r="L22" i="36"/>
  <c r="L20" i="36"/>
  <c r="L18" i="36"/>
  <c r="L16" i="36"/>
  <c r="L14" i="36"/>
  <c r="L12" i="36"/>
  <c r="L10" i="36"/>
  <c r="L8" i="36"/>
  <c r="M8" i="36" s="1"/>
  <c r="BP72" i="68"/>
  <c r="BP73" i="68"/>
  <c r="AF77" i="68"/>
  <c r="AF126" i="68" s="1"/>
  <c r="AE78" i="68"/>
  <c r="AE127" i="68" s="1"/>
  <c r="P27" i="59"/>
  <c r="P23" i="59"/>
  <c r="P15" i="59"/>
  <c r="E33" i="47"/>
  <c r="L32" i="47"/>
  <c r="D30" i="45"/>
  <c r="Q30" i="45" s="1"/>
  <c r="T30" i="45" s="1"/>
  <c r="L26" i="36"/>
  <c r="L24" i="36"/>
  <c r="L21" i="36"/>
  <c r="L19" i="36"/>
  <c r="L17" i="36"/>
  <c r="L15" i="36"/>
  <c r="L13" i="36"/>
  <c r="L11" i="36"/>
  <c r="L9" i="36"/>
  <c r="P14" i="63"/>
  <c r="BP75" i="68"/>
  <c r="AG76" i="68"/>
  <c r="AG125" i="68" s="1"/>
  <c r="BO77" i="68"/>
  <c r="BO126" i="68" s="1"/>
  <c r="AC77" i="68"/>
  <c r="P27" i="63"/>
  <c r="Q27" i="63" s="1"/>
  <c r="BO25" i="68" s="1"/>
  <c r="BO78" i="68" s="1"/>
  <c r="BO127" i="68" s="1"/>
  <c r="P26" i="59"/>
  <c r="L28" i="59"/>
  <c r="P19" i="63"/>
  <c r="L16" i="63"/>
  <c r="L11" i="63"/>
  <c r="BN77" i="68"/>
  <c r="BL78" i="68"/>
  <c r="BL127" i="68" s="1"/>
  <c r="L27" i="63"/>
  <c r="M27" i="63" s="1"/>
  <c r="AF25" i="68" s="1"/>
  <c r="AF78" i="68" s="1"/>
  <c r="BO79" i="68"/>
  <c r="T28" i="46"/>
  <c r="AC79" i="68"/>
  <c r="AC128" i="68" s="1"/>
  <c r="T29" i="45"/>
  <c r="P30" i="59"/>
  <c r="S28" i="63"/>
  <c r="T28" i="63" s="1"/>
  <c r="I28" i="63"/>
  <c r="AF27" i="68"/>
  <c r="AF80" i="68" s="1"/>
  <c r="AF129" i="68" s="1"/>
  <c r="E28" i="48"/>
  <c r="H28" i="48" s="1"/>
  <c r="T28" i="59"/>
  <c r="L28" i="99"/>
  <c r="G30" i="99"/>
  <c r="T28" i="99"/>
  <c r="P29" i="99"/>
  <c r="L29" i="99"/>
  <c r="L28" i="65"/>
  <c r="P29" i="65"/>
  <c r="I28" i="102"/>
  <c r="T29" i="102"/>
  <c r="P29" i="102"/>
  <c r="H28" i="102"/>
  <c r="G28" i="102"/>
  <c r="O28" i="103"/>
  <c r="P28" i="103" s="1"/>
  <c r="H28" i="103"/>
  <c r="K28" i="85"/>
  <c r="G28" i="85"/>
  <c r="S28" i="85"/>
  <c r="T28" i="85" s="1"/>
  <c r="I28" i="85"/>
  <c r="O28" i="85"/>
  <c r="P28" i="85" s="1"/>
  <c r="H28" i="85"/>
  <c r="L28" i="85"/>
  <c r="S28" i="60"/>
  <c r="T28" i="60" s="1"/>
  <c r="I28" i="60"/>
  <c r="S28" i="86"/>
  <c r="T28" i="86" s="1"/>
  <c r="U28" i="86" s="1"/>
  <c r="I28" i="86"/>
  <c r="P28" i="86"/>
  <c r="K28" i="43"/>
  <c r="L28" i="43" s="1"/>
  <c r="G28" i="43"/>
  <c r="T29" i="43"/>
  <c r="P28" i="43"/>
  <c r="L29" i="43"/>
  <c r="P30" i="43"/>
  <c r="H30" i="43"/>
  <c r="I31" i="43"/>
  <c r="T30" i="43"/>
  <c r="P29" i="64"/>
  <c r="T28" i="64"/>
  <c r="E32" i="100"/>
  <c r="H32" i="100" s="1"/>
  <c r="T28" i="100"/>
  <c r="L28" i="39"/>
  <c r="L28" i="38"/>
  <c r="G28" i="97"/>
  <c r="P29" i="98"/>
  <c r="K28" i="58"/>
  <c r="L28" i="58" s="1"/>
  <c r="G28" i="58"/>
  <c r="T28" i="58"/>
  <c r="G28" i="35"/>
  <c r="O28" i="90"/>
  <c r="P28" i="90" s="1"/>
  <c r="H28" i="90"/>
  <c r="S28" i="90"/>
  <c r="T28" i="90" s="1"/>
  <c r="I28" i="90"/>
  <c r="G28" i="90"/>
  <c r="O28" i="7"/>
  <c r="P28" i="7" s="1"/>
  <c r="H28" i="7"/>
  <c r="G28" i="7"/>
  <c r="K28" i="96"/>
  <c r="L28" i="96" s="1"/>
  <c r="G28" i="96"/>
  <c r="T28" i="96"/>
  <c r="K31" i="96"/>
  <c r="G31" i="96"/>
  <c r="G30" i="96"/>
  <c r="L31" i="96"/>
  <c r="T28" i="4"/>
  <c r="P28" i="4"/>
  <c r="P28" i="23"/>
  <c r="L28" i="23"/>
  <c r="L29" i="1"/>
  <c r="M39" i="72"/>
  <c r="L39" i="72"/>
  <c r="K39" i="72"/>
  <c r="K42" i="72"/>
  <c r="T31" i="67"/>
  <c r="T30" i="67"/>
  <c r="L30" i="67"/>
  <c r="L30" i="99"/>
  <c r="P30" i="99"/>
  <c r="I30" i="99"/>
  <c r="T30" i="99"/>
  <c r="E31" i="99"/>
  <c r="E32" i="99" s="1"/>
  <c r="H30" i="99"/>
  <c r="T29" i="99"/>
  <c r="P29" i="101"/>
  <c r="T29" i="101"/>
  <c r="P30" i="101"/>
  <c r="E31" i="48"/>
  <c r="E32" i="48" s="1"/>
  <c r="E33" i="48" s="1"/>
  <c r="E34" i="48" s="1"/>
  <c r="G31" i="48"/>
  <c r="H31" i="48"/>
  <c r="T30" i="66"/>
  <c r="T31" i="66"/>
  <c r="E32" i="46"/>
  <c r="H31" i="46"/>
  <c r="H30" i="46"/>
  <c r="F33" i="47"/>
  <c r="I32" i="47"/>
  <c r="R32" i="47"/>
  <c r="I31" i="47"/>
  <c r="I30" i="47"/>
  <c r="H30" i="47"/>
  <c r="L30" i="47"/>
  <c r="H31" i="47"/>
  <c r="R31" i="47"/>
  <c r="R30" i="47"/>
  <c r="L33" i="47"/>
  <c r="T29" i="65"/>
  <c r="L29" i="65"/>
  <c r="T30" i="65"/>
  <c r="P31" i="65"/>
  <c r="L30" i="65"/>
  <c r="L29" i="102"/>
  <c r="E31" i="102"/>
  <c r="H31" i="102" s="1"/>
  <c r="D31" i="102"/>
  <c r="G31" i="102" s="1"/>
  <c r="F31" i="102"/>
  <c r="I30" i="102"/>
  <c r="T29" i="103"/>
  <c r="L29" i="103"/>
  <c r="F31" i="103"/>
  <c r="T30" i="103"/>
  <c r="T30" i="85"/>
  <c r="L29" i="85"/>
  <c r="T31" i="85"/>
  <c r="I32" i="85"/>
  <c r="H30" i="85"/>
  <c r="F33" i="85"/>
  <c r="T32" i="85"/>
  <c r="I31" i="85"/>
  <c r="T29" i="85"/>
  <c r="P29" i="85"/>
  <c r="S31" i="60"/>
  <c r="T31" i="60" s="1"/>
  <c r="I31" i="60"/>
  <c r="T29" i="60"/>
  <c r="P30" i="60"/>
  <c r="P29" i="60"/>
  <c r="L29" i="60"/>
  <c r="T30" i="60"/>
  <c r="I32" i="63"/>
  <c r="P31" i="63"/>
  <c r="O32" i="63"/>
  <c r="P32" i="63" s="1"/>
  <c r="F33" i="63"/>
  <c r="S33" i="63" s="1"/>
  <c r="T33" i="63" s="1"/>
  <c r="T30" i="63"/>
  <c r="M33" i="63"/>
  <c r="AF30" i="68"/>
  <c r="AF83" i="68" s="1"/>
  <c r="T31" i="63"/>
  <c r="T32" i="63"/>
  <c r="L30" i="63"/>
  <c r="AF28" i="68"/>
  <c r="AF81" i="68" s="1"/>
  <c r="AF130" i="68" s="1"/>
  <c r="AF29" i="68"/>
  <c r="AF82" i="68" s="1"/>
  <c r="T29" i="41"/>
  <c r="L29" i="41"/>
  <c r="T29" i="86"/>
  <c r="L29" i="86"/>
  <c r="F31" i="86"/>
  <c r="T30" i="86"/>
  <c r="I30" i="86"/>
  <c r="P29" i="43"/>
  <c r="T31" i="43"/>
  <c r="L30" i="43"/>
  <c r="P30" i="64"/>
  <c r="E31" i="64"/>
  <c r="T29" i="64"/>
  <c r="L29" i="64"/>
  <c r="H30" i="64"/>
  <c r="T30" i="64"/>
  <c r="L30" i="64"/>
  <c r="F31" i="100"/>
  <c r="P30" i="100"/>
  <c r="T29" i="100"/>
  <c r="T30" i="100"/>
  <c r="L29" i="39"/>
  <c r="T29" i="39"/>
  <c r="P30" i="38"/>
  <c r="G31" i="38"/>
  <c r="D32" i="38"/>
  <c r="G32" i="38" s="1"/>
  <c r="H30" i="38"/>
  <c r="I32" i="38"/>
  <c r="T31" i="38"/>
  <c r="E31" i="38"/>
  <c r="T29" i="97"/>
  <c r="T30" i="97"/>
  <c r="F32" i="97"/>
  <c r="T31" i="97"/>
  <c r="I31" i="97"/>
  <c r="L30" i="97"/>
  <c r="P30" i="98"/>
  <c r="I30" i="98"/>
  <c r="T30" i="98"/>
  <c r="F31" i="59"/>
  <c r="P29" i="59"/>
  <c r="P30" i="58"/>
  <c r="L30" i="58"/>
  <c r="P29" i="58"/>
  <c r="T30" i="58"/>
  <c r="L29" i="36"/>
  <c r="T29" i="36"/>
  <c r="T31" i="36"/>
  <c r="T30" i="36"/>
  <c r="S31" i="35"/>
  <c r="T31" i="35" s="1"/>
  <c r="I31" i="35"/>
  <c r="L30" i="35"/>
  <c r="T30" i="35"/>
  <c r="P29" i="35"/>
  <c r="T30" i="90"/>
  <c r="L30" i="90"/>
  <c r="E32" i="80"/>
  <c r="H32" i="80" s="1"/>
  <c r="H31" i="80"/>
  <c r="P30" i="80"/>
  <c r="T30" i="7"/>
  <c r="L30" i="7"/>
  <c r="T29" i="96"/>
  <c r="P29" i="96"/>
  <c r="L30" i="96"/>
  <c r="I30" i="96"/>
  <c r="T30" i="4"/>
  <c r="P30" i="4"/>
  <c r="H30" i="4"/>
  <c r="P29" i="4"/>
  <c r="P29" i="23"/>
  <c r="P30" i="23"/>
  <c r="T30" i="23"/>
  <c r="T29" i="1"/>
  <c r="BM60" i="69"/>
  <c r="Y10" i="45"/>
  <c r="BM8" i="69"/>
  <c r="A27" i="38"/>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F16" i="72"/>
  <c r="H16" i="72"/>
  <c r="E16" i="72"/>
  <c r="J16" i="72"/>
  <c r="A24" i="39"/>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BT109" i="68"/>
  <c r="AU109" i="68"/>
  <c r="G31" i="63"/>
  <c r="D32" i="63"/>
  <c r="K31" i="63"/>
  <c r="L31" i="63" s="1"/>
  <c r="G40" i="72"/>
  <c r="I40" i="72"/>
  <c r="A22" i="83"/>
  <c r="A23" i="83" s="1"/>
  <c r="A24" i="83" s="1"/>
  <c r="A25" i="83" s="1"/>
  <c r="A26" i="83" s="1"/>
  <c r="A27" i="83" s="1"/>
  <c r="A28" i="83" s="1"/>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J40" i="72"/>
  <c r="BO59" i="69"/>
  <c r="BN109" i="69"/>
  <c r="A20" i="88"/>
  <c r="A21" i="88" s="1"/>
  <c r="A22" i="88" s="1"/>
  <c r="A23" i="88" s="1"/>
  <c r="A24" i="88" s="1"/>
  <c r="A25" i="88" s="1"/>
  <c r="A26" i="88" s="1"/>
  <c r="A27" i="88" s="1"/>
  <c r="A28" i="88" s="1"/>
  <c r="A29" i="88" s="1"/>
  <c r="A30" i="88" s="1"/>
  <c r="A31" i="88" s="1"/>
  <c r="A32" i="88" s="1"/>
  <c r="A33" i="88" s="1"/>
  <c r="A34" i="88" s="1"/>
  <c r="A35" i="88" s="1"/>
  <c r="A36" i="88" s="1"/>
  <c r="A37" i="88" s="1"/>
  <c r="A38" i="88" s="1"/>
  <c r="A39" i="88" s="1"/>
  <c r="A40" i="88" s="1"/>
  <c r="A41" i="88" s="1"/>
  <c r="A42" i="88" s="1"/>
  <c r="A43" i="88" s="1"/>
  <c r="A44" i="88" s="1"/>
  <c r="A45" i="88" s="1"/>
  <c r="A46" i="88" s="1"/>
  <c r="A47" i="88" s="1"/>
  <c r="A48" i="88" s="1"/>
  <c r="A49" i="88" s="1"/>
  <c r="A50" i="88" s="1"/>
  <c r="A51" i="88" s="1"/>
  <c r="A52" i="88" s="1"/>
  <c r="A53" i="88" s="1"/>
  <c r="A54" i="88" s="1"/>
  <c r="G44" i="72"/>
  <c r="A21" i="23"/>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G22" i="72"/>
  <c r="A20" i="4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K108" i="68"/>
  <c r="BK58" i="68"/>
  <c r="BA114" i="69"/>
  <c r="BA113" i="69"/>
  <c r="AD112" i="69"/>
  <c r="G111" i="69"/>
  <c r="A19" i="65"/>
  <c r="A20" i="65" s="1"/>
  <c r="A21" i="65" s="1"/>
  <c r="A22" i="65" s="1"/>
  <c r="A23" i="65" s="1"/>
  <c r="A24" i="65" s="1"/>
  <c r="A25" i="65" s="1"/>
  <c r="A26" i="65" s="1"/>
  <c r="A27" i="65" s="1"/>
  <c r="A28" i="65" s="1"/>
  <c r="A29" i="65" s="1"/>
  <c r="A30" i="65" s="1"/>
  <c r="A31" i="65" s="1"/>
  <c r="A32" i="65" s="1"/>
  <c r="A33" i="65" s="1"/>
  <c r="A34" i="65" s="1"/>
  <c r="A35" i="65" s="1"/>
  <c r="A36" i="65" s="1"/>
  <c r="A37" i="65" s="1"/>
  <c r="A38" i="65" s="1"/>
  <c r="A39" i="65" s="1"/>
  <c r="A40" i="65" s="1"/>
  <c r="A41" i="65" s="1"/>
  <c r="A42" i="65" s="1"/>
  <c r="A43" i="65" s="1"/>
  <c r="A44" i="65" s="1"/>
  <c r="A45" i="65" s="1"/>
  <c r="A46" i="65" s="1"/>
  <c r="A47" i="65" s="1"/>
  <c r="A48" i="65" s="1"/>
  <c r="A49" i="65" s="1"/>
  <c r="A50" i="65" s="1"/>
  <c r="A51" i="65" s="1"/>
  <c r="A52" i="65" s="1"/>
  <c r="A53" i="65" s="1"/>
  <c r="A54" i="65" s="1"/>
  <c r="H27" i="72"/>
  <c r="A19" i="67"/>
  <c r="A20" i="67" s="1"/>
  <c r="A21" i="67" s="1"/>
  <c r="A22" i="67" s="1"/>
  <c r="A23" i="67" s="1"/>
  <c r="A24" i="67" s="1"/>
  <c r="A25" i="67" s="1"/>
  <c r="A26" i="67" s="1"/>
  <c r="A27" i="67" s="1"/>
  <c r="A28" i="67" s="1"/>
  <c r="A29" i="67" s="1"/>
  <c r="A30" i="67" s="1"/>
  <c r="A31" i="67" s="1"/>
  <c r="A32" i="67" s="1"/>
  <c r="A33" i="67" s="1"/>
  <c r="A34" i="67" s="1"/>
  <c r="A35" i="67" s="1"/>
  <c r="A36" i="67" s="1"/>
  <c r="A37" i="67" s="1"/>
  <c r="A38" i="67" s="1"/>
  <c r="A39" i="67" s="1"/>
  <c r="A40" i="67" s="1"/>
  <c r="A41" i="67" s="1"/>
  <c r="A42" i="67" s="1"/>
  <c r="A43" i="67" s="1"/>
  <c r="A44" i="67" s="1"/>
  <c r="A45" i="67" s="1"/>
  <c r="A46" i="67" s="1"/>
  <c r="A47" i="67" s="1"/>
  <c r="A48" i="67" s="1"/>
  <c r="A49" i="67" s="1"/>
  <c r="A50" i="67" s="1"/>
  <c r="A51" i="67" s="1"/>
  <c r="A52" i="67" s="1"/>
  <c r="A53" i="67" s="1"/>
  <c r="A54" i="67" s="1"/>
  <c r="A21" i="48"/>
  <c r="A22" i="48" s="1"/>
  <c r="A23" i="48" s="1"/>
  <c r="A24" i="48" s="1"/>
  <c r="A25" i="48" s="1"/>
  <c r="A26" i="48" s="1"/>
  <c r="A27" i="48" s="1"/>
  <c r="A28" i="48" s="1"/>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I36" i="72"/>
  <c r="H36" i="72"/>
  <c r="BP5" i="68"/>
  <c r="BQ5" i="68" s="1"/>
  <c r="BM58" i="68"/>
  <c r="BP58" i="68" s="1"/>
  <c r="BK57" i="68"/>
  <c r="CW58" i="68"/>
  <c r="CY58" i="68" s="1"/>
  <c r="CZ58" i="68" s="1"/>
  <c r="CY5" i="68"/>
  <c r="CZ5" i="68" s="1"/>
  <c r="U59" i="69"/>
  <c r="S110" i="69"/>
  <c r="S109" i="69"/>
  <c r="BM108" i="68"/>
  <c r="BP59" i="68"/>
  <c r="BM109" i="68"/>
  <c r="BM110" i="68"/>
  <c r="BM111" i="68"/>
  <c r="BN112" i="68"/>
  <c r="BN113" i="68"/>
  <c r="AE109" i="68"/>
  <c r="AE110" i="68"/>
  <c r="AE112" i="68"/>
  <c r="AE111" i="68"/>
  <c r="R10" i="56"/>
  <c r="BT57" i="69"/>
  <c r="BL57" i="69"/>
  <c r="DA57" i="68"/>
  <c r="CT57" i="68"/>
  <c r="CY57" i="68"/>
  <c r="CW112" i="68"/>
  <c r="CW113" i="68"/>
  <c r="K24" i="74"/>
  <c r="L24" i="74" s="1"/>
  <c r="D25" i="74"/>
  <c r="G24" i="74"/>
  <c r="A28" i="66"/>
  <c r="A29" i="66" s="1"/>
  <c r="A29" i="85"/>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CU9" i="68"/>
  <c r="Y11" i="46"/>
  <c r="Y10" i="46"/>
  <c r="CU8" i="68"/>
  <c r="CU6" i="68"/>
  <c r="Y9" i="46"/>
  <c r="Y8" i="46"/>
  <c r="U29" i="84"/>
  <c r="U30" i="84" s="1"/>
  <c r="U31" i="84" s="1"/>
  <c r="U32" i="84" s="1"/>
  <c r="U33" i="84" s="1"/>
  <c r="U34" i="84" s="1"/>
  <c r="U35" i="84" s="1"/>
  <c r="U36" i="84" s="1"/>
  <c r="U37" i="84" s="1"/>
  <c r="U38" i="84" s="1"/>
  <c r="U39" i="84" s="1"/>
  <c r="U40" i="84" s="1"/>
  <c r="U41" i="84" s="1"/>
  <c r="U42" i="84" s="1"/>
  <c r="U43" i="84" s="1"/>
  <c r="U44" i="84" s="1"/>
  <c r="U45" i="84" s="1"/>
  <c r="U46" i="84" s="1"/>
  <c r="U47" i="84" s="1"/>
  <c r="U48" i="84" s="1"/>
  <c r="AK109" i="68"/>
  <c r="A21" i="6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21" i="60"/>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J23" i="72"/>
  <c r="A22" i="35"/>
  <c r="A23" i="35" s="1"/>
  <c r="A24" i="35" s="1"/>
  <c r="A25" i="35" s="1"/>
  <c r="A26" i="35" s="1"/>
  <c r="A27" i="35" s="1"/>
  <c r="A28" i="35" s="1"/>
  <c r="A29" i="35" s="1"/>
  <c r="A30" i="35" s="1"/>
  <c r="A31" i="35" s="1"/>
  <c r="A32" i="35" s="1"/>
  <c r="A33" i="35" s="1"/>
  <c r="A34" i="35" s="1"/>
  <c r="A35" i="35" s="1"/>
  <c r="A36" i="35" s="1"/>
  <c r="A37" i="35" s="1"/>
  <c r="A38" i="35" s="1"/>
  <c r="A39" i="35" s="1"/>
  <c r="A40" i="35" s="1"/>
  <c r="A41" i="35" s="1"/>
  <c r="A42" i="35" s="1"/>
  <c r="A43" i="35" s="1"/>
  <c r="A44" i="35" s="1"/>
  <c r="A45" i="35" s="1"/>
  <c r="A46" i="35" s="1"/>
  <c r="A47" i="35" s="1"/>
  <c r="A48" i="35" s="1"/>
  <c r="A49" i="35" s="1"/>
  <c r="A50" i="35" s="1"/>
  <c r="A51" i="35" s="1"/>
  <c r="A52" i="35" s="1"/>
  <c r="A53" i="35" s="1"/>
  <c r="A54" i="35" s="1"/>
  <c r="E11" i="72"/>
  <c r="A21" i="7"/>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E8" i="72"/>
  <c r="Q33" i="84"/>
  <c r="Q34" i="84" s="1"/>
  <c r="Q35" i="84" s="1"/>
  <c r="Q36" i="84" s="1"/>
  <c r="Q37" i="84" s="1"/>
  <c r="Q38" i="84" s="1"/>
  <c r="Q39" i="84" s="1"/>
  <c r="Q40" i="84" s="1"/>
  <c r="Q41" i="84" s="1"/>
  <c r="Q42" i="84" s="1"/>
  <c r="Q43" i="84" s="1"/>
  <c r="Q44" i="84" s="1"/>
  <c r="Q45" i="84" s="1"/>
  <c r="Q46" i="84" s="1"/>
  <c r="Q47" i="84" s="1"/>
  <c r="Q48" i="84" s="1"/>
  <c r="Q49" i="84" s="1"/>
  <c r="AR110" i="69"/>
  <c r="M27" i="75"/>
  <c r="M28" i="75" s="1"/>
  <c r="M29" i="75" s="1"/>
  <c r="Q27" i="75"/>
  <c r="Q28" i="75" s="1"/>
  <c r="Q29" i="75" s="1"/>
  <c r="Q30" i="75" s="1"/>
  <c r="Q31" i="75" s="1"/>
  <c r="Q32" i="75" s="1"/>
  <c r="Q33" i="75" s="1"/>
  <c r="Q34" i="75" s="1"/>
  <c r="Q35" i="75" s="1"/>
  <c r="Q36" i="75" s="1"/>
  <c r="Q37" i="75" s="1"/>
  <c r="Q38" i="75" s="1"/>
  <c r="A21" i="4"/>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20" i="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D113" i="69"/>
  <c r="AD114" i="69"/>
  <c r="Q9" i="58"/>
  <c r="AD7" i="69" s="1"/>
  <c r="AD60" i="69" s="1"/>
  <c r="AD6" i="69"/>
  <c r="A19" i="59"/>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R58" i="69"/>
  <c r="V58" i="69" s="1"/>
  <c r="AE58" i="68"/>
  <c r="AE108" i="68" s="1"/>
  <c r="AG5" i="68"/>
  <c r="AH5" i="68" s="1"/>
  <c r="R57" i="69"/>
  <c r="V57" i="69" s="1"/>
  <c r="AR58" i="69"/>
  <c r="AP109" i="69"/>
  <c r="D109" i="69"/>
  <c r="BN108" i="68"/>
  <c r="BN109" i="68"/>
  <c r="BN111" i="68"/>
  <c r="BN110" i="68"/>
  <c r="DA58" i="68"/>
  <c r="CT58" i="68"/>
  <c r="BM10" i="69"/>
  <c r="Y13" i="45"/>
  <c r="Y12" i="45"/>
  <c r="A28" i="36"/>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I10" i="72"/>
  <c r="G10" i="72"/>
  <c r="A25" i="90"/>
  <c r="A26" i="90" s="1"/>
  <c r="A27" i="90" s="1"/>
  <c r="A28" i="90" s="1"/>
  <c r="A29" i="90" s="1"/>
  <c r="A30" i="90" s="1"/>
  <c r="A31" i="90" s="1"/>
  <c r="A32" i="90" s="1"/>
  <c r="A33" i="90" s="1"/>
  <c r="A34" i="90" s="1"/>
  <c r="A35" i="90" s="1"/>
  <c r="A36" i="90" s="1"/>
  <c r="A37" i="90" s="1"/>
  <c r="A38" i="90" s="1"/>
  <c r="A39" i="90" s="1"/>
  <c r="A40" i="90" s="1"/>
  <c r="A41" i="90" s="1"/>
  <c r="A42" i="90" s="1"/>
  <c r="A43" i="90" s="1"/>
  <c r="A44" i="90" s="1"/>
  <c r="A45" i="90" s="1"/>
  <c r="A46" i="90" s="1"/>
  <c r="A47" i="90" s="1"/>
  <c r="A48" i="90" s="1"/>
  <c r="A49" i="90" s="1"/>
  <c r="A50" i="90" s="1"/>
  <c r="A51" i="90" s="1"/>
  <c r="A52" i="90" s="1"/>
  <c r="A53" i="90" s="1"/>
  <c r="A54" i="90" s="1"/>
  <c r="F10" i="72"/>
  <c r="CV8" i="68"/>
  <c r="CV61" i="68" s="1"/>
  <c r="CV110" i="68" s="1"/>
  <c r="Y10" i="47"/>
  <c r="BT108" i="68"/>
  <c r="H38" i="72"/>
  <c r="A23" i="81"/>
  <c r="A24" i="81" s="1"/>
  <c r="A25" i="81" s="1"/>
  <c r="A26" i="81" s="1"/>
  <c r="A27" i="81" s="1"/>
  <c r="A28" i="81" s="1"/>
  <c r="A29" i="81" s="1"/>
  <c r="A30" i="81" s="1"/>
  <c r="A31" i="81" s="1"/>
  <c r="A32" i="81" s="1"/>
  <c r="A33" i="81" s="1"/>
  <c r="A34" i="81" s="1"/>
  <c r="A35" i="81" s="1"/>
  <c r="A36" i="81" s="1"/>
  <c r="A37" i="81" s="1"/>
  <c r="A38" i="81" s="1"/>
  <c r="A39" i="81" s="1"/>
  <c r="A40" i="81" s="1"/>
  <c r="A41" i="81" s="1"/>
  <c r="A42" i="81" s="1"/>
  <c r="A43" i="81" s="1"/>
  <c r="A44" i="81" s="1"/>
  <c r="A45" i="81" s="1"/>
  <c r="A46" i="81" s="1"/>
  <c r="A47" i="81" s="1"/>
  <c r="A48" i="81" s="1"/>
  <c r="A49" i="81" s="1"/>
  <c r="A50" i="81" s="1"/>
  <c r="A51" i="81" s="1"/>
  <c r="A52" i="81" s="1"/>
  <c r="A53" i="81" s="1"/>
  <c r="A54" i="81" s="1"/>
  <c r="F38" i="72"/>
  <c r="E38" i="72"/>
  <c r="J38" i="72"/>
  <c r="I38" i="72"/>
  <c r="J108" i="68"/>
  <c r="A23" i="86"/>
  <c r="A24" i="86" s="1"/>
  <c r="A25" i="86" s="1"/>
  <c r="A26" i="86" s="1"/>
  <c r="A27" i="86" s="1"/>
  <c r="A28" i="86" s="1"/>
  <c r="A29" i="86" s="1"/>
  <c r="A30" i="86" s="1"/>
  <c r="A31" i="86" s="1"/>
  <c r="A32" i="86" s="1"/>
  <c r="A33" i="86" s="1"/>
  <c r="A34" i="86" s="1"/>
  <c r="A35" i="86" s="1"/>
  <c r="A36" i="86" s="1"/>
  <c r="A37" i="86" s="1"/>
  <c r="A38" i="86" s="1"/>
  <c r="A39" i="86" s="1"/>
  <c r="A40" i="86" s="1"/>
  <c r="A41" i="86" s="1"/>
  <c r="A42" i="86" s="1"/>
  <c r="A43" i="86" s="1"/>
  <c r="A44" i="86" s="1"/>
  <c r="A45" i="86" s="1"/>
  <c r="A46" i="86" s="1"/>
  <c r="A47" i="86" s="1"/>
  <c r="A48" i="86" s="1"/>
  <c r="A49" i="86" s="1"/>
  <c r="A50" i="86" s="1"/>
  <c r="A51" i="86" s="1"/>
  <c r="A52" i="86" s="1"/>
  <c r="A53" i="86" s="1"/>
  <c r="A54" i="86" s="1"/>
  <c r="Y109" i="69"/>
  <c r="F43" i="72"/>
  <c r="E43" i="72"/>
  <c r="J43" i="72"/>
  <c r="A20" i="87"/>
  <c r="A21" i="87" s="1"/>
  <c r="A22" i="87" s="1"/>
  <c r="A23" i="87" s="1"/>
  <c r="A24" i="87" s="1"/>
  <c r="A25" i="87" s="1"/>
  <c r="A26" i="87" s="1"/>
  <c r="A27" i="87" s="1"/>
  <c r="A28" i="87" s="1"/>
  <c r="A29" i="87" s="1"/>
  <c r="A30" i="87" s="1"/>
  <c r="A31" i="87" s="1"/>
  <c r="A32" i="87" s="1"/>
  <c r="A33" i="87" s="1"/>
  <c r="A34" i="87" s="1"/>
  <c r="A35" i="87" s="1"/>
  <c r="A36" i="87" s="1"/>
  <c r="A37" i="87" s="1"/>
  <c r="A38" i="87" s="1"/>
  <c r="A39" i="87" s="1"/>
  <c r="A40" i="87" s="1"/>
  <c r="A41" i="87" s="1"/>
  <c r="A42" i="87" s="1"/>
  <c r="A43" i="87" s="1"/>
  <c r="A44" i="87" s="1"/>
  <c r="A45" i="87" s="1"/>
  <c r="A46" i="87" s="1"/>
  <c r="A47" i="87" s="1"/>
  <c r="A48" i="87" s="1"/>
  <c r="A49" i="87" s="1"/>
  <c r="A50" i="87" s="1"/>
  <c r="A51" i="87" s="1"/>
  <c r="A52" i="87" s="1"/>
  <c r="A53" i="87" s="1"/>
  <c r="A54" i="87" s="1"/>
  <c r="G43" i="72"/>
  <c r="H43" i="72"/>
  <c r="I43" i="72"/>
  <c r="A19" i="43"/>
  <c r="A20" i="43" s="1"/>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D108" i="68"/>
  <c r="A19" i="58"/>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43" i="58" s="1"/>
  <c r="A44" i="58" s="1"/>
  <c r="A45" i="58" s="1"/>
  <c r="A46" i="58" s="1"/>
  <c r="A47" i="58" s="1"/>
  <c r="A48" i="58" s="1"/>
  <c r="A49" i="58" s="1"/>
  <c r="A50" i="58" s="1"/>
  <c r="A51" i="58" s="1"/>
  <c r="A52" i="58" s="1"/>
  <c r="A53" i="58" s="1"/>
  <c r="A54" i="58" s="1"/>
  <c r="G113" i="69"/>
  <c r="G114" i="69"/>
  <c r="BA111" i="69"/>
  <c r="A19" i="62"/>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19" i="64"/>
  <c r="A20" i="64" s="1"/>
  <c r="A21" i="64" s="1"/>
  <c r="A22" i="64" s="1"/>
  <c r="A23" i="64" s="1"/>
  <c r="A24" i="64" s="1"/>
  <c r="A25" i="64" s="1"/>
  <c r="A26" i="64" s="1"/>
  <c r="A27" i="64" s="1"/>
  <c r="A28" i="64" s="1"/>
  <c r="A29" i="64" s="1"/>
  <c r="A30" i="64" s="1"/>
  <c r="A31" i="64" s="1"/>
  <c r="A32" i="64" s="1"/>
  <c r="A33" i="64" s="1"/>
  <c r="A34" i="64" s="1"/>
  <c r="A35" i="64" s="1"/>
  <c r="A36" i="64" s="1"/>
  <c r="A37" i="64" s="1"/>
  <c r="A38" i="64" s="1"/>
  <c r="A39" i="64" s="1"/>
  <c r="A40" i="64" s="1"/>
  <c r="A41" i="64" s="1"/>
  <c r="A42" i="64" s="1"/>
  <c r="A43" i="64" s="1"/>
  <c r="A44" i="64" s="1"/>
  <c r="A45" i="64" s="1"/>
  <c r="A46" i="64" s="1"/>
  <c r="A47" i="64" s="1"/>
  <c r="A48" i="64" s="1"/>
  <c r="A49" i="64" s="1"/>
  <c r="A50" i="64" s="1"/>
  <c r="A51" i="64" s="1"/>
  <c r="A52" i="64" s="1"/>
  <c r="A53" i="64" s="1"/>
  <c r="A54" i="64" s="1"/>
  <c r="F33" i="72"/>
  <c r="A19" i="63"/>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20" i="47"/>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BP57" i="68"/>
  <c r="BQ57" i="68" s="1"/>
  <c r="AA109" i="69"/>
  <c r="BO57" i="69"/>
  <c r="BP57" i="69" s="1"/>
  <c r="BU57" i="69" s="1"/>
  <c r="CW111" i="68"/>
  <c r="A21" i="70"/>
  <c r="Y11" i="45"/>
  <c r="BM9" i="69"/>
  <c r="Y12" i="46"/>
  <c r="Y13" i="46"/>
  <c r="CU10" i="68"/>
  <c r="CV9" i="68"/>
  <c r="CV62" i="68" s="1"/>
  <c r="Y12" i="47"/>
  <c r="Y11" i="47"/>
  <c r="A22" i="37"/>
  <c r="A23" i="37" s="1"/>
  <c r="A24" i="37" s="1"/>
  <c r="A25" i="37" s="1"/>
  <c r="A26" i="37" s="1"/>
  <c r="A27" i="37" s="1"/>
  <c r="A28" i="37" s="1"/>
  <c r="A29"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G41" i="72"/>
  <c r="F41" i="72"/>
  <c r="H41" i="72"/>
  <c r="AW109" i="69"/>
  <c r="CV6" i="68"/>
  <c r="CV59" i="68" s="1"/>
  <c r="Y9" i="47"/>
  <c r="Y8" i="47"/>
  <c r="A21" i="80"/>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BA59" i="69"/>
  <c r="BA109" i="69" s="1"/>
  <c r="BT58" i="69"/>
  <c r="BV58" i="69" s="1"/>
  <c r="BL58" i="69"/>
  <c r="BP58" i="69" s="1"/>
  <c r="AV109" i="69"/>
  <c r="F45" i="72"/>
  <c r="A28" i="89"/>
  <c r="A29" i="89" s="1"/>
  <c r="A30" i="89" s="1"/>
  <c r="A31" i="89" s="1"/>
  <c r="A32" i="89" s="1"/>
  <c r="A33" i="89" s="1"/>
  <c r="A34" i="89" s="1"/>
  <c r="A35" i="89" s="1"/>
  <c r="A36" i="89" s="1"/>
  <c r="A37" i="89" s="1"/>
  <c r="A38" i="89" s="1"/>
  <c r="A39" i="89" s="1"/>
  <c r="A40" i="89" s="1"/>
  <c r="A41" i="89" s="1"/>
  <c r="A42" i="89" s="1"/>
  <c r="A43" i="89" s="1"/>
  <c r="A44" i="89" s="1"/>
  <c r="A45" i="89" s="1"/>
  <c r="A46" i="89" s="1"/>
  <c r="A47" i="89" s="1"/>
  <c r="A48" i="89" s="1"/>
  <c r="A49" i="89" s="1"/>
  <c r="A50" i="89" s="1"/>
  <c r="A51" i="89" s="1"/>
  <c r="A52" i="89" s="1"/>
  <c r="A53" i="89" s="1"/>
  <c r="A54" i="89" s="1"/>
  <c r="A21" i="84"/>
  <c r="A22" i="84" s="1"/>
  <c r="A23" i="84" s="1"/>
  <c r="A24" i="84" s="1"/>
  <c r="A25" i="84" s="1"/>
  <c r="A26" i="84" s="1"/>
  <c r="A27" i="84" s="1"/>
  <c r="A28" i="84" s="1"/>
  <c r="A29" i="84" s="1"/>
  <c r="A30" i="84" s="1"/>
  <c r="A31" i="84" s="1"/>
  <c r="A32" i="84" s="1"/>
  <c r="A33" i="84" s="1"/>
  <c r="A34" i="84" s="1"/>
  <c r="A35" i="84" s="1"/>
  <c r="A36" i="84" s="1"/>
  <c r="A37" i="84" s="1"/>
  <c r="A38" i="84" s="1"/>
  <c r="A39" i="84" s="1"/>
  <c r="A40" i="84" s="1"/>
  <c r="A41" i="84" s="1"/>
  <c r="A42" i="84" s="1"/>
  <c r="A43" i="84" s="1"/>
  <c r="A44" i="84" s="1"/>
  <c r="A45" i="84" s="1"/>
  <c r="A46" i="84" s="1"/>
  <c r="A47" i="84" s="1"/>
  <c r="A20" i="42"/>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M108" i="68"/>
  <c r="AD111" i="69"/>
  <c r="A20" i="46"/>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B58" i="68"/>
  <c r="AD111" i="68"/>
  <c r="AD112" i="68"/>
  <c r="AD109" i="68"/>
  <c r="AG59" i="68"/>
  <c r="AD108" i="68"/>
  <c r="A17" i="56"/>
  <c r="A18" i="56" s="1"/>
  <c r="A19" i="56" s="1"/>
  <c r="A20" i="56" s="1"/>
  <c r="A21" i="56" s="1"/>
  <c r="A22" i="56" s="1"/>
  <c r="A23" i="56" s="1"/>
  <c r="A24" i="56" s="1"/>
  <c r="A25" i="56" s="1"/>
  <c r="R6" i="56"/>
  <c r="R14" i="56" s="1"/>
  <c r="R18" i="56" s="1"/>
  <c r="CW109" i="68"/>
  <c r="CW108" i="68"/>
  <c r="M21" i="74"/>
  <c r="M22" i="74" s="1"/>
  <c r="M23" i="74" s="1"/>
  <c r="M24" i="74" s="1"/>
  <c r="E41" i="72"/>
  <c r="M113" i="69"/>
  <c r="A20" i="96"/>
  <c r="A21" i="96" s="1"/>
  <c r="A22" i="96" s="1"/>
  <c r="A23" i="96" s="1"/>
  <c r="A24" i="96" s="1"/>
  <c r="A25" i="96" s="1"/>
  <c r="A26" i="96" s="1"/>
  <c r="A27" i="96" s="1"/>
  <c r="A28" i="96" s="1"/>
  <c r="A29" i="96" s="1"/>
  <c r="A30" i="96" s="1"/>
  <c r="A31" i="96" s="1"/>
  <c r="A32" i="96" s="1"/>
  <c r="A33" i="96" s="1"/>
  <c r="A34" i="96" s="1"/>
  <c r="A35" i="96" s="1"/>
  <c r="A36" i="96" s="1"/>
  <c r="A37" i="96" s="1"/>
  <c r="A38" i="96" s="1"/>
  <c r="A39" i="96" s="1"/>
  <c r="A40" i="96" s="1"/>
  <c r="A41" i="96" s="1"/>
  <c r="A42" i="96" s="1"/>
  <c r="A43" i="96" s="1"/>
  <c r="A44" i="96" s="1"/>
  <c r="A45" i="96" s="1"/>
  <c r="A46" i="96" s="1"/>
  <c r="A47" i="96" s="1"/>
  <c r="A48" i="96" s="1"/>
  <c r="A49" i="96" s="1"/>
  <c r="A50" i="96" s="1"/>
  <c r="A51" i="96" s="1"/>
  <c r="A52" i="96" s="1"/>
  <c r="A53" i="96" s="1"/>
  <c r="A54" i="96" s="1"/>
  <c r="A20" i="100"/>
  <c r="A21" i="100" s="1"/>
  <c r="A22" i="100" s="1"/>
  <c r="A23" i="100" s="1"/>
  <c r="A24" i="100" s="1"/>
  <c r="A25" i="100" s="1"/>
  <c r="A26" i="100" s="1"/>
  <c r="A27" i="100" s="1"/>
  <c r="A28" i="100" s="1"/>
  <c r="A29" i="100" s="1"/>
  <c r="A30" i="100" s="1"/>
  <c r="A31" i="100" s="1"/>
  <c r="A32" i="100" s="1"/>
  <c r="A33" i="100" s="1"/>
  <c r="A34" i="100" s="1"/>
  <c r="A35" i="100" s="1"/>
  <c r="A36" i="100" s="1"/>
  <c r="A37" i="100" s="1"/>
  <c r="A38" i="100" s="1"/>
  <c r="A39" i="100" s="1"/>
  <c r="A40" i="100" s="1"/>
  <c r="A41" i="100" s="1"/>
  <c r="A42" i="100" s="1"/>
  <c r="A43" i="100" s="1"/>
  <c r="A44" i="100" s="1"/>
  <c r="A45" i="100" s="1"/>
  <c r="A46" i="100" s="1"/>
  <c r="A47" i="100" s="1"/>
  <c r="A48" i="100" s="1"/>
  <c r="A49" i="100" s="1"/>
  <c r="A50" i="100" s="1"/>
  <c r="A51" i="100" s="1"/>
  <c r="A52" i="100" s="1"/>
  <c r="A53" i="100" s="1"/>
  <c r="A54" i="100" s="1"/>
  <c r="I18" i="72"/>
  <c r="J18" i="72"/>
  <c r="A20" i="104"/>
  <c r="A21" i="104" s="1"/>
  <c r="A22" i="104" s="1"/>
  <c r="A23" i="104" s="1"/>
  <c r="A24" i="104" s="1"/>
  <c r="A25" i="104" s="1"/>
  <c r="A26" i="104" s="1"/>
  <c r="A27" i="104" s="1"/>
  <c r="A28" i="104" s="1"/>
  <c r="A29" i="104" s="1"/>
  <c r="A30" i="104" s="1"/>
  <c r="A31" i="104" s="1"/>
  <c r="A32" i="104" s="1"/>
  <c r="A33" i="104" s="1"/>
  <c r="A34" i="104" s="1"/>
  <c r="A35" i="104" s="1"/>
  <c r="A36" i="104" s="1"/>
  <c r="A37" i="104" s="1"/>
  <c r="A38" i="104" s="1"/>
  <c r="A39" i="104" s="1"/>
  <c r="A40" i="104" s="1"/>
  <c r="A41" i="104" s="1"/>
  <c r="A42" i="104" s="1"/>
  <c r="A43" i="104" s="1"/>
  <c r="A44" i="104" s="1"/>
  <c r="A45" i="104" s="1"/>
  <c r="A46" i="104" s="1"/>
  <c r="A47" i="104" s="1"/>
  <c r="A48" i="104" s="1"/>
  <c r="A49" i="104" s="1"/>
  <c r="A50" i="104" s="1"/>
  <c r="A51" i="104" s="1"/>
  <c r="A52" i="104" s="1"/>
  <c r="A53" i="104" s="1"/>
  <c r="A54" i="104" s="1"/>
  <c r="J110" i="69"/>
  <c r="J111" i="69"/>
  <c r="AG110" i="69"/>
  <c r="AH114" i="69"/>
  <c r="AH113" i="69"/>
  <c r="AH109" i="69"/>
  <c r="AI112" i="69"/>
  <c r="BD111" i="69"/>
  <c r="BE110" i="69"/>
  <c r="BF113" i="69"/>
  <c r="BF109" i="69"/>
  <c r="H111" i="68"/>
  <c r="I110" i="68"/>
  <c r="P109" i="68"/>
  <c r="Q113" i="68"/>
  <c r="Q112" i="68"/>
  <c r="Q108" i="68"/>
  <c r="S111" i="68"/>
  <c r="BZ110" i="68"/>
  <c r="CH112" i="68"/>
  <c r="CI109" i="68"/>
  <c r="CR109" i="68"/>
  <c r="CR110" i="68"/>
  <c r="CK113" i="68"/>
  <c r="CK114" i="68"/>
  <c r="BZ114" i="68"/>
  <c r="BZ113" i="68"/>
  <c r="BF115" i="69"/>
  <c r="BF114" i="69"/>
  <c r="CK116" i="68"/>
  <c r="CK115" i="68"/>
  <c r="BZ115" i="68"/>
  <c r="BZ116" i="68"/>
  <c r="BF116" i="69"/>
  <c r="BF117" i="69"/>
  <c r="CA117" i="68"/>
  <c r="CA118" i="68"/>
  <c r="CR119" i="68"/>
  <c r="CR120" i="68"/>
  <c r="CH120" i="68"/>
  <c r="CH119" i="68"/>
  <c r="BD120" i="69"/>
  <c r="BD121" i="69"/>
  <c r="CI122" i="68"/>
  <c r="CI121" i="68"/>
  <c r="BE123" i="69"/>
  <c r="BE122" i="69"/>
  <c r="CR124" i="68"/>
  <c r="CR123" i="68"/>
  <c r="AA112" i="68"/>
  <c r="AA113" i="68"/>
  <c r="A21" i="97"/>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K113" i="69"/>
  <c r="K112" i="69"/>
  <c r="AG114" i="69"/>
  <c r="AG113" i="69"/>
  <c r="P113" i="68"/>
  <c r="P112" i="68"/>
  <c r="CO113" i="68"/>
  <c r="CI114" i="68"/>
  <c r="CI113" i="68"/>
  <c r="BE114" i="69"/>
  <c r="BE115" i="69"/>
  <c r="CI115" i="68"/>
  <c r="CI116" i="68"/>
  <c r="BE116" i="69"/>
  <c r="BE117" i="69"/>
  <c r="CK118" i="68"/>
  <c r="CK117" i="68"/>
  <c r="BZ118" i="68"/>
  <c r="BZ117" i="68"/>
  <c r="BF118" i="69"/>
  <c r="BF119" i="69"/>
  <c r="CA120" i="68"/>
  <c r="CA119" i="68"/>
  <c r="CR121" i="68"/>
  <c r="CR122" i="68"/>
  <c r="CH121" i="68"/>
  <c r="CH122" i="68"/>
  <c r="BD122" i="69"/>
  <c r="BD123" i="69"/>
  <c r="Y112" i="68"/>
  <c r="W112" i="68"/>
  <c r="W113" i="68"/>
  <c r="Y110" i="68"/>
  <c r="Y108" i="68"/>
  <c r="A20" i="101"/>
  <c r="A21" i="101" s="1"/>
  <c r="A22" i="101" s="1"/>
  <c r="A23" i="101" s="1"/>
  <c r="A24" i="101" s="1"/>
  <c r="A25" i="101" s="1"/>
  <c r="A26" i="101" s="1"/>
  <c r="A27" i="101" s="1"/>
  <c r="A28" i="101" s="1"/>
  <c r="A29" i="101" s="1"/>
  <c r="A30" i="101" s="1"/>
  <c r="A31" i="101" s="1"/>
  <c r="A32" i="101" s="1"/>
  <c r="A33" i="101" s="1"/>
  <c r="A34" i="101" s="1"/>
  <c r="A35" i="101" s="1"/>
  <c r="A36" i="101" s="1"/>
  <c r="A37" i="101" s="1"/>
  <c r="A38" i="101" s="1"/>
  <c r="A39" i="101" s="1"/>
  <c r="A40" i="101" s="1"/>
  <c r="A41" i="101" s="1"/>
  <c r="A42" i="101" s="1"/>
  <c r="A43" i="101" s="1"/>
  <c r="A44" i="101" s="1"/>
  <c r="A45" i="101" s="1"/>
  <c r="A46" i="101" s="1"/>
  <c r="A47" i="101" s="1"/>
  <c r="A48" i="101" s="1"/>
  <c r="A49" i="101" s="1"/>
  <c r="A50" i="101" s="1"/>
  <c r="A51" i="101" s="1"/>
  <c r="A52" i="101" s="1"/>
  <c r="A53" i="101" s="1"/>
  <c r="A54" i="101" s="1"/>
  <c r="A21" i="103"/>
  <c r="A22" i="103" s="1"/>
  <c r="A23" i="103" s="1"/>
  <c r="A24" i="103" s="1"/>
  <c r="A25" i="103" s="1"/>
  <c r="A26" i="103" s="1"/>
  <c r="A27" i="103" s="1"/>
  <c r="A28" i="103" s="1"/>
  <c r="A29" i="103" s="1"/>
  <c r="A30" i="103" s="1"/>
  <c r="A31" i="103" s="1"/>
  <c r="A32" i="103" s="1"/>
  <c r="A33" i="103" s="1"/>
  <c r="A34" i="103" s="1"/>
  <c r="A35" i="103" s="1"/>
  <c r="A36" i="103" s="1"/>
  <c r="A37" i="103" s="1"/>
  <c r="A38" i="103" s="1"/>
  <c r="A39" i="103" s="1"/>
  <c r="A40" i="103" s="1"/>
  <c r="A41" i="103" s="1"/>
  <c r="A42" i="103" s="1"/>
  <c r="A43" i="103" s="1"/>
  <c r="A44" i="103" s="1"/>
  <c r="A45" i="103" s="1"/>
  <c r="A46" i="103" s="1"/>
  <c r="A47" i="103" s="1"/>
  <c r="A48" i="103" s="1"/>
  <c r="A49" i="103" s="1"/>
  <c r="A50" i="103" s="1"/>
  <c r="A51" i="103" s="1"/>
  <c r="A52" i="103" s="1"/>
  <c r="A53" i="103" s="1"/>
  <c r="A54" i="103" s="1"/>
  <c r="E25" i="72"/>
  <c r="AG112" i="69"/>
  <c r="AH111" i="69"/>
  <c r="AI110" i="69"/>
  <c r="BD113" i="69"/>
  <c r="BD109" i="69"/>
  <c r="BE112" i="69"/>
  <c r="BF111" i="69"/>
  <c r="H109" i="68"/>
  <c r="I113" i="68"/>
  <c r="I112" i="68"/>
  <c r="I108" i="68"/>
  <c r="P111" i="68"/>
  <c r="Q110" i="68"/>
  <c r="S109" i="68"/>
  <c r="BZ112" i="68"/>
  <c r="BZ108" i="68"/>
  <c r="CA111" i="68"/>
  <c r="CI111" i="68"/>
  <c r="CI112" i="68"/>
  <c r="CR114" i="68"/>
  <c r="CR113" i="68"/>
  <c r="CH114" i="68"/>
  <c r="CH113" i="68"/>
  <c r="BD115" i="69"/>
  <c r="BD114" i="69"/>
  <c r="CR116" i="68"/>
  <c r="CR115" i="68"/>
  <c r="CH116" i="68"/>
  <c r="CH115" i="68"/>
  <c r="BD117" i="69"/>
  <c r="BD116" i="69"/>
  <c r="CI118" i="68"/>
  <c r="CI117" i="68"/>
  <c r="BE118" i="69"/>
  <c r="BE119" i="69"/>
  <c r="CK119" i="68"/>
  <c r="CK120" i="68"/>
  <c r="BZ120" i="68"/>
  <c r="BZ119" i="68"/>
  <c r="BF120" i="69"/>
  <c r="BF121" i="69"/>
  <c r="CA121" i="68"/>
  <c r="CA122" i="68"/>
  <c r="CK123" i="68"/>
  <c r="AA111" i="68"/>
  <c r="W111" i="68"/>
  <c r="AA109" i="68"/>
  <c r="W109" i="68"/>
  <c r="A20" i="98"/>
  <c r="A21" i="98" s="1"/>
  <c r="A22" i="98" s="1"/>
  <c r="A23" i="98" s="1"/>
  <c r="A24" i="98" s="1"/>
  <c r="A25" i="98" s="1"/>
  <c r="A26" i="98" s="1"/>
  <c r="A27" i="98" s="1"/>
  <c r="A28" i="98" s="1"/>
  <c r="A29" i="98" s="1"/>
  <c r="A30" i="98" s="1"/>
  <c r="A31" i="98" s="1"/>
  <c r="A32" i="98" s="1"/>
  <c r="A33" i="98" s="1"/>
  <c r="A34" i="98" s="1"/>
  <c r="A35" i="98" s="1"/>
  <c r="A36" i="98" s="1"/>
  <c r="A37" i="98" s="1"/>
  <c r="A38" i="98" s="1"/>
  <c r="A39" i="98" s="1"/>
  <c r="A40" i="98" s="1"/>
  <c r="A41" i="98" s="1"/>
  <c r="A42" i="98" s="1"/>
  <c r="A43" i="98" s="1"/>
  <c r="A44" i="98" s="1"/>
  <c r="A45" i="98" s="1"/>
  <c r="A46" i="98" s="1"/>
  <c r="A20" i="102"/>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J26" i="72"/>
  <c r="F26" i="72"/>
  <c r="I26" i="72"/>
  <c r="A20" i="99"/>
  <c r="A21" i="99" s="1"/>
  <c r="A22" i="99" s="1"/>
  <c r="A23" i="99" s="1"/>
  <c r="A24" i="99" s="1"/>
  <c r="A25" i="99" s="1"/>
  <c r="A26" i="99" s="1"/>
  <c r="A27" i="99" s="1"/>
  <c r="A28" i="99" s="1"/>
  <c r="A29" i="99" s="1"/>
  <c r="A30" i="99" s="1"/>
  <c r="A31" i="99" s="1"/>
  <c r="A32" i="99" s="1"/>
  <c r="A33" i="99" s="1"/>
  <c r="A34" i="99" s="1"/>
  <c r="A35" i="99" s="1"/>
  <c r="A36" i="99" s="1"/>
  <c r="A37" i="99" s="1"/>
  <c r="A38" i="99" s="1"/>
  <c r="A39" i="99" s="1"/>
  <c r="A40" i="99" s="1"/>
  <c r="A41" i="99" s="1"/>
  <c r="A42" i="99" s="1"/>
  <c r="A43" i="99" s="1"/>
  <c r="A44" i="99" s="1"/>
  <c r="A45" i="99" s="1"/>
  <c r="A46" i="99" s="1"/>
  <c r="A47" i="99" s="1"/>
  <c r="A48" i="99" s="1"/>
  <c r="A49" i="99" s="1"/>
  <c r="A50" i="99" s="1"/>
  <c r="A51" i="99" s="1"/>
  <c r="A52" i="99" s="1"/>
  <c r="A53" i="99" s="1"/>
  <c r="A54" i="99" s="1"/>
  <c r="AI113" i="69"/>
  <c r="AI114" i="69"/>
  <c r="H112" i="68"/>
  <c r="H113" i="68"/>
  <c r="S112" i="68"/>
  <c r="S113" i="68"/>
  <c r="CA113" i="68"/>
  <c r="CA114" i="68"/>
  <c r="CA116" i="68"/>
  <c r="CA115" i="68"/>
  <c r="CR118" i="68"/>
  <c r="CR117" i="68"/>
  <c r="CH117" i="68"/>
  <c r="CH118" i="68"/>
  <c r="BD119" i="69"/>
  <c r="BD118" i="69"/>
  <c r="CI120" i="68"/>
  <c r="CI119" i="68"/>
  <c r="BE120" i="69"/>
  <c r="BE121" i="69"/>
  <c r="CK122" i="68"/>
  <c r="CK121" i="68"/>
  <c r="BZ122" i="68"/>
  <c r="BZ121" i="68"/>
  <c r="BF123" i="69"/>
  <c r="BF122" i="69"/>
  <c r="G29" i="45"/>
  <c r="X28" i="45"/>
  <c r="Z28" i="45" s="1"/>
  <c r="Y113" i="68"/>
  <c r="T26" i="63"/>
  <c r="T20" i="63"/>
  <c r="T12" i="63"/>
  <c r="T48" i="44"/>
  <c r="T36" i="44"/>
  <c r="T27" i="44"/>
  <c r="T20" i="44"/>
  <c r="T30" i="101"/>
  <c r="T23" i="102"/>
  <c r="U23" i="102" s="1"/>
  <c r="U24" i="103"/>
  <c r="T10" i="67"/>
  <c r="T16" i="66"/>
  <c r="T9" i="66"/>
  <c r="T18" i="64"/>
  <c r="T11" i="62"/>
  <c r="T17" i="61"/>
  <c r="T8" i="61"/>
  <c r="U8" i="61" s="1"/>
  <c r="T37" i="40"/>
  <c r="T21" i="40"/>
  <c r="T13" i="40"/>
  <c r="U9" i="40"/>
  <c r="U9" i="39"/>
  <c r="T32" i="38"/>
  <c r="T9" i="41"/>
  <c r="U25" i="90"/>
  <c r="F7" i="72"/>
  <c r="U25" i="104"/>
  <c r="U10" i="43"/>
  <c r="U10" i="38"/>
  <c r="U9" i="41"/>
  <c r="U9" i="59"/>
  <c r="U25" i="81"/>
  <c r="U25" i="80"/>
  <c r="T19" i="63"/>
  <c r="T13" i="63"/>
  <c r="T27" i="88"/>
  <c r="U25" i="88"/>
  <c r="T40" i="44"/>
  <c r="T37" i="44"/>
  <c r="T28" i="44"/>
  <c r="T19" i="44"/>
  <c r="T12" i="44"/>
  <c r="T27" i="101"/>
  <c r="T18" i="67"/>
  <c r="T17" i="66"/>
  <c r="T8" i="66"/>
  <c r="U8" i="66" s="1"/>
  <c r="T17" i="64"/>
  <c r="T10" i="64"/>
  <c r="T12" i="62"/>
  <c r="U24" i="100"/>
  <c r="T16" i="61"/>
  <c r="T45" i="40"/>
  <c r="T29" i="40"/>
  <c r="T22" i="40"/>
  <c r="T14" i="40"/>
  <c r="T17" i="60"/>
  <c r="T13" i="60"/>
  <c r="T9" i="60"/>
  <c r="U9" i="60" s="1"/>
  <c r="T30" i="80"/>
  <c r="U10" i="65"/>
  <c r="T26" i="80"/>
  <c r="F34" i="85"/>
  <c r="F24" i="99"/>
  <c r="F33" i="38"/>
  <c r="F32" i="60"/>
  <c r="F31" i="90"/>
  <c r="F27" i="90"/>
  <c r="U24" i="96"/>
  <c r="F32" i="43"/>
  <c r="F27" i="66"/>
  <c r="F25" i="100"/>
  <c r="F32" i="59"/>
  <c r="T23" i="97"/>
  <c r="U23" i="97" s="1"/>
  <c r="U9" i="4"/>
  <c r="F32" i="102"/>
  <c r="F24" i="102"/>
  <c r="F32" i="66"/>
  <c r="F31" i="64"/>
  <c r="F31" i="80"/>
  <c r="U24" i="98"/>
  <c r="U22" i="58"/>
  <c r="F26" i="104"/>
  <c r="F32" i="86"/>
  <c r="F27" i="85"/>
  <c r="F25" i="103"/>
  <c r="F32" i="67"/>
  <c r="F31" i="99"/>
  <c r="F27" i="81"/>
  <c r="U9" i="36"/>
  <c r="F32" i="36"/>
  <c r="F25" i="97"/>
  <c r="F31" i="98"/>
  <c r="F25" i="96"/>
  <c r="F31" i="23"/>
  <c r="F31" i="4"/>
  <c r="F32" i="58"/>
  <c r="F31" i="7"/>
  <c r="F31" i="1"/>
  <c r="F31" i="96"/>
  <c r="F32" i="35"/>
  <c r="Q24" i="89"/>
  <c r="O31" i="102"/>
  <c r="P31" i="102" s="1"/>
  <c r="E32" i="102"/>
  <c r="Q10" i="67"/>
  <c r="Q10" i="66"/>
  <c r="F37" i="46"/>
  <c r="I36" i="46"/>
  <c r="R36" i="46" s="1"/>
  <c r="P28" i="102"/>
  <c r="Q26" i="83"/>
  <c r="K31" i="43"/>
  <c r="L31" i="43" s="1"/>
  <c r="D32" i="43"/>
  <c r="P30" i="85"/>
  <c r="Q8" i="44"/>
  <c r="O24" i="102"/>
  <c r="P24" i="102" s="1"/>
  <c r="Q24" i="102" s="1"/>
  <c r="E25" i="102"/>
  <c r="O32" i="67"/>
  <c r="E33" i="67"/>
  <c r="P11" i="67"/>
  <c r="E25" i="97"/>
  <c r="O24" i="97"/>
  <c r="P24" i="97" s="1"/>
  <c r="J47" i="42"/>
  <c r="L47" i="42" s="1"/>
  <c r="B48" i="42"/>
  <c r="N48" i="42"/>
  <c r="P48" i="42" s="1"/>
  <c r="O26" i="89"/>
  <c r="P26" i="89" s="1"/>
  <c r="E27" i="89"/>
  <c r="O32" i="86"/>
  <c r="P32" i="86" s="1"/>
  <c r="E33" i="86"/>
  <c r="P27" i="42"/>
  <c r="P19" i="67"/>
  <c r="P49" i="88"/>
  <c r="P47" i="88"/>
  <c r="P45" i="88"/>
  <c r="P43" i="88"/>
  <c r="P41" i="88"/>
  <c r="P39" i="88"/>
  <c r="P37" i="88"/>
  <c r="P35" i="88"/>
  <c r="P33" i="88"/>
  <c r="P31" i="88"/>
  <c r="P29" i="88"/>
  <c r="P26" i="86"/>
  <c r="P24" i="86"/>
  <c r="O26" i="87"/>
  <c r="E27" i="87"/>
  <c r="P40" i="44"/>
  <c r="P32" i="44"/>
  <c r="P24" i="44"/>
  <c r="P16" i="44"/>
  <c r="O23" i="101"/>
  <c r="P23" i="101" s="1"/>
  <c r="Q23" i="101" s="1"/>
  <c r="E24" i="101"/>
  <c r="P25" i="42"/>
  <c r="P23" i="42"/>
  <c r="P21" i="42"/>
  <c r="P19" i="42"/>
  <c r="P17" i="42"/>
  <c r="P15" i="42"/>
  <c r="P13" i="42"/>
  <c r="P11" i="42"/>
  <c r="P9" i="42"/>
  <c r="P32" i="67"/>
  <c r="O26" i="67"/>
  <c r="E27" i="67"/>
  <c r="P29" i="66"/>
  <c r="P20" i="66"/>
  <c r="P17" i="64"/>
  <c r="Q9" i="64"/>
  <c r="P21" i="62"/>
  <c r="P11" i="62"/>
  <c r="O32" i="100"/>
  <c r="P32" i="100" s="1"/>
  <c r="E33" i="100"/>
  <c r="P28" i="40"/>
  <c r="P18" i="40"/>
  <c r="Q11" i="65"/>
  <c r="P28" i="60"/>
  <c r="P26" i="60"/>
  <c r="P35" i="82"/>
  <c r="P33" i="82"/>
  <c r="P31" i="82"/>
  <c r="P29" i="82"/>
  <c r="O27" i="80"/>
  <c r="P27" i="80" s="1"/>
  <c r="E28" i="80"/>
  <c r="O24" i="98"/>
  <c r="E25" i="98"/>
  <c r="Q24" i="96"/>
  <c r="P48" i="104"/>
  <c r="P46" i="104"/>
  <c r="P44" i="104"/>
  <c r="P42" i="104"/>
  <c r="P40" i="104"/>
  <c r="P38" i="104"/>
  <c r="P36" i="104"/>
  <c r="P34" i="104"/>
  <c r="P32" i="104"/>
  <c r="P30" i="104"/>
  <c r="P26" i="87"/>
  <c r="P24" i="87"/>
  <c r="Q24" i="87" s="1"/>
  <c r="P27" i="43"/>
  <c r="P25" i="43"/>
  <c r="P23" i="43"/>
  <c r="P21" i="43"/>
  <c r="P19" i="43"/>
  <c r="P17" i="43"/>
  <c r="P15" i="43"/>
  <c r="P13" i="43"/>
  <c r="P11" i="43"/>
  <c r="P9" i="43"/>
  <c r="P29" i="103"/>
  <c r="Q9" i="42"/>
  <c r="P26" i="67"/>
  <c r="P24" i="67"/>
  <c r="P22" i="67"/>
  <c r="P14" i="67"/>
  <c r="O30" i="66"/>
  <c r="P30" i="66" s="1"/>
  <c r="E31" i="66"/>
  <c r="P13" i="66"/>
  <c r="Q9" i="61"/>
  <c r="P37" i="40"/>
  <c r="P26" i="40"/>
  <c r="Q24" i="81"/>
  <c r="P29" i="90"/>
  <c r="Q24" i="97"/>
  <c r="J49" i="44"/>
  <c r="D49" i="44"/>
  <c r="B50" i="44"/>
  <c r="E49" i="44"/>
  <c r="N50" i="44"/>
  <c r="O25" i="104"/>
  <c r="P25" i="104" s="1"/>
  <c r="E26" i="104"/>
  <c r="P27" i="86"/>
  <c r="P25" i="86"/>
  <c r="P23" i="86"/>
  <c r="Q23" i="86" s="1"/>
  <c r="P48" i="44"/>
  <c r="Q9" i="43"/>
  <c r="O30" i="103"/>
  <c r="P30" i="103" s="1"/>
  <c r="E31" i="103"/>
  <c r="P20" i="42"/>
  <c r="P18" i="42"/>
  <c r="P16" i="42"/>
  <c r="P14" i="42"/>
  <c r="P12" i="42"/>
  <c r="P10" i="42"/>
  <c r="P28" i="66"/>
  <c r="P10" i="61"/>
  <c r="Q9" i="60"/>
  <c r="Q24" i="80"/>
  <c r="Q25" i="90"/>
  <c r="O30" i="96"/>
  <c r="P30" i="96" s="1"/>
  <c r="E31" i="96"/>
  <c r="O30" i="1"/>
  <c r="P30" i="1" s="1"/>
  <c r="E31" i="1"/>
  <c r="M10" i="42"/>
  <c r="E31" i="85"/>
  <c r="E27" i="85"/>
  <c r="E31" i="101"/>
  <c r="E31" i="43"/>
  <c r="E24" i="103"/>
  <c r="P16" i="66"/>
  <c r="P20" i="64"/>
  <c r="P12" i="64"/>
  <c r="P15" i="62"/>
  <c r="P12" i="62"/>
  <c r="P25" i="61"/>
  <c r="P23" i="61"/>
  <c r="P21" i="61"/>
  <c r="P13" i="61"/>
  <c r="P32" i="40"/>
  <c r="P29" i="40"/>
  <c r="P21" i="40"/>
  <c r="P12" i="40"/>
  <c r="P9" i="40"/>
  <c r="Q9" i="40" s="1"/>
  <c r="P33" i="83"/>
  <c r="P31" i="83"/>
  <c r="P29" i="83"/>
  <c r="P48" i="81"/>
  <c r="P46" i="81"/>
  <c r="P44" i="81"/>
  <c r="P42" i="81"/>
  <c r="P40" i="81"/>
  <c r="P38" i="81"/>
  <c r="P36" i="81"/>
  <c r="P34" i="81"/>
  <c r="P32" i="81"/>
  <c r="P30" i="81"/>
  <c r="O30" i="90"/>
  <c r="P30" i="90" s="1"/>
  <c r="E31" i="90"/>
  <c r="O26" i="90"/>
  <c r="P26" i="90" s="1"/>
  <c r="E27" i="90"/>
  <c r="O30" i="35"/>
  <c r="E31" i="35"/>
  <c r="P28" i="36"/>
  <c r="P23" i="36"/>
  <c r="P21" i="36"/>
  <c r="P19" i="36"/>
  <c r="P17" i="36"/>
  <c r="P15" i="36"/>
  <c r="P13" i="36"/>
  <c r="P11" i="36"/>
  <c r="P9" i="36"/>
  <c r="J34" i="89"/>
  <c r="L34" i="89" s="1"/>
  <c r="B35" i="89"/>
  <c r="M24" i="85"/>
  <c r="M9" i="44"/>
  <c r="P19" i="62"/>
  <c r="O24" i="100"/>
  <c r="P24" i="100" s="1"/>
  <c r="Q24" i="100" s="1"/>
  <c r="E25" i="100"/>
  <c r="P24" i="40"/>
  <c r="P16" i="40"/>
  <c r="O32" i="80"/>
  <c r="P32" i="80" s="1"/>
  <c r="E33" i="80"/>
  <c r="P30" i="35"/>
  <c r="Q10" i="4"/>
  <c r="J48" i="88"/>
  <c r="L48" i="88" s="1"/>
  <c r="B49" i="88"/>
  <c r="K31" i="67"/>
  <c r="L31" i="67" s="1"/>
  <c r="D32" i="67"/>
  <c r="E31" i="60"/>
  <c r="E31" i="97"/>
  <c r="P23" i="98"/>
  <c r="Q23" i="98" s="1"/>
  <c r="P25" i="37"/>
  <c r="P23" i="37"/>
  <c r="P21" i="37"/>
  <c r="P19" i="37"/>
  <c r="P17" i="37"/>
  <c r="P15" i="37"/>
  <c r="P13" i="37"/>
  <c r="P11" i="37"/>
  <c r="P9" i="37"/>
  <c r="Q9" i="37" s="1"/>
  <c r="L32" i="89"/>
  <c r="L30" i="89"/>
  <c r="L28" i="89"/>
  <c r="L26" i="89"/>
  <c r="L24" i="89"/>
  <c r="M24" i="89" s="1"/>
  <c r="J50" i="87"/>
  <c r="L50" i="87" s="1"/>
  <c r="B51" i="87"/>
  <c r="K30" i="86"/>
  <c r="L30" i="86" s="1"/>
  <c r="D31" i="86"/>
  <c r="M24" i="84"/>
  <c r="L28" i="102"/>
  <c r="M25" i="80"/>
  <c r="P24" i="98"/>
  <c r="Q22" i="58"/>
  <c r="O31" i="7"/>
  <c r="P31" i="7" s="1"/>
  <c r="E32" i="7"/>
  <c r="P30" i="7"/>
  <c r="Q9" i="7"/>
  <c r="O31" i="36"/>
  <c r="P31" i="36" s="1"/>
  <c r="E32" i="36"/>
  <c r="P30" i="36"/>
  <c r="Q9" i="36"/>
  <c r="K26" i="104"/>
  <c r="L26" i="104" s="1"/>
  <c r="D27" i="104"/>
  <c r="M24" i="104"/>
  <c r="L27" i="88"/>
  <c r="L25" i="88"/>
  <c r="L23" i="88"/>
  <c r="M23" i="88" s="1"/>
  <c r="L48" i="87"/>
  <c r="M9" i="66"/>
  <c r="L25" i="86"/>
  <c r="J48" i="84"/>
  <c r="L48" i="84" s="1"/>
  <c r="B49" i="84"/>
  <c r="C49" i="84" s="1"/>
  <c r="K31" i="85"/>
  <c r="L31" i="85" s="1"/>
  <c r="D32" i="85"/>
  <c r="L46" i="44"/>
  <c r="L29" i="101"/>
  <c r="J35" i="43"/>
  <c r="B36" i="43"/>
  <c r="J33" i="83"/>
  <c r="L33" i="83" s="1"/>
  <c r="B34" i="83"/>
  <c r="C34" i="83" s="1"/>
  <c r="K30" i="80"/>
  <c r="L30" i="80" s="1"/>
  <c r="D31" i="80"/>
  <c r="E31" i="58"/>
  <c r="E31" i="23"/>
  <c r="E31" i="4"/>
  <c r="L26" i="86"/>
  <c r="B39" i="85"/>
  <c r="L30" i="85"/>
  <c r="L43" i="44"/>
  <c r="L42" i="44"/>
  <c r="L34" i="44"/>
  <c r="L26" i="44"/>
  <c r="L18" i="44"/>
  <c r="L10" i="44"/>
  <c r="K30" i="101"/>
  <c r="L30" i="101" s="1"/>
  <c r="D31" i="101"/>
  <c r="K24" i="101"/>
  <c r="L24" i="101" s="1"/>
  <c r="D25" i="101"/>
  <c r="L23" i="101"/>
  <c r="M23" i="101" s="1"/>
  <c r="J48" i="102"/>
  <c r="B49" i="102"/>
  <c r="L20" i="67"/>
  <c r="L16" i="67"/>
  <c r="L12" i="67"/>
  <c r="L8" i="67"/>
  <c r="M8" i="67" s="1"/>
  <c r="K31" i="66"/>
  <c r="L31" i="66" s="1"/>
  <c r="D32" i="66"/>
  <c r="L30" i="66"/>
  <c r="J49" i="64"/>
  <c r="B50" i="64"/>
  <c r="L19" i="64"/>
  <c r="L15" i="64"/>
  <c r="L11" i="64"/>
  <c r="L48" i="62"/>
  <c r="J48" i="100"/>
  <c r="B49" i="100"/>
  <c r="L26" i="61"/>
  <c r="L24" i="61"/>
  <c r="L22" i="61"/>
  <c r="J33" i="80"/>
  <c r="B34" i="80"/>
  <c r="C34" i="80" s="1"/>
  <c r="L27" i="86"/>
  <c r="L23" i="86"/>
  <c r="M23" i="86" s="1"/>
  <c r="L44" i="44"/>
  <c r="L36" i="44"/>
  <c r="L28" i="44"/>
  <c r="L20" i="44"/>
  <c r="L12" i="44"/>
  <c r="L28" i="101"/>
  <c r="M9" i="43"/>
  <c r="K31" i="102"/>
  <c r="L31" i="102" s="1"/>
  <c r="D32" i="102"/>
  <c r="L30" i="102"/>
  <c r="K23" i="102"/>
  <c r="L23" i="102" s="1"/>
  <c r="M23" i="102" s="1"/>
  <c r="D24" i="102"/>
  <c r="K24" i="103"/>
  <c r="L24" i="103" s="1"/>
  <c r="D25" i="103"/>
  <c r="L23" i="103"/>
  <c r="M23" i="103" s="1"/>
  <c r="J48" i="67"/>
  <c r="B49" i="67"/>
  <c r="C49" i="67" s="1"/>
  <c r="J39" i="66"/>
  <c r="B40" i="66"/>
  <c r="K31" i="100"/>
  <c r="L31" i="100" s="1"/>
  <c r="D32" i="100"/>
  <c r="L30" i="100"/>
  <c r="K23" i="100"/>
  <c r="L23" i="100" s="1"/>
  <c r="M23" i="100" s="1"/>
  <c r="D24" i="100"/>
  <c r="L27" i="61"/>
  <c r="L20" i="61"/>
  <c r="L16" i="61"/>
  <c r="L12" i="61"/>
  <c r="D31" i="103"/>
  <c r="D32" i="64"/>
  <c r="B49" i="62"/>
  <c r="D31" i="99"/>
  <c r="D25" i="99"/>
  <c r="B49" i="61"/>
  <c r="L15" i="40"/>
  <c r="J33" i="38"/>
  <c r="B34" i="38"/>
  <c r="L49" i="41"/>
  <c r="L28" i="41"/>
  <c r="L10" i="41"/>
  <c r="M24" i="90"/>
  <c r="L51" i="40"/>
  <c r="L41" i="40"/>
  <c r="L33" i="40"/>
  <c r="L25" i="40"/>
  <c r="L17" i="40"/>
  <c r="L9" i="40"/>
  <c r="M9" i="40" s="1"/>
  <c r="M9" i="39"/>
  <c r="K32" i="38"/>
  <c r="D33" i="38"/>
  <c r="M9" i="38"/>
  <c r="L17" i="60"/>
  <c r="L13" i="60"/>
  <c r="L9" i="60"/>
  <c r="M9" i="60" s="1"/>
  <c r="J49" i="97"/>
  <c r="B50" i="97"/>
  <c r="L49" i="40"/>
  <c r="L43" i="40"/>
  <c r="L35" i="40"/>
  <c r="L27" i="40"/>
  <c r="L19" i="40"/>
  <c r="J48" i="39"/>
  <c r="L48" i="39" s="1"/>
  <c r="B49" i="39"/>
  <c r="C49" i="39" s="1"/>
  <c r="L32" i="38"/>
  <c r="M24" i="82"/>
  <c r="M24" i="81"/>
  <c r="B50" i="65"/>
  <c r="D31" i="60"/>
  <c r="B50" i="41"/>
  <c r="C50" i="41" s="1"/>
  <c r="L32" i="82"/>
  <c r="K27" i="80"/>
  <c r="L27" i="80" s="1"/>
  <c r="D28" i="80"/>
  <c r="L29" i="98"/>
  <c r="J48" i="37"/>
  <c r="L48" i="37" s="1"/>
  <c r="B49" i="37"/>
  <c r="C49" i="37" s="1"/>
  <c r="K31" i="58"/>
  <c r="L31" i="58" s="1"/>
  <c r="D32" i="58"/>
  <c r="J10" i="1"/>
  <c r="L10" i="1" s="1"/>
  <c r="J11" i="1"/>
  <c r="L11" i="1" s="1"/>
  <c r="J34" i="82"/>
  <c r="L34" i="82" s="1"/>
  <c r="B35" i="82"/>
  <c r="K26" i="82"/>
  <c r="L26" i="82" s="1"/>
  <c r="D27" i="82"/>
  <c r="J48" i="81"/>
  <c r="L48" i="81" s="1"/>
  <c r="B49" i="81"/>
  <c r="C49" i="81" s="1"/>
  <c r="L26" i="80"/>
  <c r="L26" i="90"/>
  <c r="K30" i="98"/>
  <c r="L30" i="98" s="1"/>
  <c r="D31" i="98"/>
  <c r="M24" i="98"/>
  <c r="M9" i="35"/>
  <c r="K30" i="1"/>
  <c r="L30" i="1" s="1"/>
  <c r="D31" i="1"/>
  <c r="L30" i="82"/>
  <c r="B50" i="90"/>
  <c r="K31" i="90"/>
  <c r="L31" i="90" s="1"/>
  <c r="D32" i="90"/>
  <c r="J38" i="96"/>
  <c r="B39" i="96"/>
  <c r="R27" i="47"/>
  <c r="T27" i="47" s="1"/>
  <c r="D32" i="97"/>
  <c r="D24" i="97"/>
  <c r="D25" i="98"/>
  <c r="D32" i="96"/>
  <c r="D24" i="96"/>
  <c r="J9" i="7"/>
  <c r="L9" i="7" s="1"/>
  <c r="M9" i="7" s="1"/>
  <c r="J10" i="7"/>
  <c r="L10" i="7" s="1"/>
  <c r="K30" i="4"/>
  <c r="L30" i="4" s="1"/>
  <c r="D31" i="4"/>
  <c r="L27" i="4"/>
  <c r="Q10" i="63"/>
  <c r="M10" i="23"/>
  <c r="J34" i="4"/>
  <c r="B35" i="4"/>
  <c r="AG72" i="68"/>
  <c r="B50" i="35"/>
  <c r="C50" i="35" s="1"/>
  <c r="K31" i="35"/>
  <c r="L31" i="35" s="1"/>
  <c r="D32" i="35"/>
  <c r="J49" i="23"/>
  <c r="B50" i="23"/>
  <c r="K30" i="36"/>
  <c r="L30" i="36" s="1"/>
  <c r="D31" i="36"/>
  <c r="AG74" i="68"/>
  <c r="L26" i="47"/>
  <c r="N26" i="47" s="1"/>
  <c r="D32" i="7"/>
  <c r="D32" i="23"/>
  <c r="P18" i="63"/>
  <c r="P10" i="63"/>
  <c r="L18" i="63"/>
  <c r="L10" i="63"/>
  <c r="M10" i="63" s="1"/>
  <c r="N29" i="45"/>
  <c r="P20" i="63"/>
  <c r="P12" i="63"/>
  <c r="L20" i="63"/>
  <c r="L12" i="63"/>
  <c r="D28" i="48"/>
  <c r="Q28" i="48"/>
  <c r="R28" i="48" s="1"/>
  <c r="B51" i="46"/>
  <c r="B50" i="48"/>
  <c r="Q10" i="59"/>
  <c r="F31" i="48"/>
  <c r="E31" i="59"/>
  <c r="K28" i="46"/>
  <c r="D29" i="46"/>
  <c r="B35" i="59"/>
  <c r="C35" i="59" s="1"/>
  <c r="J34" i="59"/>
  <c r="K30" i="59"/>
  <c r="L30" i="59" s="1"/>
  <c r="D31" i="59"/>
  <c r="CV24" i="68" l="1"/>
  <c r="CV77" i="68" s="1"/>
  <c r="CV126" i="68" s="1"/>
  <c r="Y26" i="47"/>
  <c r="CO26" i="68"/>
  <c r="CO79" i="68" s="1"/>
  <c r="CO128" i="68" s="1"/>
  <c r="U29" i="86"/>
  <c r="M23" i="58"/>
  <c r="G20" i="69"/>
  <c r="G73" i="69" s="1"/>
  <c r="G123" i="69" s="1"/>
  <c r="Q22" i="69"/>
  <c r="Q75" i="69" s="1"/>
  <c r="Q125" i="69" s="1"/>
  <c r="M25" i="83"/>
  <c r="AP28" i="69"/>
  <c r="AP81" i="69" s="1"/>
  <c r="S30" i="45"/>
  <c r="Q11" i="38"/>
  <c r="AK8" i="68"/>
  <c r="AK61" i="68" s="1"/>
  <c r="AK110" i="68" s="1"/>
  <c r="Q25" i="85"/>
  <c r="BD22" i="68"/>
  <c r="BD75" i="68" s="1"/>
  <c r="BD124" i="68" s="1"/>
  <c r="CF7" i="68"/>
  <c r="CF60" i="68" s="1"/>
  <c r="CF109" i="68" s="1"/>
  <c r="U10" i="67"/>
  <c r="U25" i="101"/>
  <c r="CK22" i="68"/>
  <c r="CK75" i="68" s="1"/>
  <c r="CK124" i="68" s="1"/>
  <c r="U10" i="7"/>
  <c r="AY7" i="69"/>
  <c r="AY60" i="69" s="1"/>
  <c r="AY110" i="69" s="1"/>
  <c r="CB7" i="68"/>
  <c r="CB60" i="68" s="1"/>
  <c r="CB109" i="68" s="1"/>
  <c r="U10" i="62"/>
  <c r="G30" i="72"/>
  <c r="H46" i="72"/>
  <c r="F18" i="72"/>
  <c r="H45" i="72"/>
  <c r="J41" i="72"/>
  <c r="I41" i="72"/>
  <c r="E50" i="72"/>
  <c r="I13" i="72"/>
  <c r="J10" i="72"/>
  <c r="H10" i="72"/>
  <c r="G5" i="72"/>
  <c r="H8" i="72"/>
  <c r="G11" i="72"/>
  <c r="G24" i="72"/>
  <c r="F27" i="72"/>
  <c r="J27" i="72"/>
  <c r="E22" i="72"/>
  <c r="J22" i="72"/>
  <c r="F44" i="72"/>
  <c r="H32" i="48"/>
  <c r="BL26" i="68"/>
  <c r="BL79" i="68" s="1"/>
  <c r="BL128" i="68" s="1"/>
  <c r="S28" i="46"/>
  <c r="BP77" i="68"/>
  <c r="BP126" i="68" s="1"/>
  <c r="BN126" i="68"/>
  <c r="AC127" i="68"/>
  <c r="AC126" i="68"/>
  <c r="D7" i="69"/>
  <c r="D60" i="69" s="1"/>
  <c r="D110" i="69" s="1"/>
  <c r="M9" i="41"/>
  <c r="E6" i="68"/>
  <c r="E59" i="68" s="1"/>
  <c r="E108" i="68" s="1"/>
  <c r="D28" i="47"/>
  <c r="K27" i="47"/>
  <c r="Q28" i="47"/>
  <c r="K31" i="23"/>
  <c r="L31" i="23" s="1"/>
  <c r="G31" i="23"/>
  <c r="N35" i="4"/>
  <c r="R34" i="4"/>
  <c r="B50" i="99"/>
  <c r="J49" i="99"/>
  <c r="N50" i="99"/>
  <c r="R49" i="99"/>
  <c r="K27" i="42"/>
  <c r="L27" i="42" s="1"/>
  <c r="G27" i="42"/>
  <c r="B51" i="101"/>
  <c r="J50" i="101"/>
  <c r="N51" i="101"/>
  <c r="R50" i="101"/>
  <c r="N50" i="23"/>
  <c r="R49" i="23"/>
  <c r="J35" i="58"/>
  <c r="B36" i="58"/>
  <c r="N36" i="58"/>
  <c r="R35" i="58"/>
  <c r="K27" i="66"/>
  <c r="L27" i="66" s="1"/>
  <c r="G27" i="66"/>
  <c r="N40" i="66"/>
  <c r="R39" i="66"/>
  <c r="E32" i="98"/>
  <c r="O31" i="98"/>
  <c r="P31" i="98" s="1"/>
  <c r="H31" i="98"/>
  <c r="Q10" i="23"/>
  <c r="AA7" i="69"/>
  <c r="AA60" i="69" s="1"/>
  <c r="AA110" i="69" s="1"/>
  <c r="X9" i="23"/>
  <c r="AR21" i="68"/>
  <c r="AR74" i="68" s="1"/>
  <c r="AR123" i="68" s="1"/>
  <c r="BE21" i="68"/>
  <c r="BE74" i="68" s="1"/>
  <c r="BE123" i="68" s="1"/>
  <c r="BG21" i="68"/>
  <c r="BG74" i="68" s="1"/>
  <c r="BG123" i="68" s="1"/>
  <c r="Q24" i="104"/>
  <c r="BI22" i="68" s="1"/>
  <c r="BI75" i="68" s="1"/>
  <c r="BI21" i="68"/>
  <c r="BI74" i="68" s="1"/>
  <c r="BI123" i="68" s="1"/>
  <c r="U24" i="87"/>
  <c r="CN21" i="68"/>
  <c r="CN74" i="68" s="1"/>
  <c r="CN123" i="68" s="1"/>
  <c r="CP21" i="68"/>
  <c r="CP74" i="68" s="1"/>
  <c r="CP123" i="68" s="1"/>
  <c r="N51" i="87"/>
  <c r="P51" i="87" s="1"/>
  <c r="I50" i="87"/>
  <c r="H50" i="87"/>
  <c r="G50" i="87"/>
  <c r="R50" i="87"/>
  <c r="T50" i="87" s="1"/>
  <c r="U9" i="64"/>
  <c r="CC7" i="68" s="1"/>
  <c r="CC60" i="68" s="1"/>
  <c r="CC6" i="68"/>
  <c r="CC59" i="68" s="1"/>
  <c r="CC108" i="68" s="1"/>
  <c r="Q24" i="88"/>
  <c r="BH21" i="68"/>
  <c r="BH74" i="68" s="1"/>
  <c r="BH123" i="68" s="1"/>
  <c r="U9" i="42"/>
  <c r="CG6" i="68"/>
  <c r="CG59" i="68" s="1"/>
  <c r="CG108" i="68" s="1"/>
  <c r="S30" i="1"/>
  <c r="T30" i="1" s="1"/>
  <c r="I30" i="1"/>
  <c r="CO125" i="68"/>
  <c r="BM12" i="69"/>
  <c r="BM65" i="69" s="1"/>
  <c r="BM115" i="69" s="1"/>
  <c r="Y14" i="45"/>
  <c r="C35" i="58"/>
  <c r="C36" i="58" s="1"/>
  <c r="U10" i="35"/>
  <c r="AZ7" i="69"/>
  <c r="AZ60" i="69" s="1"/>
  <c r="AZ110" i="69" s="1"/>
  <c r="U25" i="82"/>
  <c r="BJ22" i="69"/>
  <c r="BJ75" i="69" s="1"/>
  <c r="BJ125" i="69" s="1"/>
  <c r="CV20" i="68"/>
  <c r="CV73" i="68" s="1"/>
  <c r="Y22" i="47"/>
  <c r="Y23" i="47"/>
  <c r="C49" i="23"/>
  <c r="BM22" i="69"/>
  <c r="BM75" i="69" s="1"/>
  <c r="Y24" i="45"/>
  <c r="H25" i="74"/>
  <c r="O25" i="74"/>
  <c r="P25" i="74" s="1"/>
  <c r="Q25" i="74" s="1"/>
  <c r="Q26" i="74" s="1"/>
  <c r="Q27" i="74" s="1"/>
  <c r="Q28" i="74" s="1"/>
  <c r="Q29" i="74" s="1"/>
  <c r="Q30" i="74" s="1"/>
  <c r="E33" i="63"/>
  <c r="H32" i="63"/>
  <c r="K30" i="75"/>
  <c r="L30" i="75" s="1"/>
  <c r="D31" i="75"/>
  <c r="G30" i="75"/>
  <c r="G29" i="72"/>
  <c r="I46" i="72"/>
  <c r="G18" i="72"/>
  <c r="E18" i="72"/>
  <c r="E34" i="72"/>
  <c r="E45" i="72"/>
  <c r="E13" i="72"/>
  <c r="H13" i="72"/>
  <c r="I32" i="72"/>
  <c r="G8" i="72"/>
  <c r="I11" i="72"/>
  <c r="E48" i="72"/>
  <c r="E24" i="72"/>
  <c r="BQ58" i="68"/>
  <c r="G27" i="72"/>
  <c r="I27" i="72"/>
  <c r="H22" i="72"/>
  <c r="H6" i="72"/>
  <c r="I44" i="72"/>
  <c r="I17" i="72"/>
  <c r="BO128" i="68"/>
  <c r="E34" i="47"/>
  <c r="H33" i="47"/>
  <c r="BP123" i="68"/>
  <c r="BP122" i="68"/>
  <c r="M9" i="1"/>
  <c r="B7" i="69" s="1"/>
  <c r="B60" i="69" s="1"/>
  <c r="B6" i="69"/>
  <c r="BO129" i="68"/>
  <c r="J49" i="1"/>
  <c r="B50" i="1"/>
  <c r="N50" i="1"/>
  <c r="R49" i="1"/>
  <c r="R49" i="97"/>
  <c r="N50" i="97"/>
  <c r="K27" i="41"/>
  <c r="L27" i="41" s="1"/>
  <c r="G27" i="41"/>
  <c r="K31" i="97"/>
  <c r="L31" i="97" s="1"/>
  <c r="G31" i="97"/>
  <c r="M10" i="61"/>
  <c r="F49" i="44"/>
  <c r="S49" i="44" s="1"/>
  <c r="R49" i="44"/>
  <c r="O27" i="82"/>
  <c r="P27" i="82" s="1"/>
  <c r="H27" i="82"/>
  <c r="Q10" i="62"/>
  <c r="AS8" i="68" s="1"/>
  <c r="AS61" i="68" s="1"/>
  <c r="AS7" i="68"/>
  <c r="AS60" i="68" s="1"/>
  <c r="AS109" i="68" s="1"/>
  <c r="J36" i="86"/>
  <c r="B37" i="86"/>
  <c r="N37" i="86"/>
  <c r="R36" i="86"/>
  <c r="S27" i="80"/>
  <c r="T27" i="80" s="1"/>
  <c r="F28" i="80"/>
  <c r="I27" i="80"/>
  <c r="U10" i="63"/>
  <c r="CX7" i="68"/>
  <c r="BM24" i="69"/>
  <c r="BM77" i="69" s="1"/>
  <c r="BM127" i="69" s="1"/>
  <c r="Y26" i="45"/>
  <c r="C50" i="87"/>
  <c r="CU14" i="68"/>
  <c r="CU67" i="68" s="1"/>
  <c r="Y16" i="46"/>
  <c r="Y17" i="46"/>
  <c r="CV12" i="68"/>
  <c r="CV65" i="68" s="1"/>
  <c r="Y14" i="47"/>
  <c r="Y15" i="47"/>
  <c r="C34" i="4"/>
  <c r="AH57" i="68"/>
  <c r="BM23" i="69"/>
  <c r="BM76" i="69" s="1"/>
  <c r="BM126" i="69" s="1"/>
  <c r="Y25" i="45"/>
  <c r="CV15" i="68"/>
  <c r="CV68" i="68" s="1"/>
  <c r="Y17" i="47"/>
  <c r="Y18" i="47"/>
  <c r="C49" i="99"/>
  <c r="C50" i="99" s="1"/>
  <c r="F26" i="98"/>
  <c r="S25" i="98"/>
  <c r="T25" i="98" s="1"/>
  <c r="I25" i="98"/>
  <c r="BM25" i="69"/>
  <c r="BM78" i="69" s="1"/>
  <c r="BM128" i="69" s="1"/>
  <c r="Y27" i="45"/>
  <c r="BM122" i="69"/>
  <c r="BM121" i="69"/>
  <c r="M10" i="1"/>
  <c r="H30" i="72"/>
  <c r="J46" i="72"/>
  <c r="E47" i="72"/>
  <c r="H19" i="72"/>
  <c r="G13" i="72"/>
  <c r="J13" i="72"/>
  <c r="H21" i="72"/>
  <c r="Q39" i="75"/>
  <c r="I48" i="72"/>
  <c r="F24" i="72"/>
  <c r="E27" i="72"/>
  <c r="J44" i="72"/>
  <c r="AP27" i="69"/>
  <c r="AP80" i="69" s="1"/>
  <c r="AP130" i="69" s="1"/>
  <c r="S29" i="45"/>
  <c r="AF128" i="68"/>
  <c r="AF127" i="68"/>
  <c r="M10" i="59"/>
  <c r="T7" i="69"/>
  <c r="W9" i="59"/>
  <c r="Q31" i="63"/>
  <c r="BO28" i="68"/>
  <c r="BO81" i="68" s="1"/>
  <c r="BO130" i="68" s="1"/>
  <c r="BP7" i="68"/>
  <c r="BO60" i="68"/>
  <c r="AE128" i="68"/>
  <c r="K27" i="37"/>
  <c r="L27" i="37" s="1"/>
  <c r="G27" i="37"/>
  <c r="J50" i="98"/>
  <c r="B51" i="98"/>
  <c r="N51" i="98"/>
  <c r="R50" i="98"/>
  <c r="M9" i="64"/>
  <c r="B51" i="103"/>
  <c r="J50" i="103"/>
  <c r="N51" i="103"/>
  <c r="R50" i="103"/>
  <c r="B37" i="60"/>
  <c r="J36" i="60"/>
  <c r="N37" i="60"/>
  <c r="R36" i="60"/>
  <c r="M26" i="87"/>
  <c r="X23" i="68"/>
  <c r="X76" i="68" s="1"/>
  <c r="X125" i="68" s="1"/>
  <c r="L50" i="40"/>
  <c r="K31" i="64"/>
  <c r="L31" i="64" s="1"/>
  <c r="G31" i="64"/>
  <c r="Q10" i="39"/>
  <c r="AL7" i="68"/>
  <c r="AL60" i="68" s="1"/>
  <c r="AL109" i="68" s="1"/>
  <c r="B53" i="40"/>
  <c r="J52" i="40"/>
  <c r="N53" i="40"/>
  <c r="E52" i="40"/>
  <c r="O52" i="40" s="1"/>
  <c r="P52" i="40" s="1"/>
  <c r="R52" i="40"/>
  <c r="T52" i="40" s="1"/>
  <c r="F52" i="40"/>
  <c r="S52" i="40" s="1"/>
  <c r="D52" i="40"/>
  <c r="K52" i="40" s="1"/>
  <c r="M24" i="99"/>
  <c r="I22" i="68" s="1"/>
  <c r="I75" i="68" s="1"/>
  <c r="I21" i="68"/>
  <c r="I74" i="68" s="1"/>
  <c r="I123" i="68" s="1"/>
  <c r="Q26" i="82"/>
  <c r="AM23" i="69"/>
  <c r="AM76" i="69" s="1"/>
  <c r="AM126" i="69" s="1"/>
  <c r="B50" i="104"/>
  <c r="J49" i="104"/>
  <c r="L49" i="104" s="1"/>
  <c r="N50" i="104"/>
  <c r="P50" i="104" s="1"/>
  <c r="G49" i="104"/>
  <c r="R49" i="104"/>
  <c r="T49" i="104" s="1"/>
  <c r="I49" i="104"/>
  <c r="H49" i="104"/>
  <c r="O25" i="96"/>
  <c r="P25" i="96" s="1"/>
  <c r="E26" i="96"/>
  <c r="H25" i="96"/>
  <c r="F33" i="101"/>
  <c r="S32" i="101"/>
  <c r="T32" i="101" s="1"/>
  <c r="I32" i="101"/>
  <c r="C49" i="1"/>
  <c r="C50" i="1" s="1"/>
  <c r="N50" i="63"/>
  <c r="R49" i="63"/>
  <c r="J49" i="63"/>
  <c r="B50" i="63"/>
  <c r="C50" i="63" s="1"/>
  <c r="C50" i="98"/>
  <c r="C51" i="98" s="1"/>
  <c r="C39" i="66"/>
  <c r="U18" i="74"/>
  <c r="U19" i="74" s="1"/>
  <c r="U20" i="74" s="1"/>
  <c r="U21" i="74" s="1"/>
  <c r="U22" i="74" s="1"/>
  <c r="U23" i="74" s="1"/>
  <c r="U24" i="74" s="1"/>
  <c r="U25" i="83"/>
  <c r="BK22" i="69"/>
  <c r="BK75" i="69" s="1"/>
  <c r="BK125" i="69" s="1"/>
  <c r="CU22" i="68"/>
  <c r="CU75" i="68" s="1"/>
  <c r="Y24" i="46"/>
  <c r="CU16" i="68"/>
  <c r="CU69" i="68" s="1"/>
  <c r="Y18" i="46"/>
  <c r="Y19" i="46"/>
  <c r="BM13" i="69"/>
  <c r="BM66" i="69" s="1"/>
  <c r="Y15" i="45"/>
  <c r="Y16" i="45"/>
  <c r="C36" i="86"/>
  <c r="C37" i="86" s="1"/>
  <c r="C36" i="60"/>
  <c r="C37" i="60" s="1"/>
  <c r="BM120" i="69"/>
  <c r="BM119" i="69"/>
  <c r="I27" i="75"/>
  <c r="S27" i="75"/>
  <c r="T27" i="75" s="1"/>
  <c r="U27" i="75" s="1"/>
  <c r="F28" i="75"/>
  <c r="Y25" i="46"/>
  <c r="E31" i="74"/>
  <c r="H30" i="74"/>
  <c r="O30" i="74"/>
  <c r="P30" i="74" s="1"/>
  <c r="D31" i="74"/>
  <c r="G30" i="74"/>
  <c r="K30" i="74"/>
  <c r="L30" i="74" s="1"/>
  <c r="E40" i="75"/>
  <c r="O39" i="75"/>
  <c r="P39" i="75" s="1"/>
  <c r="H39" i="75"/>
  <c r="Q25" i="104"/>
  <c r="Q11" i="62"/>
  <c r="M30" i="75"/>
  <c r="DB58" i="68"/>
  <c r="BP124" i="68"/>
  <c r="BP125" i="68"/>
  <c r="D31" i="45"/>
  <c r="K31" i="45" s="1"/>
  <c r="Q31" i="45"/>
  <c r="T31" i="45" s="1"/>
  <c r="K30" i="45"/>
  <c r="M9" i="36"/>
  <c r="H6" i="69"/>
  <c r="H59" i="69" s="1"/>
  <c r="H109" i="69" s="1"/>
  <c r="BL27" i="68"/>
  <c r="BL80" i="68" s="1"/>
  <c r="BL129" i="68" s="1"/>
  <c r="S29" i="46"/>
  <c r="AG7" i="68"/>
  <c r="AF60" i="68"/>
  <c r="M10" i="4"/>
  <c r="C7" i="69"/>
  <c r="C60" i="69" s="1"/>
  <c r="C110" i="69" s="1"/>
  <c r="B38" i="7"/>
  <c r="J37" i="7"/>
  <c r="N38" i="7"/>
  <c r="R37" i="7"/>
  <c r="M9" i="37"/>
  <c r="I6" i="69"/>
  <c r="I59" i="69" s="1"/>
  <c r="I109" i="69" s="1"/>
  <c r="BN127" i="68"/>
  <c r="J39" i="36"/>
  <c r="B40" i="36"/>
  <c r="N40" i="36"/>
  <c r="R39" i="36"/>
  <c r="M9" i="65"/>
  <c r="L6" i="68"/>
  <c r="L59" i="68" s="1"/>
  <c r="L108" i="68" s="1"/>
  <c r="M10" i="62"/>
  <c r="J7" i="68"/>
  <c r="J60" i="68" s="1"/>
  <c r="J109" i="68" s="1"/>
  <c r="E28" i="81"/>
  <c r="O27" i="81"/>
  <c r="P27" i="81" s="1"/>
  <c r="H27" i="81"/>
  <c r="K27" i="85"/>
  <c r="L27" i="85" s="1"/>
  <c r="G27" i="85"/>
  <c r="Q10" i="41"/>
  <c r="AN7" i="68"/>
  <c r="AN60" i="68" s="1"/>
  <c r="AN109" i="68" s="1"/>
  <c r="N35" i="89"/>
  <c r="P35" i="89" s="1"/>
  <c r="R34" i="89"/>
  <c r="T34" i="89" s="1"/>
  <c r="I34" i="89"/>
  <c r="H34" i="89"/>
  <c r="G34" i="89"/>
  <c r="Q11" i="1"/>
  <c r="Y8" i="69"/>
  <c r="Y61" i="69" s="1"/>
  <c r="Y111" i="69" s="1"/>
  <c r="O24" i="99"/>
  <c r="P24" i="99" s="1"/>
  <c r="Q24" i="99" s="1"/>
  <c r="E25" i="99"/>
  <c r="H24" i="99"/>
  <c r="U10" i="23"/>
  <c r="AX7" i="69"/>
  <c r="AX60" i="69" s="1"/>
  <c r="AX110" i="69" s="1"/>
  <c r="U9" i="37"/>
  <c r="BC6" i="69"/>
  <c r="Q13" i="35"/>
  <c r="AC10" i="69"/>
  <c r="AC63" i="69" s="1"/>
  <c r="AC113" i="69" s="1"/>
  <c r="U9" i="44"/>
  <c r="CL6" i="68"/>
  <c r="CL59" i="68" s="1"/>
  <c r="CL108" i="68" s="1"/>
  <c r="U24" i="85"/>
  <c r="CM21" i="68"/>
  <c r="CM74" i="68" s="1"/>
  <c r="CM123" i="68" s="1"/>
  <c r="C49" i="44"/>
  <c r="C50" i="44" s="1"/>
  <c r="U10" i="1"/>
  <c r="AV7" i="69"/>
  <c r="AV60" i="69" s="1"/>
  <c r="AV110" i="69" s="1"/>
  <c r="CV18" i="68"/>
  <c r="CV71" i="68" s="1"/>
  <c r="Y20" i="47"/>
  <c r="Y21" i="47"/>
  <c r="C49" i="97"/>
  <c r="S25" i="74"/>
  <c r="T25" i="74" s="1"/>
  <c r="I25" i="74"/>
  <c r="C34" i="89"/>
  <c r="BM21" i="69"/>
  <c r="BM74" i="69" s="1"/>
  <c r="BM124" i="69" s="1"/>
  <c r="Y23" i="45"/>
  <c r="C50" i="103"/>
  <c r="C51" i="103" s="1"/>
  <c r="CO127" i="68"/>
  <c r="C50" i="101"/>
  <c r="C51" i="101" s="1"/>
  <c r="C52" i="40"/>
  <c r="C53" i="40" s="1"/>
  <c r="I53" i="45"/>
  <c r="B54" i="45"/>
  <c r="J53" i="45"/>
  <c r="U25" i="89"/>
  <c r="CS22" i="68"/>
  <c r="CS75" i="68" s="1"/>
  <c r="CS124" i="68" s="1"/>
  <c r="I32" i="74"/>
  <c r="F33" i="74"/>
  <c r="S32" i="74"/>
  <c r="T32" i="74" s="1"/>
  <c r="AF131" i="68"/>
  <c r="H34" i="72"/>
  <c r="F35" i="72"/>
  <c r="J32" i="72"/>
  <c r="F32" i="72"/>
  <c r="E32" i="72"/>
  <c r="E31" i="72"/>
  <c r="E29" i="72"/>
  <c r="J29" i="72"/>
  <c r="A30" i="66"/>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F28" i="72"/>
  <c r="K28" i="72"/>
  <c r="I28" i="72"/>
  <c r="G28" i="72"/>
  <c r="E28" i="72"/>
  <c r="H28" i="72"/>
  <c r="L28" i="72"/>
  <c r="M28" i="72"/>
  <c r="J28" i="72"/>
  <c r="H26" i="72"/>
  <c r="E26" i="72"/>
  <c r="H25" i="72"/>
  <c r="G25" i="72"/>
  <c r="I25" i="72"/>
  <c r="J25" i="72"/>
  <c r="J21" i="72"/>
  <c r="F21" i="72"/>
  <c r="I21" i="72"/>
  <c r="I20" i="72"/>
  <c r="J17" i="72"/>
  <c r="E12" i="72"/>
  <c r="H12" i="72"/>
  <c r="K12" i="72" s="1"/>
  <c r="J12" i="72"/>
  <c r="F12" i="72"/>
  <c r="G12" i="72"/>
  <c r="H11" i="72"/>
  <c r="F11" i="72"/>
  <c r="J11" i="72"/>
  <c r="M11" i="72" s="1"/>
  <c r="I9" i="72"/>
  <c r="F8" i="72"/>
  <c r="J8" i="72"/>
  <c r="I7" i="72"/>
  <c r="G7" i="72"/>
  <c r="J7" i="72"/>
  <c r="I5" i="72"/>
  <c r="H5" i="72"/>
  <c r="E5" i="72"/>
  <c r="K43" i="72"/>
  <c r="L7" i="72"/>
  <c r="K45" i="72"/>
  <c r="L38" i="72"/>
  <c r="M10" i="72"/>
  <c r="M18" i="72"/>
  <c r="M41" i="72"/>
  <c r="L41" i="72"/>
  <c r="L43" i="72"/>
  <c r="M40" i="72"/>
  <c r="K16" i="72"/>
  <c r="O31" i="99"/>
  <c r="P31" i="99" s="1"/>
  <c r="H31" i="99"/>
  <c r="H33" i="48"/>
  <c r="J31" i="48"/>
  <c r="G32" i="48"/>
  <c r="E35" i="48"/>
  <c r="H34" i="48"/>
  <c r="E33" i="46"/>
  <c r="H32" i="46"/>
  <c r="F34" i="47"/>
  <c r="R33" i="47"/>
  <c r="I33" i="47"/>
  <c r="K27" i="72"/>
  <c r="M27" i="72"/>
  <c r="K26" i="72"/>
  <c r="S31" i="102"/>
  <c r="T31" i="102" s="1"/>
  <c r="I31" i="102"/>
  <c r="M25" i="72"/>
  <c r="K25" i="72"/>
  <c r="F32" i="103"/>
  <c r="I31" i="103"/>
  <c r="S31" i="103"/>
  <c r="T31" i="103" s="1"/>
  <c r="S33" i="85"/>
  <c r="T33" i="85" s="1"/>
  <c r="I33" i="85"/>
  <c r="F34" i="63"/>
  <c r="I33" i="63"/>
  <c r="AF132" i="68"/>
  <c r="M34" i="63"/>
  <c r="AF31" i="68"/>
  <c r="AF84" i="68" s="1"/>
  <c r="AF133" i="68" s="1"/>
  <c r="L21" i="72"/>
  <c r="S31" i="86"/>
  <c r="T31" i="86" s="1"/>
  <c r="I31" i="86"/>
  <c r="O31" i="64"/>
  <c r="P31" i="64" s="1"/>
  <c r="H31" i="64"/>
  <c r="E32" i="64"/>
  <c r="L18" i="72"/>
  <c r="F32" i="100"/>
  <c r="S31" i="100"/>
  <c r="T31" i="100" s="1"/>
  <c r="I31" i="100"/>
  <c r="O31" i="38"/>
  <c r="P31" i="38" s="1"/>
  <c r="H31" i="38"/>
  <c r="E32" i="38"/>
  <c r="S32" i="97"/>
  <c r="T32" i="97" s="1"/>
  <c r="F33" i="97"/>
  <c r="I32" i="97"/>
  <c r="L32" i="72"/>
  <c r="S31" i="59"/>
  <c r="T31" i="59" s="1"/>
  <c r="I31" i="59"/>
  <c r="M12" i="72"/>
  <c r="L11" i="72"/>
  <c r="M11" i="63"/>
  <c r="AF8" i="68"/>
  <c r="M11" i="1"/>
  <c r="B8" i="69"/>
  <c r="M25" i="89"/>
  <c r="AA22" i="68"/>
  <c r="AA75" i="68" s="1"/>
  <c r="AA124" i="68" s="1"/>
  <c r="AD24" i="68"/>
  <c r="M26" i="47"/>
  <c r="AZ22" i="68"/>
  <c r="AZ75" i="68" s="1"/>
  <c r="AZ124" i="68" s="1"/>
  <c r="BM26" i="69"/>
  <c r="Y28" i="45"/>
  <c r="M10" i="7"/>
  <c r="E7" i="69"/>
  <c r="M10" i="40"/>
  <c r="D7" i="68"/>
  <c r="D60" i="68" s="1"/>
  <c r="D109" i="68" s="1"/>
  <c r="Q10" i="37"/>
  <c r="AF7" i="69"/>
  <c r="AF60" i="69" s="1"/>
  <c r="AF110" i="69" s="1"/>
  <c r="BI23" i="68"/>
  <c r="BI76" i="68" s="1"/>
  <c r="BI125" i="68" s="1"/>
  <c r="M10" i="60"/>
  <c r="F7" i="68"/>
  <c r="F60" i="68" s="1"/>
  <c r="F109" i="68" s="1"/>
  <c r="AQ22" i="68"/>
  <c r="AQ75" i="68" s="1"/>
  <c r="AQ124" i="68" s="1"/>
  <c r="Q10" i="40"/>
  <c r="AM7" i="68"/>
  <c r="Q25" i="87"/>
  <c r="BE22" i="68"/>
  <c r="BE75" i="68" s="1"/>
  <c r="BE124" i="68" s="1"/>
  <c r="BG22" i="68"/>
  <c r="BG75" i="68" s="1"/>
  <c r="BG124" i="68" s="1"/>
  <c r="Q12" i="62"/>
  <c r="AS9" i="68"/>
  <c r="AS62" i="68" s="1"/>
  <c r="AS111" i="68" s="1"/>
  <c r="BB21" i="68"/>
  <c r="BB74" i="68" s="1"/>
  <c r="BB123" i="68" s="1"/>
  <c r="D30" i="46"/>
  <c r="K29" i="46"/>
  <c r="W29" i="46" s="1"/>
  <c r="Z29" i="46" s="1"/>
  <c r="Q30" i="46"/>
  <c r="T30" i="46" s="1"/>
  <c r="K31" i="59"/>
  <c r="L31" i="59" s="1"/>
  <c r="D32" i="59"/>
  <c r="G31" i="59"/>
  <c r="O31" i="59"/>
  <c r="P31" i="59" s="1"/>
  <c r="E32" i="59"/>
  <c r="H31" i="59"/>
  <c r="B52" i="46"/>
  <c r="J51" i="46"/>
  <c r="S27" i="69"/>
  <c r="M29" i="45"/>
  <c r="D33" i="23"/>
  <c r="K32" i="23"/>
  <c r="L32" i="23" s="1"/>
  <c r="G32" i="23"/>
  <c r="J50" i="23"/>
  <c r="B51" i="23"/>
  <c r="N51" i="23"/>
  <c r="R50" i="23"/>
  <c r="M11" i="23"/>
  <c r="D8" i="69"/>
  <c r="D61" i="69" s="1"/>
  <c r="D111" i="69" s="1"/>
  <c r="W10" i="23"/>
  <c r="K24" i="96"/>
  <c r="L24" i="96" s="1"/>
  <c r="M24" i="96" s="1"/>
  <c r="D25" i="96"/>
  <c r="G24" i="96"/>
  <c r="D33" i="97"/>
  <c r="K32" i="97"/>
  <c r="L32" i="97" s="1"/>
  <c r="G32" i="97"/>
  <c r="J39" i="96"/>
  <c r="B40" i="96"/>
  <c r="N40" i="96"/>
  <c r="R39" i="96"/>
  <c r="D33" i="90"/>
  <c r="K32" i="90"/>
  <c r="L32" i="90" s="1"/>
  <c r="G32" i="90"/>
  <c r="K31" i="98"/>
  <c r="L31" i="98" s="1"/>
  <c r="D32" i="98"/>
  <c r="G31" i="98"/>
  <c r="K27" i="82"/>
  <c r="L27" i="82" s="1"/>
  <c r="G27" i="82"/>
  <c r="K28" i="80"/>
  <c r="L28" i="80" s="1"/>
  <c r="G28" i="80"/>
  <c r="K31" i="60"/>
  <c r="L31" i="60" s="1"/>
  <c r="D32" i="60"/>
  <c r="G31" i="60"/>
  <c r="M25" i="81"/>
  <c r="O22" i="69"/>
  <c r="O75" i="69" s="1"/>
  <c r="O125" i="69" s="1"/>
  <c r="M10" i="38"/>
  <c r="B7" i="68"/>
  <c r="J34" i="38"/>
  <c r="B35" i="38"/>
  <c r="N35" i="38"/>
  <c r="R34" i="38"/>
  <c r="B50" i="62"/>
  <c r="J49" i="62"/>
  <c r="L49" i="62" s="1"/>
  <c r="N50" i="62"/>
  <c r="P50" i="62" s="1"/>
  <c r="R49" i="62"/>
  <c r="T49" i="62" s="1"/>
  <c r="G49" i="62"/>
  <c r="I49" i="62"/>
  <c r="H49" i="62"/>
  <c r="K32" i="66"/>
  <c r="L32" i="66" s="1"/>
  <c r="D33" i="66"/>
  <c r="G32" i="66"/>
  <c r="K25" i="101"/>
  <c r="L25" i="101" s="1"/>
  <c r="D26" i="101"/>
  <c r="G25" i="101"/>
  <c r="D32" i="80"/>
  <c r="K31" i="80"/>
  <c r="L31" i="80" s="1"/>
  <c r="G31" i="80"/>
  <c r="J36" i="43"/>
  <c r="B37" i="43"/>
  <c r="N37" i="43"/>
  <c r="R36" i="43"/>
  <c r="D33" i="85"/>
  <c r="K32" i="85"/>
  <c r="L32" i="85" s="1"/>
  <c r="G32" i="85"/>
  <c r="J35" i="89"/>
  <c r="L35" i="89" s="1"/>
  <c r="B36" i="89"/>
  <c r="N36" i="89"/>
  <c r="P36" i="89" s="1"/>
  <c r="R35" i="89"/>
  <c r="T35" i="89" s="1"/>
  <c r="G35" i="89"/>
  <c r="H35" i="89"/>
  <c r="I35" i="89"/>
  <c r="O27" i="90"/>
  <c r="P27" i="90" s="1"/>
  <c r="H27" i="90"/>
  <c r="O27" i="85"/>
  <c r="P27" i="85" s="1"/>
  <c r="H27" i="85"/>
  <c r="Q26" i="90"/>
  <c r="AJ23" i="69"/>
  <c r="AJ76" i="69" s="1"/>
  <c r="AJ126" i="69" s="1"/>
  <c r="Q10" i="43"/>
  <c r="BA7" i="68"/>
  <c r="BA60" i="68" s="1"/>
  <c r="BA109" i="68" s="1"/>
  <c r="O28" i="80"/>
  <c r="P28" i="80" s="1"/>
  <c r="H28" i="80"/>
  <c r="O24" i="101"/>
  <c r="P24" i="101" s="1"/>
  <c r="Q24" i="101" s="1"/>
  <c r="E25" i="101"/>
  <c r="H24" i="101"/>
  <c r="O33" i="86"/>
  <c r="P33" i="86" s="1"/>
  <c r="E34" i="86"/>
  <c r="H33" i="86"/>
  <c r="O25" i="97"/>
  <c r="P25" i="97" s="1"/>
  <c r="E26" i="97"/>
  <c r="H25" i="97"/>
  <c r="Q27" i="83"/>
  <c r="AN24" i="69"/>
  <c r="AN77" i="69" s="1"/>
  <c r="AN127" i="69" s="1"/>
  <c r="Q11" i="67"/>
  <c r="AW8" i="68"/>
  <c r="AW61" i="68" s="1"/>
  <c r="AW110" i="68" s="1"/>
  <c r="S31" i="96"/>
  <c r="T31" i="96" s="1"/>
  <c r="F32" i="96"/>
  <c r="I31" i="96"/>
  <c r="S32" i="58"/>
  <c r="T32" i="58" s="1"/>
  <c r="F33" i="58"/>
  <c r="I32" i="58"/>
  <c r="U10" i="36"/>
  <c r="BB7" i="69"/>
  <c r="BB60" i="69" s="1"/>
  <c r="BB110" i="69" s="1"/>
  <c r="S32" i="67"/>
  <c r="T32" i="67" s="1"/>
  <c r="F33" i="67"/>
  <c r="I32" i="67"/>
  <c r="S32" i="86"/>
  <c r="T32" i="86" s="1"/>
  <c r="F33" i="86"/>
  <c r="I32" i="86"/>
  <c r="S32" i="66"/>
  <c r="T32" i="66" s="1"/>
  <c r="F33" i="66"/>
  <c r="I32" i="66"/>
  <c r="U10" i="4"/>
  <c r="AW7" i="69"/>
  <c r="Y9" i="23"/>
  <c r="U24" i="97"/>
  <c r="BF21" i="69"/>
  <c r="BF74" i="69" s="1"/>
  <c r="BF124" i="69" s="1"/>
  <c r="S27" i="90"/>
  <c r="T27" i="90" s="1"/>
  <c r="I27" i="90"/>
  <c r="S24" i="99"/>
  <c r="T24" i="99" s="1"/>
  <c r="U24" i="99" s="1"/>
  <c r="F25" i="99"/>
  <c r="I24" i="99"/>
  <c r="U11" i="62"/>
  <c r="CB8" i="68"/>
  <c r="CB61" i="68" s="1"/>
  <c r="CB110" i="68" s="1"/>
  <c r="U26" i="88"/>
  <c r="CQ23" i="68"/>
  <c r="CQ76" i="68" s="1"/>
  <c r="CQ125" i="68" s="1"/>
  <c r="U10" i="41"/>
  <c r="BW7" i="68"/>
  <c r="BW60" i="68" s="1"/>
  <c r="BW109" i="68" s="1"/>
  <c r="M7" i="72"/>
  <c r="U9" i="61"/>
  <c r="BY6" i="68"/>
  <c r="F30" i="72"/>
  <c r="L26" i="72"/>
  <c r="J14" i="72"/>
  <c r="H14" i="72"/>
  <c r="C39" i="96"/>
  <c r="C40" i="96" s="1"/>
  <c r="H15" i="72"/>
  <c r="J15" i="72"/>
  <c r="E7" i="72"/>
  <c r="A26" i="56"/>
  <c r="A27" i="56" s="1"/>
  <c r="A28" i="56" s="1"/>
  <c r="A29" i="56" s="1"/>
  <c r="R7" i="56"/>
  <c r="R15" i="56" s="1"/>
  <c r="R19" i="56" s="1"/>
  <c r="K34" i="72"/>
  <c r="J49" i="72"/>
  <c r="G49" i="72"/>
  <c r="G47" i="72"/>
  <c r="F47" i="72"/>
  <c r="F9" i="72"/>
  <c r="L9" i="72" s="1"/>
  <c r="E9" i="72"/>
  <c r="CV109" i="68"/>
  <c r="CV108" i="68"/>
  <c r="A22" i="70"/>
  <c r="I35" i="72"/>
  <c r="J33" i="72"/>
  <c r="E19" i="72"/>
  <c r="K19" i="72" s="1"/>
  <c r="H50" i="72"/>
  <c r="K50" i="72" s="1"/>
  <c r="J50" i="72"/>
  <c r="F13" i="72"/>
  <c r="L13" i="72" s="1"/>
  <c r="F20" i="72"/>
  <c r="G20" i="72"/>
  <c r="L10" i="72"/>
  <c r="BM63" i="69"/>
  <c r="G4" i="72"/>
  <c r="J4" i="72"/>
  <c r="K5" i="72"/>
  <c r="AG58" i="68"/>
  <c r="AH58" i="68" s="1"/>
  <c r="M8" i="72"/>
  <c r="I23" i="72"/>
  <c r="H23" i="72"/>
  <c r="CY6" i="68"/>
  <c r="CU59" i="68"/>
  <c r="CU62" i="68"/>
  <c r="J24" i="72"/>
  <c r="M24" i="72" s="1"/>
  <c r="BV57" i="69"/>
  <c r="F31" i="72"/>
  <c r="E6" i="72"/>
  <c r="K6" i="72" s="1"/>
  <c r="G6" i="72"/>
  <c r="E44" i="72"/>
  <c r="H44" i="72"/>
  <c r="E40" i="72"/>
  <c r="H40" i="72"/>
  <c r="E17" i="72"/>
  <c r="H17" i="72"/>
  <c r="G16" i="72"/>
  <c r="M16" i="72" s="1"/>
  <c r="BM61" i="69"/>
  <c r="D33" i="7"/>
  <c r="K32" i="7"/>
  <c r="L32" i="7" s="1"/>
  <c r="G32" i="7"/>
  <c r="D33" i="35"/>
  <c r="K32" i="35"/>
  <c r="L32" i="35" s="1"/>
  <c r="G32" i="35"/>
  <c r="Q11" i="63"/>
  <c r="BO8" i="68"/>
  <c r="K32" i="96"/>
  <c r="L32" i="96" s="1"/>
  <c r="D33" i="96"/>
  <c r="G32" i="96"/>
  <c r="BM25" i="68"/>
  <c r="S27" i="47"/>
  <c r="K31" i="1"/>
  <c r="L31" i="1" s="1"/>
  <c r="D32" i="1"/>
  <c r="G31" i="1"/>
  <c r="K22" i="69"/>
  <c r="K75" i="69" s="1"/>
  <c r="K125" i="69" s="1"/>
  <c r="J50" i="65"/>
  <c r="L50" i="65" s="1"/>
  <c r="B51" i="65"/>
  <c r="N51" i="65"/>
  <c r="P51" i="65" s="1"/>
  <c r="R50" i="65"/>
  <c r="T50" i="65" s="1"/>
  <c r="G50" i="65"/>
  <c r="H50" i="65"/>
  <c r="I50" i="65"/>
  <c r="M25" i="82"/>
  <c r="P22" i="69"/>
  <c r="P75" i="69" s="1"/>
  <c r="P125" i="69" s="1"/>
  <c r="J50" i="97"/>
  <c r="B51" i="97"/>
  <c r="N51" i="97"/>
  <c r="R50" i="97"/>
  <c r="K33" i="38"/>
  <c r="L33" i="38" s="1"/>
  <c r="D34" i="38"/>
  <c r="G33" i="38"/>
  <c r="B50" i="61"/>
  <c r="J49" i="61"/>
  <c r="L49" i="61" s="1"/>
  <c r="N50" i="61"/>
  <c r="P50" i="61" s="1"/>
  <c r="R49" i="61"/>
  <c r="T49" i="61" s="1"/>
  <c r="H49" i="61"/>
  <c r="I49" i="61"/>
  <c r="G49" i="61"/>
  <c r="K32" i="64"/>
  <c r="L32" i="64" s="1"/>
  <c r="D33" i="64"/>
  <c r="G32" i="64"/>
  <c r="K32" i="100"/>
  <c r="L32" i="100" s="1"/>
  <c r="D33" i="100"/>
  <c r="G32" i="100"/>
  <c r="J40" i="66"/>
  <c r="N41" i="66"/>
  <c r="B41" i="66"/>
  <c r="R40" i="66"/>
  <c r="M24" i="103"/>
  <c r="P21" i="68"/>
  <c r="P74" i="68" s="1"/>
  <c r="P123" i="68" s="1"/>
  <c r="K32" i="102"/>
  <c r="L32" i="102" s="1"/>
  <c r="D33" i="102"/>
  <c r="G32" i="102"/>
  <c r="J34" i="80"/>
  <c r="B35" i="80"/>
  <c r="C35" i="80" s="1"/>
  <c r="N35" i="80"/>
  <c r="R34" i="80"/>
  <c r="J49" i="100"/>
  <c r="B50" i="100"/>
  <c r="N50" i="100"/>
  <c r="R49" i="100"/>
  <c r="J50" i="64"/>
  <c r="B51" i="64"/>
  <c r="N51" i="64"/>
  <c r="R50" i="64"/>
  <c r="J49" i="102"/>
  <c r="B50" i="102"/>
  <c r="N50" i="102"/>
  <c r="R49" i="102"/>
  <c r="O31" i="4"/>
  <c r="P31" i="4" s="1"/>
  <c r="E32" i="4"/>
  <c r="H31" i="4"/>
  <c r="M10" i="66"/>
  <c r="M7" i="68"/>
  <c r="M60" i="68" s="1"/>
  <c r="M109" i="68" s="1"/>
  <c r="O32" i="36"/>
  <c r="P32" i="36" s="1"/>
  <c r="E33" i="36"/>
  <c r="H32" i="36"/>
  <c r="Q10" i="7"/>
  <c r="AB7" i="69"/>
  <c r="M26" i="80"/>
  <c r="N23" i="69"/>
  <c r="N76" i="69" s="1"/>
  <c r="N126" i="69" s="1"/>
  <c r="M25" i="84"/>
  <c r="V22" i="68"/>
  <c r="V75" i="68" s="1"/>
  <c r="V124" i="68" s="1"/>
  <c r="Q24" i="98"/>
  <c r="AH21" i="69"/>
  <c r="AH74" i="69" s="1"/>
  <c r="AH124" i="69" s="1"/>
  <c r="J49" i="88"/>
  <c r="L49" i="88" s="1"/>
  <c r="B50" i="88"/>
  <c r="N50" i="88"/>
  <c r="P50" i="88" s="1"/>
  <c r="R49" i="88"/>
  <c r="T49" i="88" s="1"/>
  <c r="H49" i="88"/>
  <c r="I49" i="88"/>
  <c r="G49" i="88"/>
  <c r="M10" i="44"/>
  <c r="T7" i="68"/>
  <c r="T60" i="68" s="1"/>
  <c r="T109" i="68" s="1"/>
  <c r="O31" i="35"/>
  <c r="P31" i="35" s="1"/>
  <c r="E32" i="35"/>
  <c r="H31" i="35"/>
  <c r="E25" i="103"/>
  <c r="O24" i="103"/>
  <c r="P24" i="103" s="1"/>
  <c r="Q24" i="103" s="1"/>
  <c r="H24" i="103"/>
  <c r="E32" i="85"/>
  <c r="O31" i="85"/>
  <c r="P31" i="85" s="1"/>
  <c r="H31" i="85"/>
  <c r="O31" i="1"/>
  <c r="P31" i="1" s="1"/>
  <c r="E32" i="1"/>
  <c r="H31" i="1"/>
  <c r="Q25" i="80"/>
  <c r="AK22" i="69"/>
  <c r="AK75" i="69" s="1"/>
  <c r="AK125" i="69" s="1"/>
  <c r="O26" i="104"/>
  <c r="P26" i="104" s="1"/>
  <c r="Q26" i="104" s="1"/>
  <c r="E27" i="104"/>
  <c r="H26" i="104"/>
  <c r="O49" i="44"/>
  <c r="P49" i="44" s="1"/>
  <c r="H49" i="44"/>
  <c r="Q25" i="97"/>
  <c r="AI22" i="69"/>
  <c r="AI75" i="69" s="1"/>
  <c r="AI125" i="69" s="1"/>
  <c r="Q10" i="42"/>
  <c r="AX7" i="68"/>
  <c r="AX60" i="68" s="1"/>
  <c r="AX109" i="68" s="1"/>
  <c r="O25" i="98"/>
  <c r="P25" i="98" s="1"/>
  <c r="E26" i="98"/>
  <c r="H25" i="98"/>
  <c r="J48" i="42"/>
  <c r="L48" i="42" s="1"/>
  <c r="B49" i="42"/>
  <c r="N49" i="42"/>
  <c r="P49" i="42" s="1"/>
  <c r="R48" i="42"/>
  <c r="T48" i="42" s="1"/>
  <c r="H48" i="42"/>
  <c r="I48" i="42"/>
  <c r="G48" i="42"/>
  <c r="Q9" i="44"/>
  <c r="BC6" i="68"/>
  <c r="O32" i="102"/>
  <c r="P32" i="102" s="1"/>
  <c r="E33" i="102"/>
  <c r="H32" i="102"/>
  <c r="Q25" i="89"/>
  <c r="BJ22" i="68"/>
  <c r="BJ75" i="68" s="1"/>
  <c r="BJ124" i="68" s="1"/>
  <c r="S31" i="4"/>
  <c r="T31" i="4" s="1"/>
  <c r="F32" i="4"/>
  <c r="I31" i="4"/>
  <c r="S31" i="98"/>
  <c r="T31" i="98" s="1"/>
  <c r="F32" i="98"/>
  <c r="I31" i="98"/>
  <c r="S25" i="103"/>
  <c r="T25" i="103" s="1"/>
  <c r="F26" i="103"/>
  <c r="I25" i="103"/>
  <c r="S26" i="104"/>
  <c r="T26" i="104" s="1"/>
  <c r="F27" i="104"/>
  <c r="I26" i="104"/>
  <c r="S27" i="66"/>
  <c r="T27" i="66" s="1"/>
  <c r="I27" i="66"/>
  <c r="BD22" i="69"/>
  <c r="BD75" i="69" s="1"/>
  <c r="BD125" i="69" s="1"/>
  <c r="S31" i="90"/>
  <c r="T31" i="90" s="1"/>
  <c r="F32" i="90"/>
  <c r="I31" i="90"/>
  <c r="S34" i="85"/>
  <c r="T34" i="85" s="1"/>
  <c r="F35" i="85"/>
  <c r="I34" i="85"/>
  <c r="U26" i="80"/>
  <c r="BH23" i="69"/>
  <c r="BH76" i="69" s="1"/>
  <c r="BH126" i="69" s="1"/>
  <c r="U11" i="43"/>
  <c r="CJ8" i="68"/>
  <c r="CJ61" i="68" s="1"/>
  <c r="CJ110" i="68" s="1"/>
  <c r="U26" i="104"/>
  <c r="CR23" i="68"/>
  <c r="CR76" i="68" s="1"/>
  <c r="CR125" i="68" s="1"/>
  <c r="I14" i="72"/>
  <c r="M29" i="72"/>
  <c r="E15" i="72"/>
  <c r="C50" i="64"/>
  <c r="C35" i="89"/>
  <c r="C36" i="89" s="1"/>
  <c r="BM62" i="69"/>
  <c r="AS58" i="69"/>
  <c r="AR109" i="69"/>
  <c r="C50" i="23"/>
  <c r="C51" i="23" s="1"/>
  <c r="BA110" i="69"/>
  <c r="CU61" i="68"/>
  <c r="R11" i="56"/>
  <c r="F40" i="72"/>
  <c r="L40" i="72" s="1"/>
  <c r="G32" i="63"/>
  <c r="D33" i="63"/>
  <c r="K32" i="63"/>
  <c r="L32" i="63" s="1"/>
  <c r="G17" i="72"/>
  <c r="M17" i="72" s="1"/>
  <c r="F17" i="72"/>
  <c r="L17" i="72" s="1"/>
  <c r="I16" i="72"/>
  <c r="L16" i="72" s="1"/>
  <c r="I31" i="48"/>
  <c r="F32" i="48"/>
  <c r="L28" i="46"/>
  <c r="W28" i="46"/>
  <c r="Z28" i="46" s="1"/>
  <c r="Q11" i="59"/>
  <c r="V10" i="59"/>
  <c r="AQ8" i="69"/>
  <c r="K28" i="48"/>
  <c r="D29" i="48"/>
  <c r="C27" i="107" s="1"/>
  <c r="G27" i="107" s="1"/>
  <c r="G28" i="107" s="1"/>
  <c r="G29" i="107" s="1"/>
  <c r="G30" i="107" s="1"/>
  <c r="G31" i="107" s="1"/>
  <c r="G32" i="107" s="1"/>
  <c r="G33" i="107" s="1"/>
  <c r="G34" i="107" s="1"/>
  <c r="G35" i="107" s="1"/>
  <c r="G36" i="107" s="1"/>
  <c r="G37" i="107" s="1"/>
  <c r="G38" i="107" s="1"/>
  <c r="G39" i="107" s="1"/>
  <c r="G40" i="107" s="1"/>
  <c r="G41" i="107" s="1"/>
  <c r="G42" i="107" s="1"/>
  <c r="G43" i="107" s="1"/>
  <c r="G44" i="107" s="1"/>
  <c r="G45" i="107" s="1"/>
  <c r="G46" i="107" s="1"/>
  <c r="G47" i="107" s="1"/>
  <c r="G48" i="107" s="1"/>
  <c r="G49" i="107" s="1"/>
  <c r="G50" i="107" s="1"/>
  <c r="G51" i="107" s="1"/>
  <c r="G52" i="107" s="1"/>
  <c r="Q29" i="48"/>
  <c r="J35" i="4"/>
  <c r="B36" i="4"/>
  <c r="N36" i="4"/>
  <c r="R35" i="4"/>
  <c r="D26" i="98"/>
  <c r="K25" i="98"/>
  <c r="L25" i="98" s="1"/>
  <c r="M25" i="98" s="1"/>
  <c r="G25" i="98"/>
  <c r="J50" i="90"/>
  <c r="B51" i="90"/>
  <c r="N51" i="90"/>
  <c r="R50" i="90"/>
  <c r="M10" i="35"/>
  <c r="F7" i="69"/>
  <c r="F60" i="69" s="1"/>
  <c r="F110" i="69" s="1"/>
  <c r="J49" i="81"/>
  <c r="L49" i="81" s="1"/>
  <c r="B50" i="81"/>
  <c r="N50" i="81"/>
  <c r="P50" i="81" s="1"/>
  <c r="R49" i="81"/>
  <c r="T49" i="81" s="1"/>
  <c r="I49" i="81"/>
  <c r="G49" i="81"/>
  <c r="H49" i="81"/>
  <c r="J35" i="82"/>
  <c r="L35" i="82" s="1"/>
  <c r="B36" i="82"/>
  <c r="N36" i="82"/>
  <c r="P36" i="82" s="1"/>
  <c r="R35" i="82"/>
  <c r="T35" i="82" s="1"/>
  <c r="G35" i="82"/>
  <c r="I35" i="82"/>
  <c r="C35" i="82"/>
  <c r="C36" i="82" s="1"/>
  <c r="H35" i="82"/>
  <c r="K32" i="58"/>
  <c r="L32" i="58" s="1"/>
  <c r="D33" i="58"/>
  <c r="G32" i="58"/>
  <c r="K25" i="99"/>
  <c r="L25" i="99" s="1"/>
  <c r="M25" i="99" s="1"/>
  <c r="D26" i="99"/>
  <c r="G25" i="99"/>
  <c r="K31" i="103"/>
  <c r="L31" i="103" s="1"/>
  <c r="D32" i="103"/>
  <c r="G31" i="103"/>
  <c r="K24" i="100"/>
  <c r="L24" i="100" s="1"/>
  <c r="D25" i="100"/>
  <c r="G24" i="100"/>
  <c r="K25" i="103"/>
  <c r="L25" i="103" s="1"/>
  <c r="D26" i="103"/>
  <c r="G25" i="103"/>
  <c r="K24" i="102"/>
  <c r="L24" i="102" s="1"/>
  <c r="D25" i="102"/>
  <c r="G24" i="102"/>
  <c r="M9" i="67"/>
  <c r="N6" i="68"/>
  <c r="K31" i="101"/>
  <c r="L31" i="101" s="1"/>
  <c r="D32" i="101"/>
  <c r="G31" i="101"/>
  <c r="J39" i="85"/>
  <c r="B40" i="85"/>
  <c r="N40" i="85"/>
  <c r="R39" i="85"/>
  <c r="C39" i="85"/>
  <c r="C40" i="85" s="1"/>
  <c r="O31" i="23"/>
  <c r="P31" i="23" s="1"/>
  <c r="E32" i="23"/>
  <c r="H31" i="23"/>
  <c r="M26" i="83"/>
  <c r="Q23" i="69"/>
  <c r="Q76" i="69" s="1"/>
  <c r="Q126" i="69" s="1"/>
  <c r="M25" i="104"/>
  <c r="Z22" i="68"/>
  <c r="Z75" i="68" s="1"/>
  <c r="Z124" i="68" s="1"/>
  <c r="Q23" i="58"/>
  <c r="AD20" i="69"/>
  <c r="AD73" i="69" s="1"/>
  <c r="AD123" i="69" s="1"/>
  <c r="D32" i="86"/>
  <c r="K31" i="86"/>
  <c r="L31" i="86" s="1"/>
  <c r="G31" i="86"/>
  <c r="J51" i="87"/>
  <c r="L51" i="87" s="1"/>
  <c r="B52" i="87"/>
  <c r="N52" i="87"/>
  <c r="P52" i="87" s="1"/>
  <c r="R51" i="87"/>
  <c r="T51" i="87" s="1"/>
  <c r="I51" i="87"/>
  <c r="G51" i="87"/>
  <c r="H51" i="87"/>
  <c r="E32" i="97"/>
  <c r="O31" i="97"/>
  <c r="P31" i="97" s="1"/>
  <c r="H31" i="97"/>
  <c r="K32" i="67"/>
  <c r="L32" i="67" s="1"/>
  <c r="D33" i="67"/>
  <c r="G32" i="67"/>
  <c r="Q11" i="4"/>
  <c r="X10" i="23"/>
  <c r="Z8" i="69"/>
  <c r="M25" i="85"/>
  <c r="U22" i="68"/>
  <c r="U75" i="68" s="1"/>
  <c r="U124" i="68" s="1"/>
  <c r="O31" i="90"/>
  <c r="P31" i="90" s="1"/>
  <c r="E32" i="90"/>
  <c r="H31" i="90"/>
  <c r="E32" i="43"/>
  <c r="O31" i="43"/>
  <c r="P31" i="43" s="1"/>
  <c r="H31" i="43"/>
  <c r="M11" i="42"/>
  <c r="O8" i="68"/>
  <c r="O61" i="68" s="1"/>
  <c r="O110" i="68" s="1"/>
  <c r="O31" i="96"/>
  <c r="P31" i="96" s="1"/>
  <c r="E32" i="96"/>
  <c r="H31" i="96"/>
  <c r="Q10" i="60"/>
  <c r="AO7" i="68"/>
  <c r="AO60" i="68" s="1"/>
  <c r="AO109" i="68" s="1"/>
  <c r="O31" i="103"/>
  <c r="P31" i="103" s="1"/>
  <c r="E32" i="103"/>
  <c r="H31" i="103"/>
  <c r="Q24" i="86"/>
  <c r="BF21" i="68"/>
  <c r="BF74" i="68" s="1"/>
  <c r="BF123" i="68" s="1"/>
  <c r="J50" i="44"/>
  <c r="B51" i="44"/>
  <c r="E50" i="44"/>
  <c r="O50" i="44" s="1"/>
  <c r="P50" i="44" s="1"/>
  <c r="N51" i="44"/>
  <c r="D50" i="44"/>
  <c r="K50" i="44" s="1"/>
  <c r="F50" i="44"/>
  <c r="S50" i="44" s="1"/>
  <c r="R50" i="44"/>
  <c r="G50" i="44"/>
  <c r="Q25" i="81"/>
  <c r="AL22" i="69"/>
  <c r="AL75" i="69" s="1"/>
  <c r="AL125" i="69" s="1"/>
  <c r="Q25" i="96"/>
  <c r="AG22" i="69"/>
  <c r="AG75" i="69" s="1"/>
  <c r="AG125" i="69" s="1"/>
  <c r="Q12" i="65"/>
  <c r="AU9" i="68"/>
  <c r="AU62" i="68" s="1"/>
  <c r="AU111" i="68" s="1"/>
  <c r="O33" i="100"/>
  <c r="P33" i="100" s="1"/>
  <c r="E34" i="100"/>
  <c r="H33" i="100"/>
  <c r="Q10" i="64"/>
  <c r="AT7" i="68"/>
  <c r="AT60" i="68" s="1"/>
  <c r="AT109" i="68" s="1"/>
  <c r="O27" i="87"/>
  <c r="P27" i="87" s="1"/>
  <c r="H27" i="87"/>
  <c r="O27" i="89"/>
  <c r="P27" i="89" s="1"/>
  <c r="H27" i="89"/>
  <c r="O33" i="67"/>
  <c r="P33" i="67" s="1"/>
  <c r="E34" i="67"/>
  <c r="H33" i="67"/>
  <c r="F38" i="46"/>
  <c r="I37" i="46"/>
  <c r="R37" i="46" s="1"/>
  <c r="Q11" i="66"/>
  <c r="AV8" i="68"/>
  <c r="AV61" i="68" s="1"/>
  <c r="AV110" i="68" s="1"/>
  <c r="S31" i="1"/>
  <c r="T31" i="1" s="1"/>
  <c r="F32" i="1"/>
  <c r="I31" i="1"/>
  <c r="S31" i="23"/>
  <c r="T31" i="23" s="1"/>
  <c r="F32" i="23"/>
  <c r="I31" i="23"/>
  <c r="S25" i="97"/>
  <c r="T25" i="97" s="1"/>
  <c r="F26" i="97"/>
  <c r="I25" i="97"/>
  <c r="S32" i="36"/>
  <c r="T32" i="36" s="1"/>
  <c r="F33" i="36"/>
  <c r="I32" i="36"/>
  <c r="S27" i="81"/>
  <c r="T27" i="81" s="1"/>
  <c r="F28" i="81"/>
  <c r="I27" i="81"/>
  <c r="S31" i="80"/>
  <c r="T31" i="80" s="1"/>
  <c r="F32" i="80"/>
  <c r="I31" i="80"/>
  <c r="S24" i="102"/>
  <c r="T24" i="102" s="1"/>
  <c r="F25" i="102"/>
  <c r="I24" i="102"/>
  <c r="S32" i="59"/>
  <c r="T32" i="59" s="1"/>
  <c r="F33" i="59"/>
  <c r="I32" i="59"/>
  <c r="S32" i="43"/>
  <c r="T32" i="43" s="1"/>
  <c r="F33" i="43"/>
  <c r="I32" i="43"/>
  <c r="S32" i="60"/>
  <c r="T32" i="60" s="1"/>
  <c r="F33" i="60"/>
  <c r="I32" i="60"/>
  <c r="S34" i="63"/>
  <c r="T34" i="63" s="1"/>
  <c r="F35" i="63"/>
  <c r="I34" i="63"/>
  <c r="U11" i="65"/>
  <c r="CD8" i="68"/>
  <c r="CD61" i="68" s="1"/>
  <c r="CD110" i="68" s="1"/>
  <c r="U11" i="67"/>
  <c r="CF8" i="68"/>
  <c r="CF61" i="68" s="1"/>
  <c r="CF110" i="68" s="1"/>
  <c r="U30" i="86"/>
  <c r="CO27" i="68"/>
  <c r="CO80" i="68" s="1"/>
  <c r="CO129" i="68" s="1"/>
  <c r="BZ22" i="68"/>
  <c r="BZ75" i="68" s="1"/>
  <c r="BZ124" i="68" s="1"/>
  <c r="U26" i="81"/>
  <c r="BI23" i="69"/>
  <c r="BI76" i="69" s="1"/>
  <c r="BI126" i="69" s="1"/>
  <c r="U26" i="90"/>
  <c r="BG23" i="69"/>
  <c r="BG76" i="69" s="1"/>
  <c r="BG126" i="69" s="1"/>
  <c r="U10" i="39"/>
  <c r="BU7" i="68"/>
  <c r="U25" i="103"/>
  <c r="CH22" i="68"/>
  <c r="CH75" i="68" s="1"/>
  <c r="CH124" i="68" s="1"/>
  <c r="X29" i="45"/>
  <c r="Z29" i="45" s="1"/>
  <c r="J29" i="45"/>
  <c r="I30" i="72"/>
  <c r="F14" i="72"/>
  <c r="I29" i="72"/>
  <c r="C49" i="100"/>
  <c r="C50" i="100" s="1"/>
  <c r="F15" i="72"/>
  <c r="G15" i="72"/>
  <c r="AG108" i="68"/>
  <c r="C49" i="62"/>
  <c r="C50" i="62" s="1"/>
  <c r="E49" i="72"/>
  <c r="I49" i="72"/>
  <c r="C35" i="4"/>
  <c r="C36" i="4" s="1"/>
  <c r="J47" i="72"/>
  <c r="J45" i="72"/>
  <c r="G9" i="72"/>
  <c r="K41" i="72"/>
  <c r="CU63" i="68"/>
  <c r="H35" i="72"/>
  <c r="E33" i="72"/>
  <c r="H33" i="72"/>
  <c r="J19" i="72"/>
  <c r="G19" i="72"/>
  <c r="I50" i="72"/>
  <c r="F50" i="72"/>
  <c r="K13" i="72"/>
  <c r="J20" i="72"/>
  <c r="E21" i="72"/>
  <c r="K21" i="72" s="1"/>
  <c r="G21" i="72"/>
  <c r="M21" i="72" s="1"/>
  <c r="E10" i="72"/>
  <c r="K10" i="72" s="1"/>
  <c r="I12" i="72"/>
  <c r="L12" i="72" s="1"/>
  <c r="C50" i="65"/>
  <c r="C51" i="65" s="1"/>
  <c r="H32" i="72"/>
  <c r="G32" i="72"/>
  <c r="M32" i="72" s="1"/>
  <c r="F4" i="72"/>
  <c r="E4" i="72"/>
  <c r="J5" i="72"/>
  <c r="M5" i="72" s="1"/>
  <c r="F5" i="72"/>
  <c r="L5" i="72" s="1"/>
  <c r="K8" i="72"/>
  <c r="I8" i="72"/>
  <c r="G23" i="72"/>
  <c r="M23" i="72" s="1"/>
  <c r="G48" i="72"/>
  <c r="J48" i="72"/>
  <c r="I24" i="72"/>
  <c r="L24" i="72" s="1"/>
  <c r="G36" i="72"/>
  <c r="E36" i="72"/>
  <c r="K36" i="72" s="1"/>
  <c r="H31" i="72"/>
  <c r="K31" i="72" s="1"/>
  <c r="J31" i="72"/>
  <c r="L27" i="72"/>
  <c r="M22" i="72"/>
  <c r="I6" i="72"/>
  <c r="J6" i="72"/>
  <c r="L44" i="72"/>
  <c r="BO109" i="69"/>
  <c r="C49" i="88"/>
  <c r="C50" i="88" s="1"/>
  <c r="C50" i="90"/>
  <c r="C51" i="90" s="1"/>
  <c r="AG124" i="68"/>
  <c r="AG123" i="68"/>
  <c r="J35" i="59"/>
  <c r="B36" i="59"/>
  <c r="C36" i="59" s="1"/>
  <c r="N36" i="59"/>
  <c r="R35" i="59"/>
  <c r="B51" i="48"/>
  <c r="K31" i="36"/>
  <c r="L31" i="36" s="1"/>
  <c r="D32" i="36"/>
  <c r="G31" i="36"/>
  <c r="J50" i="35"/>
  <c r="B51" i="35"/>
  <c r="N51" i="35"/>
  <c r="R50" i="35"/>
  <c r="AG122" i="68"/>
  <c r="K31" i="4"/>
  <c r="L31" i="4" s="1"/>
  <c r="D32" i="4"/>
  <c r="G31" i="4"/>
  <c r="D25" i="97"/>
  <c r="K24" i="97"/>
  <c r="L24" i="97" s="1"/>
  <c r="M24" i="97" s="1"/>
  <c r="G24" i="97"/>
  <c r="J49" i="37"/>
  <c r="L49" i="37" s="1"/>
  <c r="B50" i="37"/>
  <c r="C50" i="37" s="1"/>
  <c r="N50" i="37"/>
  <c r="P50" i="37" s="1"/>
  <c r="R49" i="37"/>
  <c r="T49" i="37" s="1"/>
  <c r="I49" i="37"/>
  <c r="H49" i="37"/>
  <c r="G49" i="37"/>
  <c r="J50" i="41"/>
  <c r="L50" i="41" s="1"/>
  <c r="B51" i="41"/>
  <c r="N51" i="41"/>
  <c r="P51" i="41" s="1"/>
  <c r="R50" i="41"/>
  <c r="T50" i="41" s="1"/>
  <c r="I50" i="41"/>
  <c r="G50" i="41"/>
  <c r="H50" i="41"/>
  <c r="B50" i="39"/>
  <c r="J49" i="39"/>
  <c r="L49" i="39" s="1"/>
  <c r="N50" i="39"/>
  <c r="P50" i="39" s="1"/>
  <c r="R49" i="39"/>
  <c r="T49" i="39" s="1"/>
  <c r="I49" i="39"/>
  <c r="G49" i="39"/>
  <c r="H49" i="39"/>
  <c r="M10" i="39"/>
  <c r="C7" i="68"/>
  <c r="C60" i="68" s="1"/>
  <c r="C109" i="68" s="1"/>
  <c r="M25" i="90"/>
  <c r="M22" i="69"/>
  <c r="M75" i="69" s="1"/>
  <c r="M125" i="69" s="1"/>
  <c r="D32" i="99"/>
  <c r="K31" i="99"/>
  <c r="L31" i="99" s="1"/>
  <c r="G31" i="99"/>
  <c r="M24" i="100"/>
  <c r="H21" i="68"/>
  <c r="H74" i="68" s="1"/>
  <c r="H123" i="68" s="1"/>
  <c r="J49" i="67"/>
  <c r="B50" i="67"/>
  <c r="N50" i="67"/>
  <c r="R49" i="67"/>
  <c r="M24" i="102"/>
  <c r="Q21" i="68"/>
  <c r="Q74" i="68" s="1"/>
  <c r="Q123" i="68" s="1"/>
  <c r="M10" i="43"/>
  <c r="R7" i="68"/>
  <c r="R60" i="68" s="1"/>
  <c r="R109" i="68" s="1"/>
  <c r="M24" i="86"/>
  <c r="W21" i="68"/>
  <c r="W74" i="68" s="1"/>
  <c r="W123" i="68" s="1"/>
  <c r="M24" i="101"/>
  <c r="S21" i="68"/>
  <c r="S74" i="68" s="1"/>
  <c r="S123" i="68" s="1"/>
  <c r="O31" i="58"/>
  <c r="P31" i="58" s="1"/>
  <c r="E32" i="58"/>
  <c r="H31" i="58"/>
  <c r="J34" i="83"/>
  <c r="L34" i="83" s="1"/>
  <c r="B35" i="83"/>
  <c r="C35" i="83" s="1"/>
  <c r="N35" i="83"/>
  <c r="P35" i="83" s="1"/>
  <c r="R34" i="83"/>
  <c r="T34" i="83" s="1"/>
  <c r="I34" i="83"/>
  <c r="H34" i="83"/>
  <c r="G34" i="83"/>
  <c r="B50" i="84"/>
  <c r="C50" i="84" s="1"/>
  <c r="J49" i="84"/>
  <c r="L49" i="84" s="1"/>
  <c r="I49" i="84"/>
  <c r="R49" i="84"/>
  <c r="T49" i="84" s="1"/>
  <c r="G49" i="84"/>
  <c r="H49" i="84"/>
  <c r="N50" i="84"/>
  <c r="P50" i="84" s="1"/>
  <c r="Q50" i="84" s="1"/>
  <c r="M24" i="88"/>
  <c r="Y21" i="68"/>
  <c r="Y74" i="68" s="1"/>
  <c r="Y123" i="68" s="1"/>
  <c r="K27" i="104"/>
  <c r="L27" i="104" s="1"/>
  <c r="D28" i="104"/>
  <c r="G27" i="104"/>
  <c r="Q10" i="36"/>
  <c r="AE7" i="69"/>
  <c r="AE60" i="69" s="1"/>
  <c r="AE110" i="69" s="1"/>
  <c r="O32" i="7"/>
  <c r="P32" i="7" s="1"/>
  <c r="E33" i="7"/>
  <c r="H32" i="7"/>
  <c r="E32" i="60"/>
  <c r="O31" i="60"/>
  <c r="P31" i="60" s="1"/>
  <c r="H31" i="60"/>
  <c r="O33" i="80"/>
  <c r="P33" i="80" s="1"/>
  <c r="E34" i="80"/>
  <c r="H33" i="80"/>
  <c r="O25" i="100"/>
  <c r="P25" i="100" s="1"/>
  <c r="Q25" i="100" s="1"/>
  <c r="E26" i="100"/>
  <c r="H25" i="100"/>
  <c r="E32" i="101"/>
  <c r="O31" i="101"/>
  <c r="P31" i="101" s="1"/>
  <c r="H31" i="101"/>
  <c r="O32" i="99"/>
  <c r="P32" i="99" s="1"/>
  <c r="E33" i="99"/>
  <c r="H32" i="99"/>
  <c r="K49" i="44"/>
  <c r="L49" i="44" s="1"/>
  <c r="G49" i="44"/>
  <c r="Q10" i="61"/>
  <c r="AP7" i="68"/>
  <c r="AP60" i="68" s="1"/>
  <c r="AP109" i="68" s="1"/>
  <c r="O31" i="66"/>
  <c r="P31" i="66" s="1"/>
  <c r="E32" i="66"/>
  <c r="H31" i="66"/>
  <c r="O27" i="67"/>
  <c r="P27" i="67" s="1"/>
  <c r="H27" i="67"/>
  <c r="O25" i="102"/>
  <c r="P25" i="102" s="1"/>
  <c r="Q25" i="102" s="1"/>
  <c r="E26" i="102"/>
  <c r="H25" i="102"/>
  <c r="K32" i="43"/>
  <c r="L32" i="43" s="1"/>
  <c r="D33" i="43"/>
  <c r="G32" i="43"/>
  <c r="S32" i="35"/>
  <c r="T32" i="35" s="1"/>
  <c r="F33" i="35"/>
  <c r="I32" i="35"/>
  <c r="S31" i="7"/>
  <c r="T31" i="7" s="1"/>
  <c r="F32" i="7"/>
  <c r="I31" i="7"/>
  <c r="S25" i="96"/>
  <c r="T25" i="96" s="1"/>
  <c r="U25" i="96" s="1"/>
  <c r="F26" i="96"/>
  <c r="I25" i="96"/>
  <c r="S31" i="99"/>
  <c r="T31" i="99" s="1"/>
  <c r="F32" i="99"/>
  <c r="I31" i="99"/>
  <c r="S27" i="85"/>
  <c r="T27" i="85" s="1"/>
  <c r="I27" i="85"/>
  <c r="U23" i="58"/>
  <c r="BA20" i="69"/>
  <c r="BA73" i="69" s="1"/>
  <c r="BA123" i="69" s="1"/>
  <c r="U25" i="98"/>
  <c r="BE22" i="69"/>
  <c r="BE75" i="69" s="1"/>
  <c r="BE125" i="69" s="1"/>
  <c r="S31" i="64"/>
  <c r="T31" i="64" s="1"/>
  <c r="F32" i="64"/>
  <c r="I31" i="64"/>
  <c r="S32" i="102"/>
  <c r="T32" i="102" s="1"/>
  <c r="F33" i="102"/>
  <c r="I32" i="102"/>
  <c r="S25" i="100"/>
  <c r="T25" i="100" s="1"/>
  <c r="U25" i="100" s="1"/>
  <c r="F26" i="100"/>
  <c r="I25" i="100"/>
  <c r="S33" i="38"/>
  <c r="T33" i="38" s="1"/>
  <c r="F34" i="38"/>
  <c r="I33" i="38"/>
  <c r="U10" i="60"/>
  <c r="BX7" i="68"/>
  <c r="BX60" i="68" s="1"/>
  <c r="BX109" i="68" s="1"/>
  <c r="U9" i="66"/>
  <c r="CE6" i="68"/>
  <c r="CE59" i="68" s="1"/>
  <c r="CE108" i="68" s="1"/>
  <c r="U10" i="59"/>
  <c r="BN7" i="69"/>
  <c r="U11" i="38"/>
  <c r="BT8" i="68"/>
  <c r="U10" i="40"/>
  <c r="BV7" i="68"/>
  <c r="BV60" i="68" s="1"/>
  <c r="BV109" i="68" s="1"/>
  <c r="U24" i="102"/>
  <c r="CI21" i="68"/>
  <c r="CI74" i="68" s="1"/>
  <c r="CI123" i="68" s="1"/>
  <c r="J30" i="72"/>
  <c r="M30" i="72" s="1"/>
  <c r="E30" i="72"/>
  <c r="K30" i="72" s="1"/>
  <c r="G26" i="72"/>
  <c r="M26" i="72" s="1"/>
  <c r="G14" i="72"/>
  <c r="E14" i="72"/>
  <c r="F25" i="72"/>
  <c r="L25" i="72" s="1"/>
  <c r="F29" i="72"/>
  <c r="H29" i="72"/>
  <c r="K29" i="72" s="1"/>
  <c r="C50" i="97"/>
  <c r="C51" i="97" s="1"/>
  <c r="I15" i="72"/>
  <c r="E46" i="72"/>
  <c r="K46" i="72" s="1"/>
  <c r="C49" i="102"/>
  <c r="C50" i="102" s="1"/>
  <c r="H18" i="72"/>
  <c r="K18" i="72" s="1"/>
  <c r="H7" i="72"/>
  <c r="C40" i="66"/>
  <c r="C41" i="66" s="1"/>
  <c r="H49" i="72"/>
  <c r="F49" i="72"/>
  <c r="I47" i="72"/>
  <c r="L47" i="72" s="1"/>
  <c r="H47" i="72"/>
  <c r="K47" i="72" s="1"/>
  <c r="I45" i="72"/>
  <c r="L45" i="72" s="1"/>
  <c r="G45" i="72"/>
  <c r="C51" i="87"/>
  <c r="C52" i="87" s="1"/>
  <c r="BU58" i="69"/>
  <c r="BW58" i="69" s="1"/>
  <c r="J9" i="72"/>
  <c r="H9" i="72"/>
  <c r="CV111" i="68"/>
  <c r="CV112" i="68"/>
  <c r="E35" i="72"/>
  <c r="I33" i="72"/>
  <c r="L33" i="72" s="1"/>
  <c r="G33" i="72"/>
  <c r="F19" i="72"/>
  <c r="I19" i="72"/>
  <c r="G50" i="72"/>
  <c r="M13" i="72"/>
  <c r="E20" i="72"/>
  <c r="H20" i="72"/>
  <c r="M43" i="72"/>
  <c r="C48" i="42"/>
  <c r="C49" i="42" s="1"/>
  <c r="K38" i="72"/>
  <c r="C49" i="61"/>
  <c r="C50" i="61" s="1"/>
  <c r="AO6" i="69"/>
  <c r="AS6" i="69" s="1"/>
  <c r="AD59" i="69"/>
  <c r="C36" i="43"/>
  <c r="C37" i="43" s="1"/>
  <c r="H4" i="72"/>
  <c r="I4" i="72"/>
  <c r="K11" i="72"/>
  <c r="F23" i="72"/>
  <c r="E23" i="72"/>
  <c r="H48" i="72"/>
  <c r="K48" i="72" s="1"/>
  <c r="F48" i="72"/>
  <c r="L48" i="72" s="1"/>
  <c r="U49" i="84"/>
  <c r="H24" i="72"/>
  <c r="K24" i="72" s="1"/>
  <c r="K25" i="74"/>
  <c r="L25" i="74" s="1"/>
  <c r="M25" i="74" s="1"/>
  <c r="M26" i="74" s="1"/>
  <c r="M27" i="74" s="1"/>
  <c r="M28" i="74" s="1"/>
  <c r="M29" i="74" s="1"/>
  <c r="M30" i="74" s="1"/>
  <c r="G25" i="74"/>
  <c r="CZ57" i="68"/>
  <c r="DB57" i="68" s="1"/>
  <c r="BW57" i="69" s="1"/>
  <c r="BP108" i="68"/>
  <c r="U109" i="69"/>
  <c r="J36" i="72"/>
  <c r="F36" i="72"/>
  <c r="L36" i="72" s="1"/>
  <c r="I31" i="72"/>
  <c r="G31" i="72"/>
  <c r="K22" i="72"/>
  <c r="C34" i="38"/>
  <c r="C35" i="38" s="1"/>
  <c r="F6" i="72"/>
  <c r="M44" i="72"/>
  <c r="BM110" i="69"/>
  <c r="AR22" i="68" l="1"/>
  <c r="AR75" i="68" s="1"/>
  <c r="AR124" i="68" s="1"/>
  <c r="Q25" i="99"/>
  <c r="AR23" i="68" s="1"/>
  <c r="AR76" i="68" s="1"/>
  <c r="AR125" i="68" s="1"/>
  <c r="W31" i="45"/>
  <c r="Z31" i="45" s="1"/>
  <c r="N31" i="45"/>
  <c r="C51" i="44"/>
  <c r="U26" i="89"/>
  <c r="CS23" i="68"/>
  <c r="CS76" i="68" s="1"/>
  <c r="CS125" i="68" s="1"/>
  <c r="CV120" i="68"/>
  <c r="CV121" i="68"/>
  <c r="M11" i="62"/>
  <c r="J8" i="68"/>
  <c r="J61" i="68" s="1"/>
  <c r="J110" i="68" s="1"/>
  <c r="AF109" i="68"/>
  <c r="AG60" i="68"/>
  <c r="AG109" i="68" s="1"/>
  <c r="C38" i="60"/>
  <c r="BM116" i="69"/>
  <c r="BM117" i="69"/>
  <c r="U25" i="74"/>
  <c r="U26" i="74" s="1"/>
  <c r="U27" i="74" s="1"/>
  <c r="U28" i="74" s="1"/>
  <c r="U29" i="74" s="1"/>
  <c r="U30" i="74" s="1"/>
  <c r="U31" i="74" s="1"/>
  <c r="U32" i="74" s="1"/>
  <c r="H26" i="96"/>
  <c r="O26" i="96"/>
  <c r="P26" i="96" s="1"/>
  <c r="E27" i="96"/>
  <c r="N51" i="104"/>
  <c r="P51" i="104" s="1"/>
  <c r="R50" i="104"/>
  <c r="T50" i="104" s="1"/>
  <c r="I50" i="104"/>
  <c r="H50" i="104"/>
  <c r="G50" i="104"/>
  <c r="J50" i="104"/>
  <c r="L50" i="104" s="1"/>
  <c r="B51" i="104"/>
  <c r="I124" i="68"/>
  <c r="U7" i="69"/>
  <c r="T60" i="69"/>
  <c r="CU117" i="68"/>
  <c r="CU116" i="68"/>
  <c r="CX60" i="68"/>
  <c r="CY7" i="68"/>
  <c r="M11" i="61"/>
  <c r="G8" i="68"/>
  <c r="G61" i="68" s="1"/>
  <c r="G110" i="68" s="1"/>
  <c r="B59" i="69"/>
  <c r="R6" i="69"/>
  <c r="V6" i="69" s="1"/>
  <c r="O33" i="63"/>
  <c r="P33" i="63" s="1"/>
  <c r="E34" i="63"/>
  <c r="H33" i="63"/>
  <c r="BM125" i="69"/>
  <c r="CV122" i="68"/>
  <c r="CV123" i="68"/>
  <c r="U11" i="35"/>
  <c r="AZ8" i="69"/>
  <c r="AZ61" i="69" s="1"/>
  <c r="AZ111" i="69" s="1"/>
  <c r="CG7" i="68"/>
  <c r="CG60" i="68" s="1"/>
  <c r="CG109" i="68" s="1"/>
  <c r="U10" i="42"/>
  <c r="CC109" i="68"/>
  <c r="CN22" i="68"/>
  <c r="CN75" i="68" s="1"/>
  <c r="CN124" i="68" s="1"/>
  <c r="CP22" i="68"/>
  <c r="CP75" i="68" s="1"/>
  <c r="CP124" i="68" s="1"/>
  <c r="U25" i="87"/>
  <c r="H32" i="98"/>
  <c r="E33" i="98"/>
  <c r="O32" i="98"/>
  <c r="P32" i="98" s="1"/>
  <c r="J50" i="99"/>
  <c r="B51" i="99"/>
  <c r="N51" i="99"/>
  <c r="R50" i="99"/>
  <c r="M24" i="58"/>
  <c r="G21" i="69"/>
  <c r="G74" i="69" s="1"/>
  <c r="G124" i="69" s="1"/>
  <c r="C50" i="104"/>
  <c r="F34" i="74"/>
  <c r="S33" i="74"/>
  <c r="T33" i="74" s="1"/>
  <c r="I33" i="74"/>
  <c r="C52" i="101"/>
  <c r="CM22" i="68"/>
  <c r="CM75" i="68" s="1"/>
  <c r="CM124" i="68" s="1"/>
  <c r="U25" i="85"/>
  <c r="Q14" i="35"/>
  <c r="AC11" i="69"/>
  <c r="AC64" i="69" s="1"/>
  <c r="AC114" i="69" s="1"/>
  <c r="AX8" i="69"/>
  <c r="AX61" i="69" s="1"/>
  <c r="AX111" i="69" s="1"/>
  <c r="U11" i="23"/>
  <c r="Q11" i="41"/>
  <c r="AN8" i="68"/>
  <c r="AN61" i="68" s="1"/>
  <c r="AN110" i="68" s="1"/>
  <c r="B41" i="36"/>
  <c r="J40" i="36"/>
  <c r="N41" i="36"/>
  <c r="R40" i="36"/>
  <c r="I7" i="69"/>
  <c r="I60" i="69" s="1"/>
  <c r="I110" i="69" s="1"/>
  <c r="M10" i="37"/>
  <c r="J38" i="7"/>
  <c r="B39" i="7"/>
  <c r="N39" i="7"/>
  <c r="R38" i="7"/>
  <c r="H7" i="69"/>
  <c r="H60" i="69" s="1"/>
  <c r="H110" i="69" s="1"/>
  <c r="M10" i="36"/>
  <c r="D32" i="45"/>
  <c r="Q32" i="45" s="1"/>
  <c r="T32" i="45" s="1"/>
  <c r="K32" i="45"/>
  <c r="M31" i="75"/>
  <c r="O31" i="74"/>
  <c r="P31" i="74" s="1"/>
  <c r="Q31" i="74" s="1"/>
  <c r="E32" i="74"/>
  <c r="H31" i="74"/>
  <c r="C38" i="86"/>
  <c r="CU124" i="68"/>
  <c r="CU125" i="68"/>
  <c r="Q11" i="39"/>
  <c r="AL8" i="68"/>
  <c r="AL61" i="68" s="1"/>
  <c r="AL110" i="68" s="1"/>
  <c r="M11" i="59"/>
  <c r="W10" i="59"/>
  <c r="T8" i="69"/>
  <c r="CV114" i="68"/>
  <c r="CV115" i="68"/>
  <c r="CX8" i="68"/>
  <c r="U11" i="63"/>
  <c r="T49" i="44"/>
  <c r="J50" i="1"/>
  <c r="B51" i="1"/>
  <c r="N51" i="1"/>
  <c r="R50" i="1"/>
  <c r="B110" i="69"/>
  <c r="E35" i="47"/>
  <c r="H34" i="47"/>
  <c r="L34" i="47"/>
  <c r="K31" i="75"/>
  <c r="L31" i="75" s="1"/>
  <c r="G31" i="75"/>
  <c r="D32" i="75"/>
  <c r="C37" i="58"/>
  <c r="AA8" i="69"/>
  <c r="AA61" i="69" s="1"/>
  <c r="AA111" i="69" s="1"/>
  <c r="Q11" i="23"/>
  <c r="R28" i="47"/>
  <c r="T28" i="47" s="1"/>
  <c r="E7" i="68"/>
  <c r="E60" i="68" s="1"/>
  <c r="E109" i="68" s="1"/>
  <c r="M10" i="41"/>
  <c r="CK23" i="68"/>
  <c r="CK76" i="68" s="1"/>
  <c r="CK125" i="68" s="1"/>
  <c r="U26" i="101"/>
  <c r="Q26" i="85"/>
  <c r="BD24" i="68" s="1"/>
  <c r="BD77" i="68" s="1"/>
  <c r="BD126" i="68" s="1"/>
  <c r="BD23" i="68"/>
  <c r="BD76" i="68" s="1"/>
  <c r="BD125" i="68" s="1"/>
  <c r="AP131" i="69"/>
  <c r="C38" i="7"/>
  <c r="C40" i="36"/>
  <c r="C41" i="36" s="1"/>
  <c r="I50" i="44"/>
  <c r="C51" i="64"/>
  <c r="J54" i="45"/>
  <c r="I54" i="45"/>
  <c r="U11" i="1"/>
  <c r="AV8" i="69"/>
  <c r="AV61" i="69" s="1"/>
  <c r="AV111" i="69" s="1"/>
  <c r="BC59" i="69"/>
  <c r="BL6" i="69"/>
  <c r="BP6" i="69" s="1"/>
  <c r="Q12" i="1"/>
  <c r="Y9" i="69"/>
  <c r="Y62" i="69" s="1"/>
  <c r="Y112" i="69" s="1"/>
  <c r="O28" i="81"/>
  <c r="P28" i="81" s="1"/>
  <c r="H28" i="81"/>
  <c r="L7" i="68"/>
  <c r="L60" i="68" s="1"/>
  <c r="L109" i="68" s="1"/>
  <c r="M10" i="65"/>
  <c r="W30" i="45"/>
  <c r="Z30" i="45" s="1"/>
  <c r="BM28" i="69" s="1"/>
  <c r="BM81" i="69" s="1"/>
  <c r="N30" i="45"/>
  <c r="K31" i="74"/>
  <c r="L31" i="74" s="1"/>
  <c r="M31" i="74" s="1"/>
  <c r="D32" i="74"/>
  <c r="G31" i="74"/>
  <c r="F34" i="101"/>
  <c r="I33" i="101"/>
  <c r="S33" i="101"/>
  <c r="T33" i="101" s="1"/>
  <c r="AM24" i="69"/>
  <c r="AM77" i="69" s="1"/>
  <c r="AM127" i="69" s="1"/>
  <c r="Q27" i="82"/>
  <c r="L52" i="40"/>
  <c r="X24" i="68"/>
  <c r="X77" i="68" s="1"/>
  <c r="X126" i="68" s="1"/>
  <c r="M27" i="87"/>
  <c r="J37" i="60"/>
  <c r="B38" i="60"/>
  <c r="N38" i="60"/>
  <c r="R37" i="60"/>
  <c r="J51" i="103"/>
  <c r="B52" i="103"/>
  <c r="N52" i="103"/>
  <c r="R51" i="103"/>
  <c r="J51" i="98"/>
  <c r="B52" i="98"/>
  <c r="C52" i="98" s="1"/>
  <c r="R51" i="98"/>
  <c r="N52" i="98"/>
  <c r="Q32" i="63"/>
  <c r="BO29" i="68"/>
  <c r="BO82" i="68" s="1"/>
  <c r="BO131" i="68" s="1"/>
  <c r="S26" i="98"/>
  <c r="T26" i="98" s="1"/>
  <c r="I26" i="98"/>
  <c r="F27" i="98"/>
  <c r="CV118" i="68"/>
  <c r="CV117" i="68"/>
  <c r="AS110" i="68"/>
  <c r="I49" i="44"/>
  <c r="U10" i="64"/>
  <c r="U26" i="82"/>
  <c r="BJ23" i="69"/>
  <c r="BJ76" i="69" s="1"/>
  <c r="BJ126" i="69" s="1"/>
  <c r="Q25" i="88"/>
  <c r="BH22" i="68"/>
  <c r="BH75" i="68" s="1"/>
  <c r="BH124" i="68" s="1"/>
  <c r="BI124" i="68"/>
  <c r="B52" i="101"/>
  <c r="J51" i="101"/>
  <c r="N52" i="101"/>
  <c r="R51" i="101"/>
  <c r="W27" i="47"/>
  <c r="Z27" i="47" s="1"/>
  <c r="L27" i="47"/>
  <c r="N27" i="47" s="1"/>
  <c r="W9" i="23"/>
  <c r="U11" i="7"/>
  <c r="AY8" i="69"/>
  <c r="AY61" i="69" s="1"/>
  <c r="AY111" i="69" s="1"/>
  <c r="T50" i="44"/>
  <c r="Q27" i="85"/>
  <c r="C52" i="103"/>
  <c r="U10" i="44"/>
  <c r="CL7" i="68"/>
  <c r="CL60" i="68" s="1"/>
  <c r="CL109" i="68" s="1"/>
  <c r="BC7" i="69"/>
  <c r="BC60" i="69" s="1"/>
  <c r="U10" i="37"/>
  <c r="H25" i="99"/>
  <c r="E26" i="99"/>
  <c r="O25" i="99"/>
  <c r="P25" i="99" s="1"/>
  <c r="M11" i="4"/>
  <c r="C8" i="69"/>
  <c r="C61" i="69" s="1"/>
  <c r="C111" i="69" s="1"/>
  <c r="AP29" i="69"/>
  <c r="AP82" i="69" s="1"/>
  <c r="AP132" i="69" s="1"/>
  <c r="S31" i="45"/>
  <c r="H40" i="75"/>
  <c r="O40" i="75"/>
  <c r="P40" i="75" s="1"/>
  <c r="E41" i="75"/>
  <c r="F29" i="75"/>
  <c r="I28" i="75"/>
  <c r="S28" i="75"/>
  <c r="T28" i="75" s="1"/>
  <c r="U28" i="75" s="1"/>
  <c r="CU118" i="68"/>
  <c r="CU119" i="68"/>
  <c r="U26" i="83"/>
  <c r="BK23" i="69"/>
  <c r="BK76" i="69" s="1"/>
  <c r="BK126" i="69" s="1"/>
  <c r="R50" i="63"/>
  <c r="B51" i="63"/>
  <c r="N51" i="63"/>
  <c r="J50" i="63"/>
  <c r="C51" i="1"/>
  <c r="D53" i="40"/>
  <c r="K53" i="40" s="1"/>
  <c r="J53" i="40"/>
  <c r="L53" i="40" s="1"/>
  <c r="B54" i="40"/>
  <c r="E53" i="40"/>
  <c r="O53" i="40" s="1"/>
  <c r="P53" i="40" s="1"/>
  <c r="N54" i="40"/>
  <c r="F53" i="40"/>
  <c r="S53" i="40" s="1"/>
  <c r="R53" i="40"/>
  <c r="K7" i="68"/>
  <c r="K60" i="68" s="1"/>
  <c r="K109" i="68" s="1"/>
  <c r="M10" i="64"/>
  <c r="BP60" i="68"/>
  <c r="BP109" i="68" s="1"/>
  <c r="BO109" i="68"/>
  <c r="Q40" i="75"/>
  <c r="C51" i="99"/>
  <c r="S28" i="80"/>
  <c r="T28" i="80" s="1"/>
  <c r="I28" i="80"/>
  <c r="J37" i="86"/>
  <c r="B38" i="86"/>
  <c r="N38" i="86"/>
  <c r="R37" i="86"/>
  <c r="J36" i="58"/>
  <c r="B37" i="58"/>
  <c r="R36" i="58"/>
  <c r="N37" i="58"/>
  <c r="D29" i="47"/>
  <c r="K28" i="47"/>
  <c r="Q29" i="47"/>
  <c r="T29" i="47" s="1"/>
  <c r="Q12" i="38"/>
  <c r="AK9" i="68"/>
  <c r="AK62" i="68" s="1"/>
  <c r="AK111" i="68" s="1"/>
  <c r="L35" i="72"/>
  <c r="K32" i="72"/>
  <c r="L20" i="72"/>
  <c r="M6" i="72"/>
  <c r="E54" i="72"/>
  <c r="H54" i="72"/>
  <c r="J54" i="72"/>
  <c r="L8" i="72"/>
  <c r="I54" i="72"/>
  <c r="K49" i="72"/>
  <c r="M36" i="72"/>
  <c r="L30" i="72"/>
  <c r="K9" i="72"/>
  <c r="K7" i="72"/>
  <c r="L31" i="72"/>
  <c r="M47" i="72"/>
  <c r="M9" i="72"/>
  <c r="L50" i="72"/>
  <c r="M20" i="72"/>
  <c r="E36" i="48"/>
  <c r="H35" i="48"/>
  <c r="J32" i="48"/>
  <c r="G33" i="48"/>
  <c r="N29" i="46"/>
  <c r="E34" i="46"/>
  <c r="H33" i="46"/>
  <c r="F35" i="47"/>
  <c r="R34" i="47"/>
  <c r="I34" i="47"/>
  <c r="S32" i="103"/>
  <c r="T32" i="103" s="1"/>
  <c r="I32" i="103"/>
  <c r="F33" i="103"/>
  <c r="M35" i="63"/>
  <c r="AF32" i="68"/>
  <c r="AF85" i="68" s="1"/>
  <c r="AF134" i="68" s="1"/>
  <c r="H32" i="64"/>
  <c r="E33" i="64"/>
  <c r="O32" i="64"/>
  <c r="P32" i="64" s="1"/>
  <c r="M19" i="72"/>
  <c r="S32" i="100"/>
  <c r="T32" i="100" s="1"/>
  <c r="I32" i="100"/>
  <c r="F33" i="100"/>
  <c r="H32" i="38"/>
  <c r="O32" i="38"/>
  <c r="P32" i="38" s="1"/>
  <c r="E33" i="38"/>
  <c r="S33" i="97"/>
  <c r="T33" i="97" s="1"/>
  <c r="I33" i="97"/>
  <c r="F34" i="97"/>
  <c r="L15" i="72"/>
  <c r="BZ23" i="68"/>
  <c r="BZ76" i="68" s="1"/>
  <c r="BZ125" i="68" s="1"/>
  <c r="K23" i="69"/>
  <c r="K76" i="69" s="1"/>
  <c r="K126" i="69" s="1"/>
  <c r="BD23" i="69"/>
  <c r="BD76" i="69" s="1"/>
  <c r="BD126" i="69" s="1"/>
  <c r="BI24" i="68"/>
  <c r="BI77" i="68" s="1"/>
  <c r="BI126" i="68" s="1"/>
  <c r="BB22" i="68"/>
  <c r="BB75" i="68" s="1"/>
  <c r="BB124" i="68" s="1"/>
  <c r="AQ23" i="68"/>
  <c r="AQ76" i="68" s="1"/>
  <c r="AQ125" i="68" s="1"/>
  <c r="AZ23" i="68"/>
  <c r="AZ76" i="68" s="1"/>
  <c r="AZ125" i="68" s="1"/>
  <c r="K20" i="72"/>
  <c r="L19" i="72"/>
  <c r="BT61" i="68"/>
  <c r="Q11" i="61"/>
  <c r="AP8" i="68"/>
  <c r="AP61" i="68" s="1"/>
  <c r="AP110" i="68" s="1"/>
  <c r="E35" i="80"/>
  <c r="O34" i="80"/>
  <c r="P34" i="80" s="1"/>
  <c r="O32" i="60"/>
  <c r="P32" i="60" s="1"/>
  <c r="E33" i="60"/>
  <c r="H32" i="60"/>
  <c r="H22" i="68"/>
  <c r="H75" i="68" s="1"/>
  <c r="H124" i="68" s="1"/>
  <c r="J51" i="41"/>
  <c r="L51" i="41" s="1"/>
  <c r="B52" i="41"/>
  <c r="N52" i="41"/>
  <c r="P52" i="41" s="1"/>
  <c r="R51" i="41"/>
  <c r="T51" i="41" s="1"/>
  <c r="I51" i="41"/>
  <c r="G51" i="41"/>
  <c r="H51" i="41"/>
  <c r="J51" i="35"/>
  <c r="B52" i="35"/>
  <c r="N52" i="35"/>
  <c r="R51" i="35"/>
  <c r="B52" i="48"/>
  <c r="M31" i="72"/>
  <c r="M48" i="72"/>
  <c r="K33" i="72"/>
  <c r="L49" i="72"/>
  <c r="CH23" i="68"/>
  <c r="CH76" i="68" s="1"/>
  <c r="CH125" i="68" s="1"/>
  <c r="U27" i="90"/>
  <c r="BG24" i="69"/>
  <c r="BG77" i="69" s="1"/>
  <c r="BG127" i="69" s="1"/>
  <c r="U12" i="67"/>
  <c r="CF9" i="68"/>
  <c r="CF62" i="68" s="1"/>
  <c r="CF111" i="68" s="1"/>
  <c r="S35" i="63"/>
  <c r="T35" i="63" s="1"/>
  <c r="F36" i="63"/>
  <c r="I35" i="63"/>
  <c r="S25" i="102"/>
  <c r="T25" i="102" s="1"/>
  <c r="F26" i="102"/>
  <c r="I25" i="102"/>
  <c r="S32" i="1"/>
  <c r="T32" i="1" s="1"/>
  <c r="F33" i="1"/>
  <c r="I32" i="1"/>
  <c r="Q11" i="64"/>
  <c r="AT8" i="68"/>
  <c r="AT61" i="68" s="1"/>
  <c r="AT110" i="68" s="1"/>
  <c r="O32" i="96"/>
  <c r="P32" i="96" s="1"/>
  <c r="E33" i="96"/>
  <c r="H32" i="96"/>
  <c r="O32" i="90"/>
  <c r="P32" i="90" s="1"/>
  <c r="E33" i="90"/>
  <c r="H32" i="90"/>
  <c r="Z61" i="69"/>
  <c r="K33" i="67"/>
  <c r="L33" i="67" s="1"/>
  <c r="D34" i="67"/>
  <c r="G33" i="67"/>
  <c r="O32" i="97"/>
  <c r="P32" i="97" s="1"/>
  <c r="E33" i="97"/>
  <c r="H32" i="97"/>
  <c r="M26" i="104"/>
  <c r="Z23" i="68"/>
  <c r="Z76" i="68" s="1"/>
  <c r="Z125" i="68" s="1"/>
  <c r="E33" i="23"/>
  <c r="O32" i="23"/>
  <c r="P32" i="23" s="1"/>
  <c r="H32" i="23"/>
  <c r="J40" i="85"/>
  <c r="B41" i="85"/>
  <c r="N41" i="85"/>
  <c r="R40" i="85"/>
  <c r="K32" i="101"/>
  <c r="L32" i="101" s="1"/>
  <c r="D33" i="101"/>
  <c r="G32" i="101"/>
  <c r="M10" i="67"/>
  <c r="N7" i="68"/>
  <c r="N60" i="68" s="1"/>
  <c r="K26" i="103"/>
  <c r="L26" i="103" s="1"/>
  <c r="D27" i="103"/>
  <c r="G26" i="103"/>
  <c r="K25" i="100"/>
  <c r="L25" i="100" s="1"/>
  <c r="M25" i="100" s="1"/>
  <c r="D26" i="100"/>
  <c r="G25" i="100"/>
  <c r="M11" i="35"/>
  <c r="F8" i="69"/>
  <c r="F61" i="69" s="1"/>
  <c r="F111" i="69" s="1"/>
  <c r="K26" i="98"/>
  <c r="L26" i="98" s="1"/>
  <c r="M26" i="98" s="1"/>
  <c r="D27" i="98"/>
  <c r="G26" i="98"/>
  <c r="D30" i="48"/>
  <c r="K29" i="48"/>
  <c r="Q30" i="48"/>
  <c r="I32" i="48"/>
  <c r="F33" i="48"/>
  <c r="S27" i="104"/>
  <c r="T27" i="104" s="1"/>
  <c r="U27" i="104" s="1"/>
  <c r="F28" i="104"/>
  <c r="I27" i="104"/>
  <c r="Q26" i="89"/>
  <c r="BJ23" i="68"/>
  <c r="BJ76" i="68" s="1"/>
  <c r="BJ125" i="68" s="1"/>
  <c r="Q10" i="44"/>
  <c r="BC7" i="68"/>
  <c r="BC60" i="68" s="1"/>
  <c r="Q11" i="42"/>
  <c r="AX8" i="68"/>
  <c r="AX61" i="68" s="1"/>
  <c r="AX110" i="68" s="1"/>
  <c r="AY22" i="68"/>
  <c r="AY75" i="68" s="1"/>
  <c r="AY124" i="68" s="1"/>
  <c r="Q25" i="98"/>
  <c r="AH22" i="69"/>
  <c r="AH75" i="69" s="1"/>
  <c r="AH125" i="69" s="1"/>
  <c r="M27" i="80"/>
  <c r="N24" i="69"/>
  <c r="N77" i="69" s="1"/>
  <c r="N127" i="69" s="1"/>
  <c r="O33" i="36"/>
  <c r="P33" i="36" s="1"/>
  <c r="E34" i="36"/>
  <c r="H33" i="36"/>
  <c r="O32" i="4"/>
  <c r="P32" i="4" s="1"/>
  <c r="E33" i="4"/>
  <c r="H32" i="4"/>
  <c r="J50" i="100"/>
  <c r="B51" i="100"/>
  <c r="N51" i="100"/>
  <c r="R50" i="100"/>
  <c r="H34" i="80"/>
  <c r="K34" i="38"/>
  <c r="D35" i="38"/>
  <c r="M26" i="82"/>
  <c r="P23" i="69"/>
  <c r="P76" i="69" s="1"/>
  <c r="P126" i="69" s="1"/>
  <c r="BM78" i="68"/>
  <c r="BP25" i="68"/>
  <c r="BO61" i="68"/>
  <c r="BP8" i="68"/>
  <c r="K40" i="72"/>
  <c r="L23" i="72"/>
  <c r="A23" i="70"/>
  <c r="BY59" i="68"/>
  <c r="CT6" i="68"/>
  <c r="U11" i="41"/>
  <c r="BW8" i="68"/>
  <c r="BW61" i="68" s="1"/>
  <c r="BW110" i="68" s="1"/>
  <c r="S25" i="99"/>
  <c r="T25" i="99" s="1"/>
  <c r="F26" i="99"/>
  <c r="I25" i="99"/>
  <c r="U25" i="97"/>
  <c r="BF22" i="69"/>
  <c r="BF75" i="69" s="1"/>
  <c r="BF125" i="69" s="1"/>
  <c r="S33" i="86"/>
  <c r="T33" i="86" s="1"/>
  <c r="F34" i="86"/>
  <c r="I33" i="86"/>
  <c r="O26" i="97"/>
  <c r="P26" i="97" s="1"/>
  <c r="E27" i="97"/>
  <c r="H26" i="97"/>
  <c r="J37" i="43"/>
  <c r="B38" i="43"/>
  <c r="N38" i="43"/>
  <c r="R37" i="43"/>
  <c r="K32" i="80"/>
  <c r="L32" i="80" s="1"/>
  <c r="D33" i="80"/>
  <c r="G32" i="80"/>
  <c r="J50" i="62"/>
  <c r="L50" i="62" s="1"/>
  <c r="B51" i="62"/>
  <c r="N51" i="62"/>
  <c r="P51" i="62" s="1"/>
  <c r="R50" i="62"/>
  <c r="T50" i="62" s="1"/>
  <c r="H50" i="62"/>
  <c r="I50" i="62"/>
  <c r="G50" i="62"/>
  <c r="B60" i="68"/>
  <c r="K32" i="98"/>
  <c r="L32" i="98" s="1"/>
  <c r="D33" i="98"/>
  <c r="G32" i="98"/>
  <c r="K33" i="90"/>
  <c r="L33" i="90" s="1"/>
  <c r="D34" i="90"/>
  <c r="G33" i="90"/>
  <c r="K25" i="96"/>
  <c r="L25" i="96" s="1"/>
  <c r="D26" i="96"/>
  <c r="G25" i="96"/>
  <c r="M12" i="23"/>
  <c r="D9" i="69"/>
  <c r="D62" i="69" s="1"/>
  <c r="D112" i="69" s="1"/>
  <c r="S80" i="69"/>
  <c r="K30" i="46"/>
  <c r="W30" i="46" s="1"/>
  <c r="Z30" i="46" s="1"/>
  <c r="D31" i="46"/>
  <c r="Q31" i="46"/>
  <c r="T31" i="46" s="1"/>
  <c r="Q13" i="62"/>
  <c r="AS10" i="68"/>
  <c r="AS63" i="68" s="1"/>
  <c r="AS112" i="68" s="1"/>
  <c r="AM60" i="68"/>
  <c r="M11" i="60"/>
  <c r="F8" i="68"/>
  <c r="F61" i="68" s="1"/>
  <c r="F110" i="68" s="1"/>
  <c r="Q11" i="37"/>
  <c r="AF8" i="69"/>
  <c r="AF61" i="69" s="1"/>
  <c r="AF111" i="69" s="1"/>
  <c r="C51" i="41"/>
  <c r="AD77" i="68"/>
  <c r="AG24" i="68"/>
  <c r="M26" i="89"/>
  <c r="AA23" i="68"/>
  <c r="AA76" i="68" s="1"/>
  <c r="AA125" i="68" s="1"/>
  <c r="AF61" i="68"/>
  <c r="AG8" i="68"/>
  <c r="AD109" i="69"/>
  <c r="AO59" i="69"/>
  <c r="U25" i="102"/>
  <c r="CI22" i="68"/>
  <c r="CI75" i="68" s="1"/>
  <c r="CI124" i="68" s="1"/>
  <c r="U12" i="38"/>
  <c r="BT9" i="68"/>
  <c r="BT62" i="68" s="1"/>
  <c r="U10" i="66"/>
  <c r="CE7" i="68"/>
  <c r="CE60" i="68" s="1"/>
  <c r="CE109" i="68" s="1"/>
  <c r="U26" i="98"/>
  <c r="BE23" i="69"/>
  <c r="BE76" i="69" s="1"/>
  <c r="BE126" i="69" s="1"/>
  <c r="S33" i="35"/>
  <c r="T33" i="35" s="1"/>
  <c r="F34" i="35"/>
  <c r="I33" i="35"/>
  <c r="E33" i="66"/>
  <c r="O32" i="66"/>
  <c r="P32" i="66" s="1"/>
  <c r="H32" i="66"/>
  <c r="E27" i="100"/>
  <c r="O26" i="100"/>
  <c r="P26" i="100" s="1"/>
  <c r="Q26" i="100" s="1"/>
  <c r="H26" i="100"/>
  <c r="Q11" i="36"/>
  <c r="AE8" i="69"/>
  <c r="AE61" i="69" s="1"/>
  <c r="AE111" i="69" s="1"/>
  <c r="J50" i="84"/>
  <c r="L50" i="84" s="1"/>
  <c r="B51" i="84"/>
  <c r="R50" i="84"/>
  <c r="T50" i="84" s="1"/>
  <c r="U50" i="84" s="1"/>
  <c r="I50" i="84"/>
  <c r="H50" i="84"/>
  <c r="N51" i="84"/>
  <c r="P51" i="84" s="1"/>
  <c r="Q51" i="84" s="1"/>
  <c r="G50" i="84"/>
  <c r="M25" i="101"/>
  <c r="S22" i="68"/>
  <c r="S75" i="68" s="1"/>
  <c r="S124" i="68" s="1"/>
  <c r="M11" i="43"/>
  <c r="R8" i="68"/>
  <c r="R61" i="68" s="1"/>
  <c r="R110" i="68" s="1"/>
  <c r="J50" i="67"/>
  <c r="B51" i="67"/>
  <c r="N51" i="67"/>
  <c r="R50" i="67"/>
  <c r="K32" i="99"/>
  <c r="L32" i="99" s="1"/>
  <c r="D33" i="99"/>
  <c r="G32" i="99"/>
  <c r="M11" i="39"/>
  <c r="C8" i="68"/>
  <c r="C61" i="68" s="1"/>
  <c r="C110" i="68" s="1"/>
  <c r="K32" i="4"/>
  <c r="L32" i="4" s="1"/>
  <c r="D33" i="4"/>
  <c r="G32" i="4"/>
  <c r="L6" i="72"/>
  <c r="M45" i="72"/>
  <c r="C51" i="100"/>
  <c r="BU60" i="68"/>
  <c r="S33" i="59"/>
  <c r="T33" i="59" s="1"/>
  <c r="F34" i="59"/>
  <c r="I33" i="59"/>
  <c r="S28" i="81"/>
  <c r="T28" i="81" s="1"/>
  <c r="I28" i="81"/>
  <c r="G38" i="72"/>
  <c r="M38" i="72" s="1"/>
  <c r="S32" i="23"/>
  <c r="T32" i="23" s="1"/>
  <c r="F33" i="23"/>
  <c r="I32" i="23"/>
  <c r="Q12" i="66"/>
  <c r="AV9" i="68"/>
  <c r="AV62" i="68" s="1"/>
  <c r="AV111" i="68" s="1"/>
  <c r="E35" i="67"/>
  <c r="O34" i="67"/>
  <c r="P34" i="67" s="1"/>
  <c r="H34" i="67"/>
  <c r="Q13" i="65"/>
  <c r="AU10" i="68"/>
  <c r="AU63" i="68" s="1"/>
  <c r="AU112" i="68" s="1"/>
  <c r="Q26" i="81"/>
  <c r="AL23" i="69"/>
  <c r="AL76" i="69" s="1"/>
  <c r="AL126" i="69" s="1"/>
  <c r="Q25" i="86"/>
  <c r="BF22" i="68"/>
  <c r="BF75" i="68" s="1"/>
  <c r="BF124" i="68" s="1"/>
  <c r="K25" i="102"/>
  <c r="L25" i="102" s="1"/>
  <c r="D26" i="102"/>
  <c r="G25" i="102"/>
  <c r="J50" i="81"/>
  <c r="L50" i="81" s="1"/>
  <c r="B51" i="81"/>
  <c r="N51" i="81"/>
  <c r="P51" i="81" s="1"/>
  <c r="R50" i="81"/>
  <c r="T50" i="81" s="1"/>
  <c r="G50" i="81"/>
  <c r="H50" i="81"/>
  <c r="I50" i="81"/>
  <c r="L28" i="48"/>
  <c r="N29" i="48" s="1"/>
  <c r="W28" i="48"/>
  <c r="X28" i="48" s="1"/>
  <c r="AR8" i="69"/>
  <c r="AQ61" i="69"/>
  <c r="CU26" i="68"/>
  <c r="Y28" i="46"/>
  <c r="BM112" i="69"/>
  <c r="L14" i="72"/>
  <c r="CR24" i="68"/>
  <c r="CR77" i="68" s="1"/>
  <c r="CR126" i="68" s="1"/>
  <c r="U27" i="80"/>
  <c r="BH24" i="69"/>
  <c r="BH77" i="69" s="1"/>
  <c r="BH127" i="69" s="1"/>
  <c r="S32" i="4"/>
  <c r="T32" i="4" s="1"/>
  <c r="F33" i="4"/>
  <c r="I32" i="4"/>
  <c r="O26" i="98"/>
  <c r="P26" i="98" s="1"/>
  <c r="E27" i="98"/>
  <c r="H26" i="98"/>
  <c r="Q26" i="80"/>
  <c r="AK23" i="69"/>
  <c r="AK76" i="69" s="1"/>
  <c r="AK126" i="69" s="1"/>
  <c r="E26" i="103"/>
  <c r="O25" i="103"/>
  <c r="P25" i="103" s="1"/>
  <c r="Q25" i="103" s="1"/>
  <c r="H25" i="103"/>
  <c r="AB60" i="69"/>
  <c r="AO7" i="69"/>
  <c r="AS7" i="69" s="1"/>
  <c r="J51" i="64"/>
  <c r="B52" i="64"/>
  <c r="N52" i="64"/>
  <c r="R51" i="64"/>
  <c r="M25" i="103"/>
  <c r="P22" i="68"/>
  <c r="P75" i="68" s="1"/>
  <c r="P124" i="68" s="1"/>
  <c r="K33" i="64"/>
  <c r="L33" i="64" s="1"/>
  <c r="D34" i="64"/>
  <c r="G33" i="64"/>
  <c r="J50" i="61"/>
  <c r="L50" i="61" s="1"/>
  <c r="B51" i="61"/>
  <c r="C51" i="61" s="1"/>
  <c r="N51" i="61"/>
  <c r="P51" i="61" s="1"/>
  <c r="R50" i="61"/>
  <c r="T50" i="61" s="1"/>
  <c r="I50" i="61"/>
  <c r="G50" i="61"/>
  <c r="H50" i="61"/>
  <c r="Q12" i="63"/>
  <c r="BO9" i="68"/>
  <c r="CU108" i="68"/>
  <c r="CY59" i="68"/>
  <c r="CU109" i="68"/>
  <c r="DA59" i="68"/>
  <c r="M4" i="72"/>
  <c r="M15" i="72"/>
  <c r="K14" i="72"/>
  <c r="U10" i="61"/>
  <c r="BY7" i="68"/>
  <c r="BY60" i="68" s="1"/>
  <c r="BY109" i="68" s="1"/>
  <c r="U25" i="99"/>
  <c r="CA22" i="68"/>
  <c r="CA75" i="68" s="1"/>
  <c r="CA124" i="68" s="1"/>
  <c r="S33" i="66"/>
  <c r="T33" i="66" s="1"/>
  <c r="F34" i="66"/>
  <c r="I33" i="66"/>
  <c r="S32" i="96"/>
  <c r="T32" i="96" s="1"/>
  <c r="F33" i="96"/>
  <c r="I32" i="96"/>
  <c r="Q27" i="90"/>
  <c r="AJ24" i="69"/>
  <c r="AJ77" i="69" s="1"/>
  <c r="AJ127" i="69" s="1"/>
  <c r="Q28" i="85"/>
  <c r="BD25" i="68"/>
  <c r="BD78" i="68" s="1"/>
  <c r="BD127" i="68" s="1"/>
  <c r="K33" i="66"/>
  <c r="L33" i="66" s="1"/>
  <c r="D34" i="66"/>
  <c r="G33" i="66"/>
  <c r="M11" i="38"/>
  <c r="B8" i="68"/>
  <c r="K32" i="60"/>
  <c r="L32" i="60" s="1"/>
  <c r="D33" i="60"/>
  <c r="G32" i="60"/>
  <c r="M25" i="96"/>
  <c r="J22" i="69"/>
  <c r="J75" i="69" s="1"/>
  <c r="J125" i="69" s="1"/>
  <c r="Q11" i="40"/>
  <c r="AM8" i="68"/>
  <c r="E60" i="69"/>
  <c r="R7" i="69"/>
  <c r="V7" i="69" s="1"/>
  <c r="M12" i="63"/>
  <c r="AF9" i="68"/>
  <c r="L4" i="72"/>
  <c r="BN60" i="69"/>
  <c r="BO7" i="69"/>
  <c r="S26" i="100"/>
  <c r="T26" i="100" s="1"/>
  <c r="U26" i="100" s="1"/>
  <c r="F27" i="100"/>
  <c r="I26" i="100"/>
  <c r="S32" i="64"/>
  <c r="T32" i="64" s="1"/>
  <c r="F33" i="64"/>
  <c r="I32" i="64"/>
  <c r="S32" i="7"/>
  <c r="T32" i="7" s="1"/>
  <c r="F33" i="7"/>
  <c r="I32" i="7"/>
  <c r="E27" i="102"/>
  <c r="O26" i="102"/>
  <c r="P26" i="102" s="1"/>
  <c r="Q26" i="102" s="1"/>
  <c r="H26" i="102"/>
  <c r="O33" i="7"/>
  <c r="P33" i="7" s="1"/>
  <c r="E34" i="7"/>
  <c r="H33" i="7"/>
  <c r="M25" i="88"/>
  <c r="Y22" i="68"/>
  <c r="Y75" i="68" s="1"/>
  <c r="Y124" i="68" s="1"/>
  <c r="E33" i="58"/>
  <c r="O32" i="58"/>
  <c r="P32" i="58" s="1"/>
  <c r="H32" i="58"/>
  <c r="J50" i="39"/>
  <c r="L50" i="39" s="1"/>
  <c r="B51" i="39"/>
  <c r="N51" i="39"/>
  <c r="P51" i="39" s="1"/>
  <c r="R50" i="39"/>
  <c r="T50" i="39" s="1"/>
  <c r="I50" i="39"/>
  <c r="G50" i="39"/>
  <c r="H50" i="39"/>
  <c r="L22" i="69"/>
  <c r="L75" i="69" s="1"/>
  <c r="L125" i="69" s="1"/>
  <c r="B37" i="59"/>
  <c r="J36" i="59"/>
  <c r="N37" i="59"/>
  <c r="R36" i="59"/>
  <c r="K35" i="72"/>
  <c r="C51" i="62"/>
  <c r="L29" i="72"/>
  <c r="BM27" i="69"/>
  <c r="Y29" i="45"/>
  <c r="Y30" i="45"/>
  <c r="U11" i="39"/>
  <c r="BU8" i="68"/>
  <c r="BU61" i="68" s="1"/>
  <c r="BU110" i="68" s="1"/>
  <c r="U27" i="81"/>
  <c r="BI24" i="69"/>
  <c r="BI77" i="69" s="1"/>
  <c r="BI127" i="69" s="1"/>
  <c r="U31" i="86"/>
  <c r="CO28" i="68"/>
  <c r="CO81" i="68" s="1"/>
  <c r="CO130" i="68" s="1"/>
  <c r="U12" i="65"/>
  <c r="CD9" i="68"/>
  <c r="CD62" i="68" s="1"/>
  <c r="CD111" i="68" s="1"/>
  <c r="S33" i="43"/>
  <c r="T33" i="43" s="1"/>
  <c r="F34" i="43"/>
  <c r="I33" i="43"/>
  <c r="S26" i="97"/>
  <c r="T26" i="97" s="1"/>
  <c r="F27" i="97"/>
  <c r="I26" i="97"/>
  <c r="E35" i="100"/>
  <c r="O34" i="100"/>
  <c r="P34" i="100" s="1"/>
  <c r="H34" i="100"/>
  <c r="H50" i="44"/>
  <c r="J51" i="44"/>
  <c r="B52" i="44"/>
  <c r="C52" i="44" s="1"/>
  <c r="D51" i="44"/>
  <c r="K51" i="44" s="1"/>
  <c r="E51" i="44"/>
  <c r="O51" i="44" s="1"/>
  <c r="P51" i="44" s="1"/>
  <c r="N52" i="44"/>
  <c r="R51" i="44"/>
  <c r="T51" i="44" s="1"/>
  <c r="F51" i="44"/>
  <c r="S51" i="44" s="1"/>
  <c r="H51" i="44"/>
  <c r="G51" i="44"/>
  <c r="Q11" i="60"/>
  <c r="AO8" i="68"/>
  <c r="AO61" i="68" s="1"/>
  <c r="AO110" i="68" s="1"/>
  <c r="E33" i="43"/>
  <c r="O32" i="43"/>
  <c r="P32" i="43" s="1"/>
  <c r="H32" i="43"/>
  <c r="Q12" i="4"/>
  <c r="Z9" i="69"/>
  <c r="J52" i="87"/>
  <c r="L52" i="87" s="1"/>
  <c r="B53" i="87"/>
  <c r="N53" i="87"/>
  <c r="P53" i="87" s="1"/>
  <c r="R52" i="87"/>
  <c r="T52" i="87" s="1"/>
  <c r="H52" i="87"/>
  <c r="I52" i="87"/>
  <c r="G52" i="87"/>
  <c r="K32" i="86"/>
  <c r="L32" i="86" s="1"/>
  <c r="D33" i="86"/>
  <c r="G32" i="86"/>
  <c r="Q24" i="58"/>
  <c r="AD21" i="69"/>
  <c r="AD74" i="69" s="1"/>
  <c r="AD124" i="69" s="1"/>
  <c r="M27" i="83"/>
  <c r="Q24" i="69"/>
  <c r="Q77" i="69" s="1"/>
  <c r="Q127" i="69" s="1"/>
  <c r="K26" i="99"/>
  <c r="L26" i="99" s="1"/>
  <c r="D27" i="99"/>
  <c r="G26" i="99"/>
  <c r="D34" i="58"/>
  <c r="K33" i="58"/>
  <c r="L33" i="58" s="1"/>
  <c r="G33" i="58"/>
  <c r="J36" i="82"/>
  <c r="L36" i="82" s="1"/>
  <c r="B37" i="82"/>
  <c r="N37" i="82"/>
  <c r="P37" i="82" s="1"/>
  <c r="R36" i="82"/>
  <c r="T36" i="82" s="1"/>
  <c r="G36" i="82"/>
  <c r="H36" i="82"/>
  <c r="I36" i="82"/>
  <c r="J51" i="90"/>
  <c r="B52" i="90"/>
  <c r="C52" i="90" s="1"/>
  <c r="N52" i="90"/>
  <c r="R51" i="90"/>
  <c r="J36" i="4"/>
  <c r="B37" i="4"/>
  <c r="C37" i="4" s="1"/>
  <c r="N37" i="4"/>
  <c r="R36" i="4"/>
  <c r="L29" i="46"/>
  <c r="AC27" i="68"/>
  <c r="M29" i="46"/>
  <c r="G33" i="63"/>
  <c r="D34" i="63"/>
  <c r="K33" i="63"/>
  <c r="L33" i="63" s="1"/>
  <c r="CU110" i="68"/>
  <c r="S32" i="90"/>
  <c r="T32" i="90" s="1"/>
  <c r="F33" i="90"/>
  <c r="I32" i="90"/>
  <c r="S32" i="98"/>
  <c r="T32" i="98" s="1"/>
  <c r="F33" i="98"/>
  <c r="I32" i="98"/>
  <c r="O33" i="102"/>
  <c r="P33" i="102" s="1"/>
  <c r="E34" i="102"/>
  <c r="H33" i="102"/>
  <c r="J49" i="42"/>
  <c r="L49" i="42" s="1"/>
  <c r="B50" i="42"/>
  <c r="N50" i="42"/>
  <c r="P50" i="42" s="1"/>
  <c r="R49" i="42"/>
  <c r="T49" i="42" s="1"/>
  <c r="G49" i="42"/>
  <c r="H49" i="42"/>
  <c r="I49" i="42"/>
  <c r="Q26" i="97"/>
  <c r="AI23" i="69"/>
  <c r="AI76" i="69" s="1"/>
  <c r="AI126" i="69" s="1"/>
  <c r="E28" i="104"/>
  <c r="O27" i="104"/>
  <c r="P27" i="104" s="1"/>
  <c r="Q27" i="104" s="1"/>
  <c r="H27" i="104"/>
  <c r="O32" i="1"/>
  <c r="P32" i="1" s="1"/>
  <c r="E33" i="1"/>
  <c r="H32" i="1"/>
  <c r="E33" i="85"/>
  <c r="O32" i="85"/>
  <c r="P32" i="85" s="1"/>
  <c r="H32" i="85"/>
  <c r="M11" i="44"/>
  <c r="T8" i="68"/>
  <c r="T61" i="68" s="1"/>
  <c r="T110" i="68" s="1"/>
  <c r="M26" i="84"/>
  <c r="V23" i="68"/>
  <c r="V76" i="68" s="1"/>
  <c r="V125" i="68" s="1"/>
  <c r="Q11" i="7"/>
  <c r="AB8" i="69"/>
  <c r="AB61" i="69" s="1"/>
  <c r="AB111" i="69" s="1"/>
  <c r="J50" i="102"/>
  <c r="B51" i="102"/>
  <c r="N51" i="102"/>
  <c r="R50" i="102"/>
  <c r="K33" i="102"/>
  <c r="L33" i="102" s="1"/>
  <c r="D34" i="102"/>
  <c r="G33" i="102"/>
  <c r="J41" i="66"/>
  <c r="B42" i="66"/>
  <c r="N42" i="66"/>
  <c r="R41" i="66"/>
  <c r="K33" i="100"/>
  <c r="L33" i="100" s="1"/>
  <c r="D34" i="100"/>
  <c r="G33" i="100"/>
  <c r="J51" i="65"/>
  <c r="L51" i="65" s="1"/>
  <c r="B52" i="65"/>
  <c r="N52" i="65"/>
  <c r="P52" i="65" s="1"/>
  <c r="R51" i="65"/>
  <c r="T51" i="65" s="1"/>
  <c r="H51" i="65"/>
  <c r="I51" i="65"/>
  <c r="G51" i="65"/>
  <c r="K33" i="96"/>
  <c r="L33" i="96" s="1"/>
  <c r="D34" i="96"/>
  <c r="G33" i="96"/>
  <c r="K17" i="72"/>
  <c r="K44" i="72"/>
  <c r="CZ6" i="68"/>
  <c r="BM113" i="69"/>
  <c r="BM114" i="69"/>
  <c r="M33" i="72"/>
  <c r="M49" i="72"/>
  <c r="K15" i="72"/>
  <c r="M14" i="72"/>
  <c r="U27" i="88"/>
  <c r="CQ24" i="68"/>
  <c r="CQ77" i="68" s="1"/>
  <c r="CQ126" i="68" s="1"/>
  <c r="U12" i="62"/>
  <c r="CB9" i="68"/>
  <c r="CB62" i="68" s="1"/>
  <c r="CB111" i="68" s="1"/>
  <c r="AW60" i="69"/>
  <c r="BL7" i="69"/>
  <c r="U11" i="36"/>
  <c r="BB8" i="69"/>
  <c r="BB61" i="69" s="1"/>
  <c r="BB111" i="69" s="1"/>
  <c r="S33" i="58"/>
  <c r="T33" i="58" s="1"/>
  <c r="F34" i="58"/>
  <c r="I33" i="58"/>
  <c r="Q12" i="67"/>
  <c r="AW9" i="68"/>
  <c r="AW62" i="68" s="1"/>
  <c r="AW111" i="68" s="1"/>
  <c r="Q28" i="83"/>
  <c r="AN25" i="69"/>
  <c r="AN78" i="69" s="1"/>
  <c r="AN128" i="69" s="1"/>
  <c r="O25" i="101"/>
  <c r="P25" i="101" s="1"/>
  <c r="Q25" i="101" s="1"/>
  <c r="E26" i="101"/>
  <c r="H25" i="101"/>
  <c r="K33" i="85"/>
  <c r="L33" i="85" s="1"/>
  <c r="D34" i="85"/>
  <c r="G33" i="85"/>
  <c r="K26" i="101"/>
  <c r="L26" i="101" s="1"/>
  <c r="D27" i="101"/>
  <c r="G26" i="101"/>
  <c r="G34" i="38"/>
  <c r="J35" i="38"/>
  <c r="B36" i="38"/>
  <c r="N36" i="38"/>
  <c r="R35" i="38"/>
  <c r="G35" i="38"/>
  <c r="J40" i="96"/>
  <c r="B41" i="96"/>
  <c r="N41" i="96"/>
  <c r="R40" i="96"/>
  <c r="K33" i="97"/>
  <c r="L33" i="97" s="1"/>
  <c r="D34" i="97"/>
  <c r="G33" i="97"/>
  <c r="J51" i="23"/>
  <c r="B52" i="23"/>
  <c r="N52" i="23"/>
  <c r="R51" i="23"/>
  <c r="K33" i="23"/>
  <c r="L33" i="23" s="1"/>
  <c r="D34" i="23"/>
  <c r="G33" i="23"/>
  <c r="B53" i="46"/>
  <c r="J52" i="46"/>
  <c r="D33" i="59"/>
  <c r="K32" i="59"/>
  <c r="L32" i="59" s="1"/>
  <c r="G32" i="59"/>
  <c r="BL28" i="68"/>
  <c r="S30" i="46"/>
  <c r="M11" i="7"/>
  <c r="E8" i="69"/>
  <c r="E61" i="69" s="1"/>
  <c r="E111" i="69" s="1"/>
  <c r="BM79" i="69"/>
  <c r="C50" i="67"/>
  <c r="C51" i="67" s="1"/>
  <c r="C50" i="39"/>
  <c r="C51" i="39" s="1"/>
  <c r="B61" i="69"/>
  <c r="C36" i="38"/>
  <c r="K4" i="72"/>
  <c r="U11" i="40"/>
  <c r="BV8" i="68"/>
  <c r="BV61" i="68" s="1"/>
  <c r="BV110" i="68" s="1"/>
  <c r="U11" i="59"/>
  <c r="BN8" i="69"/>
  <c r="U11" i="60"/>
  <c r="BX8" i="68"/>
  <c r="BX61" i="68" s="1"/>
  <c r="BX110" i="68" s="1"/>
  <c r="S34" i="38"/>
  <c r="T34" i="38" s="1"/>
  <c r="F35" i="38"/>
  <c r="I35" i="38" s="1"/>
  <c r="S33" i="102"/>
  <c r="T33" i="102" s="1"/>
  <c r="F34" i="102"/>
  <c r="I33" i="102"/>
  <c r="U24" i="58"/>
  <c r="BA21" i="69"/>
  <c r="BA74" i="69" s="1"/>
  <c r="BA124" i="69" s="1"/>
  <c r="S32" i="99"/>
  <c r="T32" i="99" s="1"/>
  <c r="F33" i="99"/>
  <c r="I32" i="99"/>
  <c r="S26" i="96"/>
  <c r="T26" i="96" s="1"/>
  <c r="U26" i="96" s="1"/>
  <c r="F27" i="96"/>
  <c r="I26" i="96"/>
  <c r="K33" i="43"/>
  <c r="L33" i="43" s="1"/>
  <c r="D34" i="43"/>
  <c r="G33" i="43"/>
  <c r="O33" i="99"/>
  <c r="P33" i="99" s="1"/>
  <c r="E34" i="99"/>
  <c r="H33" i="99"/>
  <c r="E33" i="101"/>
  <c r="O32" i="101"/>
  <c r="P32" i="101" s="1"/>
  <c r="H32" i="101"/>
  <c r="K28" i="104"/>
  <c r="L28" i="104" s="1"/>
  <c r="G28" i="104"/>
  <c r="J35" i="83"/>
  <c r="L35" i="83" s="1"/>
  <c r="B36" i="83"/>
  <c r="C36" i="83" s="1"/>
  <c r="N36" i="83"/>
  <c r="P36" i="83" s="1"/>
  <c r="R35" i="83"/>
  <c r="T35" i="83" s="1"/>
  <c r="I35" i="83"/>
  <c r="G35" i="83"/>
  <c r="H35" i="83"/>
  <c r="M25" i="86"/>
  <c r="W22" i="68"/>
  <c r="W75" i="68" s="1"/>
  <c r="W124" i="68" s="1"/>
  <c r="M25" i="102"/>
  <c r="Q22" i="68"/>
  <c r="Q75" i="68" s="1"/>
  <c r="Q124" i="68" s="1"/>
  <c r="M26" i="90"/>
  <c r="M23" i="69"/>
  <c r="M76" i="69" s="1"/>
  <c r="M126" i="69" s="1"/>
  <c r="J50" i="37"/>
  <c r="L50" i="37" s="1"/>
  <c r="B51" i="37"/>
  <c r="C51" i="37" s="1"/>
  <c r="N51" i="37"/>
  <c r="P51" i="37" s="1"/>
  <c r="R50" i="37"/>
  <c r="T50" i="37" s="1"/>
  <c r="H50" i="37"/>
  <c r="G50" i="37"/>
  <c r="I50" i="37"/>
  <c r="K25" i="97"/>
  <c r="L25" i="97" s="1"/>
  <c r="M25" i="97" s="1"/>
  <c r="D26" i="97"/>
  <c r="G25" i="97"/>
  <c r="K32" i="36"/>
  <c r="L32" i="36" s="1"/>
  <c r="D33" i="36"/>
  <c r="G32" i="36"/>
  <c r="C52" i="65"/>
  <c r="CU112" i="68"/>
  <c r="CU113" i="68"/>
  <c r="S33" i="60"/>
  <c r="T33" i="60" s="1"/>
  <c r="F34" i="60"/>
  <c r="I33" i="60"/>
  <c r="S32" i="80"/>
  <c r="T32" i="80" s="1"/>
  <c r="F33" i="80"/>
  <c r="I32" i="80"/>
  <c r="S33" i="36"/>
  <c r="T33" i="36" s="1"/>
  <c r="F34" i="36"/>
  <c r="I33" i="36"/>
  <c r="F39" i="46"/>
  <c r="I38" i="46"/>
  <c r="R38" i="46" s="1"/>
  <c r="Q26" i="96"/>
  <c r="AG23" i="69"/>
  <c r="AG76" i="69" s="1"/>
  <c r="AG126" i="69" s="1"/>
  <c r="L50" i="44"/>
  <c r="E33" i="103"/>
  <c r="O32" i="103"/>
  <c r="P32" i="103" s="1"/>
  <c r="H32" i="103"/>
  <c r="M12" i="42"/>
  <c r="O9" i="68"/>
  <c r="O62" i="68" s="1"/>
  <c r="O111" i="68" s="1"/>
  <c r="M26" i="85"/>
  <c r="U23" i="68"/>
  <c r="U76" i="68" s="1"/>
  <c r="U125" i="68" s="1"/>
  <c r="C41" i="85"/>
  <c r="AB6" i="68"/>
  <c r="AH6" i="68" s="1"/>
  <c r="N59" i="68"/>
  <c r="K32" i="103"/>
  <c r="L32" i="103" s="1"/>
  <c r="D33" i="103"/>
  <c r="G32" i="103"/>
  <c r="M26" i="99"/>
  <c r="I23" i="68"/>
  <c r="I76" i="68" s="1"/>
  <c r="I125" i="68" s="1"/>
  <c r="Q12" i="59"/>
  <c r="AQ9" i="69"/>
  <c r="V11" i="59"/>
  <c r="C52" i="64"/>
  <c r="U12" i="43"/>
  <c r="CJ9" i="68"/>
  <c r="CJ62" i="68" s="1"/>
  <c r="CJ111" i="68" s="1"/>
  <c r="S35" i="85"/>
  <c r="T35" i="85" s="1"/>
  <c r="F36" i="85"/>
  <c r="I35" i="85"/>
  <c r="S26" i="103"/>
  <c r="T26" i="103" s="1"/>
  <c r="U26" i="103" s="1"/>
  <c r="F27" i="103"/>
  <c r="I26" i="103"/>
  <c r="BK6" i="68"/>
  <c r="BQ6" i="68" s="1"/>
  <c r="BC59" i="68"/>
  <c r="X11" i="23"/>
  <c r="O32" i="35"/>
  <c r="P32" i="35" s="1"/>
  <c r="E33" i="35"/>
  <c r="H32" i="35"/>
  <c r="J50" i="88"/>
  <c r="L50" i="88" s="1"/>
  <c r="B51" i="88"/>
  <c r="C51" i="88" s="1"/>
  <c r="N51" i="88"/>
  <c r="P51" i="88" s="1"/>
  <c r="R50" i="88"/>
  <c r="T50" i="88" s="1"/>
  <c r="H50" i="88"/>
  <c r="I50" i="88"/>
  <c r="G50" i="88"/>
  <c r="M11" i="66"/>
  <c r="M8" i="68"/>
  <c r="M61" i="68" s="1"/>
  <c r="M110" i="68" s="1"/>
  <c r="J35" i="80"/>
  <c r="B36" i="80"/>
  <c r="N36" i="80"/>
  <c r="R35" i="80"/>
  <c r="H35" i="80"/>
  <c r="J51" i="97"/>
  <c r="B52" i="97"/>
  <c r="C52" i="97" s="1"/>
  <c r="N52" i="97"/>
  <c r="R51" i="97"/>
  <c r="K32" i="1"/>
  <c r="L32" i="1" s="1"/>
  <c r="D33" i="1"/>
  <c r="G32" i="1"/>
  <c r="K33" i="35"/>
  <c r="L33" i="35" s="1"/>
  <c r="D34" i="35"/>
  <c r="G33" i="35"/>
  <c r="K33" i="7"/>
  <c r="L33" i="7" s="1"/>
  <c r="D34" i="7"/>
  <c r="G33" i="7"/>
  <c r="BM111" i="69"/>
  <c r="CU111" i="68"/>
  <c r="K23" i="72"/>
  <c r="AD110" i="69"/>
  <c r="M50" i="72"/>
  <c r="C41" i="96"/>
  <c r="U11" i="4"/>
  <c r="AW8" i="69"/>
  <c r="Y10" i="23"/>
  <c r="S33" i="67"/>
  <c r="T33" i="67" s="1"/>
  <c r="F34" i="67"/>
  <c r="I33" i="67"/>
  <c r="E35" i="86"/>
  <c r="O34" i="86"/>
  <c r="P34" i="86" s="1"/>
  <c r="H34" i="86"/>
  <c r="Q11" i="43"/>
  <c r="BA8" i="68"/>
  <c r="BA61" i="68" s="1"/>
  <c r="BA110" i="68" s="1"/>
  <c r="J36" i="89"/>
  <c r="L36" i="89" s="1"/>
  <c r="B37" i="89"/>
  <c r="N37" i="89"/>
  <c r="P37" i="89" s="1"/>
  <c r="R36" i="89"/>
  <c r="T36" i="89" s="1"/>
  <c r="I36" i="89"/>
  <c r="H36" i="89"/>
  <c r="G36" i="89"/>
  <c r="I34" i="38"/>
  <c r="L34" i="38"/>
  <c r="M26" i="81"/>
  <c r="O23" i="69"/>
  <c r="O76" i="69" s="1"/>
  <c r="O126" i="69" s="1"/>
  <c r="O32" i="59"/>
  <c r="P32" i="59" s="1"/>
  <c r="E33" i="59"/>
  <c r="H32" i="59"/>
  <c r="CU27" i="68"/>
  <c r="Y29" i="46"/>
  <c r="Q26" i="87"/>
  <c r="BE23" i="68"/>
  <c r="BE76" i="68" s="1"/>
  <c r="BE125" i="68" s="1"/>
  <c r="BG23" i="68"/>
  <c r="BG76" i="68" s="1"/>
  <c r="BG125" i="68" s="1"/>
  <c r="M11" i="40"/>
  <c r="D8" i="68"/>
  <c r="D61" i="68" s="1"/>
  <c r="D110" i="68" s="1"/>
  <c r="C51" i="35"/>
  <c r="C52" i="35" s="1"/>
  <c r="C50" i="81"/>
  <c r="C51" i="81" s="1"/>
  <c r="M12" i="1"/>
  <c r="B9" i="69"/>
  <c r="AP30" i="69" l="1"/>
  <c r="AP83" i="69" s="1"/>
  <c r="AP133" i="69" s="1"/>
  <c r="S32" i="45"/>
  <c r="BM26" i="68"/>
  <c r="S28" i="47"/>
  <c r="Q32" i="74"/>
  <c r="BH23" i="68"/>
  <c r="BH76" i="68" s="1"/>
  <c r="BH125" i="68" s="1"/>
  <c r="Q26" i="88"/>
  <c r="Q12" i="39"/>
  <c r="AL9" i="68"/>
  <c r="AL62" i="68" s="1"/>
  <c r="AL111" i="68" s="1"/>
  <c r="M11" i="36"/>
  <c r="H8" i="69"/>
  <c r="H61" i="69" s="1"/>
  <c r="H111" i="69" s="1"/>
  <c r="O33" i="98"/>
  <c r="P33" i="98" s="1"/>
  <c r="E34" i="98"/>
  <c r="H33" i="98"/>
  <c r="T110" i="69"/>
  <c r="U60" i="69"/>
  <c r="U110" i="69" s="1"/>
  <c r="R8" i="69"/>
  <c r="V8" i="69" s="1"/>
  <c r="L28" i="47"/>
  <c r="N28" i="47" s="1"/>
  <c r="W28" i="47"/>
  <c r="Z28" i="47" s="1"/>
  <c r="J37" i="58"/>
  <c r="B38" i="58"/>
  <c r="N38" i="58"/>
  <c r="R37" i="58"/>
  <c r="J38" i="86"/>
  <c r="N39" i="86"/>
  <c r="B39" i="86"/>
  <c r="R38" i="86"/>
  <c r="M11" i="64"/>
  <c r="K8" i="68"/>
  <c r="K61" i="68" s="1"/>
  <c r="K110" i="68" s="1"/>
  <c r="N52" i="63"/>
  <c r="R51" i="63"/>
  <c r="B52" i="63"/>
  <c r="J51" i="63"/>
  <c r="I29" i="75"/>
  <c r="S29" i="75"/>
  <c r="T29" i="75" s="1"/>
  <c r="U29" i="75" s="1"/>
  <c r="F30" i="75"/>
  <c r="BC110" i="69"/>
  <c r="CV25" i="68"/>
  <c r="CV78" i="68" s="1"/>
  <c r="CV127" i="68" s="1"/>
  <c r="Y27" i="47"/>
  <c r="N53" i="101"/>
  <c r="R52" i="101"/>
  <c r="B53" i="101"/>
  <c r="J52" i="101"/>
  <c r="M28" i="87"/>
  <c r="X25" i="68"/>
  <c r="X78" i="68" s="1"/>
  <c r="X127" i="68" s="1"/>
  <c r="M30" i="45"/>
  <c r="S28" i="69"/>
  <c r="S81" i="69" s="1"/>
  <c r="S132" i="69" s="1"/>
  <c r="M11" i="41"/>
  <c r="E8" i="68"/>
  <c r="E61" i="68" s="1"/>
  <c r="E110" i="68" s="1"/>
  <c r="Q12" i="23"/>
  <c r="AA9" i="69"/>
  <c r="AA62" i="69" s="1"/>
  <c r="AA112" i="69" s="1"/>
  <c r="E36" i="47"/>
  <c r="H35" i="47"/>
  <c r="L35" i="47"/>
  <c r="B52" i="1"/>
  <c r="J51" i="1"/>
  <c r="N52" i="1"/>
  <c r="R51" i="1"/>
  <c r="CX61" i="68"/>
  <c r="CY8" i="68"/>
  <c r="AN9" i="68"/>
  <c r="AN62" i="68" s="1"/>
  <c r="AN111" i="68" s="1"/>
  <c r="Q12" i="41"/>
  <c r="Q15" i="35"/>
  <c r="AC12" i="69"/>
  <c r="AC65" i="69" s="1"/>
  <c r="AC115" i="69" s="1"/>
  <c r="B52" i="99"/>
  <c r="C52" i="99" s="1"/>
  <c r="N52" i="99"/>
  <c r="J51" i="99"/>
  <c r="R51" i="99"/>
  <c r="U12" i="35"/>
  <c r="AZ9" i="69"/>
  <c r="AZ62" i="69" s="1"/>
  <c r="AZ112" i="69" s="1"/>
  <c r="B109" i="69"/>
  <c r="R59" i="69"/>
  <c r="CX109" i="68"/>
  <c r="CY60" i="68"/>
  <c r="U33" i="74"/>
  <c r="U34" i="74" s="1"/>
  <c r="U27" i="89"/>
  <c r="CS24" i="68"/>
  <c r="CS77" i="68" s="1"/>
  <c r="CS126" i="68" s="1"/>
  <c r="S29" i="47"/>
  <c r="BM27" i="68"/>
  <c r="BM80" i="68" s="1"/>
  <c r="U27" i="83"/>
  <c r="BK24" i="69"/>
  <c r="BK77" i="69" s="1"/>
  <c r="BK127" i="69" s="1"/>
  <c r="U11" i="37"/>
  <c r="BC8" i="69"/>
  <c r="BC61" i="69" s="1"/>
  <c r="BC111" i="69" s="1"/>
  <c r="S27" i="98"/>
  <c r="T27" i="98" s="1"/>
  <c r="I27" i="98"/>
  <c r="Q28" i="82"/>
  <c r="AM25" i="69"/>
  <c r="AM78" i="69" s="1"/>
  <c r="AM128" i="69" s="1"/>
  <c r="F35" i="101"/>
  <c r="S34" i="101"/>
  <c r="T34" i="101" s="1"/>
  <c r="I34" i="101"/>
  <c r="Q13" i="1"/>
  <c r="Y10" i="69"/>
  <c r="Y63" i="69" s="1"/>
  <c r="Y113" i="69" s="1"/>
  <c r="D33" i="75"/>
  <c r="G32" i="75"/>
  <c r="K32" i="75"/>
  <c r="L32" i="75" s="1"/>
  <c r="M32" i="75" s="1"/>
  <c r="T61" i="69"/>
  <c r="U8" i="69"/>
  <c r="B40" i="7"/>
  <c r="J39" i="7"/>
  <c r="N40" i="7"/>
  <c r="R39" i="7"/>
  <c r="C53" i="101"/>
  <c r="M12" i="62"/>
  <c r="J9" i="68"/>
  <c r="J62" i="68" s="1"/>
  <c r="J111" i="68" s="1"/>
  <c r="C52" i="41"/>
  <c r="G54" i="72"/>
  <c r="D30" i="47"/>
  <c r="Q30" i="47"/>
  <c r="T30" i="47" s="1"/>
  <c r="K29" i="47"/>
  <c r="Q41" i="75"/>
  <c r="O41" i="75"/>
  <c r="P41" i="75" s="1"/>
  <c r="E42" i="75"/>
  <c r="H41" i="75"/>
  <c r="H26" i="99"/>
  <c r="O26" i="99"/>
  <c r="P26" i="99" s="1"/>
  <c r="Q26" i="99" s="1"/>
  <c r="AR24" i="68" s="1"/>
  <c r="AR77" i="68" s="1"/>
  <c r="AR126" i="68" s="1"/>
  <c r="E27" i="99"/>
  <c r="U12" i="7"/>
  <c r="AY9" i="69"/>
  <c r="AY62" i="69" s="1"/>
  <c r="AY112" i="69" s="1"/>
  <c r="U27" i="82"/>
  <c r="BJ24" i="69"/>
  <c r="BJ77" i="69" s="1"/>
  <c r="BJ127" i="69" s="1"/>
  <c r="BT59" i="69"/>
  <c r="BT109" i="69" s="1"/>
  <c r="BC109" i="69"/>
  <c r="BL59" i="69"/>
  <c r="BP59" i="69" s="1"/>
  <c r="W11" i="59"/>
  <c r="T9" i="69"/>
  <c r="M12" i="59"/>
  <c r="E33" i="74"/>
  <c r="H32" i="74"/>
  <c r="O32" i="74"/>
  <c r="P32" i="74" s="1"/>
  <c r="N32" i="45"/>
  <c r="W32" i="45"/>
  <c r="Z32" i="45" s="1"/>
  <c r="M11" i="37"/>
  <c r="I8" i="69"/>
  <c r="I61" i="69" s="1"/>
  <c r="I111" i="69" s="1"/>
  <c r="AX9" i="69"/>
  <c r="AX62" i="69" s="1"/>
  <c r="AX112" i="69" s="1"/>
  <c r="U12" i="23"/>
  <c r="U26" i="85"/>
  <c r="CM23" i="68"/>
  <c r="CM76" i="68" s="1"/>
  <c r="CM125" i="68" s="1"/>
  <c r="M25" i="58"/>
  <c r="G22" i="69"/>
  <c r="G75" i="69" s="1"/>
  <c r="G125" i="69" s="1"/>
  <c r="U26" i="87"/>
  <c r="CN23" i="68"/>
  <c r="CN76" i="68" s="1"/>
  <c r="CN125" i="68" s="1"/>
  <c r="CP23" i="68"/>
  <c r="CP76" i="68" s="1"/>
  <c r="CP125" i="68" s="1"/>
  <c r="U11" i="42"/>
  <c r="CG8" i="68"/>
  <c r="CG61" i="68" s="1"/>
  <c r="CG110" i="68" s="1"/>
  <c r="H34" i="63"/>
  <c r="O34" i="63"/>
  <c r="P34" i="63" s="1"/>
  <c r="E35" i="63"/>
  <c r="O27" i="96"/>
  <c r="P27" i="96" s="1"/>
  <c r="Q27" i="96" s="1"/>
  <c r="H27" i="96"/>
  <c r="M31" i="45"/>
  <c r="S29" i="69"/>
  <c r="S82" i="69" s="1"/>
  <c r="C51" i="63"/>
  <c r="C52" i="63" s="1"/>
  <c r="C9" i="69"/>
  <c r="C62" i="69" s="1"/>
  <c r="C112" i="69" s="1"/>
  <c r="M12" i="4"/>
  <c r="M27" i="47"/>
  <c r="AD25" i="68"/>
  <c r="Q33" i="63"/>
  <c r="BO30" i="68"/>
  <c r="BO83" i="68" s="1"/>
  <c r="BO132" i="68" s="1"/>
  <c r="U12" i="1"/>
  <c r="AV9" i="69"/>
  <c r="AV62" i="69" s="1"/>
  <c r="AV112" i="69" s="1"/>
  <c r="U12" i="63"/>
  <c r="CX9" i="68"/>
  <c r="C39" i="86"/>
  <c r="BK7" i="68"/>
  <c r="BQ7" i="68" s="1"/>
  <c r="W11" i="23"/>
  <c r="AB7" i="68"/>
  <c r="AH7" i="68" s="1"/>
  <c r="Q13" i="38"/>
  <c r="AK10" i="68"/>
  <c r="AK63" i="68" s="1"/>
  <c r="AK112" i="68" s="1"/>
  <c r="T53" i="40"/>
  <c r="J54" i="40"/>
  <c r="D54" i="40"/>
  <c r="K54" i="40" s="1"/>
  <c r="E54" i="40"/>
  <c r="O54" i="40" s="1"/>
  <c r="P54" i="40" s="1"/>
  <c r="R54" i="40"/>
  <c r="F54" i="40"/>
  <c r="S54" i="40" s="1"/>
  <c r="CL8" i="68"/>
  <c r="CL61" i="68" s="1"/>
  <c r="CL110" i="68" s="1"/>
  <c r="U11" i="44"/>
  <c r="U11" i="64"/>
  <c r="CC8" i="68"/>
  <c r="CC61" i="68" s="1"/>
  <c r="CC110" i="68" s="1"/>
  <c r="J52" i="98"/>
  <c r="B53" i="98"/>
  <c r="C53" i="98" s="1"/>
  <c r="N53" i="98"/>
  <c r="R52" i="98"/>
  <c r="B53" i="103"/>
  <c r="J52" i="103"/>
  <c r="R52" i="103"/>
  <c r="N53" i="103"/>
  <c r="B39" i="60"/>
  <c r="J38" i="60"/>
  <c r="N39" i="60"/>
  <c r="R38" i="60"/>
  <c r="D33" i="74"/>
  <c r="G32" i="74"/>
  <c r="K32" i="74"/>
  <c r="L32" i="74" s="1"/>
  <c r="M32" i="74" s="1"/>
  <c r="M11" i="65"/>
  <c r="L8" i="68"/>
  <c r="L61" i="68" s="1"/>
  <c r="L110" i="68" s="1"/>
  <c r="C39" i="7"/>
  <c r="CK24" i="68"/>
  <c r="CK77" i="68" s="1"/>
  <c r="CK126" i="68" s="1"/>
  <c r="U27" i="101"/>
  <c r="C38" i="58"/>
  <c r="D33" i="45"/>
  <c r="Q33" i="45"/>
  <c r="T33" i="45" s="1"/>
  <c r="K33" i="45"/>
  <c r="J41" i="36"/>
  <c r="B42" i="36"/>
  <c r="C42" i="36" s="1"/>
  <c r="N42" i="36"/>
  <c r="R41" i="36"/>
  <c r="S34" i="74"/>
  <c r="T34" i="74" s="1"/>
  <c r="F35" i="74"/>
  <c r="I34" i="74"/>
  <c r="G9" i="68"/>
  <c r="G62" i="68" s="1"/>
  <c r="G111" i="68" s="1"/>
  <c r="M12" i="61"/>
  <c r="C51" i="104"/>
  <c r="J51" i="104"/>
  <c r="L51" i="104" s="1"/>
  <c r="G51" i="104"/>
  <c r="B52" i="104"/>
  <c r="I51" i="104"/>
  <c r="N52" i="104"/>
  <c r="P52" i="104" s="1"/>
  <c r="H51" i="104"/>
  <c r="R51" i="104"/>
  <c r="T51" i="104" s="1"/>
  <c r="C54" i="40"/>
  <c r="BM29" i="69"/>
  <c r="BM82" i="69" s="1"/>
  <c r="BM132" i="69" s="1"/>
  <c r="Y31" i="45"/>
  <c r="K54" i="72"/>
  <c r="G34" i="48"/>
  <c r="J33" i="48"/>
  <c r="E37" i="48"/>
  <c r="H36" i="48"/>
  <c r="N30" i="46"/>
  <c r="H34" i="46"/>
  <c r="E35" i="46"/>
  <c r="F36" i="47"/>
  <c r="I35" i="47"/>
  <c r="R35" i="47"/>
  <c r="S33" i="103"/>
  <c r="T33" i="103" s="1"/>
  <c r="I33" i="103"/>
  <c r="F34" i="103"/>
  <c r="M36" i="63"/>
  <c r="AF33" i="68"/>
  <c r="AF86" i="68" s="1"/>
  <c r="AF135" i="68" s="1"/>
  <c r="O33" i="64"/>
  <c r="P33" i="64" s="1"/>
  <c r="H33" i="64"/>
  <c r="E34" i="64"/>
  <c r="F34" i="100"/>
  <c r="I33" i="100"/>
  <c r="S33" i="100"/>
  <c r="T33" i="100" s="1"/>
  <c r="O33" i="38"/>
  <c r="P33" i="38" s="1"/>
  <c r="E34" i="38"/>
  <c r="H33" i="38"/>
  <c r="S34" i="97"/>
  <c r="T34" i="97" s="1"/>
  <c r="F35" i="97"/>
  <c r="I34" i="97"/>
  <c r="AY23" i="68"/>
  <c r="AY76" i="68" s="1"/>
  <c r="AY125" i="68" s="1"/>
  <c r="BB23" i="68"/>
  <c r="BB76" i="68" s="1"/>
  <c r="BB125" i="68" s="1"/>
  <c r="BI25" i="68"/>
  <c r="BI78" i="68" s="1"/>
  <c r="BI127" i="68" s="1"/>
  <c r="K24" i="69"/>
  <c r="K77" i="69" s="1"/>
  <c r="K127" i="69" s="1"/>
  <c r="CH24" i="68"/>
  <c r="CH77" i="68" s="1"/>
  <c r="CH126" i="68" s="1"/>
  <c r="BZ24" i="68"/>
  <c r="BZ77" i="68" s="1"/>
  <c r="BZ126" i="68" s="1"/>
  <c r="AQ24" i="68"/>
  <c r="AQ77" i="68" s="1"/>
  <c r="AQ126" i="68" s="1"/>
  <c r="H23" i="68"/>
  <c r="H76" i="68" s="1"/>
  <c r="H125" i="68" s="1"/>
  <c r="L23" i="69"/>
  <c r="L76" i="69" s="1"/>
  <c r="L126" i="69" s="1"/>
  <c r="BD24" i="69"/>
  <c r="BD77" i="69" s="1"/>
  <c r="BD127" i="69" s="1"/>
  <c r="AZ24" i="68"/>
  <c r="AZ77" i="68" s="1"/>
  <c r="AZ126" i="68" s="1"/>
  <c r="CU80" i="68"/>
  <c r="BL8" i="69"/>
  <c r="AW61" i="69"/>
  <c r="K33" i="1"/>
  <c r="L33" i="1" s="1"/>
  <c r="D34" i="1"/>
  <c r="G33" i="1"/>
  <c r="S27" i="103"/>
  <c r="T27" i="103" s="1"/>
  <c r="U27" i="103" s="1"/>
  <c r="I27" i="103"/>
  <c r="U13" i="43"/>
  <c r="CJ10" i="68"/>
  <c r="CJ63" i="68" s="1"/>
  <c r="CJ112" i="68" s="1"/>
  <c r="I24" i="68"/>
  <c r="I77" i="68" s="1"/>
  <c r="I126" i="68" s="1"/>
  <c r="N108" i="68"/>
  <c r="AB59" i="68"/>
  <c r="M26" i="86"/>
  <c r="W23" i="68"/>
  <c r="W76" i="68" s="1"/>
  <c r="W125" i="68" s="1"/>
  <c r="O33" i="101"/>
  <c r="P33" i="101" s="1"/>
  <c r="E34" i="101"/>
  <c r="H33" i="101"/>
  <c r="S27" i="96"/>
  <c r="T27" i="96" s="1"/>
  <c r="U27" i="96" s="1"/>
  <c r="I27" i="96"/>
  <c r="S34" i="102"/>
  <c r="T34" i="102" s="1"/>
  <c r="F35" i="102"/>
  <c r="I34" i="102"/>
  <c r="BM129" i="69"/>
  <c r="J52" i="23"/>
  <c r="B53" i="23"/>
  <c r="N53" i="23"/>
  <c r="R52" i="23"/>
  <c r="Q29" i="83"/>
  <c r="AN26" i="69"/>
  <c r="AN79" i="69" s="1"/>
  <c r="AN129" i="69" s="1"/>
  <c r="S34" i="58"/>
  <c r="T34" i="58" s="1"/>
  <c r="F35" i="58"/>
  <c r="I34" i="58"/>
  <c r="O33" i="1"/>
  <c r="P33" i="1" s="1"/>
  <c r="E34" i="1"/>
  <c r="H33" i="1"/>
  <c r="O28" i="104"/>
  <c r="P28" i="104" s="1"/>
  <c r="Q28" i="104" s="1"/>
  <c r="H28" i="104"/>
  <c r="F46" i="72"/>
  <c r="F54" i="72" s="1"/>
  <c r="J50" i="42"/>
  <c r="L50" i="42" s="1"/>
  <c r="B51" i="42"/>
  <c r="N51" i="42"/>
  <c r="P51" i="42" s="1"/>
  <c r="R50" i="42"/>
  <c r="T50" i="42" s="1"/>
  <c r="I50" i="42"/>
  <c r="H50" i="42"/>
  <c r="G50" i="42"/>
  <c r="S33" i="98"/>
  <c r="T33" i="98" s="1"/>
  <c r="F34" i="98"/>
  <c r="I33" i="98"/>
  <c r="Z62" i="69"/>
  <c r="O33" i="43"/>
  <c r="P33" i="43" s="1"/>
  <c r="E34" i="43"/>
  <c r="H33" i="43"/>
  <c r="I51" i="44"/>
  <c r="L51" i="44"/>
  <c r="O35" i="100"/>
  <c r="P35" i="100" s="1"/>
  <c r="E36" i="100"/>
  <c r="H35" i="100"/>
  <c r="S34" i="43"/>
  <c r="T34" i="43" s="1"/>
  <c r="F35" i="43"/>
  <c r="I34" i="43"/>
  <c r="BM80" i="69"/>
  <c r="J37" i="59"/>
  <c r="B38" i="59"/>
  <c r="N38" i="59"/>
  <c r="R37" i="59"/>
  <c r="S131" i="69"/>
  <c r="O33" i="58"/>
  <c r="P33" i="58" s="1"/>
  <c r="E34" i="58"/>
  <c r="H33" i="58"/>
  <c r="E35" i="7"/>
  <c r="O34" i="7"/>
  <c r="P34" i="7" s="1"/>
  <c r="H34" i="7"/>
  <c r="S33" i="64"/>
  <c r="T33" i="64" s="1"/>
  <c r="F34" i="64"/>
  <c r="I33" i="64"/>
  <c r="C50" i="42"/>
  <c r="C51" i="42" s="1"/>
  <c r="AF62" i="68"/>
  <c r="AG9" i="68"/>
  <c r="AM61" i="68"/>
  <c r="J23" i="69"/>
  <c r="J76" i="69" s="1"/>
  <c r="J126" i="69" s="1"/>
  <c r="Q29" i="85"/>
  <c r="BD26" i="68"/>
  <c r="BD79" i="68" s="1"/>
  <c r="BD128" i="68" s="1"/>
  <c r="S33" i="96"/>
  <c r="T33" i="96" s="1"/>
  <c r="F34" i="96"/>
  <c r="I33" i="96"/>
  <c r="CY108" i="68"/>
  <c r="CY109" i="68"/>
  <c r="CR25" i="68"/>
  <c r="CR78" i="68" s="1"/>
  <c r="CR127" i="68" s="1"/>
  <c r="Q13" i="66"/>
  <c r="AV10" i="68"/>
  <c r="AV63" i="68" s="1"/>
  <c r="AV112" i="68" s="1"/>
  <c r="K33" i="99"/>
  <c r="L33" i="99" s="1"/>
  <c r="D34" i="99"/>
  <c r="G33" i="99"/>
  <c r="M26" i="101"/>
  <c r="S23" i="68"/>
  <c r="S76" i="68" s="1"/>
  <c r="S125" i="68" s="1"/>
  <c r="B52" i="84"/>
  <c r="J51" i="84"/>
  <c r="L51" i="84" s="1"/>
  <c r="I51" i="84"/>
  <c r="G51" i="84"/>
  <c r="R51" i="84"/>
  <c r="T51" i="84" s="1"/>
  <c r="U51" i="84" s="1"/>
  <c r="H51" i="84"/>
  <c r="N52" i="84"/>
  <c r="P52" i="84" s="1"/>
  <c r="Q52" i="84" s="1"/>
  <c r="U11" i="66"/>
  <c r="CE8" i="68"/>
  <c r="CE61" i="68" s="1"/>
  <c r="CE110" i="68" s="1"/>
  <c r="AO109" i="69"/>
  <c r="AS59" i="69"/>
  <c r="AS109" i="69" s="1"/>
  <c r="M27" i="89"/>
  <c r="AA24" i="68"/>
  <c r="AA77" i="68" s="1"/>
  <c r="AA126" i="68" s="1"/>
  <c r="BL29" i="68"/>
  <c r="S31" i="46"/>
  <c r="S130" i="69"/>
  <c r="M13" i="23"/>
  <c r="D10" i="69"/>
  <c r="D63" i="69" s="1"/>
  <c r="D113" i="69" s="1"/>
  <c r="W12" i="23"/>
  <c r="AB60" i="68"/>
  <c r="B109" i="68"/>
  <c r="S34" i="86"/>
  <c r="T34" i="86" s="1"/>
  <c r="F35" i="86"/>
  <c r="I34" i="86"/>
  <c r="BY108" i="68"/>
  <c r="CT59" i="68"/>
  <c r="CT108" i="68" s="1"/>
  <c r="D31" i="48"/>
  <c r="Q31" i="48"/>
  <c r="K30" i="48"/>
  <c r="W30" i="48" s="1"/>
  <c r="K27" i="103"/>
  <c r="L27" i="103" s="1"/>
  <c r="G27" i="103"/>
  <c r="J41" i="85"/>
  <c r="B42" i="85"/>
  <c r="N42" i="85"/>
  <c r="R41" i="85"/>
  <c r="O33" i="23"/>
  <c r="P33" i="23" s="1"/>
  <c r="E34" i="23"/>
  <c r="H33" i="23"/>
  <c r="Z111" i="69"/>
  <c r="AO61" i="69"/>
  <c r="U13" i="67"/>
  <c r="CF10" i="68"/>
  <c r="CF63" i="68" s="1"/>
  <c r="CF112" i="68" s="1"/>
  <c r="B53" i="48"/>
  <c r="J52" i="41"/>
  <c r="L52" i="41" s="1"/>
  <c r="B53" i="41"/>
  <c r="N53" i="41"/>
  <c r="P53" i="41" s="1"/>
  <c r="R52" i="41"/>
  <c r="T52" i="41" s="1"/>
  <c r="I52" i="41"/>
  <c r="G52" i="41"/>
  <c r="H52" i="41"/>
  <c r="C51" i="84"/>
  <c r="J37" i="89"/>
  <c r="L37" i="89" s="1"/>
  <c r="N38" i="89"/>
  <c r="P38" i="89" s="1"/>
  <c r="B38" i="89"/>
  <c r="R37" i="89"/>
  <c r="T37" i="89" s="1"/>
  <c r="G37" i="89"/>
  <c r="H37" i="89"/>
  <c r="I37" i="89"/>
  <c r="O35" i="86"/>
  <c r="P35" i="86" s="1"/>
  <c r="E36" i="86"/>
  <c r="H35" i="86"/>
  <c r="S34" i="67"/>
  <c r="T34" i="67" s="1"/>
  <c r="F35" i="67"/>
  <c r="I34" i="67"/>
  <c r="U12" i="4"/>
  <c r="AW9" i="69"/>
  <c r="Y11" i="23"/>
  <c r="D35" i="35"/>
  <c r="K34" i="35"/>
  <c r="L34" i="35" s="1"/>
  <c r="G34" i="35"/>
  <c r="BC108" i="68"/>
  <c r="BK59" i="68"/>
  <c r="AQ62" i="69"/>
  <c r="AR9" i="69"/>
  <c r="M27" i="85"/>
  <c r="U24" i="68"/>
  <c r="U77" i="68" s="1"/>
  <c r="U126" i="68" s="1"/>
  <c r="AG24" i="69"/>
  <c r="AG77" i="69" s="1"/>
  <c r="AG127" i="69" s="1"/>
  <c r="S34" i="60"/>
  <c r="T34" i="60" s="1"/>
  <c r="F35" i="60"/>
  <c r="I34" i="60"/>
  <c r="K34" i="43"/>
  <c r="L34" i="43" s="1"/>
  <c r="D35" i="43"/>
  <c r="G34" i="43"/>
  <c r="U12" i="60"/>
  <c r="BX9" i="68"/>
  <c r="BX62" i="68" s="1"/>
  <c r="BX111" i="68" s="1"/>
  <c r="B111" i="69"/>
  <c r="D34" i="59"/>
  <c r="K33" i="59"/>
  <c r="L33" i="59" s="1"/>
  <c r="G33" i="59"/>
  <c r="B54" i="46"/>
  <c r="J53" i="46"/>
  <c r="K34" i="23"/>
  <c r="L34" i="23" s="1"/>
  <c r="D35" i="23"/>
  <c r="G34" i="23"/>
  <c r="J36" i="38"/>
  <c r="B37" i="38"/>
  <c r="N37" i="38"/>
  <c r="R36" i="38"/>
  <c r="K27" i="101"/>
  <c r="L27" i="101" s="1"/>
  <c r="G27" i="101"/>
  <c r="D35" i="85"/>
  <c r="K34" i="85"/>
  <c r="L34" i="85" s="1"/>
  <c r="G34" i="85"/>
  <c r="O26" i="101"/>
  <c r="P26" i="101" s="1"/>
  <c r="Q26" i="101" s="1"/>
  <c r="E27" i="101"/>
  <c r="H26" i="101"/>
  <c r="AW110" i="69"/>
  <c r="BL60" i="69"/>
  <c r="BT60" i="69"/>
  <c r="U28" i="88"/>
  <c r="CQ25" i="68"/>
  <c r="CQ78" i="68" s="1"/>
  <c r="CQ127" i="68" s="1"/>
  <c r="J52" i="65"/>
  <c r="L52" i="65" s="1"/>
  <c r="B53" i="65"/>
  <c r="N53" i="65"/>
  <c r="P53" i="65" s="1"/>
  <c r="R52" i="65"/>
  <c r="T52" i="65" s="1"/>
  <c r="H52" i="65"/>
  <c r="I52" i="65"/>
  <c r="G52" i="65"/>
  <c r="D35" i="102"/>
  <c r="K34" i="102"/>
  <c r="L34" i="102" s="1"/>
  <c r="G34" i="102"/>
  <c r="Q12" i="7"/>
  <c r="AB9" i="69"/>
  <c r="AB62" i="69" s="1"/>
  <c r="AB112" i="69" s="1"/>
  <c r="O34" i="102"/>
  <c r="P34" i="102" s="1"/>
  <c r="E35" i="102"/>
  <c r="H34" i="102"/>
  <c r="C37" i="89"/>
  <c r="C38" i="89" s="1"/>
  <c r="AC80" i="68"/>
  <c r="B38" i="82"/>
  <c r="J37" i="82"/>
  <c r="L37" i="82" s="1"/>
  <c r="N38" i="82"/>
  <c r="P38" i="82" s="1"/>
  <c r="R37" i="82"/>
  <c r="T37" i="82" s="1"/>
  <c r="G37" i="82"/>
  <c r="I37" i="82"/>
  <c r="H37" i="82"/>
  <c r="K34" i="58"/>
  <c r="L34" i="58" s="1"/>
  <c r="D35" i="58"/>
  <c r="G34" i="58"/>
  <c r="Q25" i="58"/>
  <c r="AD22" i="69"/>
  <c r="AD75" i="69" s="1"/>
  <c r="AD125" i="69" s="1"/>
  <c r="Q13" i="4"/>
  <c r="Z10" i="69"/>
  <c r="U32" i="86"/>
  <c r="CO29" i="68"/>
  <c r="CO82" i="68" s="1"/>
  <c r="CO131" i="68" s="1"/>
  <c r="U12" i="39"/>
  <c r="BU9" i="68"/>
  <c r="B52" i="39"/>
  <c r="J51" i="39"/>
  <c r="L51" i="39" s="1"/>
  <c r="N52" i="39"/>
  <c r="P52" i="39" s="1"/>
  <c r="R51" i="39"/>
  <c r="T51" i="39" s="1"/>
  <c r="I51" i="39"/>
  <c r="H51" i="39"/>
  <c r="G51" i="39"/>
  <c r="BP7" i="69"/>
  <c r="M13" i="63"/>
  <c r="AF10" i="68"/>
  <c r="Q12" i="40"/>
  <c r="AM9" i="68"/>
  <c r="B61" i="68"/>
  <c r="U11" i="61"/>
  <c r="BY8" i="68"/>
  <c r="BY61" i="68" s="1"/>
  <c r="BY110" i="68" s="1"/>
  <c r="K34" i="64"/>
  <c r="L34" i="64" s="1"/>
  <c r="D35" i="64"/>
  <c r="G34" i="64"/>
  <c r="M26" i="103"/>
  <c r="P23" i="68"/>
  <c r="P76" i="68" s="1"/>
  <c r="P125" i="68" s="1"/>
  <c r="J52" i="64"/>
  <c r="N53" i="64"/>
  <c r="B53" i="64"/>
  <c r="R52" i="64"/>
  <c r="O26" i="103"/>
  <c r="P26" i="103" s="1"/>
  <c r="Q26" i="103" s="1"/>
  <c r="E27" i="103"/>
  <c r="H26" i="103"/>
  <c r="O27" i="98"/>
  <c r="P27" i="98" s="1"/>
  <c r="H27" i="98"/>
  <c r="CU79" i="68"/>
  <c r="L29" i="48"/>
  <c r="N30" i="48" s="1"/>
  <c r="AE27" i="68"/>
  <c r="AE80" i="68" s="1"/>
  <c r="AE129" i="68" s="1"/>
  <c r="M29" i="48"/>
  <c r="C37" i="82"/>
  <c r="C38" i="82" s="1"/>
  <c r="Q27" i="81"/>
  <c r="AL24" i="69"/>
  <c r="AL77" i="69" s="1"/>
  <c r="AL127" i="69" s="1"/>
  <c r="CT7" i="68"/>
  <c r="CZ7" i="68" s="1"/>
  <c r="E34" i="66"/>
  <c r="O33" i="66"/>
  <c r="P33" i="66" s="1"/>
  <c r="H33" i="66"/>
  <c r="S34" i="35"/>
  <c r="T34" i="35" s="1"/>
  <c r="F35" i="35"/>
  <c r="I34" i="35"/>
  <c r="BT111" i="68"/>
  <c r="Q12" i="37"/>
  <c r="AF9" i="69"/>
  <c r="AF62" i="69" s="1"/>
  <c r="AF112" i="69" s="1"/>
  <c r="AM109" i="68"/>
  <c r="BK60" i="68"/>
  <c r="D32" i="46"/>
  <c r="K31" i="46"/>
  <c r="W31" i="46" s="1"/>
  <c r="Z31" i="46" s="1"/>
  <c r="Q32" i="46"/>
  <c r="T32" i="46" s="1"/>
  <c r="D34" i="98"/>
  <c r="K33" i="98"/>
  <c r="L33" i="98" s="1"/>
  <c r="G33" i="98"/>
  <c r="J38" i="43"/>
  <c r="B39" i="43"/>
  <c r="N39" i="43"/>
  <c r="R38" i="43"/>
  <c r="O27" i="97"/>
  <c r="P27" i="97" s="1"/>
  <c r="H27" i="97"/>
  <c r="S26" i="99"/>
  <c r="T26" i="99" s="1"/>
  <c r="U26" i="99" s="1"/>
  <c r="F27" i="99"/>
  <c r="I26" i="99"/>
  <c r="BO110" i="68"/>
  <c r="BP61" i="68"/>
  <c r="M27" i="82"/>
  <c r="P24" i="69"/>
  <c r="P77" i="69" s="1"/>
  <c r="P127" i="69" s="1"/>
  <c r="J51" i="100"/>
  <c r="B52" i="100"/>
  <c r="C52" i="100" s="1"/>
  <c r="N52" i="100"/>
  <c r="R51" i="100"/>
  <c r="M28" i="80"/>
  <c r="N25" i="69"/>
  <c r="N78" i="69" s="1"/>
  <c r="N128" i="69" s="1"/>
  <c r="Q12" i="42"/>
  <c r="AX9" i="68"/>
  <c r="AX62" i="68" s="1"/>
  <c r="AX111" i="68" s="1"/>
  <c r="S28" i="104"/>
  <c r="T28" i="104" s="1"/>
  <c r="U28" i="104" s="1"/>
  <c r="I28" i="104"/>
  <c r="G46" i="72"/>
  <c r="D27" i="100"/>
  <c r="K26" i="100"/>
  <c r="L26" i="100" s="1"/>
  <c r="M26" i="100" s="1"/>
  <c r="G26" i="100"/>
  <c r="D34" i="101"/>
  <c r="K33" i="101"/>
  <c r="L33" i="101" s="1"/>
  <c r="G33" i="101"/>
  <c r="K34" i="67"/>
  <c r="L34" i="67" s="1"/>
  <c r="D35" i="67"/>
  <c r="G34" i="67"/>
  <c r="O33" i="96"/>
  <c r="P33" i="96" s="1"/>
  <c r="E34" i="96"/>
  <c r="H33" i="96"/>
  <c r="Q12" i="64"/>
  <c r="AT9" i="68"/>
  <c r="AT62" i="68" s="1"/>
  <c r="AT111" i="68" s="1"/>
  <c r="S36" i="63"/>
  <c r="T36" i="63" s="1"/>
  <c r="F37" i="63"/>
  <c r="I36" i="63"/>
  <c r="J52" i="35"/>
  <c r="B53" i="35"/>
  <c r="C53" i="35" s="1"/>
  <c r="N53" i="35"/>
  <c r="R52" i="35"/>
  <c r="O35" i="80"/>
  <c r="P35" i="80" s="1"/>
  <c r="E36" i="80"/>
  <c r="H36" i="80" s="1"/>
  <c r="B62" i="69"/>
  <c r="Q27" i="87"/>
  <c r="BE24" i="68"/>
  <c r="BE77" i="68" s="1"/>
  <c r="BE126" i="68" s="1"/>
  <c r="BG24" i="68"/>
  <c r="BG77" i="68" s="1"/>
  <c r="BG126" i="68" s="1"/>
  <c r="O33" i="59"/>
  <c r="P33" i="59" s="1"/>
  <c r="E34" i="59"/>
  <c r="H33" i="59"/>
  <c r="Q12" i="43"/>
  <c r="BA9" i="68"/>
  <c r="BA62" i="68" s="1"/>
  <c r="BA111" i="68" s="1"/>
  <c r="K34" i="7"/>
  <c r="L34" i="7" s="1"/>
  <c r="D35" i="7"/>
  <c r="G34" i="7"/>
  <c r="M12" i="66"/>
  <c r="M9" i="68"/>
  <c r="M62" i="68" s="1"/>
  <c r="M111" i="68" s="1"/>
  <c r="O33" i="35"/>
  <c r="P33" i="35" s="1"/>
  <c r="E34" i="35"/>
  <c r="H33" i="35"/>
  <c r="Q13" i="59"/>
  <c r="V12" i="59"/>
  <c r="AQ10" i="69"/>
  <c r="K33" i="103"/>
  <c r="L33" i="103" s="1"/>
  <c r="D34" i="103"/>
  <c r="G33" i="103"/>
  <c r="E34" i="103"/>
  <c r="O33" i="103"/>
  <c r="P33" i="103" s="1"/>
  <c r="H33" i="103"/>
  <c r="S33" i="80"/>
  <c r="T33" i="80" s="1"/>
  <c r="F34" i="80"/>
  <c r="I33" i="80"/>
  <c r="J51" i="37"/>
  <c r="L51" i="37" s="1"/>
  <c r="B52" i="37"/>
  <c r="N52" i="37"/>
  <c r="P52" i="37" s="1"/>
  <c r="R51" i="37"/>
  <c r="T51" i="37" s="1"/>
  <c r="G51" i="37"/>
  <c r="H51" i="37"/>
  <c r="I51" i="37"/>
  <c r="Q23" i="68"/>
  <c r="Q76" i="68" s="1"/>
  <c r="Q125" i="68" s="1"/>
  <c r="J36" i="83"/>
  <c r="L36" i="83" s="1"/>
  <c r="B37" i="83"/>
  <c r="C37" i="83" s="1"/>
  <c r="N37" i="83"/>
  <c r="P37" i="83" s="1"/>
  <c r="R36" i="83"/>
  <c r="T36" i="83" s="1"/>
  <c r="I36" i="83"/>
  <c r="H36" i="83"/>
  <c r="G36" i="83"/>
  <c r="O34" i="99"/>
  <c r="P34" i="99" s="1"/>
  <c r="E35" i="99"/>
  <c r="H34" i="99"/>
  <c r="U25" i="58"/>
  <c r="BA22" i="69"/>
  <c r="BA75" i="69" s="1"/>
  <c r="BA125" i="69" s="1"/>
  <c r="S35" i="38"/>
  <c r="F36" i="38"/>
  <c r="I36" i="38" s="1"/>
  <c r="BN61" i="69"/>
  <c r="BO8" i="69"/>
  <c r="M12" i="7"/>
  <c r="E9" i="69"/>
  <c r="E62" i="69" s="1"/>
  <c r="E112" i="69" s="1"/>
  <c r="BL81" i="68"/>
  <c r="J41" i="96"/>
  <c r="B42" i="96"/>
  <c r="N42" i="96"/>
  <c r="R41" i="96"/>
  <c r="Q13" i="67"/>
  <c r="AW10" i="68"/>
  <c r="AW63" i="68" s="1"/>
  <c r="AW112" i="68" s="1"/>
  <c r="K34" i="96"/>
  <c r="L34" i="96" s="1"/>
  <c r="D35" i="96"/>
  <c r="G34" i="96"/>
  <c r="J42" i="66"/>
  <c r="B43" i="66"/>
  <c r="N43" i="66"/>
  <c r="R42" i="66"/>
  <c r="O33" i="85"/>
  <c r="P33" i="85" s="1"/>
  <c r="E34" i="85"/>
  <c r="H33" i="85"/>
  <c r="Q27" i="97"/>
  <c r="AI24" i="69"/>
  <c r="AI77" i="69" s="1"/>
  <c r="AI127" i="69" s="1"/>
  <c r="C52" i="23"/>
  <c r="D35" i="63"/>
  <c r="K34" i="63"/>
  <c r="L34" i="63" s="1"/>
  <c r="G34" i="63"/>
  <c r="L30" i="46"/>
  <c r="AC28" i="68"/>
  <c r="M30" i="46"/>
  <c r="J52" i="90"/>
  <c r="B53" i="90"/>
  <c r="C53" i="90" s="1"/>
  <c r="N53" i="90"/>
  <c r="R52" i="90"/>
  <c r="B54" i="87"/>
  <c r="N54" i="87"/>
  <c r="P54" i="87" s="1"/>
  <c r="J53" i="87"/>
  <c r="L53" i="87" s="1"/>
  <c r="R53" i="87"/>
  <c r="T53" i="87" s="1"/>
  <c r="G53" i="87"/>
  <c r="I53" i="87"/>
  <c r="H53" i="87"/>
  <c r="Q12" i="60"/>
  <c r="AO9" i="68"/>
  <c r="AO62" i="68" s="1"/>
  <c r="AO111" i="68" s="1"/>
  <c r="S27" i="97"/>
  <c r="T27" i="97" s="1"/>
  <c r="I27" i="97"/>
  <c r="M26" i="88"/>
  <c r="Y23" i="68"/>
  <c r="Y76" i="68" s="1"/>
  <c r="Y125" i="68" s="1"/>
  <c r="O27" i="102"/>
  <c r="P27" i="102" s="1"/>
  <c r="Q27" i="102" s="1"/>
  <c r="H27" i="102"/>
  <c r="BN110" i="69"/>
  <c r="BO60" i="69"/>
  <c r="M12" i="38"/>
  <c r="B9" i="68"/>
  <c r="Q28" i="90"/>
  <c r="AJ25" i="69"/>
  <c r="AJ78" i="69" s="1"/>
  <c r="AJ128" i="69" s="1"/>
  <c r="DA108" i="68"/>
  <c r="BP9" i="68"/>
  <c r="BO62" i="68"/>
  <c r="J51" i="61"/>
  <c r="L51" i="61" s="1"/>
  <c r="B52" i="61"/>
  <c r="N52" i="61"/>
  <c r="P52" i="61" s="1"/>
  <c r="R51" i="61"/>
  <c r="T51" i="61" s="1"/>
  <c r="G51" i="61"/>
  <c r="H51" i="61"/>
  <c r="I51" i="61"/>
  <c r="AB110" i="69"/>
  <c r="AO60" i="69"/>
  <c r="S33" i="4"/>
  <c r="T33" i="4" s="1"/>
  <c r="F34" i="4"/>
  <c r="I33" i="4"/>
  <c r="U28" i="80"/>
  <c r="BH25" i="69"/>
  <c r="BH78" i="69" s="1"/>
  <c r="BH128" i="69" s="1"/>
  <c r="AR61" i="69"/>
  <c r="AQ111" i="69"/>
  <c r="O35" i="67"/>
  <c r="P35" i="67" s="1"/>
  <c r="E36" i="67"/>
  <c r="H35" i="67"/>
  <c r="S33" i="23"/>
  <c r="T33" i="23" s="1"/>
  <c r="F34" i="23"/>
  <c r="I33" i="23"/>
  <c r="BU109" i="68"/>
  <c r="DA60" i="68"/>
  <c r="DA109" i="68" s="1"/>
  <c r="CT60" i="68"/>
  <c r="M12" i="39"/>
  <c r="C9" i="68"/>
  <c r="C62" i="68" s="1"/>
  <c r="C111" i="68" s="1"/>
  <c r="M12" i="43"/>
  <c r="R9" i="68"/>
  <c r="R62" i="68" s="1"/>
  <c r="R111" i="68" s="1"/>
  <c r="O27" i="100"/>
  <c r="P27" i="100" s="1"/>
  <c r="Q27" i="100" s="1"/>
  <c r="H27" i="100"/>
  <c r="U27" i="98"/>
  <c r="BE24" i="69"/>
  <c r="BE77" i="69" s="1"/>
  <c r="BE127" i="69" s="1"/>
  <c r="U13" i="38"/>
  <c r="BT10" i="68"/>
  <c r="BT63" i="68" s="1"/>
  <c r="CI23" i="68"/>
  <c r="CI76" i="68" s="1"/>
  <c r="CI125" i="68" s="1"/>
  <c r="AG61" i="68"/>
  <c r="AF110" i="68"/>
  <c r="AD126" i="68"/>
  <c r="AG77" i="68"/>
  <c r="CU28" i="68"/>
  <c r="Y30" i="46"/>
  <c r="K26" i="96"/>
  <c r="L26" i="96" s="1"/>
  <c r="M26" i="96" s="1"/>
  <c r="D27" i="96"/>
  <c r="G26" i="96"/>
  <c r="D35" i="90"/>
  <c r="K34" i="90"/>
  <c r="L34" i="90" s="1"/>
  <c r="G34" i="90"/>
  <c r="K33" i="80"/>
  <c r="L33" i="80" s="1"/>
  <c r="D34" i="80"/>
  <c r="G33" i="80"/>
  <c r="U12" i="41"/>
  <c r="BW9" i="68"/>
  <c r="BW62" i="68" s="1"/>
  <c r="BW111" i="68" s="1"/>
  <c r="A24" i="70"/>
  <c r="E35" i="36"/>
  <c r="O34" i="36"/>
  <c r="P34" i="36" s="1"/>
  <c r="H34" i="36"/>
  <c r="X12" i="23"/>
  <c r="BC109" i="68"/>
  <c r="N109" i="68"/>
  <c r="M27" i="104"/>
  <c r="Z24" i="68"/>
  <c r="Z77" i="68" s="1"/>
  <c r="Z126" i="68" s="1"/>
  <c r="O33" i="97"/>
  <c r="P33" i="97" s="1"/>
  <c r="E34" i="97"/>
  <c r="H33" i="97"/>
  <c r="E34" i="90"/>
  <c r="O33" i="90"/>
  <c r="P33" i="90" s="1"/>
  <c r="H33" i="90"/>
  <c r="S26" i="102"/>
  <c r="T26" i="102" s="1"/>
  <c r="U26" i="102" s="1"/>
  <c r="F27" i="102"/>
  <c r="I26" i="102"/>
  <c r="U28" i="90"/>
  <c r="BG25" i="69"/>
  <c r="BG78" i="69" s="1"/>
  <c r="BG128" i="69" s="1"/>
  <c r="O33" i="60"/>
  <c r="P33" i="60" s="1"/>
  <c r="E34" i="60"/>
  <c r="H33" i="60"/>
  <c r="DA61" i="68"/>
  <c r="DA110" i="68" s="1"/>
  <c r="BT110" i="68"/>
  <c r="C38" i="43"/>
  <c r="C39" i="43" s="1"/>
  <c r="M13" i="1"/>
  <c r="B10" i="69"/>
  <c r="M12" i="40"/>
  <c r="D9" i="68"/>
  <c r="D62" i="68" s="1"/>
  <c r="D111" i="68" s="1"/>
  <c r="M27" i="81"/>
  <c r="O24" i="69"/>
  <c r="O77" i="69" s="1"/>
  <c r="O127" i="69" s="1"/>
  <c r="J52" i="97"/>
  <c r="B53" i="97"/>
  <c r="N53" i="97"/>
  <c r="R52" i="97"/>
  <c r="J36" i="80"/>
  <c r="B37" i="80"/>
  <c r="N37" i="80"/>
  <c r="R36" i="80"/>
  <c r="J51" i="88"/>
  <c r="L51" i="88" s="1"/>
  <c r="N52" i="88"/>
  <c r="P52" i="88" s="1"/>
  <c r="B52" i="88"/>
  <c r="R51" i="88"/>
  <c r="T51" i="88" s="1"/>
  <c r="H51" i="88"/>
  <c r="G51" i="88"/>
  <c r="I51" i="88"/>
  <c r="S36" i="85"/>
  <c r="T36" i="85" s="1"/>
  <c r="F37" i="85"/>
  <c r="I36" i="85"/>
  <c r="C53" i="64"/>
  <c r="C42" i="85"/>
  <c r="M13" i="42"/>
  <c r="O10" i="68"/>
  <c r="O63" i="68" s="1"/>
  <c r="O112" i="68" s="1"/>
  <c r="F40" i="46"/>
  <c r="I39" i="46"/>
  <c r="R39" i="46" s="1"/>
  <c r="S34" i="36"/>
  <c r="T34" i="36" s="1"/>
  <c r="F35" i="36"/>
  <c r="I34" i="36"/>
  <c r="C53" i="65"/>
  <c r="D34" i="36"/>
  <c r="K33" i="36"/>
  <c r="L33" i="36" s="1"/>
  <c r="G33" i="36"/>
  <c r="K26" i="97"/>
  <c r="L26" i="97" s="1"/>
  <c r="M26" i="97" s="1"/>
  <c r="D27" i="97"/>
  <c r="G26" i="97"/>
  <c r="M27" i="90"/>
  <c r="M24" i="69"/>
  <c r="M77" i="69" s="1"/>
  <c r="M127" i="69" s="1"/>
  <c r="S33" i="99"/>
  <c r="T33" i="99" s="1"/>
  <c r="F34" i="99"/>
  <c r="I33" i="99"/>
  <c r="U12" i="59"/>
  <c r="BN9" i="69"/>
  <c r="U12" i="40"/>
  <c r="BV9" i="68"/>
  <c r="BV62" i="68" s="1"/>
  <c r="BV111" i="68" s="1"/>
  <c r="C52" i="39"/>
  <c r="K34" i="97"/>
  <c r="L34" i="97" s="1"/>
  <c r="D35" i="97"/>
  <c r="G34" i="97"/>
  <c r="T35" i="38"/>
  <c r="U12" i="36"/>
  <c r="BB9" i="69"/>
  <c r="BB62" i="69" s="1"/>
  <c r="BB112" i="69" s="1"/>
  <c r="U13" i="62"/>
  <c r="CB10" i="68"/>
  <c r="CB63" i="68" s="1"/>
  <c r="CB112" i="68" s="1"/>
  <c r="D35" i="100"/>
  <c r="K34" i="100"/>
  <c r="L34" i="100" s="1"/>
  <c r="G34" i="100"/>
  <c r="J51" i="102"/>
  <c r="B52" i="102"/>
  <c r="N52" i="102"/>
  <c r="R51" i="102"/>
  <c r="M27" i="84"/>
  <c r="V24" i="68"/>
  <c r="V77" i="68" s="1"/>
  <c r="V126" i="68" s="1"/>
  <c r="M12" i="44"/>
  <c r="T9" i="68"/>
  <c r="T62" i="68" s="1"/>
  <c r="T111" i="68" s="1"/>
  <c r="S33" i="90"/>
  <c r="T33" i="90" s="1"/>
  <c r="F34" i="90"/>
  <c r="I33" i="90"/>
  <c r="J37" i="4"/>
  <c r="B38" i="4"/>
  <c r="N38" i="4"/>
  <c r="R37" i="4"/>
  <c r="K27" i="99"/>
  <c r="L27" i="99" s="1"/>
  <c r="M27" i="99" s="1"/>
  <c r="G27" i="99"/>
  <c r="M28" i="83"/>
  <c r="Q25" i="69"/>
  <c r="Q78" i="69" s="1"/>
  <c r="Q128" i="69" s="1"/>
  <c r="D34" i="86"/>
  <c r="K33" i="86"/>
  <c r="L33" i="86" s="1"/>
  <c r="G33" i="86"/>
  <c r="J52" i="44"/>
  <c r="D52" i="44"/>
  <c r="K52" i="44" s="1"/>
  <c r="B53" i="44"/>
  <c r="N53" i="44"/>
  <c r="E52" i="44"/>
  <c r="O52" i="44" s="1"/>
  <c r="P52" i="44" s="1"/>
  <c r="R52" i="44"/>
  <c r="T52" i="44" s="1"/>
  <c r="F52" i="44"/>
  <c r="S52" i="44" s="1"/>
  <c r="I52" i="44"/>
  <c r="G52" i="44"/>
  <c r="U13" i="65"/>
  <c r="CD10" i="68"/>
  <c r="CD63" i="68" s="1"/>
  <c r="CD112" i="68" s="1"/>
  <c r="U28" i="81"/>
  <c r="BI25" i="69"/>
  <c r="BI78" i="69" s="1"/>
  <c r="BI128" i="69" s="1"/>
  <c r="S33" i="7"/>
  <c r="T33" i="7" s="1"/>
  <c r="F34" i="7"/>
  <c r="I33" i="7"/>
  <c r="S27" i="100"/>
  <c r="T27" i="100" s="1"/>
  <c r="U27" i="100" s="1"/>
  <c r="I27" i="100"/>
  <c r="C53" i="87"/>
  <c r="C54" i="87" s="1"/>
  <c r="E110" i="69"/>
  <c r="R60" i="69"/>
  <c r="K33" i="60"/>
  <c r="L33" i="60" s="1"/>
  <c r="D34" i="60"/>
  <c r="G33" i="60"/>
  <c r="D35" i="66"/>
  <c r="K34" i="66"/>
  <c r="L34" i="66" s="1"/>
  <c r="G34" i="66"/>
  <c r="S34" i="66"/>
  <c r="T34" i="66" s="1"/>
  <c r="F35" i="66"/>
  <c r="I34" i="66"/>
  <c r="CA23" i="68"/>
  <c r="CA76" i="68" s="1"/>
  <c r="CA125" i="68" s="1"/>
  <c r="Q13" i="63"/>
  <c r="BO10" i="68"/>
  <c r="Q27" i="80"/>
  <c r="AK24" i="69"/>
  <c r="AK77" i="69" s="1"/>
  <c r="AK127" i="69" s="1"/>
  <c r="B52" i="81"/>
  <c r="J51" i="81"/>
  <c r="L51" i="81" s="1"/>
  <c r="N52" i="81"/>
  <c r="P52" i="81" s="1"/>
  <c r="R51" i="81"/>
  <c r="T51" i="81" s="1"/>
  <c r="H51" i="81"/>
  <c r="I51" i="81"/>
  <c r="G51" i="81"/>
  <c r="D27" i="102"/>
  <c r="K26" i="102"/>
  <c r="L26" i="102" s="1"/>
  <c r="M26" i="102" s="1"/>
  <c r="G26" i="102"/>
  <c r="Q26" i="86"/>
  <c r="BF23" i="68"/>
  <c r="BF76" i="68" s="1"/>
  <c r="BF125" i="68" s="1"/>
  <c r="Q14" i="65"/>
  <c r="AU11" i="68"/>
  <c r="AU64" i="68" s="1"/>
  <c r="AU113" i="68" s="1"/>
  <c r="S34" i="59"/>
  <c r="T34" i="59" s="1"/>
  <c r="F35" i="59"/>
  <c r="I34" i="59"/>
  <c r="K33" i="4"/>
  <c r="L33" i="4" s="1"/>
  <c r="D34" i="4"/>
  <c r="G33" i="4"/>
  <c r="J51" i="67"/>
  <c r="B52" i="67"/>
  <c r="C52" i="67" s="1"/>
  <c r="N52" i="67"/>
  <c r="R51" i="67"/>
  <c r="Q12" i="36"/>
  <c r="AE9" i="69"/>
  <c r="AE62" i="69" s="1"/>
  <c r="AE112" i="69" s="1"/>
  <c r="C42" i="66"/>
  <c r="C43" i="66" s="1"/>
  <c r="C53" i="41"/>
  <c r="M12" i="60"/>
  <c r="F9" i="68"/>
  <c r="F62" i="68" s="1"/>
  <c r="F111" i="68" s="1"/>
  <c r="Q14" i="62"/>
  <c r="AS11" i="68"/>
  <c r="AS64" i="68" s="1"/>
  <c r="AS113" i="68" s="1"/>
  <c r="J51" i="62"/>
  <c r="L51" i="62" s="1"/>
  <c r="B52" i="62"/>
  <c r="C52" i="62" s="1"/>
  <c r="N52" i="62"/>
  <c r="P52" i="62" s="1"/>
  <c r="R51" i="62"/>
  <c r="T51" i="62" s="1"/>
  <c r="I51" i="62"/>
  <c r="G51" i="62"/>
  <c r="H51" i="62"/>
  <c r="U26" i="97"/>
  <c r="BF23" i="69"/>
  <c r="BF76" i="69" s="1"/>
  <c r="BF126" i="69" s="1"/>
  <c r="BM127" i="68"/>
  <c r="BP78" i="68"/>
  <c r="K35" i="38"/>
  <c r="L35" i="38" s="1"/>
  <c r="D36" i="38"/>
  <c r="O33" i="4"/>
  <c r="P33" i="4" s="1"/>
  <c r="E34" i="4"/>
  <c r="H33" i="4"/>
  <c r="Q26" i="98"/>
  <c r="AH23" i="69"/>
  <c r="AH76" i="69" s="1"/>
  <c r="AH126" i="69" s="1"/>
  <c r="Q11" i="44"/>
  <c r="BC8" i="68"/>
  <c r="BC61" i="68" s="1"/>
  <c r="BC110" i="68" s="1"/>
  <c r="Q27" i="89"/>
  <c r="BJ24" i="68"/>
  <c r="BJ77" i="68" s="1"/>
  <c r="BJ126" i="68" s="1"/>
  <c r="I33" i="48"/>
  <c r="F34" i="48"/>
  <c r="W29" i="48"/>
  <c r="T29" i="48"/>
  <c r="K27" i="98"/>
  <c r="L27" i="98" s="1"/>
  <c r="M27" i="98" s="1"/>
  <c r="G27" i="98"/>
  <c r="M12" i="35"/>
  <c r="F9" i="69"/>
  <c r="F62" i="69" s="1"/>
  <c r="F112" i="69" s="1"/>
  <c r="M11" i="67"/>
  <c r="N8" i="68"/>
  <c r="N61" i="68" s="1"/>
  <c r="N110" i="68" s="1"/>
  <c r="AO8" i="69"/>
  <c r="AS8" i="69" s="1"/>
  <c r="S33" i="1"/>
  <c r="T33" i="1" s="1"/>
  <c r="F34" i="1"/>
  <c r="I33" i="1"/>
  <c r="Q12" i="61"/>
  <c r="AP9" i="68"/>
  <c r="AP62" i="68" s="1"/>
  <c r="AP111" i="68" s="1"/>
  <c r="C51" i="102"/>
  <c r="C52" i="102" s="1"/>
  <c r="C36" i="80"/>
  <c r="C37" i="80" s="1"/>
  <c r="C37" i="59"/>
  <c r="C38" i="59" s="1"/>
  <c r="N33" i="45" l="1"/>
  <c r="W33" i="45"/>
  <c r="Z33" i="45" s="1"/>
  <c r="D34" i="74"/>
  <c r="G33" i="74"/>
  <c r="K33" i="74"/>
  <c r="L33" i="74" s="1"/>
  <c r="M33" i="74" s="1"/>
  <c r="I9" i="69"/>
  <c r="I62" i="69" s="1"/>
  <c r="I112" i="69" s="1"/>
  <c r="M12" i="37"/>
  <c r="U13" i="7"/>
  <c r="AY10" i="69"/>
  <c r="AY63" i="69" s="1"/>
  <c r="AY113" i="69" s="1"/>
  <c r="CX110" i="68"/>
  <c r="CY61" i="68"/>
  <c r="CY110" i="68" s="1"/>
  <c r="J52" i="1"/>
  <c r="B53" i="1"/>
  <c r="N53" i="1"/>
  <c r="R52" i="1"/>
  <c r="K9" i="68"/>
  <c r="K62" i="68" s="1"/>
  <c r="K111" i="68" s="1"/>
  <c r="M12" i="64"/>
  <c r="J38" i="58"/>
  <c r="B39" i="58"/>
  <c r="N39" i="58"/>
  <c r="R38" i="58"/>
  <c r="Q27" i="88"/>
  <c r="BH24" i="68"/>
  <c r="BH77" i="68" s="1"/>
  <c r="BH126" i="68" s="1"/>
  <c r="BV59" i="69"/>
  <c r="BV109" i="69" s="1"/>
  <c r="C53" i="23"/>
  <c r="R61" i="69"/>
  <c r="C52" i="84"/>
  <c r="AP31" i="69"/>
  <c r="AP84" i="69" s="1"/>
  <c r="AP134" i="69" s="1"/>
  <c r="S33" i="45"/>
  <c r="U28" i="101"/>
  <c r="CK25" i="68"/>
  <c r="CK78" i="68" s="1"/>
  <c r="CK127" i="68" s="1"/>
  <c r="M12" i="65"/>
  <c r="L9" i="68"/>
  <c r="L62" i="68" s="1"/>
  <c r="L111" i="68" s="1"/>
  <c r="L54" i="40"/>
  <c r="U13" i="1"/>
  <c r="AV10" i="69"/>
  <c r="AV63" i="69" s="1"/>
  <c r="AV113" i="69" s="1"/>
  <c r="E36" i="63"/>
  <c r="H35" i="63"/>
  <c r="O35" i="63"/>
  <c r="P35" i="63" s="1"/>
  <c r="U12" i="42"/>
  <c r="CG9" i="68"/>
  <c r="CG62" i="68" s="1"/>
  <c r="CG111" i="68" s="1"/>
  <c r="U13" i="23"/>
  <c r="AX10" i="69"/>
  <c r="AX63" i="69" s="1"/>
  <c r="AX113" i="69" s="1"/>
  <c r="BM30" i="69"/>
  <c r="BM83" i="69" s="1"/>
  <c r="BM133" i="69" s="1"/>
  <c r="Y32" i="45"/>
  <c r="O33" i="74"/>
  <c r="P33" i="74" s="1"/>
  <c r="H33" i="74"/>
  <c r="E34" i="74"/>
  <c r="O27" i="99"/>
  <c r="P27" i="99" s="1"/>
  <c r="Q27" i="99" s="1"/>
  <c r="H27" i="99"/>
  <c r="H42" i="75"/>
  <c r="O42" i="75"/>
  <c r="P42" i="75" s="1"/>
  <c r="Q42" i="75" s="1"/>
  <c r="W29" i="47"/>
  <c r="Z29" i="47" s="1"/>
  <c r="N29" i="47"/>
  <c r="AM26" i="69"/>
  <c r="AM79" i="69" s="1"/>
  <c r="AM129" i="69" s="1"/>
  <c r="Q29" i="82"/>
  <c r="U12" i="37"/>
  <c r="BC9" i="69"/>
  <c r="BC62" i="69" s="1"/>
  <c r="BC112" i="69" s="1"/>
  <c r="Q13" i="41"/>
  <c r="AN10" i="68"/>
  <c r="AN63" i="68" s="1"/>
  <c r="AN112" i="68" s="1"/>
  <c r="AA10" i="69"/>
  <c r="AA63" i="69" s="1"/>
  <c r="AA113" i="69" s="1"/>
  <c r="Q13" i="23"/>
  <c r="R53" i="101"/>
  <c r="B54" i="101"/>
  <c r="J53" i="101"/>
  <c r="N54" i="101"/>
  <c r="H9" i="69"/>
  <c r="H62" i="69" s="1"/>
  <c r="H112" i="69" s="1"/>
  <c r="M12" i="36"/>
  <c r="J39" i="60"/>
  <c r="B40" i="60"/>
  <c r="N40" i="60"/>
  <c r="R39" i="60"/>
  <c r="J53" i="103"/>
  <c r="B54" i="103"/>
  <c r="N54" i="103"/>
  <c r="R53" i="103"/>
  <c r="Q14" i="38"/>
  <c r="AK11" i="68"/>
  <c r="AK64" i="68" s="1"/>
  <c r="AK113" i="68" s="1"/>
  <c r="AG25" i="68"/>
  <c r="AD78" i="68"/>
  <c r="U27" i="85"/>
  <c r="CM24" i="68"/>
  <c r="CM77" i="68" s="1"/>
  <c r="CM126" i="68" s="1"/>
  <c r="Q33" i="74"/>
  <c r="CT61" i="68"/>
  <c r="CT110" i="68" s="1"/>
  <c r="S35" i="74"/>
  <c r="T35" i="74" s="1"/>
  <c r="U35" i="74" s="1"/>
  <c r="F36" i="74"/>
  <c r="I35" i="74"/>
  <c r="J42" i="36"/>
  <c r="B43" i="36"/>
  <c r="N43" i="36"/>
  <c r="R42" i="36"/>
  <c r="D34" i="45"/>
  <c r="Q34" i="45" s="1"/>
  <c r="T34" i="45" s="1"/>
  <c r="K34" i="45"/>
  <c r="CC9" i="68"/>
  <c r="CC62" i="68" s="1"/>
  <c r="CC111" i="68" s="1"/>
  <c r="U12" i="64"/>
  <c r="T54" i="40"/>
  <c r="CX62" i="68"/>
  <c r="CY9" i="68"/>
  <c r="M13" i="4"/>
  <c r="C10" i="69"/>
  <c r="C63" i="69" s="1"/>
  <c r="C113" i="69" s="1"/>
  <c r="G23" i="69"/>
  <c r="G76" i="69" s="1"/>
  <c r="G126" i="69" s="1"/>
  <c r="M26" i="58"/>
  <c r="S30" i="69"/>
  <c r="S83" i="69" s="1"/>
  <c r="S133" i="69" s="1"/>
  <c r="M32" i="45"/>
  <c r="W12" i="59"/>
  <c r="T10" i="69"/>
  <c r="M13" i="59"/>
  <c r="BU59" i="69"/>
  <c r="BU109" i="69" s="1"/>
  <c r="BP109" i="69"/>
  <c r="BJ25" i="69"/>
  <c r="BJ78" i="69" s="1"/>
  <c r="BJ128" i="69" s="1"/>
  <c r="U28" i="82"/>
  <c r="BM28" i="68"/>
  <c r="BM81" i="68" s="1"/>
  <c r="BM130" i="68" s="1"/>
  <c r="S30" i="47"/>
  <c r="D34" i="75"/>
  <c r="K33" i="75"/>
  <c r="L33" i="75" s="1"/>
  <c r="M33" i="75" s="1"/>
  <c r="G33" i="75"/>
  <c r="U13" i="35"/>
  <c r="AZ10" i="69"/>
  <c r="AZ63" i="69" s="1"/>
  <c r="AZ113" i="69" s="1"/>
  <c r="J52" i="99"/>
  <c r="B53" i="99"/>
  <c r="N53" i="99"/>
  <c r="R52" i="99"/>
  <c r="Y28" i="47"/>
  <c r="CV26" i="68"/>
  <c r="CV79" i="68" s="1"/>
  <c r="CV128" i="68" s="1"/>
  <c r="C39" i="60"/>
  <c r="H34" i="98"/>
  <c r="E35" i="98"/>
  <c r="O34" i="98"/>
  <c r="P34" i="98" s="1"/>
  <c r="C53" i="103"/>
  <c r="C39" i="58"/>
  <c r="U27" i="87"/>
  <c r="CN24" i="68"/>
  <c r="CN77" i="68" s="1"/>
  <c r="CN126" i="68" s="1"/>
  <c r="CP24" i="68"/>
  <c r="CP77" i="68" s="1"/>
  <c r="CP126" i="68" s="1"/>
  <c r="J40" i="7"/>
  <c r="B41" i="7"/>
  <c r="N41" i="7"/>
  <c r="R40" i="7"/>
  <c r="Q14" i="1"/>
  <c r="Y11" i="69"/>
  <c r="Y64" i="69" s="1"/>
  <c r="Y114" i="69" s="1"/>
  <c r="Q16" i="35"/>
  <c r="AC13" i="69"/>
  <c r="AC66" i="69" s="1"/>
  <c r="AC116" i="69" s="1"/>
  <c r="BM79" i="68"/>
  <c r="BM129" i="68" s="1"/>
  <c r="BP26" i="68"/>
  <c r="H52" i="44"/>
  <c r="BP8" i="69"/>
  <c r="CT8" i="68"/>
  <c r="CZ8" i="68" s="1"/>
  <c r="C52" i="104"/>
  <c r="N53" i="104"/>
  <c r="P53" i="104" s="1"/>
  <c r="G52" i="104"/>
  <c r="R52" i="104"/>
  <c r="T52" i="104" s="1"/>
  <c r="B53" i="104"/>
  <c r="I52" i="104"/>
  <c r="J52" i="104"/>
  <c r="L52" i="104" s="1"/>
  <c r="H52" i="104"/>
  <c r="M13" i="61"/>
  <c r="G10" i="68"/>
  <c r="G63" i="68" s="1"/>
  <c r="G112" i="68" s="1"/>
  <c r="C40" i="7"/>
  <c r="J53" i="98"/>
  <c r="B54" i="98"/>
  <c r="C54" i="98" s="1"/>
  <c r="N54" i="98"/>
  <c r="R53" i="98"/>
  <c r="CL9" i="68"/>
  <c r="CL62" i="68" s="1"/>
  <c r="CL111" i="68" s="1"/>
  <c r="U12" i="44"/>
  <c r="CX10" i="68"/>
  <c r="U13" i="63"/>
  <c r="BO31" i="68"/>
  <c r="BO84" i="68" s="1"/>
  <c r="BO133" i="68" s="1"/>
  <c r="Q34" i="63"/>
  <c r="U9" i="69"/>
  <c r="T62" i="69"/>
  <c r="C52" i="1"/>
  <c r="C53" i="1" s="1"/>
  <c r="D31" i="47"/>
  <c r="Q31" i="47"/>
  <c r="T31" i="47" s="1"/>
  <c r="K30" i="47"/>
  <c r="M13" i="62"/>
  <c r="J10" i="68"/>
  <c r="J63" i="68" s="1"/>
  <c r="J112" i="68" s="1"/>
  <c r="T111" i="69"/>
  <c r="U61" i="69"/>
  <c r="U111" i="69" s="1"/>
  <c r="S35" i="101"/>
  <c r="T35" i="101" s="1"/>
  <c r="F36" i="101"/>
  <c r="I35" i="101"/>
  <c r="U28" i="83"/>
  <c r="BK25" i="69"/>
  <c r="BK78" i="69" s="1"/>
  <c r="BK128" i="69" s="1"/>
  <c r="U28" i="89"/>
  <c r="CS25" i="68"/>
  <c r="CS78" i="68" s="1"/>
  <c r="CS127" i="68" s="1"/>
  <c r="R109" i="69"/>
  <c r="V59" i="69"/>
  <c r="V109" i="69" s="1"/>
  <c r="E37" i="47"/>
  <c r="L36" i="47"/>
  <c r="H36" i="47"/>
  <c r="M12" i="41"/>
  <c r="E9" i="68"/>
  <c r="E62" i="68" s="1"/>
  <c r="E111" i="68" s="1"/>
  <c r="M29" i="87"/>
  <c r="X26" i="68"/>
  <c r="X79" i="68" s="1"/>
  <c r="X128" i="68" s="1"/>
  <c r="I30" i="75"/>
  <c r="S30" i="75"/>
  <c r="T30" i="75" s="1"/>
  <c r="U30" i="75" s="1"/>
  <c r="F31" i="75"/>
  <c r="R52" i="63"/>
  <c r="J52" i="63"/>
  <c r="N53" i="63"/>
  <c r="B53" i="63"/>
  <c r="J39" i="86"/>
  <c r="B40" i="86"/>
  <c r="N40" i="86"/>
  <c r="R39" i="86"/>
  <c r="AD26" i="68"/>
  <c r="M28" i="47"/>
  <c r="Q13" i="39"/>
  <c r="AL10" i="68"/>
  <c r="AL63" i="68" s="1"/>
  <c r="AL112" i="68" s="1"/>
  <c r="E38" i="48"/>
  <c r="H37" i="48"/>
  <c r="J34" i="48"/>
  <c r="G35" i="48"/>
  <c r="N31" i="46"/>
  <c r="E36" i="46"/>
  <c r="H35" i="46"/>
  <c r="F37" i="47"/>
  <c r="R36" i="47"/>
  <c r="I36" i="47"/>
  <c r="I34" i="103"/>
  <c r="F35" i="103"/>
  <c r="S34" i="103"/>
  <c r="T34" i="103" s="1"/>
  <c r="M37" i="63"/>
  <c r="AF34" i="68"/>
  <c r="AF87" i="68" s="1"/>
  <c r="E35" i="64"/>
  <c r="H34" i="64"/>
  <c r="O34" i="64"/>
  <c r="P34" i="64" s="1"/>
  <c r="I34" i="100"/>
  <c r="F35" i="100"/>
  <c r="S34" i="100"/>
  <c r="T34" i="100" s="1"/>
  <c r="H34" i="38"/>
  <c r="O34" i="38"/>
  <c r="P34" i="38" s="1"/>
  <c r="E35" i="38"/>
  <c r="F36" i="97"/>
  <c r="I35" i="97"/>
  <c r="S35" i="97"/>
  <c r="T35" i="97" s="1"/>
  <c r="Q24" i="68"/>
  <c r="Q77" i="68" s="1"/>
  <c r="Q126" i="68" s="1"/>
  <c r="L24" i="69"/>
  <c r="L77" i="69" s="1"/>
  <c r="L127" i="69" s="1"/>
  <c r="CI24" i="68"/>
  <c r="CI77" i="68" s="1"/>
  <c r="CI126" i="68" s="1"/>
  <c r="H24" i="68"/>
  <c r="H77" i="68" s="1"/>
  <c r="H126" i="68" s="1"/>
  <c r="U28" i="96"/>
  <c r="BD25" i="69"/>
  <c r="BD78" i="69" s="1"/>
  <c r="BD128" i="69" s="1"/>
  <c r="U28" i="100"/>
  <c r="BZ25" i="68"/>
  <c r="BZ78" i="68" s="1"/>
  <c r="BZ127" i="68" s="1"/>
  <c r="M28" i="99"/>
  <c r="I25" i="68"/>
  <c r="I78" i="68" s="1"/>
  <c r="I127" i="68" s="1"/>
  <c r="J24" i="69"/>
  <c r="J77" i="69" s="1"/>
  <c r="J127" i="69" s="1"/>
  <c r="M28" i="98"/>
  <c r="K25" i="69"/>
  <c r="K78" i="69" s="1"/>
  <c r="K128" i="69" s="1"/>
  <c r="Q28" i="100"/>
  <c r="AQ25" i="68"/>
  <c r="AQ78" i="68" s="1"/>
  <c r="AQ127" i="68" s="1"/>
  <c r="Q29" i="104"/>
  <c r="BI26" i="68"/>
  <c r="BI79" i="68" s="1"/>
  <c r="BI128" i="68" s="1"/>
  <c r="U28" i="103"/>
  <c r="CH25" i="68"/>
  <c r="CH78" i="68" s="1"/>
  <c r="CH127" i="68" s="1"/>
  <c r="Q28" i="102"/>
  <c r="AZ25" i="68"/>
  <c r="AZ78" i="68" s="1"/>
  <c r="AZ127" i="68" s="1"/>
  <c r="U29" i="104"/>
  <c r="CR26" i="68"/>
  <c r="CR79" i="68" s="1"/>
  <c r="CR128" i="68" s="1"/>
  <c r="AY24" i="68"/>
  <c r="AY77" i="68" s="1"/>
  <c r="AY126" i="68" s="1"/>
  <c r="BB24" i="68"/>
  <c r="BB77" i="68" s="1"/>
  <c r="BB126" i="68" s="1"/>
  <c r="S34" i="1"/>
  <c r="T34" i="1" s="1"/>
  <c r="F35" i="1"/>
  <c r="I34" i="1"/>
  <c r="Q28" i="89"/>
  <c r="BJ25" i="68"/>
  <c r="BJ78" i="68" s="1"/>
  <c r="BJ127" i="68" s="1"/>
  <c r="K36" i="38"/>
  <c r="D37" i="38"/>
  <c r="K34" i="4"/>
  <c r="L34" i="4" s="1"/>
  <c r="D35" i="4"/>
  <c r="G34" i="4"/>
  <c r="S35" i="59"/>
  <c r="T35" i="59" s="1"/>
  <c r="F36" i="59"/>
  <c r="I35" i="59"/>
  <c r="K27" i="102"/>
  <c r="L27" i="102" s="1"/>
  <c r="M27" i="102" s="1"/>
  <c r="G27" i="102"/>
  <c r="BO63" i="68"/>
  <c r="BP10" i="68"/>
  <c r="S34" i="7"/>
  <c r="T34" i="7" s="1"/>
  <c r="F35" i="7"/>
  <c r="I34" i="7"/>
  <c r="U29" i="81"/>
  <c r="BI26" i="69"/>
  <c r="BI79" i="69" s="1"/>
  <c r="BI129" i="69" s="1"/>
  <c r="L52" i="44"/>
  <c r="M28" i="84"/>
  <c r="V25" i="68"/>
  <c r="V78" i="68" s="1"/>
  <c r="V127" i="68" s="1"/>
  <c r="J52" i="102"/>
  <c r="B53" i="102"/>
  <c r="N53" i="102"/>
  <c r="R52" i="102"/>
  <c r="K35" i="97"/>
  <c r="L35" i="97" s="1"/>
  <c r="D36" i="97"/>
  <c r="G35" i="97"/>
  <c r="U13" i="40"/>
  <c r="BV10" i="68"/>
  <c r="BV63" i="68" s="1"/>
  <c r="BV112" i="68" s="1"/>
  <c r="S34" i="99"/>
  <c r="T34" i="99" s="1"/>
  <c r="F35" i="99"/>
  <c r="I34" i="99"/>
  <c r="F41" i="46"/>
  <c r="I40" i="46"/>
  <c r="R40" i="46" s="1"/>
  <c r="S37" i="85"/>
  <c r="T37" i="85" s="1"/>
  <c r="F38" i="85"/>
  <c r="I37" i="85"/>
  <c r="M13" i="40"/>
  <c r="D10" i="68"/>
  <c r="D63" i="68" s="1"/>
  <c r="D112" i="68" s="1"/>
  <c r="O34" i="60"/>
  <c r="P34" i="60" s="1"/>
  <c r="E35" i="60"/>
  <c r="H34" i="60"/>
  <c r="U29" i="90"/>
  <c r="BG26" i="69"/>
  <c r="BG79" i="69" s="1"/>
  <c r="BG129" i="69" s="1"/>
  <c r="O34" i="97"/>
  <c r="P34" i="97" s="1"/>
  <c r="E35" i="97"/>
  <c r="H34" i="97"/>
  <c r="O36" i="67"/>
  <c r="P36" i="67" s="1"/>
  <c r="E37" i="67"/>
  <c r="H36" i="67"/>
  <c r="J54" i="87"/>
  <c r="L54" i="87" s="1"/>
  <c r="R54" i="87"/>
  <c r="T54" i="87" s="1"/>
  <c r="I54" i="87"/>
  <c r="H54" i="87"/>
  <c r="G54" i="87"/>
  <c r="O35" i="99"/>
  <c r="P35" i="99" s="1"/>
  <c r="E36" i="99"/>
  <c r="H35" i="99"/>
  <c r="J52" i="37"/>
  <c r="L52" i="37" s="1"/>
  <c r="B53" i="37"/>
  <c r="N53" i="37"/>
  <c r="P53" i="37" s="1"/>
  <c r="R52" i="37"/>
  <c r="T52" i="37" s="1"/>
  <c r="G52" i="37"/>
  <c r="H52" i="37"/>
  <c r="I52" i="37"/>
  <c r="M13" i="66"/>
  <c r="M10" i="68"/>
  <c r="M63" i="68" s="1"/>
  <c r="M112" i="68" s="1"/>
  <c r="D36" i="7"/>
  <c r="K35" i="7"/>
  <c r="L35" i="7" s="1"/>
  <c r="G35" i="7"/>
  <c r="B112" i="69"/>
  <c r="R62" i="69"/>
  <c r="S37" i="63"/>
  <c r="T37" i="63" s="1"/>
  <c r="F38" i="63"/>
  <c r="I37" i="63"/>
  <c r="K35" i="67"/>
  <c r="L35" i="67" s="1"/>
  <c r="D36" i="67"/>
  <c r="G35" i="67"/>
  <c r="K27" i="100"/>
  <c r="L27" i="100" s="1"/>
  <c r="M27" i="100" s="1"/>
  <c r="G27" i="100"/>
  <c r="M46" i="72"/>
  <c r="M54" i="72" s="1"/>
  <c r="M29" i="80"/>
  <c r="N26" i="69"/>
  <c r="N79" i="69" s="1"/>
  <c r="N129" i="69" s="1"/>
  <c r="D33" i="46"/>
  <c r="K32" i="46"/>
  <c r="W32" i="46" s="1"/>
  <c r="Z32" i="46" s="1"/>
  <c r="Q33" i="46"/>
  <c r="T33" i="46" s="1"/>
  <c r="Q13" i="37"/>
  <c r="AF10" i="69"/>
  <c r="AF63" i="69" s="1"/>
  <c r="AF113" i="69" s="1"/>
  <c r="CU128" i="68"/>
  <c r="J53" i="64"/>
  <c r="B54" i="64"/>
  <c r="N54" i="64"/>
  <c r="R53" i="64"/>
  <c r="M27" i="103"/>
  <c r="P24" i="68"/>
  <c r="P77" i="68" s="1"/>
  <c r="P126" i="68" s="1"/>
  <c r="AB8" i="68"/>
  <c r="AH8" i="68" s="1"/>
  <c r="AG10" i="68"/>
  <c r="AF63" i="68"/>
  <c r="Q26" i="58"/>
  <c r="AD23" i="69"/>
  <c r="AD76" i="69" s="1"/>
  <c r="AD126" i="69" s="1"/>
  <c r="O35" i="102"/>
  <c r="P35" i="102" s="1"/>
  <c r="E36" i="102"/>
  <c r="H35" i="102"/>
  <c r="J53" i="65"/>
  <c r="L53" i="65" s="1"/>
  <c r="B54" i="65"/>
  <c r="N54" i="65"/>
  <c r="P54" i="65" s="1"/>
  <c r="R53" i="65"/>
  <c r="T53" i="65" s="1"/>
  <c r="H53" i="65"/>
  <c r="G53" i="65"/>
  <c r="I53" i="65"/>
  <c r="BT110" i="69"/>
  <c r="BV60" i="69"/>
  <c r="BV110" i="69" s="1"/>
  <c r="O27" i="101"/>
  <c r="P27" i="101" s="1"/>
  <c r="Q27" i="101" s="1"/>
  <c r="H27" i="101"/>
  <c r="G36" i="38"/>
  <c r="K35" i="35"/>
  <c r="L35" i="35" s="1"/>
  <c r="D36" i="35"/>
  <c r="G35" i="35"/>
  <c r="S35" i="67"/>
  <c r="T35" i="67" s="1"/>
  <c r="F36" i="67"/>
  <c r="I35" i="67"/>
  <c r="J53" i="41"/>
  <c r="L53" i="41" s="1"/>
  <c r="B54" i="41"/>
  <c r="N54" i="41"/>
  <c r="P54" i="41" s="1"/>
  <c r="R53" i="41"/>
  <c r="T53" i="41" s="1"/>
  <c r="I53" i="41"/>
  <c r="G53" i="41"/>
  <c r="H53" i="41"/>
  <c r="O34" i="23"/>
  <c r="P34" i="23" s="1"/>
  <c r="E35" i="23"/>
  <c r="H34" i="23"/>
  <c r="M28" i="89"/>
  <c r="AA25" i="68"/>
  <c r="AA78" i="68" s="1"/>
  <c r="AA127" i="68" s="1"/>
  <c r="Q14" i="66"/>
  <c r="AV11" i="68"/>
  <c r="AV64" i="68" s="1"/>
  <c r="AV113" i="68" s="1"/>
  <c r="S34" i="96"/>
  <c r="T34" i="96" s="1"/>
  <c r="F35" i="96"/>
  <c r="I34" i="96"/>
  <c r="S34" i="64"/>
  <c r="T34" i="64" s="1"/>
  <c r="F35" i="64"/>
  <c r="I34" i="64"/>
  <c r="O35" i="7"/>
  <c r="P35" i="7" s="1"/>
  <c r="E36" i="7"/>
  <c r="H35" i="7"/>
  <c r="O34" i="43"/>
  <c r="P34" i="43" s="1"/>
  <c r="E35" i="43"/>
  <c r="H34" i="43"/>
  <c r="J51" i="42"/>
  <c r="L51" i="42" s="1"/>
  <c r="B52" i="42"/>
  <c r="N52" i="42"/>
  <c r="P52" i="42" s="1"/>
  <c r="R51" i="42"/>
  <c r="T51" i="42" s="1"/>
  <c r="I51" i="42"/>
  <c r="H51" i="42"/>
  <c r="G51" i="42"/>
  <c r="Q30" i="83"/>
  <c r="AN27" i="69"/>
  <c r="AN80" i="69" s="1"/>
  <c r="AN130" i="69" s="1"/>
  <c r="O34" i="101"/>
  <c r="P34" i="101" s="1"/>
  <c r="E35" i="101"/>
  <c r="H34" i="101"/>
  <c r="AB108" i="68"/>
  <c r="AH59" i="68"/>
  <c r="AH108" i="68" s="1"/>
  <c r="K34" i="1"/>
  <c r="L34" i="1" s="1"/>
  <c r="D35" i="1"/>
  <c r="G34" i="1"/>
  <c r="Q13" i="61"/>
  <c r="AP10" i="68"/>
  <c r="AP63" i="68" s="1"/>
  <c r="AP112" i="68" s="1"/>
  <c r="M12" i="67"/>
  <c r="N9" i="68"/>
  <c r="N62" i="68" s="1"/>
  <c r="N111" i="68" s="1"/>
  <c r="I34" i="48"/>
  <c r="F35" i="48"/>
  <c r="O34" i="4"/>
  <c r="P34" i="4" s="1"/>
  <c r="E35" i="4"/>
  <c r="H34" i="4"/>
  <c r="Q15" i="62"/>
  <c r="AS12" i="68"/>
  <c r="AS65" i="68" s="1"/>
  <c r="AS114" i="68" s="1"/>
  <c r="J52" i="67"/>
  <c r="B53" i="67"/>
  <c r="N53" i="67"/>
  <c r="R52" i="67"/>
  <c r="Q27" i="86"/>
  <c r="BF24" i="68"/>
  <c r="BF77" i="68" s="1"/>
  <c r="BF126" i="68" s="1"/>
  <c r="BO11" i="68"/>
  <c r="Q14" i="63"/>
  <c r="S35" i="66"/>
  <c r="T35" i="66" s="1"/>
  <c r="F36" i="66"/>
  <c r="I35" i="66"/>
  <c r="K35" i="66"/>
  <c r="L35" i="66" s="1"/>
  <c r="D36" i="66"/>
  <c r="G35" i="66"/>
  <c r="R110" i="69"/>
  <c r="V60" i="69"/>
  <c r="V110" i="69" s="1"/>
  <c r="M29" i="83"/>
  <c r="Q26" i="69"/>
  <c r="Q79" i="69" s="1"/>
  <c r="Q129" i="69" s="1"/>
  <c r="S34" i="90"/>
  <c r="T34" i="90" s="1"/>
  <c r="F35" i="90"/>
  <c r="I34" i="90"/>
  <c r="K35" i="100"/>
  <c r="L35" i="100" s="1"/>
  <c r="D36" i="100"/>
  <c r="G35" i="100"/>
  <c r="U13" i="36"/>
  <c r="BB10" i="69"/>
  <c r="BB63" i="69" s="1"/>
  <c r="BB113" i="69" s="1"/>
  <c r="BN62" i="69"/>
  <c r="BO9" i="69"/>
  <c r="K27" i="97"/>
  <c r="L27" i="97" s="1"/>
  <c r="M27" i="97" s="1"/>
  <c r="G27" i="97"/>
  <c r="K34" i="36"/>
  <c r="L34" i="36" s="1"/>
  <c r="D35" i="36"/>
  <c r="G34" i="36"/>
  <c r="S35" i="36"/>
  <c r="T35" i="36" s="1"/>
  <c r="F36" i="36"/>
  <c r="I35" i="36"/>
  <c r="J53" i="97"/>
  <c r="B54" i="97"/>
  <c r="N54" i="97"/>
  <c r="R53" i="97"/>
  <c r="B63" i="69"/>
  <c r="K27" i="96"/>
  <c r="L27" i="96" s="1"/>
  <c r="M27" i="96" s="1"/>
  <c r="G27" i="96"/>
  <c r="BT112" i="68"/>
  <c r="M13" i="39"/>
  <c r="C10" i="68"/>
  <c r="C63" i="68" s="1"/>
  <c r="C112" i="68" s="1"/>
  <c r="S34" i="23"/>
  <c r="T34" i="23" s="1"/>
  <c r="F35" i="23"/>
  <c r="I34" i="23"/>
  <c r="U29" i="80"/>
  <c r="BH26" i="69"/>
  <c r="BH79" i="69" s="1"/>
  <c r="BH129" i="69" s="1"/>
  <c r="AO110" i="69"/>
  <c r="AS60" i="69"/>
  <c r="AS110" i="69" s="1"/>
  <c r="J52" i="61"/>
  <c r="L52" i="61" s="1"/>
  <c r="B53" i="61"/>
  <c r="N53" i="61"/>
  <c r="P53" i="61" s="1"/>
  <c r="R52" i="61"/>
  <c r="T52" i="61" s="1"/>
  <c r="G52" i="61"/>
  <c r="H52" i="61"/>
  <c r="I52" i="61"/>
  <c r="BO110" i="69"/>
  <c r="BP60" i="69"/>
  <c r="Q13" i="60"/>
  <c r="AO10" i="68"/>
  <c r="AO63" i="68" s="1"/>
  <c r="AO112" i="68" s="1"/>
  <c r="Q28" i="97"/>
  <c r="AI25" i="69"/>
  <c r="AI78" i="69" s="1"/>
  <c r="AI128" i="69" s="1"/>
  <c r="Q14" i="67"/>
  <c r="AW11" i="68"/>
  <c r="AW64" i="68" s="1"/>
  <c r="AW113" i="68" s="1"/>
  <c r="J42" i="96"/>
  <c r="B43" i="96"/>
  <c r="N43" i="96"/>
  <c r="R42" i="96"/>
  <c r="BL130" i="68"/>
  <c r="K34" i="103"/>
  <c r="L34" i="103" s="1"/>
  <c r="D35" i="103"/>
  <c r="G34" i="103"/>
  <c r="Q14" i="59"/>
  <c r="AQ11" i="69"/>
  <c r="V13" i="59"/>
  <c r="O34" i="35"/>
  <c r="P34" i="35" s="1"/>
  <c r="E35" i="35"/>
  <c r="H34" i="35"/>
  <c r="Q13" i="43"/>
  <c r="BA10" i="68"/>
  <c r="BA63" i="68" s="1"/>
  <c r="BA112" i="68" s="1"/>
  <c r="R9" i="69"/>
  <c r="V9" i="69" s="1"/>
  <c r="O34" i="96"/>
  <c r="P34" i="96" s="1"/>
  <c r="E35" i="96"/>
  <c r="H34" i="96"/>
  <c r="K34" i="101"/>
  <c r="L34" i="101" s="1"/>
  <c r="D35" i="101"/>
  <c r="G34" i="101"/>
  <c r="J39" i="43"/>
  <c r="B40" i="43"/>
  <c r="N40" i="43"/>
  <c r="K34" i="98"/>
  <c r="L34" i="98" s="1"/>
  <c r="D35" i="98"/>
  <c r="G34" i="98"/>
  <c r="BK109" i="68"/>
  <c r="BQ60" i="68"/>
  <c r="AF11" i="68"/>
  <c r="M14" i="63"/>
  <c r="U33" i="86"/>
  <c r="CO30" i="68"/>
  <c r="CO83" i="68" s="1"/>
  <c r="CO132" i="68" s="1"/>
  <c r="Z63" i="69"/>
  <c r="AC129" i="68"/>
  <c r="Q13" i="7"/>
  <c r="AB10" i="69"/>
  <c r="AB63" i="69" s="1"/>
  <c r="AB113" i="69" s="1"/>
  <c r="K35" i="102"/>
  <c r="L35" i="102" s="1"/>
  <c r="D36" i="102"/>
  <c r="G35" i="102"/>
  <c r="K35" i="85"/>
  <c r="L35" i="85" s="1"/>
  <c r="D36" i="85"/>
  <c r="G35" i="85"/>
  <c r="J37" i="38"/>
  <c r="B38" i="38"/>
  <c r="N38" i="38"/>
  <c r="R37" i="38"/>
  <c r="G37" i="38"/>
  <c r="R111" i="69"/>
  <c r="V61" i="69"/>
  <c r="V111" i="69" s="1"/>
  <c r="K35" i="43"/>
  <c r="L35" i="43" s="1"/>
  <c r="D36" i="43"/>
  <c r="G35" i="43"/>
  <c r="M28" i="85"/>
  <c r="U25" i="68"/>
  <c r="U78" i="68" s="1"/>
  <c r="U127" i="68" s="1"/>
  <c r="C42" i="96"/>
  <c r="C43" i="96" s="1"/>
  <c r="AW62" i="69"/>
  <c r="BL9" i="69"/>
  <c r="J38" i="89"/>
  <c r="L38" i="89" s="1"/>
  <c r="B39" i="89"/>
  <c r="N39" i="89"/>
  <c r="P39" i="89" s="1"/>
  <c r="R38" i="89"/>
  <c r="T38" i="89" s="1"/>
  <c r="I38" i="89"/>
  <c r="H38" i="89"/>
  <c r="G38" i="89"/>
  <c r="B54" i="48"/>
  <c r="K31" i="48"/>
  <c r="W31" i="48" s="1"/>
  <c r="D32" i="48"/>
  <c r="Q32" i="48"/>
  <c r="S35" i="86"/>
  <c r="T35" i="86" s="1"/>
  <c r="F36" i="86"/>
  <c r="I35" i="86"/>
  <c r="U12" i="66"/>
  <c r="CE9" i="68"/>
  <c r="CE62" i="68" s="1"/>
  <c r="CE111" i="68" s="1"/>
  <c r="J52" i="84"/>
  <c r="L52" i="84" s="1"/>
  <c r="B53" i="84"/>
  <c r="G52" i="84"/>
  <c r="I52" i="84"/>
  <c r="H52" i="84"/>
  <c r="N53" i="84"/>
  <c r="P53" i="84" s="1"/>
  <c r="Q53" i="84" s="1"/>
  <c r="R52" i="84"/>
  <c r="T52" i="84" s="1"/>
  <c r="CZ59" i="68"/>
  <c r="AF111" i="68"/>
  <c r="AG62" i="68"/>
  <c r="B39" i="59"/>
  <c r="J38" i="59"/>
  <c r="N39" i="59"/>
  <c r="R38" i="59"/>
  <c r="BM131" i="69"/>
  <c r="BM130" i="69"/>
  <c r="S34" i="98"/>
  <c r="T34" i="98" s="1"/>
  <c r="F35" i="98"/>
  <c r="I34" i="98"/>
  <c r="S35" i="58"/>
  <c r="T35" i="58" s="1"/>
  <c r="F36" i="58"/>
  <c r="I35" i="58"/>
  <c r="C37" i="38"/>
  <c r="C38" i="38" s="1"/>
  <c r="AW111" i="69"/>
  <c r="BT61" i="69"/>
  <c r="BL61" i="69"/>
  <c r="C39" i="59"/>
  <c r="R29" i="48"/>
  <c r="T30" i="48" s="1"/>
  <c r="BN27" i="68"/>
  <c r="Z29" i="48"/>
  <c r="S29" i="48"/>
  <c r="Q12" i="44"/>
  <c r="BC9" i="68"/>
  <c r="BC62" i="68" s="1"/>
  <c r="BC111" i="68" s="1"/>
  <c r="BP127" i="68"/>
  <c r="J52" i="62"/>
  <c r="L52" i="62" s="1"/>
  <c r="B53" i="62"/>
  <c r="C53" i="62" s="1"/>
  <c r="N53" i="62"/>
  <c r="P53" i="62" s="1"/>
  <c r="R52" i="62"/>
  <c r="T52" i="62" s="1"/>
  <c r="G52" i="62"/>
  <c r="H52" i="62"/>
  <c r="I52" i="62"/>
  <c r="Q28" i="80"/>
  <c r="AK25" i="69"/>
  <c r="AK78" i="69" s="1"/>
  <c r="AK128" i="69" s="1"/>
  <c r="U14" i="65"/>
  <c r="CD11" i="68"/>
  <c r="CD64" i="68" s="1"/>
  <c r="CD113" i="68" s="1"/>
  <c r="J53" i="44"/>
  <c r="L53" i="44" s="1"/>
  <c r="D53" i="44"/>
  <c r="K53" i="44" s="1"/>
  <c r="B54" i="44"/>
  <c r="E53" i="44"/>
  <c r="O53" i="44" s="1"/>
  <c r="P53" i="44" s="1"/>
  <c r="N54" i="44"/>
  <c r="R53" i="44"/>
  <c r="F53" i="44"/>
  <c r="S53" i="44" s="1"/>
  <c r="H53" i="44"/>
  <c r="G53" i="44"/>
  <c r="J38" i="4"/>
  <c r="B39" i="4"/>
  <c r="N39" i="4"/>
  <c r="R38" i="4"/>
  <c r="M13" i="44"/>
  <c r="T10" i="68"/>
  <c r="T63" i="68" s="1"/>
  <c r="T112" i="68" s="1"/>
  <c r="U13" i="59"/>
  <c r="BN10" i="69"/>
  <c r="C54" i="65"/>
  <c r="M14" i="42"/>
  <c r="O11" i="68"/>
  <c r="O64" i="68" s="1"/>
  <c r="O113" i="68" s="1"/>
  <c r="C54" i="64"/>
  <c r="J52" i="88"/>
  <c r="L52" i="88" s="1"/>
  <c r="B53" i="88"/>
  <c r="N53" i="88"/>
  <c r="P53" i="88" s="1"/>
  <c r="R52" i="88"/>
  <c r="T52" i="88" s="1"/>
  <c r="H52" i="88"/>
  <c r="I52" i="88"/>
  <c r="G52" i="88"/>
  <c r="J37" i="80"/>
  <c r="B38" i="80"/>
  <c r="N38" i="80"/>
  <c r="R37" i="80"/>
  <c r="M28" i="81"/>
  <c r="O25" i="69"/>
  <c r="O78" i="69" s="1"/>
  <c r="O128" i="69" s="1"/>
  <c r="M14" i="1"/>
  <c r="B11" i="69"/>
  <c r="S27" i="102"/>
  <c r="T27" i="102" s="1"/>
  <c r="U27" i="102" s="1"/>
  <c r="I27" i="102"/>
  <c r="O34" i="90"/>
  <c r="P34" i="90" s="1"/>
  <c r="E35" i="90"/>
  <c r="H34" i="90"/>
  <c r="U13" i="41"/>
  <c r="BW10" i="68"/>
  <c r="BW63" i="68" s="1"/>
  <c r="BW112" i="68" s="1"/>
  <c r="CU81" i="68"/>
  <c r="AG110" i="68"/>
  <c r="U14" i="38"/>
  <c r="BT11" i="68"/>
  <c r="BT64" i="68" s="1"/>
  <c r="U28" i="98"/>
  <c r="BE25" i="69"/>
  <c r="BE78" i="69" s="1"/>
  <c r="BE128" i="69" s="1"/>
  <c r="M13" i="43"/>
  <c r="R10" i="68"/>
  <c r="R63" i="68" s="1"/>
  <c r="R112" i="68" s="1"/>
  <c r="CT109" i="68"/>
  <c r="CZ60" i="68"/>
  <c r="AB9" i="68"/>
  <c r="AH9" i="68" s="1"/>
  <c r="B62" i="68"/>
  <c r="M27" i="88"/>
  <c r="Y24" i="68"/>
  <c r="Y77" i="68" s="1"/>
  <c r="Y126" i="68" s="1"/>
  <c r="J53" i="90"/>
  <c r="B54" i="90"/>
  <c r="N54" i="90"/>
  <c r="R53" i="90"/>
  <c r="AC81" i="68"/>
  <c r="D36" i="63"/>
  <c r="G35" i="63"/>
  <c r="K35" i="63"/>
  <c r="L35" i="63" s="1"/>
  <c r="K35" i="96"/>
  <c r="L35" i="96" s="1"/>
  <c r="D36" i="96"/>
  <c r="G35" i="96"/>
  <c r="BN111" i="69"/>
  <c r="BO61" i="69"/>
  <c r="U26" i="58"/>
  <c r="BA23" i="69"/>
  <c r="BA76" i="69" s="1"/>
  <c r="BA126" i="69" s="1"/>
  <c r="J53" i="35"/>
  <c r="B54" i="35"/>
  <c r="N54" i="35"/>
  <c r="R53" i="35"/>
  <c r="Q13" i="42"/>
  <c r="AX10" i="68"/>
  <c r="AX63" i="68" s="1"/>
  <c r="AX112" i="68" s="1"/>
  <c r="M28" i="82"/>
  <c r="P25" i="69"/>
  <c r="P78" i="69" s="1"/>
  <c r="P128" i="69" s="1"/>
  <c r="S27" i="99"/>
  <c r="T27" i="99" s="1"/>
  <c r="I27" i="99"/>
  <c r="BL30" i="68"/>
  <c r="S32" i="46"/>
  <c r="S35" i="35"/>
  <c r="T35" i="35" s="1"/>
  <c r="F36" i="35"/>
  <c r="I35" i="35"/>
  <c r="O34" i="66"/>
  <c r="P34" i="66" s="1"/>
  <c r="E35" i="66"/>
  <c r="H34" i="66"/>
  <c r="Q28" i="81"/>
  <c r="AL25" i="69"/>
  <c r="AL78" i="69" s="1"/>
  <c r="AL128" i="69" s="1"/>
  <c r="L30" i="48"/>
  <c r="AE28" i="68"/>
  <c r="AE81" i="68" s="1"/>
  <c r="AE130" i="68" s="1"/>
  <c r="M30" i="48"/>
  <c r="O27" i="103"/>
  <c r="P27" i="103" s="1"/>
  <c r="Q27" i="103" s="1"/>
  <c r="H27" i="103"/>
  <c r="K35" i="64"/>
  <c r="L35" i="64" s="1"/>
  <c r="D36" i="64"/>
  <c r="G35" i="64"/>
  <c r="U12" i="61"/>
  <c r="BY9" i="68"/>
  <c r="BY62" i="68" s="1"/>
  <c r="BY111" i="68" s="1"/>
  <c r="AM62" i="68"/>
  <c r="BK9" i="68"/>
  <c r="BQ9" i="68" s="1"/>
  <c r="J52" i="39"/>
  <c r="L52" i="39" s="1"/>
  <c r="B53" i="39"/>
  <c r="N53" i="39"/>
  <c r="P53" i="39" s="1"/>
  <c r="R52" i="39"/>
  <c r="T52" i="39" s="1"/>
  <c r="I52" i="39"/>
  <c r="H52" i="39"/>
  <c r="G52" i="39"/>
  <c r="BU62" i="68"/>
  <c r="Q14" i="4"/>
  <c r="Z11" i="69"/>
  <c r="D36" i="58"/>
  <c r="K35" i="58"/>
  <c r="L35" i="58" s="1"/>
  <c r="G35" i="58"/>
  <c r="J38" i="82"/>
  <c r="L38" i="82" s="1"/>
  <c r="B39" i="82"/>
  <c r="N39" i="82"/>
  <c r="P39" i="82" s="1"/>
  <c r="R38" i="82"/>
  <c r="T38" i="82" s="1"/>
  <c r="I38" i="82"/>
  <c r="H38" i="82"/>
  <c r="G38" i="82"/>
  <c r="C39" i="89"/>
  <c r="L36" i="38"/>
  <c r="K35" i="23"/>
  <c r="L35" i="23" s="1"/>
  <c r="D36" i="23"/>
  <c r="G35" i="23"/>
  <c r="K34" i="59"/>
  <c r="L34" i="59" s="1"/>
  <c r="D35" i="59"/>
  <c r="G34" i="59"/>
  <c r="S35" i="60"/>
  <c r="T35" i="60" s="1"/>
  <c r="F36" i="60"/>
  <c r="I35" i="60"/>
  <c r="BK108" i="68"/>
  <c r="BQ59" i="68"/>
  <c r="BQ108" i="68" s="1"/>
  <c r="U13" i="4"/>
  <c r="AW10" i="69"/>
  <c r="Y12" i="23"/>
  <c r="C53" i="84"/>
  <c r="U14" i="67"/>
  <c r="CF11" i="68"/>
  <c r="CF64" i="68" s="1"/>
  <c r="CF113" i="68" s="1"/>
  <c r="M14" i="23"/>
  <c r="D11" i="69"/>
  <c r="D64" i="69" s="1"/>
  <c r="D114" i="69" s="1"/>
  <c r="W13" i="23"/>
  <c r="BL82" i="68"/>
  <c r="K34" i="99"/>
  <c r="L34" i="99" s="1"/>
  <c r="D35" i="99"/>
  <c r="G34" i="99"/>
  <c r="AM110" i="68"/>
  <c r="BK61" i="68"/>
  <c r="BK110" i="68" s="1"/>
  <c r="C52" i="42"/>
  <c r="O34" i="58"/>
  <c r="P34" i="58" s="1"/>
  <c r="E35" i="58"/>
  <c r="H34" i="58"/>
  <c r="O36" i="100"/>
  <c r="P36" i="100" s="1"/>
  <c r="E37" i="100"/>
  <c r="H36" i="100"/>
  <c r="AO9" i="69"/>
  <c r="AS9" i="69" s="1"/>
  <c r="L46" i="72"/>
  <c r="L54" i="72" s="1"/>
  <c r="O34" i="1"/>
  <c r="P34" i="1" s="1"/>
  <c r="E35" i="1"/>
  <c r="H34" i="1"/>
  <c r="CU129" i="68"/>
  <c r="C53" i="97"/>
  <c r="C54" i="97" s="1"/>
  <c r="C53" i="44"/>
  <c r="C54" i="44" s="1"/>
  <c r="C38" i="80"/>
  <c r="M13" i="35"/>
  <c r="F10" i="69"/>
  <c r="F63" i="69" s="1"/>
  <c r="F113" i="69" s="1"/>
  <c r="Q27" i="98"/>
  <c r="AH24" i="69"/>
  <c r="AH77" i="69" s="1"/>
  <c r="AH127" i="69" s="1"/>
  <c r="U27" i="97"/>
  <c r="BF24" i="69"/>
  <c r="BF77" i="69" s="1"/>
  <c r="BF127" i="69" s="1"/>
  <c r="M13" i="60"/>
  <c r="F10" i="68"/>
  <c r="F63" i="68" s="1"/>
  <c r="F112" i="68" s="1"/>
  <c r="Q13" i="36"/>
  <c r="AE10" i="69"/>
  <c r="AE63" i="69" s="1"/>
  <c r="AE113" i="69" s="1"/>
  <c r="Q15" i="65"/>
  <c r="AU12" i="68"/>
  <c r="AU65" i="68" s="1"/>
  <c r="AU114" i="68" s="1"/>
  <c r="J52" i="81"/>
  <c r="L52" i="81" s="1"/>
  <c r="B53" i="81"/>
  <c r="N53" i="81"/>
  <c r="P53" i="81" s="1"/>
  <c r="R52" i="81"/>
  <c r="T52" i="81" s="1"/>
  <c r="I52" i="81"/>
  <c r="G52" i="81"/>
  <c r="H52" i="81"/>
  <c r="U27" i="99"/>
  <c r="CA24" i="68"/>
  <c r="CA77" i="68" s="1"/>
  <c r="CA126" i="68" s="1"/>
  <c r="D35" i="60"/>
  <c r="K34" i="60"/>
  <c r="L34" i="60" s="1"/>
  <c r="G34" i="60"/>
  <c r="U52" i="84"/>
  <c r="D35" i="86"/>
  <c r="K34" i="86"/>
  <c r="L34" i="86" s="1"/>
  <c r="G34" i="86"/>
  <c r="U14" i="62"/>
  <c r="CB11" i="68"/>
  <c r="CB64" i="68" s="1"/>
  <c r="CB113" i="68" s="1"/>
  <c r="M28" i="90"/>
  <c r="M25" i="69"/>
  <c r="M78" i="69" s="1"/>
  <c r="M128" i="69" s="1"/>
  <c r="C38" i="4"/>
  <c r="C39" i="4" s="1"/>
  <c r="C40" i="43"/>
  <c r="M28" i="104"/>
  <c r="Z25" i="68"/>
  <c r="Z78" i="68" s="1"/>
  <c r="Z127" i="68" s="1"/>
  <c r="O35" i="36"/>
  <c r="P35" i="36" s="1"/>
  <c r="E36" i="36"/>
  <c r="H35" i="36"/>
  <c r="A25" i="70"/>
  <c r="K34" i="80"/>
  <c r="L34" i="80" s="1"/>
  <c r="D35" i="80"/>
  <c r="G34" i="80"/>
  <c r="K35" i="90"/>
  <c r="L35" i="90" s="1"/>
  <c r="D36" i="90"/>
  <c r="G35" i="90"/>
  <c r="AG126" i="68"/>
  <c r="AR111" i="69"/>
  <c r="AS61" i="69"/>
  <c r="AS111" i="69" s="1"/>
  <c r="S34" i="4"/>
  <c r="T34" i="4" s="1"/>
  <c r="F35" i="4"/>
  <c r="I34" i="4"/>
  <c r="BP62" i="68"/>
  <c r="BO111" i="68"/>
  <c r="Q29" i="90"/>
  <c r="AJ26" i="69"/>
  <c r="AJ79" i="69" s="1"/>
  <c r="AJ129" i="69" s="1"/>
  <c r="M13" i="38"/>
  <c r="B10" i="68"/>
  <c r="L31" i="46"/>
  <c r="AC29" i="68"/>
  <c r="M31" i="46"/>
  <c r="O34" i="85"/>
  <c r="P34" i="85" s="1"/>
  <c r="E35" i="85"/>
  <c r="H34" i="85"/>
  <c r="J43" i="66"/>
  <c r="B44" i="66"/>
  <c r="C44" i="66" s="1"/>
  <c r="N44" i="66"/>
  <c r="R43" i="66"/>
  <c r="M13" i="7"/>
  <c r="E10" i="69"/>
  <c r="E63" i="69" s="1"/>
  <c r="E113" i="69" s="1"/>
  <c r="S36" i="38"/>
  <c r="T36" i="38" s="1"/>
  <c r="F37" i="38"/>
  <c r="I37" i="38" s="1"/>
  <c r="J37" i="83"/>
  <c r="L37" i="83" s="1"/>
  <c r="B38" i="83"/>
  <c r="N38" i="83"/>
  <c r="P38" i="83" s="1"/>
  <c r="R37" i="83"/>
  <c r="T37" i="83" s="1"/>
  <c r="G37" i="83"/>
  <c r="I37" i="83"/>
  <c r="H37" i="83"/>
  <c r="S34" i="80"/>
  <c r="T34" i="80" s="1"/>
  <c r="F35" i="80"/>
  <c r="I34" i="80"/>
  <c r="O34" i="103"/>
  <c r="P34" i="103" s="1"/>
  <c r="E35" i="103"/>
  <c r="H34" i="103"/>
  <c r="AQ63" i="69"/>
  <c r="AR10" i="69"/>
  <c r="O34" i="59"/>
  <c r="P34" i="59" s="1"/>
  <c r="E35" i="59"/>
  <c r="H34" i="59"/>
  <c r="Q28" i="87"/>
  <c r="BE25" i="68"/>
  <c r="BE78" i="68" s="1"/>
  <c r="BE127" i="68" s="1"/>
  <c r="BG25" i="68"/>
  <c r="BG78" i="68" s="1"/>
  <c r="BG127" i="68" s="1"/>
  <c r="O36" i="80"/>
  <c r="P36" i="80" s="1"/>
  <c r="E37" i="80"/>
  <c r="H37" i="80" s="1"/>
  <c r="Q13" i="64"/>
  <c r="AT10" i="68"/>
  <c r="AT63" i="68" s="1"/>
  <c r="AT112" i="68" s="1"/>
  <c r="J52" i="100"/>
  <c r="B53" i="100"/>
  <c r="N53" i="100"/>
  <c r="R52" i="100"/>
  <c r="BP110" i="68"/>
  <c r="BQ61" i="68"/>
  <c r="BQ110" i="68" s="1"/>
  <c r="CU29" i="68"/>
  <c r="Y31" i="46"/>
  <c r="C39" i="82"/>
  <c r="B110" i="68"/>
  <c r="AB61" i="68"/>
  <c r="AB110" i="68" s="1"/>
  <c r="Q13" i="40"/>
  <c r="AM10" i="68"/>
  <c r="U13" i="39"/>
  <c r="BU10" i="68"/>
  <c r="U29" i="88"/>
  <c r="CQ26" i="68"/>
  <c r="CQ79" i="68" s="1"/>
  <c r="CQ128" i="68" s="1"/>
  <c r="J54" i="46"/>
  <c r="C52" i="61"/>
  <c r="C53" i="61" s="1"/>
  <c r="U13" i="60"/>
  <c r="BX10" i="68"/>
  <c r="BX63" i="68" s="1"/>
  <c r="BX112" i="68" s="1"/>
  <c r="Q28" i="96"/>
  <c r="AG25" i="69"/>
  <c r="AG78" i="69" s="1"/>
  <c r="AG128" i="69" s="1"/>
  <c r="AQ112" i="69"/>
  <c r="AR62" i="69"/>
  <c r="O36" i="86"/>
  <c r="P36" i="86" s="1"/>
  <c r="E37" i="86"/>
  <c r="H36" i="86"/>
  <c r="AO111" i="69"/>
  <c r="J42" i="85"/>
  <c r="B43" i="85"/>
  <c r="N43" i="85"/>
  <c r="R42" i="85"/>
  <c r="AB109" i="68"/>
  <c r="AH60" i="68"/>
  <c r="AH109" i="68" s="1"/>
  <c r="M27" i="101"/>
  <c r="S24" i="68"/>
  <c r="S77" i="68" s="1"/>
  <c r="S126" i="68" s="1"/>
  <c r="Q30" i="85"/>
  <c r="BD27" i="68"/>
  <c r="BD80" i="68" s="1"/>
  <c r="BD129" i="68" s="1"/>
  <c r="BK8" i="68"/>
  <c r="BQ8" i="68" s="1"/>
  <c r="S35" i="43"/>
  <c r="T35" i="43" s="1"/>
  <c r="F36" i="43"/>
  <c r="I35" i="43"/>
  <c r="Z112" i="69"/>
  <c r="AO62" i="69"/>
  <c r="AO112" i="69" s="1"/>
  <c r="CZ61" i="68"/>
  <c r="J53" i="23"/>
  <c r="B54" i="23"/>
  <c r="N54" i="23"/>
  <c r="R53" i="23"/>
  <c r="S35" i="102"/>
  <c r="T35" i="102" s="1"/>
  <c r="F36" i="102"/>
  <c r="I35" i="102"/>
  <c r="M27" i="86"/>
  <c r="W24" i="68"/>
  <c r="W77" i="68" s="1"/>
  <c r="W126" i="68" s="1"/>
  <c r="U14" i="43"/>
  <c r="CJ11" i="68"/>
  <c r="CJ64" i="68" s="1"/>
  <c r="CJ113" i="68" s="1"/>
  <c r="C52" i="81"/>
  <c r="C53" i="81" s="1"/>
  <c r="C52" i="37"/>
  <c r="C53" i="37" s="1"/>
  <c r="C52" i="88"/>
  <c r="C53" i="88" s="1"/>
  <c r="U36" i="74" l="1"/>
  <c r="AP32" i="69"/>
  <c r="AP85" i="69" s="1"/>
  <c r="AP135" i="69" s="1"/>
  <c r="S34" i="45"/>
  <c r="J40" i="86"/>
  <c r="B41" i="86"/>
  <c r="N41" i="86"/>
  <c r="R40" i="86"/>
  <c r="M13" i="41"/>
  <c r="E10" i="68"/>
  <c r="E63" i="68" s="1"/>
  <c r="E112" i="68" s="1"/>
  <c r="M14" i="62"/>
  <c r="J11" i="68"/>
  <c r="J64" i="68" s="1"/>
  <c r="J113" i="68" s="1"/>
  <c r="C54" i="1"/>
  <c r="Q17" i="35"/>
  <c r="AC14" i="69"/>
  <c r="AC67" i="69" s="1"/>
  <c r="AC117" i="69" s="1"/>
  <c r="K34" i="75"/>
  <c r="L34" i="75" s="1"/>
  <c r="M34" i="75" s="1"/>
  <c r="D35" i="75"/>
  <c r="G34" i="75"/>
  <c r="U10" i="69"/>
  <c r="T63" i="69"/>
  <c r="G24" i="69"/>
  <c r="G77" i="69" s="1"/>
  <c r="G127" i="69" s="1"/>
  <c r="M27" i="58"/>
  <c r="AD127" i="68"/>
  <c r="AG78" i="68"/>
  <c r="AG127" i="68" s="1"/>
  <c r="M13" i="36"/>
  <c r="H10" i="69"/>
  <c r="H63" i="69" s="1"/>
  <c r="H113" i="69" s="1"/>
  <c r="R54" i="101"/>
  <c r="J54" i="101"/>
  <c r="BC10" i="69"/>
  <c r="BC63" i="69" s="1"/>
  <c r="BC113" i="69" s="1"/>
  <c r="U13" i="37"/>
  <c r="CV27" i="68"/>
  <c r="CV80" i="68" s="1"/>
  <c r="CV129" i="68" s="1"/>
  <c r="Y29" i="47"/>
  <c r="AR25" i="68"/>
  <c r="AR78" i="68" s="1"/>
  <c r="AR127" i="68" s="1"/>
  <c r="Q28" i="99"/>
  <c r="O36" i="63"/>
  <c r="P36" i="63" s="1"/>
  <c r="H36" i="63"/>
  <c r="E37" i="63"/>
  <c r="CK26" i="68"/>
  <c r="CK79" i="68" s="1"/>
  <c r="CK128" i="68" s="1"/>
  <c r="U29" i="101"/>
  <c r="J39" i="58"/>
  <c r="B40" i="58"/>
  <c r="C40" i="58" s="1"/>
  <c r="N40" i="58"/>
  <c r="R39" i="58"/>
  <c r="S31" i="69"/>
  <c r="S84" i="69" s="1"/>
  <c r="S134" i="69" s="1"/>
  <c r="M33" i="45"/>
  <c r="AD79" i="68"/>
  <c r="AG26" i="68"/>
  <c r="U29" i="83"/>
  <c r="BK26" i="69"/>
  <c r="BK79" i="69" s="1"/>
  <c r="BK129" i="69" s="1"/>
  <c r="W30" i="47"/>
  <c r="Z30" i="47" s="1"/>
  <c r="N30" i="47"/>
  <c r="T112" i="69"/>
  <c r="U62" i="69"/>
  <c r="U112" i="69" s="1"/>
  <c r="CX11" i="68"/>
  <c r="U14" i="63"/>
  <c r="C41" i="7"/>
  <c r="C54" i="103"/>
  <c r="C40" i="60"/>
  <c r="C41" i="60" s="1"/>
  <c r="U14" i="35"/>
  <c r="AZ11" i="69"/>
  <c r="AZ64" i="69" s="1"/>
  <c r="AZ114" i="69" s="1"/>
  <c r="CX111" i="68"/>
  <c r="CY62" i="68"/>
  <c r="CY111" i="68" s="1"/>
  <c r="F37" i="74"/>
  <c r="I36" i="74"/>
  <c r="S36" i="74"/>
  <c r="T36" i="74" s="1"/>
  <c r="C54" i="101"/>
  <c r="Q30" i="82"/>
  <c r="AM27" i="69"/>
  <c r="AM80" i="69" s="1"/>
  <c r="AM130" i="69" s="1"/>
  <c r="O34" i="74"/>
  <c r="P34" i="74" s="1"/>
  <c r="Q34" i="74" s="1"/>
  <c r="H34" i="74"/>
  <c r="E35" i="74"/>
  <c r="CG10" i="68"/>
  <c r="CG63" i="68" s="1"/>
  <c r="CG112" i="68" s="1"/>
  <c r="U13" i="42"/>
  <c r="Q28" i="88"/>
  <c r="BH25" i="68"/>
  <c r="BH78" i="68" s="1"/>
  <c r="BH127" i="68" s="1"/>
  <c r="U14" i="7"/>
  <c r="AY11" i="69"/>
  <c r="AY64" i="69" s="1"/>
  <c r="AY114" i="69" s="1"/>
  <c r="CT9" i="68"/>
  <c r="CZ9" i="68" s="1"/>
  <c r="R53" i="63"/>
  <c r="N54" i="63"/>
  <c r="B54" i="63"/>
  <c r="J53" i="63"/>
  <c r="S31" i="75"/>
  <c r="T31" i="75" s="1"/>
  <c r="U31" i="75" s="1"/>
  <c r="F32" i="75"/>
  <c r="I31" i="75"/>
  <c r="M30" i="87"/>
  <c r="X27" i="68"/>
  <c r="X80" i="68" s="1"/>
  <c r="X129" i="68" s="1"/>
  <c r="BM29" i="68"/>
  <c r="BM82" i="68" s="1"/>
  <c r="BM131" i="68" s="1"/>
  <c r="S31" i="47"/>
  <c r="CX63" i="68"/>
  <c r="CY10" i="68"/>
  <c r="BP79" i="68"/>
  <c r="BP128" i="68" s="1"/>
  <c r="BM128" i="68"/>
  <c r="B42" i="7"/>
  <c r="J41" i="7"/>
  <c r="N42" i="7"/>
  <c r="R41" i="7"/>
  <c r="CP25" i="68"/>
  <c r="CP78" i="68" s="1"/>
  <c r="CP127" i="68" s="1"/>
  <c r="U28" i="87"/>
  <c r="CN25" i="68"/>
  <c r="CN78" i="68" s="1"/>
  <c r="CN127" i="68" s="1"/>
  <c r="B54" i="99"/>
  <c r="N54" i="99"/>
  <c r="R53" i="99"/>
  <c r="J53" i="99"/>
  <c r="N34" i="45"/>
  <c r="W34" i="45"/>
  <c r="Z34" i="45" s="1"/>
  <c r="J43" i="36"/>
  <c r="B44" i="36"/>
  <c r="N44" i="36"/>
  <c r="R43" i="36"/>
  <c r="J54" i="103"/>
  <c r="R54" i="103"/>
  <c r="B41" i="60"/>
  <c r="J40" i="60"/>
  <c r="N41" i="60"/>
  <c r="R40" i="60"/>
  <c r="Q14" i="23"/>
  <c r="AA11" i="69"/>
  <c r="AA64" i="69" s="1"/>
  <c r="AA114" i="69" s="1"/>
  <c r="X13" i="23"/>
  <c r="Q14" i="41"/>
  <c r="AN11" i="68"/>
  <c r="AN64" i="68" s="1"/>
  <c r="AN113" i="68" s="1"/>
  <c r="U14" i="1"/>
  <c r="AV11" i="69"/>
  <c r="AV64" i="69" s="1"/>
  <c r="AV114" i="69" s="1"/>
  <c r="L10" i="68"/>
  <c r="L63" i="68" s="1"/>
  <c r="L112" i="68" s="1"/>
  <c r="M13" i="65"/>
  <c r="K10" i="68"/>
  <c r="K63" i="68" s="1"/>
  <c r="K112" i="68" s="1"/>
  <c r="M13" i="64"/>
  <c r="J53" i="1"/>
  <c r="B54" i="1"/>
  <c r="N54" i="1"/>
  <c r="R53" i="1"/>
  <c r="I10" i="69"/>
  <c r="I63" i="69" s="1"/>
  <c r="I113" i="69" s="1"/>
  <c r="M13" i="37"/>
  <c r="K34" i="74"/>
  <c r="L34" i="74" s="1"/>
  <c r="M34" i="74" s="1"/>
  <c r="D35" i="74"/>
  <c r="G34" i="74"/>
  <c r="C53" i="99"/>
  <c r="C54" i="99" s="1"/>
  <c r="Q14" i="39"/>
  <c r="AL11" i="68"/>
  <c r="AL64" i="68" s="1"/>
  <c r="AL113" i="68" s="1"/>
  <c r="E38" i="47"/>
  <c r="L37" i="47"/>
  <c r="H37" i="47"/>
  <c r="U29" i="89"/>
  <c r="CS26" i="68"/>
  <c r="CS79" i="68" s="1"/>
  <c r="CS128" i="68" s="1"/>
  <c r="S36" i="101"/>
  <c r="T36" i="101" s="1"/>
  <c r="I36" i="101"/>
  <c r="F37" i="101"/>
  <c r="D32" i="47"/>
  <c r="K31" i="47"/>
  <c r="Q32" i="47"/>
  <c r="T32" i="47" s="1"/>
  <c r="BO32" i="68"/>
  <c r="BO85" i="68" s="1"/>
  <c r="BO134" i="68" s="1"/>
  <c r="Q35" i="63"/>
  <c r="U13" i="44"/>
  <c r="CL10" i="68"/>
  <c r="CL63" i="68" s="1"/>
  <c r="CL112" i="68" s="1"/>
  <c r="J54" i="98"/>
  <c r="R54" i="98"/>
  <c r="M14" i="61"/>
  <c r="G11" i="68"/>
  <c r="G64" i="68" s="1"/>
  <c r="G113" i="68" s="1"/>
  <c r="J53" i="104"/>
  <c r="L53" i="104" s="1"/>
  <c r="I53" i="104"/>
  <c r="B54" i="104"/>
  <c r="N54" i="104"/>
  <c r="P54" i="104" s="1"/>
  <c r="G53" i="104"/>
  <c r="R53" i="104"/>
  <c r="T53" i="104" s="1"/>
  <c r="H53" i="104"/>
  <c r="C53" i="104"/>
  <c r="Q15" i="1"/>
  <c r="Y12" i="69"/>
  <c r="Y65" i="69" s="1"/>
  <c r="Y115" i="69" s="1"/>
  <c r="C53" i="63"/>
  <c r="C54" i="63" s="1"/>
  <c r="E36" i="98"/>
  <c r="H35" i="98"/>
  <c r="O35" i="98"/>
  <c r="P35" i="98" s="1"/>
  <c r="U29" i="82"/>
  <c r="BJ26" i="69"/>
  <c r="BJ79" i="69" s="1"/>
  <c r="BJ129" i="69" s="1"/>
  <c r="W13" i="59"/>
  <c r="T11" i="69"/>
  <c r="M14" i="59"/>
  <c r="M14" i="4"/>
  <c r="C11" i="69"/>
  <c r="C64" i="69" s="1"/>
  <c r="C114" i="69" s="1"/>
  <c r="CC10" i="68"/>
  <c r="CC63" i="68" s="1"/>
  <c r="CC112" i="68" s="1"/>
  <c r="U13" i="64"/>
  <c r="D35" i="45"/>
  <c r="K35" i="45" s="1"/>
  <c r="Q35" i="45"/>
  <c r="T35" i="45" s="1"/>
  <c r="CM25" i="68"/>
  <c r="CM78" i="68" s="1"/>
  <c r="CM127" i="68" s="1"/>
  <c r="U28" i="85"/>
  <c r="Q15" i="38"/>
  <c r="AK12" i="68"/>
  <c r="AK65" i="68" s="1"/>
  <c r="AK114" i="68" s="1"/>
  <c r="M29" i="47"/>
  <c r="AD27" i="68"/>
  <c r="AX11" i="69"/>
  <c r="AX64" i="69" s="1"/>
  <c r="AX114" i="69" s="1"/>
  <c r="U14" i="23"/>
  <c r="C40" i="86"/>
  <c r="C41" i="86" s="1"/>
  <c r="BM31" i="69"/>
  <c r="BM84" i="69" s="1"/>
  <c r="BM134" i="69" s="1"/>
  <c r="Y33" i="45"/>
  <c r="C43" i="36"/>
  <c r="N31" i="48"/>
  <c r="AE29" i="68" s="1"/>
  <c r="AE82" i="68" s="1"/>
  <c r="AE131" i="68" s="1"/>
  <c r="N32" i="46"/>
  <c r="J35" i="48"/>
  <c r="G36" i="48"/>
  <c r="E39" i="48"/>
  <c r="H38" i="48"/>
  <c r="E37" i="46"/>
  <c r="H36" i="46"/>
  <c r="F38" i="47"/>
  <c r="R37" i="47"/>
  <c r="I37" i="47"/>
  <c r="S35" i="103"/>
  <c r="T35" i="103" s="1"/>
  <c r="F36" i="103"/>
  <c r="I35" i="103"/>
  <c r="M38" i="63"/>
  <c r="AF35" i="68"/>
  <c r="AF88" i="68" s="1"/>
  <c r="H35" i="64"/>
  <c r="O35" i="64"/>
  <c r="P35" i="64" s="1"/>
  <c r="E36" i="64"/>
  <c r="I35" i="100"/>
  <c r="S35" i="100"/>
  <c r="T35" i="100" s="1"/>
  <c r="F36" i="100"/>
  <c r="H35" i="38"/>
  <c r="E36" i="38"/>
  <c r="O35" i="38"/>
  <c r="P35" i="38" s="1"/>
  <c r="S36" i="97"/>
  <c r="T36" i="97" s="1"/>
  <c r="I36" i="97"/>
  <c r="F37" i="97"/>
  <c r="M28" i="100"/>
  <c r="H25" i="68"/>
  <c r="H78" i="68" s="1"/>
  <c r="H127" i="68" s="1"/>
  <c r="Q28" i="103"/>
  <c r="AY25" i="68"/>
  <c r="AY78" i="68" s="1"/>
  <c r="AY127" i="68" s="1"/>
  <c r="U28" i="102"/>
  <c r="CI25" i="68"/>
  <c r="CI78" i="68" s="1"/>
  <c r="CI127" i="68" s="1"/>
  <c r="M28" i="102"/>
  <c r="Q25" i="68"/>
  <c r="Q78" i="68" s="1"/>
  <c r="Q127" i="68" s="1"/>
  <c r="M28" i="96"/>
  <c r="J25" i="69"/>
  <c r="J78" i="69" s="1"/>
  <c r="J128" i="69" s="1"/>
  <c r="M28" i="97"/>
  <c r="L25" i="69"/>
  <c r="L78" i="69" s="1"/>
  <c r="L128" i="69" s="1"/>
  <c r="Q28" i="101"/>
  <c r="BB25" i="68"/>
  <c r="BB78" i="68" s="1"/>
  <c r="BB127" i="68" s="1"/>
  <c r="J54" i="23"/>
  <c r="R54" i="23"/>
  <c r="M28" i="101"/>
  <c r="S25" i="68"/>
  <c r="S78" i="68" s="1"/>
  <c r="S127" i="68" s="1"/>
  <c r="J43" i="85"/>
  <c r="B44" i="85"/>
  <c r="N44" i="85"/>
  <c r="R43" i="85"/>
  <c r="AS62" i="69"/>
  <c r="AS112" i="69" s="1"/>
  <c r="AR112" i="69"/>
  <c r="U30" i="88"/>
  <c r="CQ27" i="68"/>
  <c r="CQ80" i="68" s="1"/>
  <c r="CQ129" i="68" s="1"/>
  <c r="Q14" i="64"/>
  <c r="AT11" i="68"/>
  <c r="AT64" i="68" s="1"/>
  <c r="AT113" i="68" s="1"/>
  <c r="E36" i="59"/>
  <c r="O35" i="59"/>
  <c r="P35" i="59" s="1"/>
  <c r="H35" i="59"/>
  <c r="E36" i="85"/>
  <c r="O35" i="85"/>
  <c r="P35" i="85" s="1"/>
  <c r="H35" i="85"/>
  <c r="AC82" i="68"/>
  <c r="M14" i="38"/>
  <c r="B11" i="68"/>
  <c r="BP111" i="68"/>
  <c r="D37" i="90"/>
  <c r="K36" i="90"/>
  <c r="L36" i="90" s="1"/>
  <c r="G36" i="90"/>
  <c r="A26" i="70"/>
  <c r="U15" i="62"/>
  <c r="CB12" i="68"/>
  <c r="CB65" i="68" s="1"/>
  <c r="CB114" i="68" s="1"/>
  <c r="Q16" i="65"/>
  <c r="AU13" i="68"/>
  <c r="AU66" i="68" s="1"/>
  <c r="AU115" i="68" s="1"/>
  <c r="O35" i="1"/>
  <c r="P35" i="1" s="1"/>
  <c r="E36" i="1"/>
  <c r="H35" i="1"/>
  <c r="S36" i="60"/>
  <c r="T36" i="60" s="1"/>
  <c r="F37" i="60"/>
  <c r="I36" i="60"/>
  <c r="Z64" i="69"/>
  <c r="L31" i="48"/>
  <c r="M31" i="48"/>
  <c r="O35" i="66"/>
  <c r="P35" i="66" s="1"/>
  <c r="E36" i="66"/>
  <c r="H35" i="66"/>
  <c r="U27" i="58"/>
  <c r="BA24" i="69"/>
  <c r="BA77" i="69" s="1"/>
  <c r="BA127" i="69" s="1"/>
  <c r="AC130" i="68"/>
  <c r="CZ109" i="68"/>
  <c r="DB60" i="68"/>
  <c r="AH61" i="68"/>
  <c r="AH110" i="68" s="1"/>
  <c r="M15" i="1"/>
  <c r="B12" i="69"/>
  <c r="J53" i="88"/>
  <c r="L53" i="88" s="1"/>
  <c r="B54" i="88"/>
  <c r="C54" i="88" s="1"/>
  <c r="N54" i="88"/>
  <c r="P54" i="88" s="1"/>
  <c r="R53" i="88"/>
  <c r="T53" i="88" s="1"/>
  <c r="I53" i="88"/>
  <c r="G53" i="88"/>
  <c r="H53" i="88"/>
  <c r="M15" i="42"/>
  <c r="O12" i="68"/>
  <c r="O65" i="68" s="1"/>
  <c r="O114" i="68" s="1"/>
  <c r="M14" i="44"/>
  <c r="T11" i="68"/>
  <c r="T64" i="68" s="1"/>
  <c r="T113" i="68" s="1"/>
  <c r="T53" i="44"/>
  <c r="Q13" i="44"/>
  <c r="BC10" i="68"/>
  <c r="BC63" i="68" s="1"/>
  <c r="BC112" i="68" s="1"/>
  <c r="R30" i="48"/>
  <c r="T31" i="48" s="1"/>
  <c r="BN28" i="68"/>
  <c r="Z30" i="48"/>
  <c r="S30" i="48"/>
  <c r="J39" i="59"/>
  <c r="B40" i="59"/>
  <c r="N40" i="59"/>
  <c r="R39" i="59"/>
  <c r="U13" i="66"/>
  <c r="CE10" i="68"/>
  <c r="CE63" i="68" s="1"/>
  <c r="CE112" i="68" s="1"/>
  <c r="AW112" i="69"/>
  <c r="BT62" i="69"/>
  <c r="BL62" i="69"/>
  <c r="J38" i="38"/>
  <c r="B39" i="38"/>
  <c r="N39" i="38"/>
  <c r="R38" i="38"/>
  <c r="AO10" i="69"/>
  <c r="AS10" i="69" s="1"/>
  <c r="M15" i="63"/>
  <c r="AF12" i="68"/>
  <c r="K35" i="98"/>
  <c r="L35" i="98" s="1"/>
  <c r="D36" i="98"/>
  <c r="G35" i="98"/>
  <c r="O35" i="96"/>
  <c r="P35" i="96" s="1"/>
  <c r="E36" i="96"/>
  <c r="H35" i="96"/>
  <c r="AQ64" i="69"/>
  <c r="AR11" i="69"/>
  <c r="J43" i="96"/>
  <c r="B44" i="96"/>
  <c r="N44" i="96"/>
  <c r="R43" i="96"/>
  <c r="U30" i="80"/>
  <c r="BH27" i="69"/>
  <c r="BH80" i="69" s="1"/>
  <c r="BH130" i="69" s="1"/>
  <c r="J54" i="97"/>
  <c r="R54" i="97"/>
  <c r="S36" i="36"/>
  <c r="T36" i="36" s="1"/>
  <c r="F37" i="36"/>
  <c r="I36" i="36"/>
  <c r="BN112" i="69"/>
  <c r="BO62" i="69"/>
  <c r="BO64" i="68"/>
  <c r="BP11" i="68"/>
  <c r="J53" i="67"/>
  <c r="B54" i="67"/>
  <c r="N54" i="67"/>
  <c r="R53" i="67"/>
  <c r="E36" i="101"/>
  <c r="O35" i="101"/>
  <c r="P35" i="101" s="1"/>
  <c r="H35" i="101"/>
  <c r="Q15" i="66"/>
  <c r="AV12" i="68"/>
  <c r="AV65" i="68" s="1"/>
  <c r="AV114" i="68" s="1"/>
  <c r="J54" i="41"/>
  <c r="L54" i="41" s="1"/>
  <c r="R54" i="41"/>
  <c r="T54" i="41" s="1"/>
  <c r="G54" i="41"/>
  <c r="H54" i="41"/>
  <c r="I54" i="41"/>
  <c r="M28" i="103"/>
  <c r="P25" i="68"/>
  <c r="P78" i="68" s="1"/>
  <c r="P127" i="68" s="1"/>
  <c r="BL31" i="68"/>
  <c r="S33" i="46"/>
  <c r="R112" i="69"/>
  <c r="V62" i="69"/>
  <c r="V112" i="69" s="1"/>
  <c r="K36" i="7"/>
  <c r="L36" i="7" s="1"/>
  <c r="D37" i="7"/>
  <c r="G36" i="7"/>
  <c r="J53" i="37"/>
  <c r="L53" i="37" s="1"/>
  <c r="B54" i="37"/>
  <c r="C54" i="37" s="1"/>
  <c r="N54" i="37"/>
  <c r="P54" i="37" s="1"/>
  <c r="R53" i="37"/>
  <c r="T53" i="37" s="1"/>
  <c r="G53" i="37"/>
  <c r="H53" i="37"/>
  <c r="I53" i="37"/>
  <c r="M29" i="84"/>
  <c r="V26" i="68"/>
  <c r="V79" i="68" s="1"/>
  <c r="V128" i="68" s="1"/>
  <c r="S35" i="7"/>
  <c r="T35" i="7" s="1"/>
  <c r="F36" i="7"/>
  <c r="I35" i="7"/>
  <c r="C53" i="67"/>
  <c r="C54" i="67" s="1"/>
  <c r="M29" i="98"/>
  <c r="K26" i="69"/>
  <c r="K79" i="69" s="1"/>
  <c r="K129" i="69" s="1"/>
  <c r="U29" i="100"/>
  <c r="BZ26" i="68"/>
  <c r="BZ79" i="68" s="1"/>
  <c r="BZ128" i="68" s="1"/>
  <c r="U15" i="43"/>
  <c r="CJ12" i="68"/>
  <c r="CJ65" i="68" s="1"/>
  <c r="CJ114" i="68" s="1"/>
  <c r="S36" i="102"/>
  <c r="T36" i="102" s="1"/>
  <c r="F37" i="102"/>
  <c r="I36" i="102"/>
  <c r="CZ110" i="68"/>
  <c r="DB61" i="68"/>
  <c r="S36" i="43"/>
  <c r="T36" i="43" s="1"/>
  <c r="F37" i="43"/>
  <c r="I36" i="43"/>
  <c r="U14" i="60"/>
  <c r="BX11" i="68"/>
  <c r="BX64" i="68" s="1"/>
  <c r="BX113" i="68" s="1"/>
  <c r="CU82" i="68"/>
  <c r="AQ113" i="69"/>
  <c r="AR63" i="69"/>
  <c r="J38" i="83"/>
  <c r="L38" i="83" s="1"/>
  <c r="B39" i="83"/>
  <c r="N39" i="83"/>
  <c r="P39" i="83" s="1"/>
  <c r="R38" i="83"/>
  <c r="T38" i="83" s="1"/>
  <c r="G38" i="83"/>
  <c r="H38" i="83"/>
  <c r="I38" i="83"/>
  <c r="J44" i="66"/>
  <c r="B45" i="66"/>
  <c r="N45" i="66"/>
  <c r="R44" i="66"/>
  <c r="L32" i="46"/>
  <c r="AC30" i="68"/>
  <c r="M32" i="46"/>
  <c r="D36" i="86"/>
  <c r="K35" i="86"/>
  <c r="L35" i="86" s="1"/>
  <c r="G35" i="86"/>
  <c r="K35" i="60"/>
  <c r="L35" i="60" s="1"/>
  <c r="D36" i="60"/>
  <c r="G35" i="60"/>
  <c r="J53" i="81"/>
  <c r="L53" i="81" s="1"/>
  <c r="B54" i="81"/>
  <c r="C54" i="81" s="1"/>
  <c r="N54" i="81"/>
  <c r="P54" i="81" s="1"/>
  <c r="R53" i="81"/>
  <c r="T53" i="81" s="1"/>
  <c r="H53" i="81"/>
  <c r="G53" i="81"/>
  <c r="I53" i="81"/>
  <c r="U28" i="97"/>
  <c r="BF25" i="69"/>
  <c r="BF78" i="69" s="1"/>
  <c r="BF128" i="69" s="1"/>
  <c r="M14" i="35"/>
  <c r="F11" i="69"/>
  <c r="F64" i="69" s="1"/>
  <c r="F114" i="69" s="1"/>
  <c r="Q15" i="4"/>
  <c r="Z12" i="69"/>
  <c r="B54" i="39"/>
  <c r="N54" i="39"/>
  <c r="P54" i="39" s="1"/>
  <c r="J53" i="39"/>
  <c r="L53" i="39" s="1"/>
  <c r="R53" i="39"/>
  <c r="T53" i="39" s="1"/>
  <c r="G53" i="39"/>
  <c r="I53" i="39"/>
  <c r="H53" i="39"/>
  <c r="K36" i="64"/>
  <c r="L36" i="64" s="1"/>
  <c r="D37" i="64"/>
  <c r="G36" i="64"/>
  <c r="J54" i="35"/>
  <c r="R54" i="35"/>
  <c r="BO111" i="69"/>
  <c r="BP61" i="69"/>
  <c r="K36" i="96"/>
  <c r="L36" i="96" s="1"/>
  <c r="D37" i="96"/>
  <c r="G36" i="96"/>
  <c r="M28" i="88"/>
  <c r="Y25" i="68"/>
  <c r="Y78" i="68" s="1"/>
  <c r="Y127" i="68" s="1"/>
  <c r="U29" i="98"/>
  <c r="BE26" i="69"/>
  <c r="BE79" i="69" s="1"/>
  <c r="BE129" i="69" s="1"/>
  <c r="U14" i="41"/>
  <c r="BW11" i="68"/>
  <c r="BW64" i="68" s="1"/>
  <c r="BW113" i="68" s="1"/>
  <c r="J38" i="80"/>
  <c r="B39" i="80"/>
  <c r="N39" i="80"/>
  <c r="R38" i="80"/>
  <c r="Q29" i="80"/>
  <c r="AK26" i="69"/>
  <c r="AK79" i="69" s="1"/>
  <c r="AK129" i="69" s="1"/>
  <c r="S35" i="98"/>
  <c r="T35" i="98" s="1"/>
  <c r="F36" i="98"/>
  <c r="I35" i="98"/>
  <c r="DB59" i="68"/>
  <c r="BW59" i="69" s="1"/>
  <c r="CZ108" i="68"/>
  <c r="B54" i="84"/>
  <c r="J53" i="84"/>
  <c r="L53" i="84" s="1"/>
  <c r="N54" i="84"/>
  <c r="P54" i="84" s="1"/>
  <c r="Q54" i="84" s="1"/>
  <c r="H53" i="84"/>
  <c r="G53" i="84"/>
  <c r="R53" i="84"/>
  <c r="T53" i="84" s="1"/>
  <c r="U53" i="84" s="1"/>
  <c r="I53" i="84"/>
  <c r="K32" i="48"/>
  <c r="W32" i="48" s="1"/>
  <c r="D33" i="48"/>
  <c r="Q33" i="48"/>
  <c r="J39" i="89"/>
  <c r="L39" i="89" s="1"/>
  <c r="B40" i="89"/>
  <c r="N40" i="89"/>
  <c r="P40" i="89" s="1"/>
  <c r="R39" i="89"/>
  <c r="T39" i="89" s="1"/>
  <c r="G39" i="89"/>
  <c r="I39" i="89"/>
  <c r="H39" i="89"/>
  <c r="C44" i="96"/>
  <c r="M29" i="85"/>
  <c r="U26" i="68"/>
  <c r="U79" i="68" s="1"/>
  <c r="U128" i="68" s="1"/>
  <c r="K36" i="43"/>
  <c r="L36" i="43" s="1"/>
  <c r="D37" i="43"/>
  <c r="G36" i="43"/>
  <c r="Q14" i="7"/>
  <c r="AB11" i="69"/>
  <c r="AB64" i="69" s="1"/>
  <c r="AB114" i="69" s="1"/>
  <c r="AO63" i="69"/>
  <c r="AO113" i="69" s="1"/>
  <c r="Z113" i="69"/>
  <c r="AF64" i="68"/>
  <c r="AG11" i="68"/>
  <c r="BQ109" i="68"/>
  <c r="K35" i="101"/>
  <c r="L35" i="101" s="1"/>
  <c r="D36" i="101"/>
  <c r="G35" i="101"/>
  <c r="O35" i="35"/>
  <c r="P35" i="35" s="1"/>
  <c r="E36" i="35"/>
  <c r="H35" i="35"/>
  <c r="Q15" i="59"/>
  <c r="AQ12" i="69"/>
  <c r="V14" i="59"/>
  <c r="Q14" i="60"/>
  <c r="AO11" i="68"/>
  <c r="AO64" i="68" s="1"/>
  <c r="AO113" i="68" s="1"/>
  <c r="M14" i="39"/>
  <c r="C11" i="68"/>
  <c r="C64" i="68" s="1"/>
  <c r="C113" i="68" s="1"/>
  <c r="B113" i="69"/>
  <c r="R63" i="69"/>
  <c r="C53" i="39"/>
  <c r="C54" i="39" s="1"/>
  <c r="K36" i="100"/>
  <c r="L36" i="100" s="1"/>
  <c r="D37" i="100"/>
  <c r="G36" i="100"/>
  <c r="S35" i="90"/>
  <c r="T35" i="90" s="1"/>
  <c r="F36" i="90"/>
  <c r="I35" i="90"/>
  <c r="M30" i="83"/>
  <c r="Q27" i="69"/>
  <c r="Q80" i="69" s="1"/>
  <c r="Q130" i="69" s="1"/>
  <c r="S36" i="66"/>
  <c r="T36" i="66" s="1"/>
  <c r="F37" i="66"/>
  <c r="I36" i="66"/>
  <c r="O35" i="4"/>
  <c r="P35" i="4" s="1"/>
  <c r="E36" i="4"/>
  <c r="H35" i="4"/>
  <c r="M13" i="67"/>
  <c r="N10" i="68"/>
  <c r="N63" i="68" s="1"/>
  <c r="N112" i="68" s="1"/>
  <c r="Q31" i="83"/>
  <c r="AN28" i="69"/>
  <c r="AN81" i="69" s="1"/>
  <c r="AN131" i="69" s="1"/>
  <c r="S35" i="64"/>
  <c r="T35" i="64" s="1"/>
  <c r="F36" i="64"/>
  <c r="I35" i="64"/>
  <c r="S35" i="96"/>
  <c r="T35" i="96" s="1"/>
  <c r="F36" i="96"/>
  <c r="I35" i="96"/>
  <c r="CU30" i="68"/>
  <c r="Y32" i="46"/>
  <c r="S38" i="63"/>
  <c r="T38" i="63" s="1"/>
  <c r="F39" i="63"/>
  <c r="I38" i="63"/>
  <c r="U30" i="90"/>
  <c r="BG27" i="69"/>
  <c r="BG80" i="69" s="1"/>
  <c r="BG130" i="69" s="1"/>
  <c r="F42" i="46"/>
  <c r="I41" i="46"/>
  <c r="R41" i="46" s="1"/>
  <c r="J53" i="102"/>
  <c r="B54" i="102"/>
  <c r="N54" i="102"/>
  <c r="R53" i="102"/>
  <c r="C54" i="41"/>
  <c r="Q29" i="89"/>
  <c r="BJ26" i="68"/>
  <c r="BJ79" i="68" s="1"/>
  <c r="BJ128" i="68" s="1"/>
  <c r="C53" i="102"/>
  <c r="U29" i="103"/>
  <c r="CH26" i="68"/>
  <c r="CH79" i="68" s="1"/>
  <c r="CH128" i="68" s="1"/>
  <c r="C38" i="83"/>
  <c r="C39" i="83" s="1"/>
  <c r="C54" i="35"/>
  <c r="Q31" i="85"/>
  <c r="BD28" i="68"/>
  <c r="BD81" i="68" s="1"/>
  <c r="BD130" i="68" s="1"/>
  <c r="O37" i="86"/>
  <c r="P37" i="86" s="1"/>
  <c r="E38" i="86"/>
  <c r="H37" i="86"/>
  <c r="BU63" i="68"/>
  <c r="AM63" i="68"/>
  <c r="BK10" i="68"/>
  <c r="BQ10" i="68" s="1"/>
  <c r="J53" i="100"/>
  <c r="B54" i="100"/>
  <c r="N54" i="100"/>
  <c r="R53" i="100"/>
  <c r="O37" i="80"/>
  <c r="P37" i="80" s="1"/>
  <c r="E38" i="80"/>
  <c r="Q29" i="87"/>
  <c r="BE26" i="68"/>
  <c r="BE79" i="68" s="1"/>
  <c r="BE128" i="68" s="1"/>
  <c r="BG26" i="68"/>
  <c r="BG79" i="68" s="1"/>
  <c r="BG128" i="68" s="1"/>
  <c r="S35" i="80"/>
  <c r="T35" i="80" s="1"/>
  <c r="F36" i="80"/>
  <c r="I35" i="80"/>
  <c r="M14" i="7"/>
  <c r="E11" i="69"/>
  <c r="E64" i="69" s="1"/>
  <c r="E114" i="69" s="1"/>
  <c r="C54" i="23"/>
  <c r="Q30" i="90"/>
  <c r="AJ27" i="69"/>
  <c r="AJ80" i="69" s="1"/>
  <c r="AJ130" i="69" s="1"/>
  <c r="S35" i="4"/>
  <c r="T35" i="4" s="1"/>
  <c r="F36" i="4"/>
  <c r="I35" i="4"/>
  <c r="O36" i="36"/>
  <c r="P36" i="36" s="1"/>
  <c r="E37" i="36"/>
  <c r="H36" i="36"/>
  <c r="M29" i="104"/>
  <c r="Z26" i="68"/>
  <c r="Z79" i="68" s="1"/>
  <c r="Z128" i="68" s="1"/>
  <c r="M29" i="90"/>
  <c r="M26" i="69"/>
  <c r="M79" i="69" s="1"/>
  <c r="M129" i="69" s="1"/>
  <c r="C39" i="80"/>
  <c r="O37" i="100"/>
  <c r="P37" i="100" s="1"/>
  <c r="E38" i="100"/>
  <c r="H37" i="100"/>
  <c r="O35" i="58"/>
  <c r="P35" i="58" s="1"/>
  <c r="E36" i="58"/>
  <c r="H35" i="58"/>
  <c r="M15" i="23"/>
  <c r="D12" i="69"/>
  <c r="D65" i="69" s="1"/>
  <c r="D115" i="69" s="1"/>
  <c r="W14" i="23"/>
  <c r="AW63" i="69"/>
  <c r="BL10" i="69"/>
  <c r="D37" i="23"/>
  <c r="K36" i="23"/>
  <c r="L36" i="23" s="1"/>
  <c r="G36" i="23"/>
  <c r="Q29" i="81"/>
  <c r="AL26" i="69"/>
  <c r="AL79" i="69" s="1"/>
  <c r="AL129" i="69" s="1"/>
  <c r="BL83" i="68"/>
  <c r="Q14" i="42"/>
  <c r="AX11" i="68"/>
  <c r="AX64" i="68" s="1"/>
  <c r="AX113" i="68" s="1"/>
  <c r="D37" i="63"/>
  <c r="K36" i="63"/>
  <c r="L36" i="63" s="1"/>
  <c r="G36" i="63"/>
  <c r="J54" i="90"/>
  <c r="R54" i="90"/>
  <c r="AB62" i="68"/>
  <c r="AB111" i="68" s="1"/>
  <c r="B111" i="68"/>
  <c r="BT113" i="68"/>
  <c r="M29" i="81"/>
  <c r="O26" i="69"/>
  <c r="O79" i="69" s="1"/>
  <c r="O129" i="69" s="1"/>
  <c r="BN63" i="69"/>
  <c r="BO10" i="69"/>
  <c r="BP10" i="69" s="1"/>
  <c r="J39" i="4"/>
  <c r="B40" i="4"/>
  <c r="C40" i="4" s="1"/>
  <c r="N40" i="4"/>
  <c r="R39" i="4"/>
  <c r="I53" i="44"/>
  <c r="C53" i="100"/>
  <c r="B54" i="62"/>
  <c r="C54" i="62" s="1"/>
  <c r="N54" i="62"/>
  <c r="P54" i="62" s="1"/>
  <c r="J53" i="62"/>
  <c r="L53" i="62" s="1"/>
  <c r="R53" i="62"/>
  <c r="T53" i="62" s="1"/>
  <c r="H53" i="62"/>
  <c r="G53" i="62"/>
  <c r="I53" i="62"/>
  <c r="CW27" i="68"/>
  <c r="CW80" i="68" s="1"/>
  <c r="CW129" i="68" s="1"/>
  <c r="X29" i="48"/>
  <c r="Y29" i="48"/>
  <c r="BV61" i="69"/>
  <c r="BV111" i="69" s="1"/>
  <c r="BT111" i="69"/>
  <c r="S36" i="58"/>
  <c r="T36" i="58" s="1"/>
  <c r="F37" i="58"/>
  <c r="I36" i="58"/>
  <c r="S36" i="86"/>
  <c r="T36" i="86" s="1"/>
  <c r="F37" i="86"/>
  <c r="I36" i="86"/>
  <c r="K36" i="102"/>
  <c r="L36" i="102" s="1"/>
  <c r="D37" i="102"/>
  <c r="G36" i="102"/>
  <c r="J40" i="43"/>
  <c r="B41" i="43"/>
  <c r="N41" i="43"/>
  <c r="R40" i="43"/>
  <c r="Q29" i="97"/>
  <c r="AI26" i="69"/>
  <c r="AI79" i="69" s="1"/>
  <c r="AI129" i="69" s="1"/>
  <c r="BU60" i="69"/>
  <c r="BP110" i="69"/>
  <c r="S35" i="23"/>
  <c r="T35" i="23" s="1"/>
  <c r="F36" i="23"/>
  <c r="I35" i="23"/>
  <c r="R10" i="69"/>
  <c r="V10" i="69" s="1"/>
  <c r="K36" i="66"/>
  <c r="L36" i="66" s="1"/>
  <c r="D37" i="66"/>
  <c r="G36" i="66"/>
  <c r="Q28" i="86"/>
  <c r="BF25" i="68"/>
  <c r="BF78" i="68" s="1"/>
  <c r="BF127" i="68" s="1"/>
  <c r="Q16" i="62"/>
  <c r="AS13" i="68"/>
  <c r="AS66" i="68" s="1"/>
  <c r="AS115" i="68" s="1"/>
  <c r="F36" i="48"/>
  <c r="I35" i="48"/>
  <c r="K35" i="1"/>
  <c r="L35" i="1" s="1"/>
  <c r="D36" i="1"/>
  <c r="G35" i="1"/>
  <c r="E36" i="43"/>
  <c r="O35" i="43"/>
  <c r="P35" i="43" s="1"/>
  <c r="H35" i="43"/>
  <c r="O36" i="7"/>
  <c r="P36" i="7" s="1"/>
  <c r="E37" i="7"/>
  <c r="H36" i="7"/>
  <c r="M29" i="89"/>
  <c r="AA26" i="68"/>
  <c r="AA79" i="68" s="1"/>
  <c r="AA128" i="68" s="1"/>
  <c r="D37" i="35"/>
  <c r="K36" i="35"/>
  <c r="L36" i="35" s="1"/>
  <c r="G36" i="35"/>
  <c r="O36" i="102"/>
  <c r="P36" i="102" s="1"/>
  <c r="E37" i="102"/>
  <c r="H36" i="102"/>
  <c r="Q27" i="58"/>
  <c r="AD24" i="69"/>
  <c r="AD77" i="69" s="1"/>
  <c r="AD127" i="69" s="1"/>
  <c r="AG63" i="68"/>
  <c r="AF112" i="68"/>
  <c r="J54" i="64"/>
  <c r="R54" i="64"/>
  <c r="K33" i="46"/>
  <c r="W33" i="46" s="1"/>
  <c r="Z33" i="46" s="1"/>
  <c r="D34" i="46"/>
  <c r="Q34" i="46"/>
  <c r="T34" i="46" s="1"/>
  <c r="M30" i="80"/>
  <c r="N27" i="69"/>
  <c r="N80" i="69" s="1"/>
  <c r="N130" i="69" s="1"/>
  <c r="K36" i="67"/>
  <c r="L36" i="67" s="1"/>
  <c r="D37" i="67"/>
  <c r="G36" i="67"/>
  <c r="M14" i="66"/>
  <c r="M11" i="68"/>
  <c r="M64" i="68" s="1"/>
  <c r="M113" i="68" s="1"/>
  <c r="O37" i="67"/>
  <c r="P37" i="67" s="1"/>
  <c r="E38" i="67"/>
  <c r="H37" i="67"/>
  <c r="E36" i="97"/>
  <c r="O35" i="97"/>
  <c r="P35" i="97" s="1"/>
  <c r="H35" i="97"/>
  <c r="M14" i="40"/>
  <c r="D11" i="68"/>
  <c r="D64" i="68" s="1"/>
  <c r="D113" i="68" s="1"/>
  <c r="S38" i="85"/>
  <c r="T38" i="85" s="1"/>
  <c r="F39" i="85"/>
  <c r="I38" i="85"/>
  <c r="U14" i="40"/>
  <c r="BV11" i="68"/>
  <c r="BV64" i="68" s="1"/>
  <c r="BV113" i="68" s="1"/>
  <c r="D37" i="97"/>
  <c r="K36" i="97"/>
  <c r="L36" i="97" s="1"/>
  <c r="G36" i="97"/>
  <c r="U30" i="81"/>
  <c r="BI27" i="69"/>
  <c r="BI80" i="69" s="1"/>
  <c r="BI130" i="69" s="1"/>
  <c r="K35" i="4"/>
  <c r="L35" i="4" s="1"/>
  <c r="D36" i="4"/>
  <c r="G35" i="4"/>
  <c r="K37" i="38"/>
  <c r="L37" i="38" s="1"/>
  <c r="D38" i="38"/>
  <c r="Q29" i="100"/>
  <c r="AQ26" i="68"/>
  <c r="AQ79" i="68" s="1"/>
  <c r="AQ128" i="68" s="1"/>
  <c r="C54" i="90"/>
  <c r="M29" i="99"/>
  <c r="I26" i="68"/>
  <c r="I79" i="68" s="1"/>
  <c r="I128" i="68" s="1"/>
  <c r="U29" i="96"/>
  <c r="BD26" i="69"/>
  <c r="BD79" i="69" s="1"/>
  <c r="BD129" i="69" s="1"/>
  <c r="M28" i="86"/>
  <c r="W25" i="68"/>
  <c r="W78" i="68" s="1"/>
  <c r="W127" i="68" s="1"/>
  <c r="Q29" i="96"/>
  <c r="AG26" i="69"/>
  <c r="AG79" i="69" s="1"/>
  <c r="AG129" i="69" s="1"/>
  <c r="U14" i="39"/>
  <c r="BU11" i="68"/>
  <c r="Q14" i="40"/>
  <c r="AM11" i="68"/>
  <c r="O35" i="103"/>
  <c r="P35" i="103" s="1"/>
  <c r="E36" i="103"/>
  <c r="H35" i="103"/>
  <c r="S37" i="38"/>
  <c r="T37" i="38" s="1"/>
  <c r="F38" i="38"/>
  <c r="B63" i="68"/>
  <c r="AB10" i="68"/>
  <c r="K35" i="80"/>
  <c r="L35" i="80" s="1"/>
  <c r="D36" i="80"/>
  <c r="G35" i="80"/>
  <c r="C43" i="85"/>
  <c r="C44" i="85" s="1"/>
  <c r="U28" i="99"/>
  <c r="CA25" i="68"/>
  <c r="CA78" i="68" s="1"/>
  <c r="CA127" i="68" s="1"/>
  <c r="Q14" i="36"/>
  <c r="AE11" i="69"/>
  <c r="AE64" i="69" s="1"/>
  <c r="AE114" i="69" s="1"/>
  <c r="M14" i="60"/>
  <c r="F11" i="68"/>
  <c r="F64" i="68" s="1"/>
  <c r="F113" i="68" s="1"/>
  <c r="Q28" i="98"/>
  <c r="AH25" i="69"/>
  <c r="AH78" i="69" s="1"/>
  <c r="AH128" i="69" s="1"/>
  <c r="D36" i="99"/>
  <c r="K35" i="99"/>
  <c r="L35" i="99" s="1"/>
  <c r="G35" i="99"/>
  <c r="BL131" i="68"/>
  <c r="U15" i="67"/>
  <c r="CF12" i="68"/>
  <c r="CF65" i="68" s="1"/>
  <c r="CF114" i="68" s="1"/>
  <c r="U14" i="4"/>
  <c r="AW11" i="69"/>
  <c r="Y13" i="23"/>
  <c r="D36" i="59"/>
  <c r="K35" i="59"/>
  <c r="L35" i="59" s="1"/>
  <c r="G35" i="59"/>
  <c r="J39" i="82"/>
  <c r="L39" i="82" s="1"/>
  <c r="B40" i="82"/>
  <c r="C40" i="82" s="1"/>
  <c r="N40" i="82"/>
  <c r="P40" i="82" s="1"/>
  <c r="R39" i="82"/>
  <c r="T39" i="82" s="1"/>
  <c r="I39" i="82"/>
  <c r="H39" i="82"/>
  <c r="G39" i="82"/>
  <c r="K36" i="58"/>
  <c r="L36" i="58" s="1"/>
  <c r="D37" i="58"/>
  <c r="G36" i="58"/>
  <c r="BU111" i="68"/>
  <c r="CT62" i="68"/>
  <c r="DA62" i="68"/>
  <c r="DA111" i="68" s="1"/>
  <c r="AM111" i="68"/>
  <c r="BK62" i="68"/>
  <c r="BK111" i="68" s="1"/>
  <c r="U13" i="61"/>
  <c r="BY10" i="68"/>
  <c r="BY63" i="68" s="1"/>
  <c r="BY112" i="68" s="1"/>
  <c r="S36" i="35"/>
  <c r="T36" i="35" s="1"/>
  <c r="F37" i="35"/>
  <c r="I36" i="35"/>
  <c r="M29" i="82"/>
  <c r="P26" i="69"/>
  <c r="P79" i="69" s="1"/>
  <c r="P129" i="69" s="1"/>
  <c r="M14" i="43"/>
  <c r="R11" i="68"/>
  <c r="R64" i="68" s="1"/>
  <c r="R113" i="68" s="1"/>
  <c r="U15" i="38"/>
  <c r="BT12" i="68"/>
  <c r="BT65" i="68" s="1"/>
  <c r="CU130" i="68"/>
  <c r="O35" i="90"/>
  <c r="P35" i="90" s="1"/>
  <c r="E36" i="90"/>
  <c r="H35" i="90"/>
  <c r="B64" i="69"/>
  <c r="U14" i="59"/>
  <c r="BN11" i="69"/>
  <c r="J54" i="44"/>
  <c r="D54" i="44"/>
  <c r="K54" i="44" s="1"/>
  <c r="E54" i="44"/>
  <c r="O54" i="44" s="1"/>
  <c r="P54" i="44" s="1"/>
  <c r="F54" i="44"/>
  <c r="S54" i="44" s="1"/>
  <c r="R54" i="44"/>
  <c r="H54" i="44"/>
  <c r="U15" i="65"/>
  <c r="CD12" i="68"/>
  <c r="CD65" i="68" s="1"/>
  <c r="CD114" i="68" s="1"/>
  <c r="BN80" i="68"/>
  <c r="BP27" i="68"/>
  <c r="AG111" i="68"/>
  <c r="AH62" i="68"/>
  <c r="AH111" i="68" s="1"/>
  <c r="D37" i="85"/>
  <c r="K36" i="85"/>
  <c r="L36" i="85" s="1"/>
  <c r="G36" i="85"/>
  <c r="U34" i="86"/>
  <c r="CO31" i="68"/>
  <c r="CO84" i="68" s="1"/>
  <c r="CO133" i="68" s="1"/>
  <c r="Q14" i="43"/>
  <c r="BA11" i="68"/>
  <c r="BA64" i="68" s="1"/>
  <c r="BA113" i="68" s="1"/>
  <c r="K35" i="103"/>
  <c r="L35" i="103" s="1"/>
  <c r="D36" i="103"/>
  <c r="G35" i="103"/>
  <c r="Q15" i="67"/>
  <c r="AW12" i="68"/>
  <c r="AW65" i="68" s="1"/>
  <c r="AW114" i="68" s="1"/>
  <c r="B54" i="61"/>
  <c r="J53" i="61"/>
  <c r="L53" i="61" s="1"/>
  <c r="N54" i="61"/>
  <c r="P54" i="61" s="1"/>
  <c r="R53" i="61"/>
  <c r="T53" i="61" s="1"/>
  <c r="H53" i="61"/>
  <c r="I53" i="61"/>
  <c r="G53" i="61"/>
  <c r="K35" i="36"/>
  <c r="L35" i="36" s="1"/>
  <c r="D36" i="36"/>
  <c r="G35" i="36"/>
  <c r="BP9" i="69"/>
  <c r="U14" i="36"/>
  <c r="BB11" i="69"/>
  <c r="BB64" i="69" s="1"/>
  <c r="BB114" i="69" s="1"/>
  <c r="Q15" i="63"/>
  <c r="BO12" i="68"/>
  <c r="X14" i="23"/>
  <c r="Q14" i="61"/>
  <c r="AP11" i="68"/>
  <c r="AP64" i="68" s="1"/>
  <c r="AP113" i="68" s="1"/>
  <c r="J52" i="42"/>
  <c r="L52" i="42" s="1"/>
  <c r="B53" i="42"/>
  <c r="C53" i="42" s="1"/>
  <c r="N53" i="42"/>
  <c r="P53" i="42" s="1"/>
  <c r="R52" i="42"/>
  <c r="T52" i="42" s="1"/>
  <c r="H52" i="42"/>
  <c r="G52" i="42"/>
  <c r="I52" i="42"/>
  <c r="O35" i="23"/>
  <c r="P35" i="23" s="1"/>
  <c r="E36" i="23"/>
  <c r="H35" i="23"/>
  <c r="S36" i="67"/>
  <c r="T36" i="67" s="1"/>
  <c r="F37" i="67"/>
  <c r="I36" i="67"/>
  <c r="J54" i="65"/>
  <c r="L54" i="65" s="1"/>
  <c r="R54" i="65"/>
  <c r="T54" i="65" s="1"/>
  <c r="G54" i="65"/>
  <c r="H54" i="65"/>
  <c r="I54" i="65"/>
  <c r="AH10" i="68"/>
  <c r="Q14" i="37"/>
  <c r="AF11" i="69"/>
  <c r="AF64" i="69" s="1"/>
  <c r="AF114" i="69" s="1"/>
  <c r="O36" i="99"/>
  <c r="P36" i="99" s="1"/>
  <c r="E37" i="99"/>
  <c r="H36" i="99"/>
  <c r="E36" i="60"/>
  <c r="O35" i="60"/>
  <c r="P35" i="60" s="1"/>
  <c r="H35" i="60"/>
  <c r="S35" i="99"/>
  <c r="T35" i="99" s="1"/>
  <c r="F36" i="99"/>
  <c r="I35" i="99"/>
  <c r="BO112" i="68"/>
  <c r="BP63" i="68"/>
  <c r="S36" i="59"/>
  <c r="T36" i="59" s="1"/>
  <c r="F37" i="59"/>
  <c r="I36" i="59"/>
  <c r="S35" i="1"/>
  <c r="T35" i="1" s="1"/>
  <c r="F36" i="1"/>
  <c r="I35" i="1"/>
  <c r="U30" i="104"/>
  <c r="CR27" i="68"/>
  <c r="CR80" i="68" s="1"/>
  <c r="CR129" i="68" s="1"/>
  <c r="Q29" i="102"/>
  <c r="AZ26" i="68"/>
  <c r="AZ79" i="68" s="1"/>
  <c r="AZ128" i="68" s="1"/>
  <c r="Q30" i="104"/>
  <c r="BI27" i="68"/>
  <c r="BI80" i="68" s="1"/>
  <c r="BI129" i="68" s="1"/>
  <c r="N35" i="45" l="1"/>
  <c r="W35" i="45"/>
  <c r="Z35" i="45" s="1"/>
  <c r="Q35" i="74"/>
  <c r="G54" i="44"/>
  <c r="C44" i="36"/>
  <c r="U15" i="23"/>
  <c r="AX12" i="69"/>
  <c r="AX65" i="69" s="1"/>
  <c r="AX115" i="69" s="1"/>
  <c r="T64" i="69"/>
  <c r="U11" i="69"/>
  <c r="Q36" i="63"/>
  <c r="BO33" i="68"/>
  <c r="BO86" i="68" s="1"/>
  <c r="BO135" i="68" s="1"/>
  <c r="D33" i="47"/>
  <c r="Q33" i="47"/>
  <c r="T33" i="47" s="1"/>
  <c r="K32" i="47"/>
  <c r="E39" i="47"/>
  <c r="L38" i="47"/>
  <c r="H38" i="47"/>
  <c r="G35" i="74"/>
  <c r="D36" i="74"/>
  <c r="K35" i="74"/>
  <c r="L35" i="74" s="1"/>
  <c r="M35" i="74" s="1"/>
  <c r="M14" i="64"/>
  <c r="K11" i="68"/>
  <c r="K64" i="68" s="1"/>
  <c r="K113" i="68" s="1"/>
  <c r="U29" i="87"/>
  <c r="CN26" i="68"/>
  <c r="CN79" i="68" s="1"/>
  <c r="CN128" i="68" s="1"/>
  <c r="CP26" i="68"/>
  <c r="CP79" i="68" s="1"/>
  <c r="CP128" i="68" s="1"/>
  <c r="H35" i="74"/>
  <c r="O35" i="74"/>
  <c r="P35" i="74" s="1"/>
  <c r="E36" i="74"/>
  <c r="Q31" i="82"/>
  <c r="AM28" i="69"/>
  <c r="AM81" i="69" s="1"/>
  <c r="AM131" i="69" s="1"/>
  <c r="S37" i="74"/>
  <c r="T37" i="74" s="1"/>
  <c r="I37" i="74"/>
  <c r="F38" i="74"/>
  <c r="U15" i="35"/>
  <c r="AZ12" i="69"/>
  <c r="AZ65" i="69" s="1"/>
  <c r="AZ115" i="69" s="1"/>
  <c r="CX12" i="68"/>
  <c r="U15" i="63"/>
  <c r="M30" i="47"/>
  <c r="AD28" i="68"/>
  <c r="D36" i="75"/>
  <c r="G35" i="75"/>
  <c r="K35" i="75"/>
  <c r="L35" i="75" s="1"/>
  <c r="M35" i="75" s="1"/>
  <c r="Q18" i="35"/>
  <c r="AC15" i="69"/>
  <c r="AC68" i="69" s="1"/>
  <c r="AC118" i="69" s="1"/>
  <c r="J41" i="86"/>
  <c r="B42" i="86"/>
  <c r="N42" i="86"/>
  <c r="R41" i="86"/>
  <c r="Q16" i="38"/>
  <c r="AK13" i="68"/>
  <c r="AK66" i="68" s="1"/>
  <c r="AK115" i="68" s="1"/>
  <c r="AP33" i="69"/>
  <c r="AP86" i="69" s="1"/>
  <c r="AP136" i="69" s="1"/>
  <c r="S35" i="45"/>
  <c r="Q16" i="1"/>
  <c r="Y13" i="69"/>
  <c r="Y66" i="69" s="1"/>
  <c r="Y116" i="69" s="1"/>
  <c r="I37" i="101"/>
  <c r="S37" i="101"/>
  <c r="T37" i="101" s="1"/>
  <c r="F38" i="101"/>
  <c r="U30" i="89"/>
  <c r="CS27" i="68"/>
  <c r="CS80" i="68" s="1"/>
  <c r="CS129" i="68" s="1"/>
  <c r="U15" i="1"/>
  <c r="AV12" i="69"/>
  <c r="AV65" i="69" s="1"/>
  <c r="AV115" i="69" s="1"/>
  <c r="BM32" i="69"/>
  <c r="BM85" i="69" s="1"/>
  <c r="BM135" i="69" s="1"/>
  <c r="Y34" i="45"/>
  <c r="J42" i="7"/>
  <c r="B43" i="7"/>
  <c r="N43" i="7"/>
  <c r="R42" i="7"/>
  <c r="CX112" i="68"/>
  <c r="CY63" i="68"/>
  <c r="CY112" i="68" s="1"/>
  <c r="M31" i="87"/>
  <c r="X28" i="68"/>
  <c r="X81" i="68" s="1"/>
  <c r="X130" i="68" s="1"/>
  <c r="Q29" i="88"/>
  <c r="BH26" i="68"/>
  <c r="BH79" i="68" s="1"/>
  <c r="BH128" i="68" s="1"/>
  <c r="CX64" i="68"/>
  <c r="CY11" i="68"/>
  <c r="CV28" i="68"/>
  <c r="CV81" i="68" s="1"/>
  <c r="CV130" i="68" s="1"/>
  <c r="Y30" i="47"/>
  <c r="AG79" i="68"/>
  <c r="AG128" i="68" s="1"/>
  <c r="AD128" i="68"/>
  <c r="U30" i="101"/>
  <c r="CK27" i="68"/>
  <c r="CK80" i="68" s="1"/>
  <c r="CK129" i="68" s="1"/>
  <c r="T113" i="69"/>
  <c r="U63" i="69"/>
  <c r="U113" i="69" s="1"/>
  <c r="M14" i="41"/>
  <c r="E11" i="68"/>
  <c r="E64" i="68" s="1"/>
  <c r="E113" i="68" s="1"/>
  <c r="T54" i="44"/>
  <c r="L54" i="44"/>
  <c r="C54" i="100"/>
  <c r="AD80" i="68"/>
  <c r="AG27" i="68"/>
  <c r="U29" i="85"/>
  <c r="CM26" i="68"/>
  <c r="CM79" i="68" s="1"/>
  <c r="CM128" i="68" s="1"/>
  <c r="D36" i="45"/>
  <c r="K36" i="45" s="1"/>
  <c r="Q36" i="45"/>
  <c r="T36" i="45" s="1"/>
  <c r="M15" i="4"/>
  <c r="C12" i="69"/>
  <c r="C65" i="69" s="1"/>
  <c r="C115" i="69" s="1"/>
  <c r="H36" i="98"/>
  <c r="O36" i="98"/>
  <c r="P36" i="98" s="1"/>
  <c r="E37" i="98"/>
  <c r="C54" i="104"/>
  <c r="BM30" i="68"/>
  <c r="BM83" i="68" s="1"/>
  <c r="BM132" i="68" s="1"/>
  <c r="S32" i="47"/>
  <c r="Q15" i="39"/>
  <c r="AL12" i="68"/>
  <c r="AL65" i="68" s="1"/>
  <c r="AL114" i="68" s="1"/>
  <c r="M14" i="37"/>
  <c r="I11" i="69"/>
  <c r="I64" i="69" s="1"/>
  <c r="I114" i="69" s="1"/>
  <c r="J54" i="1"/>
  <c r="R54" i="1"/>
  <c r="M14" i="65"/>
  <c r="L11" i="68"/>
  <c r="L64" i="68" s="1"/>
  <c r="L113" i="68" s="1"/>
  <c r="Q15" i="23"/>
  <c r="AA12" i="69"/>
  <c r="AA65" i="69" s="1"/>
  <c r="AA115" i="69" s="1"/>
  <c r="J41" i="60"/>
  <c r="B42" i="60"/>
  <c r="C42" i="60" s="1"/>
  <c r="N42" i="60"/>
  <c r="R41" i="60"/>
  <c r="S32" i="69"/>
  <c r="S85" i="69" s="1"/>
  <c r="S135" i="69" s="1"/>
  <c r="M34" i="45"/>
  <c r="J54" i="99"/>
  <c r="R54" i="99"/>
  <c r="R54" i="63"/>
  <c r="J54" i="63"/>
  <c r="U14" i="42"/>
  <c r="CG11" i="68"/>
  <c r="CG64" i="68" s="1"/>
  <c r="CG113" i="68" s="1"/>
  <c r="Q29" i="99"/>
  <c r="AR26" i="68"/>
  <c r="AR79" i="68" s="1"/>
  <c r="AR128" i="68" s="1"/>
  <c r="BC11" i="69"/>
  <c r="BC64" i="69" s="1"/>
  <c r="BC114" i="69" s="1"/>
  <c r="U14" i="37"/>
  <c r="C42" i="86"/>
  <c r="CC11" i="68"/>
  <c r="CC64" i="68" s="1"/>
  <c r="CC113" i="68" s="1"/>
  <c r="U14" i="64"/>
  <c r="T12" i="69"/>
  <c r="M15" i="59"/>
  <c r="W14" i="59"/>
  <c r="U30" i="82"/>
  <c r="BJ27" i="69"/>
  <c r="BJ80" i="69" s="1"/>
  <c r="BJ130" i="69" s="1"/>
  <c r="I54" i="104"/>
  <c r="J54" i="104"/>
  <c r="L54" i="104" s="1"/>
  <c r="G54" i="104"/>
  <c r="R54" i="104"/>
  <c r="T54" i="104" s="1"/>
  <c r="H54" i="104"/>
  <c r="M15" i="61"/>
  <c r="G12" i="68"/>
  <c r="G65" i="68" s="1"/>
  <c r="G114" i="68" s="1"/>
  <c r="U14" i="44"/>
  <c r="CL11" i="68"/>
  <c r="CL64" i="68" s="1"/>
  <c r="CL113" i="68" s="1"/>
  <c r="W31" i="47"/>
  <c r="Z31" i="47" s="1"/>
  <c r="N31" i="47"/>
  <c r="AN12" i="68"/>
  <c r="AN65" i="68" s="1"/>
  <c r="AN114" i="68" s="1"/>
  <c r="Q15" i="41"/>
  <c r="J44" i="36"/>
  <c r="B45" i="36"/>
  <c r="N45" i="36"/>
  <c r="R44" i="36"/>
  <c r="F33" i="75"/>
  <c r="I32" i="75"/>
  <c r="S32" i="75"/>
  <c r="T32" i="75" s="1"/>
  <c r="U32" i="75" s="1"/>
  <c r="U15" i="7"/>
  <c r="AY12" i="69"/>
  <c r="AY65" i="69" s="1"/>
  <c r="AY115" i="69" s="1"/>
  <c r="C42" i="7"/>
  <c r="C43" i="7" s="1"/>
  <c r="U30" i="83"/>
  <c r="BK27" i="69"/>
  <c r="BK80" i="69" s="1"/>
  <c r="BK130" i="69" s="1"/>
  <c r="J40" i="58"/>
  <c r="B41" i="58"/>
  <c r="C41" i="58" s="1"/>
  <c r="N41" i="58"/>
  <c r="R40" i="58"/>
  <c r="O37" i="63"/>
  <c r="P37" i="63" s="1"/>
  <c r="H37" i="63"/>
  <c r="E38" i="63"/>
  <c r="H11" i="69"/>
  <c r="M14" i="36"/>
  <c r="M28" i="58"/>
  <c r="G25" i="69"/>
  <c r="G78" i="69" s="1"/>
  <c r="G128" i="69" s="1"/>
  <c r="M15" i="62"/>
  <c r="J12" i="68"/>
  <c r="J65" i="68" s="1"/>
  <c r="J114" i="68" s="1"/>
  <c r="U37" i="74"/>
  <c r="E40" i="48"/>
  <c r="H39" i="48"/>
  <c r="G37" i="48"/>
  <c r="J36" i="48"/>
  <c r="H37" i="46"/>
  <c r="E38" i="46"/>
  <c r="F39" i="47"/>
  <c r="R38" i="47"/>
  <c r="I38" i="47"/>
  <c r="I36" i="103"/>
  <c r="S36" i="103"/>
  <c r="T36" i="103" s="1"/>
  <c r="F37" i="103"/>
  <c r="M39" i="63"/>
  <c r="AF36" i="68"/>
  <c r="AF89" i="68" s="1"/>
  <c r="E37" i="64"/>
  <c r="H36" i="64"/>
  <c r="O36" i="64"/>
  <c r="P36" i="64" s="1"/>
  <c r="I36" i="100"/>
  <c r="S36" i="100"/>
  <c r="T36" i="100" s="1"/>
  <c r="F37" i="100"/>
  <c r="H36" i="38"/>
  <c r="O36" i="38"/>
  <c r="P36" i="38" s="1"/>
  <c r="E37" i="38"/>
  <c r="I37" i="97"/>
  <c r="S37" i="97"/>
  <c r="T37" i="97" s="1"/>
  <c r="F38" i="97"/>
  <c r="U31" i="104"/>
  <c r="CR28" i="68"/>
  <c r="CR81" i="68" s="1"/>
  <c r="CR130" i="68" s="1"/>
  <c r="S37" i="67"/>
  <c r="T37" i="67" s="1"/>
  <c r="F38" i="67"/>
  <c r="I37" i="67"/>
  <c r="K36" i="36"/>
  <c r="L36" i="36" s="1"/>
  <c r="D37" i="36"/>
  <c r="G36" i="36"/>
  <c r="J54" i="61"/>
  <c r="L54" i="61" s="1"/>
  <c r="R54" i="61"/>
  <c r="T54" i="61" s="1"/>
  <c r="I54" i="61"/>
  <c r="G54" i="61"/>
  <c r="H54" i="61"/>
  <c r="Q15" i="43"/>
  <c r="BA12" i="68"/>
  <c r="BA65" i="68" s="1"/>
  <c r="BA114" i="68" s="1"/>
  <c r="U16" i="38"/>
  <c r="BT13" i="68"/>
  <c r="BT66" i="68" s="1"/>
  <c r="M30" i="82"/>
  <c r="P27" i="69"/>
  <c r="P80" i="69" s="1"/>
  <c r="P130" i="69" s="1"/>
  <c r="D38" i="58"/>
  <c r="K37" i="58"/>
  <c r="L37" i="58" s="1"/>
  <c r="G37" i="58"/>
  <c r="U16" i="67"/>
  <c r="CF13" i="68"/>
  <c r="CF66" i="68" s="1"/>
  <c r="CF115" i="68" s="1"/>
  <c r="B112" i="68"/>
  <c r="AB63" i="68"/>
  <c r="AB112" i="68" s="1"/>
  <c r="S38" i="38"/>
  <c r="F39" i="38"/>
  <c r="U15" i="39"/>
  <c r="BU12" i="68"/>
  <c r="BU65" i="68" s="1"/>
  <c r="U30" i="96"/>
  <c r="BD27" i="69"/>
  <c r="BD80" i="69" s="1"/>
  <c r="BD130" i="69" s="1"/>
  <c r="K38" i="38"/>
  <c r="D39" i="38"/>
  <c r="G39" i="38" s="1"/>
  <c r="K34" i="46"/>
  <c r="W34" i="46" s="1"/>
  <c r="Z34" i="46" s="1"/>
  <c r="D35" i="46"/>
  <c r="Q35" i="46"/>
  <c r="T35" i="46" s="1"/>
  <c r="Q28" i="58"/>
  <c r="AD25" i="69"/>
  <c r="AD78" i="69" s="1"/>
  <c r="AD128" i="69" s="1"/>
  <c r="M30" i="89"/>
  <c r="AA27" i="68"/>
  <c r="AA80" i="68" s="1"/>
  <c r="AA129" i="68" s="1"/>
  <c r="K36" i="1"/>
  <c r="L36" i="1" s="1"/>
  <c r="D37" i="1"/>
  <c r="G36" i="1"/>
  <c r="Q29" i="86"/>
  <c r="BF26" i="68"/>
  <c r="BF79" i="68" s="1"/>
  <c r="BF128" i="68" s="1"/>
  <c r="Q30" i="97"/>
  <c r="AI27" i="69"/>
  <c r="AI80" i="69" s="1"/>
  <c r="AI130" i="69" s="1"/>
  <c r="S37" i="86"/>
  <c r="T37" i="86" s="1"/>
  <c r="F38" i="86"/>
  <c r="I37" i="86"/>
  <c r="BN113" i="69"/>
  <c r="BO63" i="69"/>
  <c r="Q15" i="42"/>
  <c r="AX12" i="68"/>
  <c r="AX65" i="68" s="1"/>
  <c r="AX114" i="68" s="1"/>
  <c r="Q30" i="81"/>
  <c r="AL27" i="69"/>
  <c r="AL80" i="69" s="1"/>
  <c r="AL130" i="69" s="1"/>
  <c r="M16" i="23"/>
  <c r="D13" i="69"/>
  <c r="D66" i="69" s="1"/>
  <c r="D116" i="69" s="1"/>
  <c r="W15" i="23"/>
  <c r="M30" i="104"/>
  <c r="Z27" i="68"/>
  <c r="Z80" i="68" s="1"/>
  <c r="Z129" i="68" s="1"/>
  <c r="O38" i="80"/>
  <c r="P38" i="80" s="1"/>
  <c r="E39" i="80"/>
  <c r="E39" i="86"/>
  <c r="O38" i="86"/>
  <c r="P38" i="86" s="1"/>
  <c r="H38" i="86"/>
  <c r="C54" i="102"/>
  <c r="F43" i="46"/>
  <c r="I42" i="46"/>
  <c r="R42" i="46" s="1"/>
  <c r="S39" i="63"/>
  <c r="T39" i="63" s="1"/>
  <c r="F40" i="63"/>
  <c r="I39" i="63"/>
  <c r="S36" i="96"/>
  <c r="T36" i="96" s="1"/>
  <c r="F37" i="96"/>
  <c r="I36" i="96"/>
  <c r="S36" i="90"/>
  <c r="T36" i="90" s="1"/>
  <c r="F37" i="90"/>
  <c r="I36" i="90"/>
  <c r="O36" i="35"/>
  <c r="P36" i="35" s="1"/>
  <c r="E37" i="35"/>
  <c r="H36" i="35"/>
  <c r="AF113" i="68"/>
  <c r="AG64" i="68"/>
  <c r="Q15" i="7"/>
  <c r="AB12" i="69"/>
  <c r="AB65" i="69" s="1"/>
  <c r="AB115" i="69" s="1"/>
  <c r="K33" i="48"/>
  <c r="W33" i="48" s="1"/>
  <c r="D34" i="48"/>
  <c r="Q34" i="48"/>
  <c r="J54" i="84"/>
  <c r="L54" i="84" s="1"/>
  <c r="G54" i="84"/>
  <c r="H54" i="84"/>
  <c r="I54" i="84"/>
  <c r="R54" i="84"/>
  <c r="T54" i="84" s="1"/>
  <c r="U54" i="84" s="1"/>
  <c r="U15" i="41"/>
  <c r="BW12" i="68"/>
  <c r="BW65" i="68" s="1"/>
  <c r="BW114" i="68" s="1"/>
  <c r="M29" i="88"/>
  <c r="Y26" i="68"/>
  <c r="Y79" i="68" s="1"/>
  <c r="Y128" i="68" s="1"/>
  <c r="Z65" i="69"/>
  <c r="U29" i="97"/>
  <c r="BF26" i="69"/>
  <c r="BF79" i="69" s="1"/>
  <c r="BF129" i="69" s="1"/>
  <c r="N33" i="46"/>
  <c r="S37" i="102"/>
  <c r="T37" i="102" s="1"/>
  <c r="F38" i="102"/>
  <c r="I37" i="102"/>
  <c r="S36" i="7"/>
  <c r="T36" i="7" s="1"/>
  <c r="F37" i="7"/>
  <c r="I36" i="7"/>
  <c r="BL84" i="68"/>
  <c r="E37" i="101"/>
  <c r="O36" i="101"/>
  <c r="P36" i="101" s="1"/>
  <c r="H36" i="101"/>
  <c r="J44" i="96"/>
  <c r="B45" i="96"/>
  <c r="N45" i="96"/>
  <c r="R44" i="96"/>
  <c r="K36" i="98"/>
  <c r="L36" i="98" s="1"/>
  <c r="D37" i="98"/>
  <c r="G36" i="98"/>
  <c r="I38" i="38"/>
  <c r="B65" i="69"/>
  <c r="U16" i="62"/>
  <c r="CB13" i="68"/>
  <c r="CB66" i="68" s="1"/>
  <c r="CB115" i="68" s="1"/>
  <c r="A27" i="70"/>
  <c r="AC131" i="68"/>
  <c r="O36" i="59"/>
  <c r="P36" i="59" s="1"/>
  <c r="E37" i="59"/>
  <c r="H36" i="59"/>
  <c r="M29" i="101"/>
  <c r="S26" i="68"/>
  <c r="S79" i="68" s="1"/>
  <c r="S128" i="68" s="1"/>
  <c r="M29" i="97"/>
  <c r="L26" i="69"/>
  <c r="L79" i="69" s="1"/>
  <c r="L129" i="69" s="1"/>
  <c r="U29" i="102"/>
  <c r="CI26" i="68"/>
  <c r="CI79" i="68" s="1"/>
  <c r="CI128" i="68" s="1"/>
  <c r="S37" i="59"/>
  <c r="T37" i="59" s="1"/>
  <c r="F38" i="59"/>
  <c r="I37" i="59"/>
  <c r="Q15" i="37"/>
  <c r="AF12" i="69"/>
  <c r="AF65" i="69" s="1"/>
  <c r="AF115" i="69" s="1"/>
  <c r="Q15" i="61"/>
  <c r="AP12" i="68"/>
  <c r="AP65" i="68" s="1"/>
  <c r="AP114" i="68" s="1"/>
  <c r="U15" i="36"/>
  <c r="BB12" i="69"/>
  <c r="BB65" i="69" s="1"/>
  <c r="BB115" i="69" s="1"/>
  <c r="K36" i="103"/>
  <c r="L36" i="103" s="1"/>
  <c r="D37" i="103"/>
  <c r="G36" i="103"/>
  <c r="U35" i="86"/>
  <c r="CO32" i="68"/>
  <c r="CO85" i="68" s="1"/>
  <c r="CO134" i="68" s="1"/>
  <c r="BN129" i="68"/>
  <c r="BP80" i="68"/>
  <c r="BN64" i="69"/>
  <c r="BO11" i="69"/>
  <c r="B114" i="69"/>
  <c r="U14" i="61"/>
  <c r="BY11" i="68"/>
  <c r="BY64" i="68" s="1"/>
  <c r="BY113" i="68" s="1"/>
  <c r="CT111" i="68"/>
  <c r="CZ62" i="68"/>
  <c r="AW64" i="69"/>
  <c r="BL11" i="69"/>
  <c r="B4" i="92" s="1"/>
  <c r="K36" i="99"/>
  <c r="L36" i="99" s="1"/>
  <c r="D37" i="99"/>
  <c r="G36" i="99"/>
  <c r="M15" i="60"/>
  <c r="F12" i="68"/>
  <c r="F65" i="68" s="1"/>
  <c r="F114" i="68" s="1"/>
  <c r="U29" i="99"/>
  <c r="CA26" i="68"/>
  <c r="CA79" i="68" s="1"/>
  <c r="CA128" i="68" s="1"/>
  <c r="K36" i="80"/>
  <c r="L36" i="80" s="1"/>
  <c r="D37" i="80"/>
  <c r="G36" i="80"/>
  <c r="AM64" i="68"/>
  <c r="Q30" i="100"/>
  <c r="AQ27" i="68"/>
  <c r="AQ80" i="68" s="1"/>
  <c r="AQ129" i="68" s="1"/>
  <c r="K37" i="97"/>
  <c r="L37" i="97" s="1"/>
  <c r="D38" i="97"/>
  <c r="G37" i="97"/>
  <c r="S39" i="85"/>
  <c r="T39" i="85" s="1"/>
  <c r="F40" i="85"/>
  <c r="I39" i="85"/>
  <c r="O36" i="97"/>
  <c r="P36" i="97" s="1"/>
  <c r="E37" i="97"/>
  <c r="H36" i="97"/>
  <c r="M15" i="66"/>
  <c r="M12" i="68"/>
  <c r="M65" i="68" s="1"/>
  <c r="M114" i="68" s="1"/>
  <c r="CU31" i="68"/>
  <c r="Y33" i="46"/>
  <c r="Q17" i="62"/>
  <c r="AS14" i="68"/>
  <c r="AS67" i="68" s="1"/>
  <c r="AS116" i="68" s="1"/>
  <c r="J41" i="43"/>
  <c r="B42" i="43"/>
  <c r="N42" i="43"/>
  <c r="R41" i="43"/>
  <c r="BL63" i="69"/>
  <c r="AW113" i="69"/>
  <c r="BT63" i="69"/>
  <c r="E39" i="100"/>
  <c r="O38" i="100"/>
  <c r="P38" i="100" s="1"/>
  <c r="H38" i="100"/>
  <c r="M15" i="7"/>
  <c r="E12" i="69"/>
  <c r="E65" i="69" s="1"/>
  <c r="E115" i="69" s="1"/>
  <c r="AM112" i="68"/>
  <c r="BK63" i="68"/>
  <c r="BK112" i="68" s="1"/>
  <c r="J54" i="102"/>
  <c r="R54" i="102"/>
  <c r="AQ65" i="69"/>
  <c r="AR12" i="69"/>
  <c r="J40" i="89"/>
  <c r="L40" i="89" s="1"/>
  <c r="B41" i="89"/>
  <c r="N41" i="89"/>
  <c r="P41" i="89" s="1"/>
  <c r="R40" i="89"/>
  <c r="T40" i="89" s="1"/>
  <c r="I40" i="89"/>
  <c r="G40" i="89"/>
  <c r="H40" i="89"/>
  <c r="S36" i="98"/>
  <c r="T36" i="98" s="1"/>
  <c r="F37" i="98"/>
  <c r="I36" i="98"/>
  <c r="Q30" i="80"/>
  <c r="AK27" i="69"/>
  <c r="AK80" i="69" s="1"/>
  <c r="AK130" i="69" s="1"/>
  <c r="J39" i="80"/>
  <c r="B40" i="80"/>
  <c r="C40" i="80" s="1"/>
  <c r="N40" i="80"/>
  <c r="R39" i="80"/>
  <c r="H39" i="80"/>
  <c r="BU61" i="69"/>
  <c r="BP111" i="69"/>
  <c r="K37" i="64"/>
  <c r="L37" i="64" s="1"/>
  <c r="D38" i="64"/>
  <c r="G37" i="64"/>
  <c r="Q16" i="4"/>
  <c r="Z13" i="69"/>
  <c r="D37" i="60"/>
  <c r="K36" i="60"/>
  <c r="L36" i="60" s="1"/>
  <c r="G36" i="60"/>
  <c r="D37" i="86"/>
  <c r="K36" i="86"/>
  <c r="L36" i="86" s="1"/>
  <c r="G36" i="86"/>
  <c r="J39" i="83"/>
  <c r="L39" i="83" s="1"/>
  <c r="B40" i="83"/>
  <c r="C40" i="83" s="1"/>
  <c r="N40" i="83"/>
  <c r="P40" i="83" s="1"/>
  <c r="R39" i="83"/>
  <c r="T39" i="83" s="1"/>
  <c r="I39" i="83"/>
  <c r="H39" i="83"/>
  <c r="G39" i="83"/>
  <c r="CU131" i="68"/>
  <c r="M30" i="98"/>
  <c r="K27" i="69"/>
  <c r="K80" i="69" s="1"/>
  <c r="K130" i="69" s="1"/>
  <c r="D38" i="7"/>
  <c r="K37" i="7"/>
  <c r="L37" i="7" s="1"/>
  <c r="G37" i="7"/>
  <c r="Q16" i="66"/>
  <c r="AV13" i="68"/>
  <c r="AV66" i="68" s="1"/>
  <c r="AV115" i="68" s="1"/>
  <c r="O36" i="96"/>
  <c r="P36" i="96" s="1"/>
  <c r="E37" i="96"/>
  <c r="H36" i="96"/>
  <c r="AF65" i="68"/>
  <c r="AG12" i="68"/>
  <c r="J39" i="38"/>
  <c r="B40" i="38"/>
  <c r="N40" i="38"/>
  <c r="R39" i="38"/>
  <c r="I39" i="38"/>
  <c r="U14" i="66"/>
  <c r="CE11" i="68"/>
  <c r="CE64" i="68" s="1"/>
  <c r="CE113" i="68" s="1"/>
  <c r="CW28" i="68"/>
  <c r="CW81" i="68" s="1"/>
  <c r="CW130" i="68" s="1"/>
  <c r="X30" i="48"/>
  <c r="Y30" i="48"/>
  <c r="Q14" i="44"/>
  <c r="BC11" i="68"/>
  <c r="BC64" i="68" s="1"/>
  <c r="BC113" i="68" s="1"/>
  <c r="M15" i="44"/>
  <c r="T12" i="68"/>
  <c r="T65" i="68" s="1"/>
  <c r="T114" i="68" s="1"/>
  <c r="J54" i="88"/>
  <c r="L54" i="88" s="1"/>
  <c r="R54" i="88"/>
  <c r="T54" i="88" s="1"/>
  <c r="G54" i="88"/>
  <c r="I54" i="88"/>
  <c r="H54" i="88"/>
  <c r="M16" i="1"/>
  <c r="B13" i="69"/>
  <c r="U28" i="58"/>
  <c r="BA25" i="69"/>
  <c r="BA78" i="69" s="1"/>
  <c r="BA128" i="69" s="1"/>
  <c r="S37" i="60"/>
  <c r="T37" i="60" s="1"/>
  <c r="F38" i="60"/>
  <c r="I37" i="60"/>
  <c r="B64" i="68"/>
  <c r="U31" i="88"/>
  <c r="CQ28" i="68"/>
  <c r="CQ81" i="68" s="1"/>
  <c r="CQ130" i="68" s="1"/>
  <c r="J44" i="85"/>
  <c r="B45" i="85"/>
  <c r="N45" i="85"/>
  <c r="R44" i="85"/>
  <c r="M29" i="102"/>
  <c r="Q26" i="68"/>
  <c r="Q79" i="68" s="1"/>
  <c r="Q128" i="68" s="1"/>
  <c r="Q31" i="104"/>
  <c r="BI28" i="68"/>
  <c r="BI81" i="68" s="1"/>
  <c r="BI130" i="68" s="1"/>
  <c r="Q30" i="102"/>
  <c r="AZ27" i="68"/>
  <c r="AZ80" i="68" s="1"/>
  <c r="AZ129" i="68" s="1"/>
  <c r="S36" i="1"/>
  <c r="T36" i="1" s="1"/>
  <c r="F37" i="1"/>
  <c r="I36" i="1"/>
  <c r="O37" i="99"/>
  <c r="P37" i="99" s="1"/>
  <c r="E38" i="99"/>
  <c r="H37" i="99"/>
  <c r="J53" i="42"/>
  <c r="L53" i="42" s="1"/>
  <c r="B54" i="42"/>
  <c r="N54" i="42"/>
  <c r="P54" i="42" s="1"/>
  <c r="R53" i="42"/>
  <c r="T53" i="42" s="1"/>
  <c r="G53" i="42"/>
  <c r="I53" i="42"/>
  <c r="H53" i="42"/>
  <c r="BO65" i="68"/>
  <c r="BP12" i="68"/>
  <c r="Q16" i="67"/>
  <c r="AW13" i="68"/>
  <c r="AW66" i="68" s="1"/>
  <c r="AW115" i="68" s="1"/>
  <c r="K37" i="85"/>
  <c r="L37" i="85" s="1"/>
  <c r="D38" i="85"/>
  <c r="G37" i="85"/>
  <c r="I54" i="44"/>
  <c r="U15" i="59"/>
  <c r="BN12" i="69"/>
  <c r="M15" i="43"/>
  <c r="R12" i="68"/>
  <c r="R65" i="68" s="1"/>
  <c r="R114" i="68" s="1"/>
  <c r="S37" i="35"/>
  <c r="T37" i="35" s="1"/>
  <c r="F38" i="35"/>
  <c r="I37" i="35"/>
  <c r="U15" i="4"/>
  <c r="AW12" i="69"/>
  <c r="Y14" i="23"/>
  <c r="C45" i="85"/>
  <c r="Q15" i="40"/>
  <c r="AM12" i="68"/>
  <c r="Q30" i="96"/>
  <c r="AG27" i="69"/>
  <c r="AG80" i="69" s="1"/>
  <c r="AG130" i="69" s="1"/>
  <c r="M29" i="86"/>
  <c r="W26" i="68"/>
  <c r="W79" i="68" s="1"/>
  <c r="W128" i="68" s="1"/>
  <c r="M30" i="99"/>
  <c r="I27" i="68"/>
  <c r="I80" i="68" s="1"/>
  <c r="I129" i="68" s="1"/>
  <c r="M15" i="40"/>
  <c r="D12" i="68"/>
  <c r="D65" i="68" s="1"/>
  <c r="D114" i="68" s="1"/>
  <c r="M31" i="80"/>
  <c r="N28" i="69"/>
  <c r="N81" i="69" s="1"/>
  <c r="N131" i="69" s="1"/>
  <c r="AG112" i="68"/>
  <c r="AH63" i="68"/>
  <c r="AH112" i="68" s="1"/>
  <c r="O37" i="102"/>
  <c r="P37" i="102" s="1"/>
  <c r="E38" i="102"/>
  <c r="H37" i="102"/>
  <c r="K37" i="35"/>
  <c r="L37" i="35" s="1"/>
  <c r="D38" i="35"/>
  <c r="G37" i="35"/>
  <c r="O37" i="7"/>
  <c r="P37" i="7" s="1"/>
  <c r="E38" i="7"/>
  <c r="H37" i="7"/>
  <c r="E37" i="43"/>
  <c r="O36" i="43"/>
  <c r="P36" i="43" s="1"/>
  <c r="H36" i="43"/>
  <c r="K37" i="66"/>
  <c r="L37" i="66" s="1"/>
  <c r="D38" i="66"/>
  <c r="G37" i="66"/>
  <c r="BU110" i="69"/>
  <c r="BW60" i="69"/>
  <c r="S37" i="58"/>
  <c r="T37" i="58" s="1"/>
  <c r="F38" i="58"/>
  <c r="I37" i="58"/>
  <c r="BL132" i="68"/>
  <c r="E37" i="58"/>
  <c r="O36" i="58"/>
  <c r="P36" i="58" s="1"/>
  <c r="H36" i="58"/>
  <c r="M30" i="90"/>
  <c r="M27" i="69"/>
  <c r="M80" i="69" s="1"/>
  <c r="M130" i="69" s="1"/>
  <c r="O37" i="36"/>
  <c r="P37" i="36" s="1"/>
  <c r="E38" i="36"/>
  <c r="H37" i="36"/>
  <c r="Q31" i="90"/>
  <c r="AJ28" i="69"/>
  <c r="AJ81" i="69" s="1"/>
  <c r="AJ131" i="69" s="1"/>
  <c r="J54" i="100"/>
  <c r="R54" i="100"/>
  <c r="CT10" i="68"/>
  <c r="CZ10" i="68" s="1"/>
  <c r="C54" i="61"/>
  <c r="Q32" i="85"/>
  <c r="BD29" i="68"/>
  <c r="BD82" i="68" s="1"/>
  <c r="BD131" i="68" s="1"/>
  <c r="Q30" i="89"/>
  <c r="BJ27" i="68"/>
  <c r="BJ80" i="68" s="1"/>
  <c r="BJ129" i="68" s="1"/>
  <c r="U31" i="90"/>
  <c r="BG28" i="69"/>
  <c r="BG81" i="69" s="1"/>
  <c r="BG131" i="69" s="1"/>
  <c r="Q32" i="83"/>
  <c r="AN29" i="69"/>
  <c r="AN82" i="69" s="1"/>
  <c r="AN132" i="69" s="1"/>
  <c r="M14" i="67"/>
  <c r="N11" i="68"/>
  <c r="N64" i="68" s="1"/>
  <c r="N113" i="68" s="1"/>
  <c r="M31" i="83"/>
  <c r="Q28" i="69"/>
  <c r="Q81" i="69" s="1"/>
  <c r="Q131" i="69" s="1"/>
  <c r="M15" i="39"/>
  <c r="C12" i="68"/>
  <c r="C65" i="68" s="1"/>
  <c r="C114" i="68" s="1"/>
  <c r="Q15" i="60"/>
  <c r="AO12" i="68"/>
  <c r="AO65" i="68" s="1"/>
  <c r="AO114" i="68" s="1"/>
  <c r="Q16" i="59"/>
  <c r="AQ13" i="69"/>
  <c r="V15" i="59"/>
  <c r="M30" i="85"/>
  <c r="U27" i="68"/>
  <c r="U80" i="68" s="1"/>
  <c r="U129" i="68" s="1"/>
  <c r="H38" i="80"/>
  <c r="U30" i="98"/>
  <c r="BE27" i="69"/>
  <c r="BE80" i="69" s="1"/>
  <c r="BE130" i="69" s="1"/>
  <c r="C40" i="89"/>
  <c r="M15" i="35"/>
  <c r="F12" i="69"/>
  <c r="F65" i="69" s="1"/>
  <c r="F115" i="69" s="1"/>
  <c r="J54" i="81"/>
  <c r="L54" i="81" s="1"/>
  <c r="R54" i="81"/>
  <c r="T54" i="81" s="1"/>
  <c r="I54" i="81"/>
  <c r="H54" i="81"/>
  <c r="G54" i="81"/>
  <c r="J45" i="66"/>
  <c r="B46" i="66"/>
  <c r="N46" i="66"/>
  <c r="R45" i="66"/>
  <c r="S37" i="43"/>
  <c r="T37" i="43" s="1"/>
  <c r="F38" i="43"/>
  <c r="I37" i="43"/>
  <c r="J54" i="37"/>
  <c r="L54" i="37" s="1"/>
  <c r="R54" i="37"/>
  <c r="T54" i="37" s="1"/>
  <c r="G54" i="37"/>
  <c r="I54" i="37"/>
  <c r="H54" i="37"/>
  <c r="BO113" i="68"/>
  <c r="BP64" i="68"/>
  <c r="S37" i="36"/>
  <c r="T37" i="36" s="1"/>
  <c r="F38" i="36"/>
  <c r="I37" i="36"/>
  <c r="U31" i="80"/>
  <c r="BH28" i="69"/>
  <c r="BH81" i="69" s="1"/>
  <c r="BH131" i="69" s="1"/>
  <c r="J4" i="92"/>
  <c r="AF13" i="68"/>
  <c r="M16" i="63"/>
  <c r="G38" i="38"/>
  <c r="L38" i="38"/>
  <c r="BT112" i="69"/>
  <c r="BV62" i="69"/>
  <c r="BV112" i="69" s="1"/>
  <c r="C39" i="38"/>
  <c r="C40" i="38" s="1"/>
  <c r="BN81" i="68"/>
  <c r="BP28" i="68"/>
  <c r="E37" i="66"/>
  <c r="O36" i="66"/>
  <c r="P36" i="66" s="1"/>
  <c r="H36" i="66"/>
  <c r="N32" i="48"/>
  <c r="AO11" i="69"/>
  <c r="Q17" i="65"/>
  <c r="AU14" i="68"/>
  <c r="AU67" i="68" s="1"/>
  <c r="AU116" i="68" s="1"/>
  <c r="C41" i="43"/>
  <c r="C42" i="43" s="1"/>
  <c r="M15" i="38"/>
  <c r="B12" i="68"/>
  <c r="Q15" i="64"/>
  <c r="AT12" i="68"/>
  <c r="AT65" i="68" s="1"/>
  <c r="AT114" i="68" s="1"/>
  <c r="Q29" i="101"/>
  <c r="BB26" i="68"/>
  <c r="BB79" i="68" s="1"/>
  <c r="BB128" i="68" s="1"/>
  <c r="M29" i="96"/>
  <c r="J26" i="69"/>
  <c r="J79" i="69" s="1"/>
  <c r="J129" i="69" s="1"/>
  <c r="Q29" i="103"/>
  <c r="AY26" i="68"/>
  <c r="AY79" i="68" s="1"/>
  <c r="AY128" i="68" s="1"/>
  <c r="M29" i="100"/>
  <c r="H26" i="68"/>
  <c r="H79" i="68" s="1"/>
  <c r="H128" i="68" s="1"/>
  <c r="BP112" i="68"/>
  <c r="S36" i="99"/>
  <c r="T36" i="99" s="1"/>
  <c r="F37" i="99"/>
  <c r="I36" i="99"/>
  <c r="O36" i="60"/>
  <c r="P36" i="60" s="1"/>
  <c r="E37" i="60"/>
  <c r="H36" i="60"/>
  <c r="E37" i="23"/>
  <c r="O36" i="23"/>
  <c r="P36" i="23" s="1"/>
  <c r="H36" i="23"/>
  <c r="BO13" i="68"/>
  <c r="Q16" i="63"/>
  <c r="U16" i="65"/>
  <c r="CD13" i="68"/>
  <c r="CD66" i="68" s="1"/>
  <c r="CD115" i="68" s="1"/>
  <c r="O36" i="90"/>
  <c r="P36" i="90" s="1"/>
  <c r="E37" i="90"/>
  <c r="H36" i="90"/>
  <c r="BT114" i="68"/>
  <c r="J40" i="82"/>
  <c r="L40" i="82" s="1"/>
  <c r="B41" i="82"/>
  <c r="C41" i="82" s="1"/>
  <c r="N41" i="82"/>
  <c r="P41" i="82" s="1"/>
  <c r="R40" i="82"/>
  <c r="T40" i="82" s="1"/>
  <c r="I40" i="82"/>
  <c r="H40" i="82"/>
  <c r="G40" i="82"/>
  <c r="K36" i="59"/>
  <c r="L36" i="59" s="1"/>
  <c r="D37" i="59"/>
  <c r="G36" i="59"/>
  <c r="Q29" i="98"/>
  <c r="AH26" i="69"/>
  <c r="AH79" i="69" s="1"/>
  <c r="AH129" i="69" s="1"/>
  <c r="Q15" i="36"/>
  <c r="AE12" i="69"/>
  <c r="AE65" i="69" s="1"/>
  <c r="AE115" i="69" s="1"/>
  <c r="E37" i="103"/>
  <c r="O36" i="103"/>
  <c r="P36" i="103" s="1"/>
  <c r="H36" i="103"/>
  <c r="BU64" i="68"/>
  <c r="CT11" i="68"/>
  <c r="K36" i="4"/>
  <c r="L36" i="4" s="1"/>
  <c r="D37" i="4"/>
  <c r="G36" i="4"/>
  <c r="U31" i="81"/>
  <c r="BI28" i="69"/>
  <c r="BI81" i="69" s="1"/>
  <c r="BI131" i="69" s="1"/>
  <c r="U15" i="40"/>
  <c r="BV12" i="68"/>
  <c r="BV65" i="68" s="1"/>
  <c r="BV114" i="68" s="1"/>
  <c r="E39" i="67"/>
  <c r="O38" i="67"/>
  <c r="P38" i="67" s="1"/>
  <c r="H38" i="67"/>
  <c r="K37" i="67"/>
  <c r="L37" i="67" s="1"/>
  <c r="D38" i="67"/>
  <c r="G37" i="67"/>
  <c r="BL32" i="68"/>
  <c r="S34" i="46"/>
  <c r="F37" i="48"/>
  <c r="I36" i="48"/>
  <c r="S36" i="23"/>
  <c r="T36" i="23" s="1"/>
  <c r="F37" i="23"/>
  <c r="I36" i="23"/>
  <c r="K37" i="102"/>
  <c r="L37" i="102" s="1"/>
  <c r="D38" i="102"/>
  <c r="G37" i="102"/>
  <c r="J54" i="62"/>
  <c r="L54" i="62" s="1"/>
  <c r="R54" i="62"/>
  <c r="T54" i="62" s="1"/>
  <c r="H54" i="62"/>
  <c r="G54" i="62"/>
  <c r="I54" i="62"/>
  <c r="J40" i="4"/>
  <c r="B41" i="4"/>
  <c r="N41" i="4"/>
  <c r="R40" i="4"/>
  <c r="M30" i="81"/>
  <c r="O27" i="69"/>
  <c r="O80" i="69" s="1"/>
  <c r="O130" i="69" s="1"/>
  <c r="D38" i="63"/>
  <c r="K37" i="63"/>
  <c r="L37" i="63" s="1"/>
  <c r="G37" i="63"/>
  <c r="K37" i="23"/>
  <c r="L37" i="23" s="1"/>
  <c r="D38" i="23"/>
  <c r="G37" i="23"/>
  <c r="S36" i="4"/>
  <c r="T36" i="4" s="1"/>
  <c r="F37" i="4"/>
  <c r="I36" i="4"/>
  <c r="S36" i="80"/>
  <c r="T36" i="80" s="1"/>
  <c r="F37" i="80"/>
  <c r="I36" i="80"/>
  <c r="BE27" i="68"/>
  <c r="BE80" i="68" s="1"/>
  <c r="BE129" i="68" s="1"/>
  <c r="BG27" i="68"/>
  <c r="BG80" i="68" s="1"/>
  <c r="BG129" i="68" s="1"/>
  <c r="Q30" i="87"/>
  <c r="BU112" i="68"/>
  <c r="CT63" i="68"/>
  <c r="DA63" i="68"/>
  <c r="DA112" i="68" s="1"/>
  <c r="U30" i="103"/>
  <c r="CH27" i="68"/>
  <c r="CH80" i="68" s="1"/>
  <c r="CH129" i="68" s="1"/>
  <c r="CU83" i="68"/>
  <c r="S36" i="64"/>
  <c r="T36" i="64" s="1"/>
  <c r="F37" i="64"/>
  <c r="I36" i="64"/>
  <c r="E37" i="4"/>
  <c r="O36" i="4"/>
  <c r="P36" i="4" s="1"/>
  <c r="H36" i="4"/>
  <c r="S37" i="66"/>
  <c r="T37" i="66" s="1"/>
  <c r="F38" i="66"/>
  <c r="I37" i="66"/>
  <c r="K37" i="100"/>
  <c r="L37" i="100" s="1"/>
  <c r="D38" i="100"/>
  <c r="G37" i="100"/>
  <c r="R113" i="69"/>
  <c r="V63" i="69"/>
  <c r="V113" i="69" s="1"/>
  <c r="K36" i="101"/>
  <c r="L36" i="101" s="1"/>
  <c r="D37" i="101"/>
  <c r="G36" i="101"/>
  <c r="K4" i="92"/>
  <c r="K37" i="43"/>
  <c r="L37" i="43" s="1"/>
  <c r="D38" i="43"/>
  <c r="G37" i="43"/>
  <c r="C45" i="96"/>
  <c r="K37" i="96"/>
  <c r="L37" i="96" s="1"/>
  <c r="D38" i="96"/>
  <c r="G37" i="96"/>
  <c r="J54" i="39"/>
  <c r="L54" i="39" s="1"/>
  <c r="R54" i="39"/>
  <c r="T54" i="39" s="1"/>
  <c r="H54" i="39"/>
  <c r="G54" i="39"/>
  <c r="I54" i="39"/>
  <c r="AC83" i="68"/>
  <c r="AR113" i="69"/>
  <c r="AS63" i="69"/>
  <c r="AS113" i="69" s="1"/>
  <c r="U15" i="60"/>
  <c r="BX12" i="68"/>
  <c r="BX65" i="68" s="1"/>
  <c r="BX114" i="68" s="1"/>
  <c r="U16" i="43"/>
  <c r="CJ13" i="68"/>
  <c r="CJ66" i="68" s="1"/>
  <c r="CJ115" i="68" s="1"/>
  <c r="U30" i="100"/>
  <c r="BZ27" i="68"/>
  <c r="BZ80" i="68" s="1"/>
  <c r="BZ129" i="68" s="1"/>
  <c r="M30" i="84"/>
  <c r="V27" i="68"/>
  <c r="V80" i="68" s="1"/>
  <c r="V129" i="68" s="1"/>
  <c r="M29" i="103"/>
  <c r="P26" i="68"/>
  <c r="P79" i="68" s="1"/>
  <c r="P128" i="68" s="1"/>
  <c r="J54" i="67"/>
  <c r="R54" i="67"/>
  <c r="BO112" i="69"/>
  <c r="BP62" i="69"/>
  <c r="AQ114" i="69"/>
  <c r="AR64" i="69"/>
  <c r="T38" i="38"/>
  <c r="B41" i="59"/>
  <c r="J40" i="59"/>
  <c r="N41" i="59"/>
  <c r="R40" i="59"/>
  <c r="C40" i="59"/>
  <c r="C41" i="59" s="1"/>
  <c r="R31" i="48"/>
  <c r="T32" i="48" s="1"/>
  <c r="BN29" i="68"/>
  <c r="Z31" i="48"/>
  <c r="S31" i="48"/>
  <c r="M16" i="42"/>
  <c r="O13" i="68"/>
  <c r="O66" i="68" s="1"/>
  <c r="O115" i="68" s="1"/>
  <c r="Z114" i="69"/>
  <c r="AO64" i="69"/>
  <c r="C54" i="84"/>
  <c r="O36" i="1"/>
  <c r="P36" i="1" s="1"/>
  <c r="E37" i="1"/>
  <c r="H36" i="1"/>
  <c r="K37" i="90"/>
  <c r="L37" i="90" s="1"/>
  <c r="D38" i="90"/>
  <c r="G37" i="90"/>
  <c r="BQ62" i="68"/>
  <c r="BQ111" i="68" s="1"/>
  <c r="E37" i="85"/>
  <c r="O36" i="85"/>
  <c r="P36" i="85" s="1"/>
  <c r="H36" i="85"/>
  <c r="C45" i="66"/>
  <c r="M36" i="75" l="1"/>
  <c r="U33" i="75"/>
  <c r="N36" i="45"/>
  <c r="W36" i="45"/>
  <c r="Z36" i="45" s="1"/>
  <c r="C46" i="66"/>
  <c r="BQ63" i="68"/>
  <c r="C41" i="89"/>
  <c r="BK11" i="68"/>
  <c r="BQ11" i="68" s="1"/>
  <c r="M15" i="36"/>
  <c r="H12" i="69"/>
  <c r="H65" i="69" s="1"/>
  <c r="H115" i="69" s="1"/>
  <c r="I33" i="75"/>
  <c r="F34" i="75"/>
  <c r="S33" i="75"/>
  <c r="T33" i="75" s="1"/>
  <c r="CV29" i="68"/>
  <c r="CV82" i="68" s="1"/>
  <c r="CV131" i="68" s="1"/>
  <c r="Y31" i="47"/>
  <c r="M16" i="61"/>
  <c r="G13" i="68"/>
  <c r="G66" i="68" s="1"/>
  <c r="G115" i="68" s="1"/>
  <c r="U15" i="42"/>
  <c r="CG12" i="68"/>
  <c r="CG65" i="68" s="1"/>
  <c r="CG114" i="68" s="1"/>
  <c r="Q16" i="23"/>
  <c r="AA13" i="69"/>
  <c r="AA66" i="69" s="1"/>
  <c r="AA116" i="69" s="1"/>
  <c r="X15" i="23"/>
  <c r="Q16" i="39"/>
  <c r="AL13" i="68"/>
  <c r="AL66" i="68" s="1"/>
  <c r="AL115" i="68" s="1"/>
  <c r="H37" i="98"/>
  <c r="E38" i="98"/>
  <c r="O37" i="98"/>
  <c r="P37" i="98" s="1"/>
  <c r="M16" i="4"/>
  <c r="C13" i="69"/>
  <c r="C66" i="69" s="1"/>
  <c r="C116" i="69" s="1"/>
  <c r="X29" i="68"/>
  <c r="X82" i="68" s="1"/>
  <c r="X131" i="68" s="1"/>
  <c r="M32" i="87"/>
  <c r="U31" i="89"/>
  <c r="CS28" i="68"/>
  <c r="CS81" i="68" s="1"/>
  <c r="CS130" i="68" s="1"/>
  <c r="Q19" i="35"/>
  <c r="AC16" i="69"/>
  <c r="AC69" i="69" s="1"/>
  <c r="AC119" i="69" s="1"/>
  <c r="AD81" i="68"/>
  <c r="AG28" i="68"/>
  <c r="CN27" i="68"/>
  <c r="CN80" i="68" s="1"/>
  <c r="CN129" i="68" s="1"/>
  <c r="CP27" i="68"/>
  <c r="CP80" i="68" s="1"/>
  <c r="CP129" i="68" s="1"/>
  <c r="U30" i="87"/>
  <c r="D37" i="74"/>
  <c r="G36" i="74"/>
  <c r="K36" i="74"/>
  <c r="L36" i="74" s="1"/>
  <c r="M36" i="74" s="1"/>
  <c r="E40" i="47"/>
  <c r="H39" i="47"/>
  <c r="L39" i="47"/>
  <c r="G4" i="92"/>
  <c r="M16" i="62"/>
  <c r="J13" i="68"/>
  <c r="J66" i="68" s="1"/>
  <c r="J115" i="68" s="1"/>
  <c r="H64" i="69"/>
  <c r="R11" i="69"/>
  <c r="V11" i="69" s="1"/>
  <c r="U16" i="7"/>
  <c r="AY13" i="69"/>
  <c r="AY66" i="69" s="1"/>
  <c r="AY116" i="69" s="1"/>
  <c r="AN13" i="68"/>
  <c r="AN66" i="68" s="1"/>
  <c r="AN115" i="68" s="1"/>
  <c r="Q16" i="41"/>
  <c r="T13" i="69"/>
  <c r="W15" i="59"/>
  <c r="M16" i="59"/>
  <c r="B43" i="60"/>
  <c r="J42" i="60"/>
  <c r="N43" i="60"/>
  <c r="R42" i="60"/>
  <c r="AP34" i="69"/>
  <c r="AP87" i="69" s="1"/>
  <c r="S36" i="45"/>
  <c r="CM27" i="68"/>
  <c r="CM80" i="68" s="1"/>
  <c r="CM129" i="68" s="1"/>
  <c r="U30" i="85"/>
  <c r="M15" i="41"/>
  <c r="E12" i="68"/>
  <c r="E65" i="68" s="1"/>
  <c r="E114" i="68" s="1"/>
  <c r="U31" i="101"/>
  <c r="CK28" i="68"/>
  <c r="CK81" i="68" s="1"/>
  <c r="CK130" i="68" s="1"/>
  <c r="B44" i="7"/>
  <c r="C44" i="7" s="1"/>
  <c r="J43" i="7"/>
  <c r="N44" i="7"/>
  <c r="R43" i="7"/>
  <c r="F39" i="101"/>
  <c r="I38" i="101"/>
  <c r="S38" i="101"/>
  <c r="T38" i="101" s="1"/>
  <c r="Q17" i="1"/>
  <c r="Y14" i="69"/>
  <c r="Y67" i="69" s="1"/>
  <c r="Y117" i="69" s="1"/>
  <c r="Q17" i="38"/>
  <c r="AK14" i="68"/>
  <c r="AK67" i="68" s="1"/>
  <c r="AK116" i="68" s="1"/>
  <c r="J42" i="86"/>
  <c r="B43" i="86"/>
  <c r="C43" i="86" s="1"/>
  <c r="N43" i="86"/>
  <c r="R42" i="86"/>
  <c r="U16" i="35"/>
  <c r="AZ13" i="69"/>
  <c r="AZ66" i="69" s="1"/>
  <c r="AZ116" i="69" s="1"/>
  <c r="N32" i="47"/>
  <c r="W32" i="47"/>
  <c r="Z32" i="47" s="1"/>
  <c r="BO34" i="68"/>
  <c r="BO87" i="68" s="1"/>
  <c r="Q37" i="63"/>
  <c r="U16" i="23"/>
  <c r="AX13" i="69"/>
  <c r="AX66" i="69" s="1"/>
  <c r="AX116" i="69" s="1"/>
  <c r="BM33" i="69"/>
  <c r="BM86" i="69" s="1"/>
  <c r="BM136" i="69" s="1"/>
  <c r="Y35" i="45"/>
  <c r="E39" i="63"/>
  <c r="O38" i="63"/>
  <c r="P38" i="63" s="1"/>
  <c r="H38" i="63"/>
  <c r="U31" i="83"/>
  <c r="BK28" i="69"/>
  <c r="BK81" i="69" s="1"/>
  <c r="CL12" i="68"/>
  <c r="CL65" i="68" s="1"/>
  <c r="CL114" i="68" s="1"/>
  <c r="U15" i="44"/>
  <c r="U12" i="69"/>
  <c r="T65" i="69"/>
  <c r="Q30" i="99"/>
  <c r="AR27" i="68"/>
  <c r="AR80" i="68" s="1"/>
  <c r="AR129" i="68" s="1"/>
  <c r="L12" i="68"/>
  <c r="L65" i="68" s="1"/>
  <c r="L114" i="68" s="1"/>
  <c r="M15" i="65"/>
  <c r="I12" i="69"/>
  <c r="I65" i="69" s="1"/>
  <c r="I115" i="69" s="1"/>
  <c r="M15" i="37"/>
  <c r="Q30" i="88"/>
  <c r="BH27" i="68"/>
  <c r="BH80" i="68" s="1"/>
  <c r="BH129" i="68" s="1"/>
  <c r="U16" i="1"/>
  <c r="AV13" i="69"/>
  <c r="AV66" i="69" s="1"/>
  <c r="AV116" i="69" s="1"/>
  <c r="CX13" i="68"/>
  <c r="U16" i="63"/>
  <c r="S38" i="74"/>
  <c r="T38" i="74" s="1"/>
  <c r="U38" i="74" s="1"/>
  <c r="I38" i="74"/>
  <c r="F39" i="74"/>
  <c r="Q32" i="82"/>
  <c r="AM29" i="69"/>
  <c r="AM82" i="69" s="1"/>
  <c r="AM132" i="69" s="1"/>
  <c r="K12" i="68"/>
  <c r="K65" i="68" s="1"/>
  <c r="K114" i="68" s="1"/>
  <c r="M15" i="64"/>
  <c r="BM31" i="68"/>
  <c r="BM84" i="68" s="1"/>
  <c r="BM133" i="68" s="1"/>
  <c r="S33" i="47"/>
  <c r="C45" i="36"/>
  <c r="S33" i="69"/>
  <c r="S86" i="69" s="1"/>
  <c r="S136" i="69" s="1"/>
  <c r="M35" i="45"/>
  <c r="M29" i="58"/>
  <c r="G26" i="69"/>
  <c r="G79" i="69" s="1"/>
  <c r="G129" i="69" s="1"/>
  <c r="J41" i="58"/>
  <c r="B42" i="58"/>
  <c r="N42" i="58"/>
  <c r="R41" i="58"/>
  <c r="J45" i="36"/>
  <c r="B46" i="36"/>
  <c r="N46" i="36"/>
  <c r="R45" i="36"/>
  <c r="AD29" i="68"/>
  <c r="M31" i="47"/>
  <c r="U31" i="82"/>
  <c r="BJ28" i="69"/>
  <c r="BJ81" i="69" s="1"/>
  <c r="BJ131" i="69" s="1"/>
  <c r="U15" i="64"/>
  <c r="CC12" i="68"/>
  <c r="CC65" i="68" s="1"/>
  <c r="CC114" i="68" s="1"/>
  <c r="BC12" i="69"/>
  <c r="BC65" i="69" s="1"/>
  <c r="BC115" i="69" s="1"/>
  <c r="U15" i="37"/>
  <c r="D37" i="45"/>
  <c r="K37" i="45"/>
  <c r="Q37" i="45"/>
  <c r="T37" i="45" s="1"/>
  <c r="AD129" i="68"/>
  <c r="AG80" i="68"/>
  <c r="AG129" i="68" s="1"/>
  <c r="CX113" i="68"/>
  <c r="CY64" i="68"/>
  <c r="CY113" i="68" s="1"/>
  <c r="K36" i="75"/>
  <c r="L36" i="75" s="1"/>
  <c r="G36" i="75"/>
  <c r="D37" i="75"/>
  <c r="CX65" i="68"/>
  <c r="CY12" i="68"/>
  <c r="H36" i="74"/>
  <c r="O36" i="74"/>
  <c r="P36" i="74" s="1"/>
  <c r="Q36" i="74" s="1"/>
  <c r="E37" i="74"/>
  <c r="D34" i="47"/>
  <c r="K33" i="47"/>
  <c r="Q34" i="47"/>
  <c r="T34" i="47" s="1"/>
  <c r="U64" i="69"/>
  <c r="U114" i="69" s="1"/>
  <c r="T114" i="69"/>
  <c r="M4" i="92"/>
  <c r="J37" i="48"/>
  <c r="G38" i="48"/>
  <c r="E41" i="48"/>
  <c r="H40" i="48"/>
  <c r="E39" i="46"/>
  <c r="H38" i="46"/>
  <c r="F40" i="47"/>
  <c r="I39" i="47"/>
  <c r="R39" i="47"/>
  <c r="I37" i="103"/>
  <c r="S37" i="103"/>
  <c r="T37" i="103" s="1"/>
  <c r="F38" i="103"/>
  <c r="M40" i="63"/>
  <c r="AF37" i="68"/>
  <c r="AF90" i="68" s="1"/>
  <c r="H37" i="64"/>
  <c r="O37" i="64"/>
  <c r="P37" i="64" s="1"/>
  <c r="E38" i="64"/>
  <c r="S37" i="100"/>
  <c r="T37" i="100" s="1"/>
  <c r="I37" i="100"/>
  <c r="F38" i="100"/>
  <c r="H37" i="38"/>
  <c r="O37" i="38"/>
  <c r="P37" i="38" s="1"/>
  <c r="E38" i="38"/>
  <c r="I38" i="97"/>
  <c r="F39" i="97"/>
  <c r="S38" i="97"/>
  <c r="T38" i="97" s="1"/>
  <c r="O37" i="85"/>
  <c r="P37" i="85" s="1"/>
  <c r="E38" i="85"/>
  <c r="H37" i="85"/>
  <c r="D39" i="90"/>
  <c r="K38" i="90"/>
  <c r="L38" i="90" s="1"/>
  <c r="G38" i="90"/>
  <c r="CW29" i="68"/>
  <c r="CW82" i="68" s="1"/>
  <c r="CW131" i="68" s="1"/>
  <c r="Y31" i="48"/>
  <c r="X31" i="48"/>
  <c r="M30" i="103"/>
  <c r="P27" i="68"/>
  <c r="P80" i="68" s="1"/>
  <c r="P129" i="68" s="1"/>
  <c r="U31" i="100"/>
  <c r="BZ28" i="68"/>
  <c r="BZ81" i="68" s="1"/>
  <c r="BZ130" i="68" s="1"/>
  <c r="U16" i="60"/>
  <c r="BX13" i="68"/>
  <c r="BX66" i="68" s="1"/>
  <c r="BX115" i="68" s="1"/>
  <c r="K38" i="43"/>
  <c r="L38" i="43" s="1"/>
  <c r="D39" i="43"/>
  <c r="G38" i="43"/>
  <c r="CU132" i="68"/>
  <c r="BE28" i="68"/>
  <c r="BE81" i="68" s="1"/>
  <c r="BE130" i="68" s="1"/>
  <c r="BG28" i="68"/>
  <c r="BG81" i="68" s="1"/>
  <c r="BG130" i="68" s="1"/>
  <c r="Q31" i="87"/>
  <c r="S37" i="80"/>
  <c r="T37" i="80" s="1"/>
  <c r="F38" i="80"/>
  <c r="I37" i="80"/>
  <c r="J41" i="4"/>
  <c r="R41" i="4"/>
  <c r="B42" i="4"/>
  <c r="B43" i="4" s="1"/>
  <c r="B44" i="4" s="1"/>
  <c r="B45" i="4" s="1"/>
  <c r="B46" i="4" s="1"/>
  <c r="B47" i="4" s="1"/>
  <c r="B48" i="4" s="1"/>
  <c r="B49" i="4" s="1"/>
  <c r="B50" i="4" s="1"/>
  <c r="B51" i="4" s="1"/>
  <c r="B52" i="4" s="1"/>
  <c r="B53" i="4" s="1"/>
  <c r="B54" i="4" s="1"/>
  <c r="F38" i="48"/>
  <c r="I37" i="48"/>
  <c r="K38" i="67"/>
  <c r="L38" i="67" s="1"/>
  <c r="D39" i="67"/>
  <c r="G38" i="67"/>
  <c r="O39" i="67"/>
  <c r="P39" i="67" s="1"/>
  <c r="E40" i="67"/>
  <c r="H39" i="67"/>
  <c r="U32" i="81"/>
  <c r="BI29" i="69"/>
  <c r="BI82" i="69" s="1"/>
  <c r="BI132" i="69" s="1"/>
  <c r="Q16" i="36"/>
  <c r="AE13" i="69"/>
  <c r="AE66" i="69" s="1"/>
  <c r="AE116" i="69" s="1"/>
  <c r="D38" i="59"/>
  <c r="K37" i="59"/>
  <c r="L37" i="59" s="1"/>
  <c r="G37" i="59"/>
  <c r="BO66" i="68"/>
  <c r="BP13" i="68"/>
  <c r="S37" i="99"/>
  <c r="T37" i="99" s="1"/>
  <c r="F38" i="99"/>
  <c r="I37" i="99"/>
  <c r="Q16" i="64"/>
  <c r="AT13" i="68"/>
  <c r="AT66" i="68" s="1"/>
  <c r="AT115" i="68" s="1"/>
  <c r="Q18" i="65"/>
  <c r="AU15" i="68"/>
  <c r="AU68" i="68" s="1"/>
  <c r="AU117" i="68" s="1"/>
  <c r="L32" i="48"/>
  <c r="N33" i="48" s="1"/>
  <c r="AE30" i="68"/>
  <c r="M32" i="48"/>
  <c r="M17" i="63"/>
  <c r="AF14" i="68"/>
  <c r="S38" i="36"/>
  <c r="T38" i="36" s="1"/>
  <c r="F39" i="36"/>
  <c r="I38" i="36"/>
  <c r="AQ66" i="69"/>
  <c r="AR13" i="69"/>
  <c r="Q31" i="89"/>
  <c r="BJ28" i="68"/>
  <c r="BJ81" i="68" s="1"/>
  <c r="BJ130" i="68" s="1"/>
  <c r="Q32" i="90"/>
  <c r="AJ29" i="69"/>
  <c r="AJ82" i="69" s="1"/>
  <c r="AJ132" i="69" s="1"/>
  <c r="O37" i="58"/>
  <c r="P37" i="58" s="1"/>
  <c r="E38" i="58"/>
  <c r="H37" i="58"/>
  <c r="M16" i="40"/>
  <c r="D13" i="68"/>
  <c r="D66" i="68" s="1"/>
  <c r="D115" i="68" s="1"/>
  <c r="AW65" i="69"/>
  <c r="BL12" i="69"/>
  <c r="U16" i="59"/>
  <c r="BN13" i="69"/>
  <c r="Q31" i="102"/>
  <c r="AZ28" i="68"/>
  <c r="AZ81" i="68" s="1"/>
  <c r="AZ130" i="68" s="1"/>
  <c r="M30" i="102"/>
  <c r="Q27" i="68"/>
  <c r="Q80" i="68" s="1"/>
  <c r="Q129" i="68" s="1"/>
  <c r="J45" i="85"/>
  <c r="B46" i="85"/>
  <c r="N46" i="85"/>
  <c r="R45" i="85"/>
  <c r="AB11" i="68"/>
  <c r="M17" i="1"/>
  <c r="B14" i="69"/>
  <c r="K5" i="92"/>
  <c r="M31" i="98"/>
  <c r="K28" i="69"/>
  <c r="K81" i="69" s="1"/>
  <c r="K131" i="69" s="1"/>
  <c r="Q17" i="4"/>
  <c r="Z14" i="69"/>
  <c r="S37" i="98"/>
  <c r="T37" i="98" s="1"/>
  <c r="F38" i="98"/>
  <c r="I37" i="98"/>
  <c r="BV63" i="69"/>
  <c r="BV113" i="69" s="1"/>
  <c r="BT113" i="69"/>
  <c r="S40" i="85"/>
  <c r="T40" i="85" s="1"/>
  <c r="F41" i="85"/>
  <c r="I40" i="85"/>
  <c r="Q31" i="100"/>
  <c r="AQ28" i="68"/>
  <c r="AQ81" i="68" s="1"/>
  <c r="AQ130" i="68" s="1"/>
  <c r="AM113" i="68"/>
  <c r="BK64" i="68"/>
  <c r="BK113" i="68" s="1"/>
  <c r="K37" i="80"/>
  <c r="L37" i="80" s="1"/>
  <c r="D38" i="80"/>
  <c r="G37" i="80"/>
  <c r="Q16" i="61"/>
  <c r="AP13" i="68"/>
  <c r="AP66" i="68" s="1"/>
  <c r="AP115" i="68" s="1"/>
  <c r="M30" i="97"/>
  <c r="L27" i="69"/>
  <c r="L80" i="69" s="1"/>
  <c r="L130" i="69" s="1"/>
  <c r="A28" i="70"/>
  <c r="R12" i="69"/>
  <c r="D38" i="98"/>
  <c r="K37" i="98"/>
  <c r="L37" i="98" s="1"/>
  <c r="G37" i="98"/>
  <c r="U16" i="41"/>
  <c r="BW13" i="68"/>
  <c r="BW66" i="68" s="1"/>
  <c r="BW115" i="68" s="1"/>
  <c r="Q35" i="48"/>
  <c r="K34" i="48"/>
  <c r="W34" i="48" s="1"/>
  <c r="D35" i="48"/>
  <c r="AG113" i="68"/>
  <c r="R4" i="70"/>
  <c r="K4" i="70"/>
  <c r="S37" i="90"/>
  <c r="T37" i="90" s="1"/>
  <c r="F38" i="90"/>
  <c r="I37" i="90"/>
  <c r="S40" i="63"/>
  <c r="T40" i="63" s="1"/>
  <c r="F41" i="63"/>
  <c r="I40" i="63"/>
  <c r="O39" i="86"/>
  <c r="P39" i="86" s="1"/>
  <c r="E40" i="86"/>
  <c r="H39" i="86"/>
  <c r="M31" i="104"/>
  <c r="Z28" i="68"/>
  <c r="Z81" i="68" s="1"/>
  <c r="Z130" i="68" s="1"/>
  <c r="Q31" i="81"/>
  <c r="AL28" i="69"/>
  <c r="AL81" i="69" s="1"/>
  <c r="AL131" i="69" s="1"/>
  <c r="BO113" i="69"/>
  <c r="BP63" i="69"/>
  <c r="Q29" i="58"/>
  <c r="AD26" i="69"/>
  <c r="AD79" i="69" s="1"/>
  <c r="AD129" i="69" s="1"/>
  <c r="K35" i="46"/>
  <c r="W35" i="46" s="1"/>
  <c r="Z35" i="46" s="1"/>
  <c r="D36" i="46"/>
  <c r="Q36" i="46"/>
  <c r="T36" i="46" s="1"/>
  <c r="K39" i="38"/>
  <c r="D40" i="38"/>
  <c r="U17" i="67"/>
  <c r="CF14" i="68"/>
  <c r="CF67" i="68" s="1"/>
  <c r="CF116" i="68" s="1"/>
  <c r="U32" i="104"/>
  <c r="CR29" i="68"/>
  <c r="CR82" i="68" s="1"/>
  <c r="CR131" i="68" s="1"/>
  <c r="C41" i="4"/>
  <c r="C42" i="4" s="1"/>
  <c r="AO114" i="69"/>
  <c r="BN82" i="68"/>
  <c r="BP29" i="68"/>
  <c r="AC132" i="68"/>
  <c r="D38" i="101"/>
  <c r="K37" i="101"/>
  <c r="L37" i="101" s="1"/>
  <c r="G37" i="101"/>
  <c r="S38" i="66"/>
  <c r="T38" i="66" s="1"/>
  <c r="F39" i="66"/>
  <c r="I38" i="66"/>
  <c r="O37" i="4"/>
  <c r="P37" i="4" s="1"/>
  <c r="E38" i="4"/>
  <c r="H37" i="4"/>
  <c r="S37" i="64"/>
  <c r="T37" i="64" s="1"/>
  <c r="F38" i="64"/>
  <c r="I37" i="64"/>
  <c r="U31" i="103"/>
  <c r="CH28" i="68"/>
  <c r="CH81" i="68" s="1"/>
  <c r="CH130" i="68" s="1"/>
  <c r="S37" i="23"/>
  <c r="T37" i="23" s="1"/>
  <c r="F38" i="23"/>
  <c r="I37" i="23"/>
  <c r="D4" i="92"/>
  <c r="C4" i="92"/>
  <c r="CZ11" i="68"/>
  <c r="E38" i="103"/>
  <c r="O37" i="103"/>
  <c r="P37" i="103" s="1"/>
  <c r="H37" i="103"/>
  <c r="U17" i="65"/>
  <c r="CD14" i="68"/>
  <c r="CD67" i="68" s="1"/>
  <c r="CD116" i="68" s="1"/>
  <c r="O37" i="60"/>
  <c r="P37" i="60" s="1"/>
  <c r="E38" i="60"/>
  <c r="H37" i="60"/>
  <c r="AY27" i="68"/>
  <c r="AY80" i="68" s="1"/>
  <c r="AY129" i="68" s="1"/>
  <c r="Q30" i="103"/>
  <c r="Q30" i="101"/>
  <c r="BB27" i="68"/>
  <c r="BB80" i="68" s="1"/>
  <c r="BB129" i="68" s="1"/>
  <c r="B65" i="68"/>
  <c r="BN130" i="68"/>
  <c r="BP81" i="68"/>
  <c r="AF66" i="68"/>
  <c r="AG13" i="68"/>
  <c r="F39" i="43"/>
  <c r="S38" i="43"/>
  <c r="T38" i="43" s="1"/>
  <c r="I38" i="43"/>
  <c r="Q17" i="59"/>
  <c r="AQ14" i="69"/>
  <c r="V16" i="59"/>
  <c r="M16" i="39"/>
  <c r="C13" i="68"/>
  <c r="C66" i="68" s="1"/>
  <c r="C115" i="68" s="1"/>
  <c r="M15" i="67"/>
  <c r="N12" i="68"/>
  <c r="N65" i="68" s="1"/>
  <c r="N114" i="68" s="1"/>
  <c r="U32" i="90"/>
  <c r="BG29" i="69"/>
  <c r="BG82" i="69" s="1"/>
  <c r="BG132" i="69" s="1"/>
  <c r="M31" i="90"/>
  <c r="M28" i="69"/>
  <c r="M81" i="69" s="1"/>
  <c r="M131" i="69" s="1"/>
  <c r="S38" i="58"/>
  <c r="T38" i="58" s="1"/>
  <c r="F39" i="58"/>
  <c r="I38" i="58"/>
  <c r="K38" i="66"/>
  <c r="L38" i="66" s="1"/>
  <c r="D39" i="66"/>
  <c r="G38" i="66"/>
  <c r="O37" i="43"/>
  <c r="P37" i="43" s="1"/>
  <c r="E38" i="43"/>
  <c r="H37" i="43"/>
  <c r="O38" i="102"/>
  <c r="P38" i="102" s="1"/>
  <c r="E39" i="102"/>
  <c r="H38" i="102"/>
  <c r="Q31" i="96"/>
  <c r="AG28" i="69"/>
  <c r="AG81" i="69" s="1"/>
  <c r="AG131" i="69" s="1"/>
  <c r="U16" i="4"/>
  <c r="AW13" i="69"/>
  <c r="Y15" i="23"/>
  <c r="Q17" i="67"/>
  <c r="AW14" i="68"/>
  <c r="AW67" i="68" s="1"/>
  <c r="AW116" i="68" s="1"/>
  <c r="J54" i="42"/>
  <c r="L54" i="42" s="1"/>
  <c r="R54" i="42"/>
  <c r="T54" i="42" s="1"/>
  <c r="H54" i="42"/>
  <c r="G54" i="42"/>
  <c r="I54" i="42"/>
  <c r="S37" i="1"/>
  <c r="T37" i="1" s="1"/>
  <c r="F38" i="1"/>
  <c r="I37" i="1"/>
  <c r="AB64" i="68"/>
  <c r="AB113" i="68" s="1"/>
  <c r="B113" i="68"/>
  <c r="Q15" i="44"/>
  <c r="BC12" i="68"/>
  <c r="BC65" i="68" s="1"/>
  <c r="BC114" i="68" s="1"/>
  <c r="J40" i="38"/>
  <c r="B41" i="38"/>
  <c r="N41" i="38"/>
  <c r="R40" i="38"/>
  <c r="G40" i="38"/>
  <c r="AF114" i="68"/>
  <c r="AG65" i="68"/>
  <c r="BU111" i="69"/>
  <c r="BW61" i="69"/>
  <c r="J5" i="92"/>
  <c r="O39" i="100"/>
  <c r="P39" i="100" s="1"/>
  <c r="E40" i="100"/>
  <c r="H39" i="100"/>
  <c r="CU84" i="68"/>
  <c r="O37" i="97"/>
  <c r="P37" i="97" s="1"/>
  <c r="E38" i="97"/>
  <c r="H37" i="97"/>
  <c r="M16" i="60"/>
  <c r="F13" i="68"/>
  <c r="F66" i="68" s="1"/>
  <c r="F115" i="68" s="1"/>
  <c r="E4" i="92"/>
  <c r="BP11" i="69"/>
  <c r="U36" i="86"/>
  <c r="CO33" i="68"/>
  <c r="CO86" i="68" s="1"/>
  <c r="CO135" i="68" s="1"/>
  <c r="R65" i="69"/>
  <c r="B115" i="69"/>
  <c r="O37" i="101"/>
  <c r="P37" i="101" s="1"/>
  <c r="E38" i="101"/>
  <c r="H37" i="101"/>
  <c r="L33" i="46"/>
  <c r="N34" i="46" s="1"/>
  <c r="AC31" i="68"/>
  <c r="M33" i="46"/>
  <c r="AO12" i="69"/>
  <c r="S37" i="96"/>
  <c r="T37" i="96" s="1"/>
  <c r="F38" i="96"/>
  <c r="I37" i="96"/>
  <c r="F44" i="46"/>
  <c r="I43" i="46"/>
  <c r="R43" i="46" s="1"/>
  <c r="E40" i="80"/>
  <c r="O39" i="80"/>
  <c r="P39" i="80" s="1"/>
  <c r="Q30" i="86"/>
  <c r="BF27" i="68"/>
  <c r="BF80" i="68" s="1"/>
  <c r="BF129" i="68" s="1"/>
  <c r="CU32" i="68"/>
  <c r="Y34" i="46"/>
  <c r="BU114" i="68"/>
  <c r="M31" i="82"/>
  <c r="P28" i="69"/>
  <c r="P81" i="69" s="1"/>
  <c r="P131" i="69" s="1"/>
  <c r="Q16" i="43"/>
  <c r="BA13" i="68"/>
  <c r="BA66" i="68" s="1"/>
  <c r="BA115" i="68" s="1"/>
  <c r="M17" i="42"/>
  <c r="O14" i="68"/>
  <c r="O67" i="68" s="1"/>
  <c r="O116" i="68" s="1"/>
  <c r="R32" i="48"/>
  <c r="T33" i="48" s="1"/>
  <c r="BN30" i="68"/>
  <c r="Z32" i="48"/>
  <c r="S32" i="48"/>
  <c r="J41" i="59"/>
  <c r="B42" i="59"/>
  <c r="C42" i="59" s="1"/>
  <c r="N42" i="59"/>
  <c r="R41" i="59"/>
  <c r="M31" i="84"/>
  <c r="V28" i="68"/>
  <c r="V81" i="68" s="1"/>
  <c r="V130" i="68" s="1"/>
  <c r="U17" i="43"/>
  <c r="CJ14" i="68"/>
  <c r="CJ67" i="68" s="1"/>
  <c r="CJ116" i="68" s="1"/>
  <c r="D39" i="100"/>
  <c r="K38" i="100"/>
  <c r="L38" i="100" s="1"/>
  <c r="G38" i="100"/>
  <c r="M31" i="81"/>
  <c r="O28" i="69"/>
  <c r="O81" i="69" s="1"/>
  <c r="O131" i="69" s="1"/>
  <c r="D39" i="102"/>
  <c r="K38" i="102"/>
  <c r="L38" i="102" s="1"/>
  <c r="G38" i="102"/>
  <c r="BL85" i="68"/>
  <c r="U16" i="40"/>
  <c r="BV13" i="68"/>
  <c r="BV66" i="68" s="1"/>
  <c r="BV115" i="68" s="1"/>
  <c r="K37" i="4"/>
  <c r="L37" i="4" s="1"/>
  <c r="D38" i="4"/>
  <c r="G37" i="4"/>
  <c r="BU113" i="68"/>
  <c r="CT64" i="68"/>
  <c r="DA64" i="68"/>
  <c r="DA113" i="68" s="1"/>
  <c r="Q30" i="98"/>
  <c r="AH27" i="69"/>
  <c r="AH80" i="69" s="1"/>
  <c r="AH130" i="69" s="1"/>
  <c r="E38" i="90"/>
  <c r="O37" i="90"/>
  <c r="P37" i="90" s="1"/>
  <c r="H37" i="90"/>
  <c r="BQ112" i="68"/>
  <c r="M16" i="38"/>
  <c r="B13" i="68"/>
  <c r="C41" i="38"/>
  <c r="AS11" i="69"/>
  <c r="U32" i="80"/>
  <c r="BH29" i="69"/>
  <c r="BH82" i="69" s="1"/>
  <c r="BH132" i="69" s="1"/>
  <c r="BP113" i="68"/>
  <c r="BQ64" i="68"/>
  <c r="BQ113" i="68" s="1"/>
  <c r="J46" i="66"/>
  <c r="B47" i="66"/>
  <c r="N47" i="66"/>
  <c r="R46" i="66"/>
  <c r="M16" i="35"/>
  <c r="F13" i="69"/>
  <c r="F66" i="69" s="1"/>
  <c r="F116" i="69" s="1"/>
  <c r="U31" i="98"/>
  <c r="BE28" i="69"/>
  <c r="BE81" i="69" s="1"/>
  <c r="BE131" i="69" s="1"/>
  <c r="M31" i="85"/>
  <c r="U28" i="68"/>
  <c r="U81" i="68" s="1"/>
  <c r="U130" i="68" s="1"/>
  <c r="Q33" i="85"/>
  <c r="BD30" i="68"/>
  <c r="BD83" i="68" s="1"/>
  <c r="BD132" i="68" s="1"/>
  <c r="E39" i="36"/>
  <c r="O38" i="36"/>
  <c r="P38" i="36" s="1"/>
  <c r="H38" i="36"/>
  <c r="D39" i="35"/>
  <c r="K38" i="35"/>
  <c r="L38" i="35" s="1"/>
  <c r="G38" i="35"/>
  <c r="M31" i="99"/>
  <c r="I28" i="68"/>
  <c r="I81" i="68" s="1"/>
  <c r="I130" i="68" s="1"/>
  <c r="M30" i="86"/>
  <c r="W27" i="68"/>
  <c r="W80" i="68" s="1"/>
  <c r="W129" i="68" s="1"/>
  <c r="AM65" i="68"/>
  <c r="BK12" i="68"/>
  <c r="BQ12" i="68" s="1"/>
  <c r="C46" i="85"/>
  <c r="M16" i="43"/>
  <c r="R13" i="68"/>
  <c r="R66" i="68" s="1"/>
  <c r="R115" i="68" s="1"/>
  <c r="K38" i="85"/>
  <c r="L38" i="85" s="1"/>
  <c r="D39" i="85"/>
  <c r="G38" i="85"/>
  <c r="O38" i="99"/>
  <c r="P38" i="99" s="1"/>
  <c r="E39" i="99"/>
  <c r="H38" i="99"/>
  <c r="Q32" i="104"/>
  <c r="BI29" i="68"/>
  <c r="BI82" i="68" s="1"/>
  <c r="BI131" i="68" s="1"/>
  <c r="U29" i="58"/>
  <c r="BA26" i="69"/>
  <c r="BA79" i="69" s="1"/>
  <c r="BA129" i="69" s="1"/>
  <c r="L39" i="38"/>
  <c r="K38" i="7"/>
  <c r="L38" i="7" s="1"/>
  <c r="D39" i="7"/>
  <c r="G38" i="7"/>
  <c r="J40" i="83"/>
  <c r="L40" i="83" s="1"/>
  <c r="B41" i="83"/>
  <c r="N41" i="83"/>
  <c r="P41" i="83" s="1"/>
  <c r="R40" i="83"/>
  <c r="T40" i="83" s="1"/>
  <c r="G40" i="83"/>
  <c r="H40" i="83"/>
  <c r="I40" i="83"/>
  <c r="K37" i="60"/>
  <c r="L37" i="60" s="1"/>
  <c r="D38" i="60"/>
  <c r="G37" i="60"/>
  <c r="K38" i="64"/>
  <c r="L38" i="64" s="1"/>
  <c r="D39" i="64"/>
  <c r="G38" i="64"/>
  <c r="Q31" i="80"/>
  <c r="AK28" i="69"/>
  <c r="AK81" i="69" s="1"/>
  <c r="AK131" i="69" s="1"/>
  <c r="AQ115" i="69"/>
  <c r="AR65" i="69"/>
  <c r="M16" i="7"/>
  <c r="E13" i="69"/>
  <c r="E66" i="69" s="1"/>
  <c r="E116" i="69" s="1"/>
  <c r="Q18" i="62"/>
  <c r="AS15" i="68"/>
  <c r="AS68" i="68" s="1"/>
  <c r="AS117" i="68" s="1"/>
  <c r="AW114" i="69"/>
  <c r="BT64" i="69"/>
  <c r="BL64" i="69"/>
  <c r="U15" i="61"/>
  <c r="BY12" i="68"/>
  <c r="BY65" i="68" s="1"/>
  <c r="BY114" i="68" s="1"/>
  <c r="BN114" i="69"/>
  <c r="BO64" i="69"/>
  <c r="U16" i="36"/>
  <c r="BB13" i="69"/>
  <c r="BB66" i="69" s="1"/>
  <c r="BB116" i="69" s="1"/>
  <c r="Q16" i="37"/>
  <c r="AF13" i="69"/>
  <c r="AF66" i="69" s="1"/>
  <c r="AF116" i="69" s="1"/>
  <c r="U30" i="102"/>
  <c r="CI27" i="68"/>
  <c r="CI80" i="68" s="1"/>
  <c r="CI129" i="68" s="1"/>
  <c r="M30" i="101"/>
  <c r="S27" i="68"/>
  <c r="S80" i="68" s="1"/>
  <c r="S129" i="68" s="1"/>
  <c r="U17" i="62"/>
  <c r="CB14" i="68"/>
  <c r="CB67" i="68" s="1"/>
  <c r="CB116" i="68" s="1"/>
  <c r="S38" i="102"/>
  <c r="T38" i="102" s="1"/>
  <c r="F39" i="102"/>
  <c r="I38" i="102"/>
  <c r="Z115" i="69"/>
  <c r="AO65" i="69"/>
  <c r="M30" i="88"/>
  <c r="Y27" i="68"/>
  <c r="Y80" i="68" s="1"/>
  <c r="Y129" i="68" s="1"/>
  <c r="M17" i="23"/>
  <c r="D14" i="69"/>
  <c r="D67" i="69" s="1"/>
  <c r="D117" i="69" s="1"/>
  <c r="W16" i="23"/>
  <c r="Q16" i="42"/>
  <c r="AX13" i="68"/>
  <c r="AX66" i="68" s="1"/>
  <c r="AX115" i="68" s="1"/>
  <c r="M31" i="89"/>
  <c r="AA28" i="68"/>
  <c r="AA81" i="68" s="1"/>
  <c r="AA130" i="68" s="1"/>
  <c r="U16" i="39"/>
  <c r="BU13" i="68"/>
  <c r="BT115" i="68"/>
  <c r="D38" i="36"/>
  <c r="K37" i="36"/>
  <c r="L37" i="36" s="1"/>
  <c r="G37" i="36"/>
  <c r="O37" i="1"/>
  <c r="P37" i="1" s="1"/>
  <c r="E38" i="1"/>
  <c r="H37" i="1"/>
  <c r="Q4" i="70"/>
  <c r="J4" i="70"/>
  <c r="AR114" i="69"/>
  <c r="AS64" i="69"/>
  <c r="AS114" i="69" s="1"/>
  <c r="BU62" i="69"/>
  <c r="BP112" i="69"/>
  <c r="K38" i="96"/>
  <c r="L38" i="96" s="1"/>
  <c r="D39" i="96"/>
  <c r="G38" i="96"/>
  <c r="CT112" i="68"/>
  <c r="CZ63" i="68"/>
  <c r="S37" i="4"/>
  <c r="T37" i="4" s="1"/>
  <c r="F38" i="4"/>
  <c r="I37" i="4"/>
  <c r="K38" i="23"/>
  <c r="L38" i="23" s="1"/>
  <c r="D39" i="23"/>
  <c r="G38" i="23"/>
  <c r="G38" i="63"/>
  <c r="D39" i="63"/>
  <c r="K38" i="63"/>
  <c r="L38" i="63" s="1"/>
  <c r="N42" i="4"/>
  <c r="N43" i="4" s="1"/>
  <c r="N44" i="4" s="1"/>
  <c r="N45" i="4" s="1"/>
  <c r="N46" i="4" s="1"/>
  <c r="N47" i="4" s="1"/>
  <c r="N48" i="4" s="1"/>
  <c r="N49" i="4" s="1"/>
  <c r="N50" i="4" s="1"/>
  <c r="N51" i="4" s="1"/>
  <c r="N52" i="4" s="1"/>
  <c r="N53" i="4" s="1"/>
  <c r="N54" i="4" s="1"/>
  <c r="B42" i="82"/>
  <c r="J41" i="82"/>
  <c r="L41" i="82" s="1"/>
  <c r="N42" i="82"/>
  <c r="P42" i="82" s="1"/>
  <c r="R41" i="82"/>
  <c r="T41" i="82" s="1"/>
  <c r="I41" i="82"/>
  <c r="G41" i="82"/>
  <c r="H41" i="82"/>
  <c r="DA65" i="68"/>
  <c r="DA114" i="68" s="1"/>
  <c r="Q17" i="63"/>
  <c r="BO14" i="68"/>
  <c r="O37" i="23"/>
  <c r="P37" i="23" s="1"/>
  <c r="E38" i="23"/>
  <c r="H37" i="23"/>
  <c r="M30" i="100"/>
  <c r="H27" i="68"/>
  <c r="H80" i="68" s="1"/>
  <c r="H129" i="68" s="1"/>
  <c r="M30" i="96"/>
  <c r="J27" i="69"/>
  <c r="J80" i="69" s="1"/>
  <c r="J130" i="69" s="1"/>
  <c r="E38" i="66"/>
  <c r="O37" i="66"/>
  <c r="P37" i="66" s="1"/>
  <c r="H37" i="66"/>
  <c r="Q16" i="60"/>
  <c r="AO13" i="68"/>
  <c r="AO66" i="68" s="1"/>
  <c r="AO115" i="68" s="1"/>
  <c r="M32" i="83"/>
  <c r="Q29" i="69"/>
  <c r="Q82" i="69" s="1"/>
  <c r="Q132" i="69" s="1"/>
  <c r="Q33" i="83"/>
  <c r="AN30" i="69"/>
  <c r="AN83" i="69" s="1"/>
  <c r="AN133" i="69" s="1"/>
  <c r="E39" i="7"/>
  <c r="O38" i="7"/>
  <c r="P38" i="7" s="1"/>
  <c r="H38" i="7"/>
  <c r="M32" i="80"/>
  <c r="N29" i="69"/>
  <c r="N82" i="69" s="1"/>
  <c r="N132" i="69" s="1"/>
  <c r="Q16" i="40"/>
  <c r="AM13" i="68"/>
  <c r="S38" i="35"/>
  <c r="T38" i="35" s="1"/>
  <c r="F39" i="35"/>
  <c r="I38" i="35"/>
  <c r="BN65" i="69"/>
  <c r="BO12" i="69"/>
  <c r="BP12" i="69" s="1"/>
  <c r="BO114" i="68"/>
  <c r="BP65" i="68"/>
  <c r="U32" i="88"/>
  <c r="CQ29" i="68"/>
  <c r="CQ82" i="68" s="1"/>
  <c r="CQ131" i="68" s="1"/>
  <c r="S38" i="60"/>
  <c r="T38" i="60" s="1"/>
  <c r="F39" i="60"/>
  <c r="I38" i="60"/>
  <c r="B66" i="69"/>
  <c r="M16" i="44"/>
  <c r="T13" i="68"/>
  <c r="T66" i="68" s="1"/>
  <c r="T115" i="68" s="1"/>
  <c r="U15" i="66"/>
  <c r="CE12" i="68"/>
  <c r="CE65" i="68" s="1"/>
  <c r="CE114" i="68" s="1"/>
  <c r="O37" i="96"/>
  <c r="P37" i="96" s="1"/>
  <c r="E38" i="96"/>
  <c r="H37" i="96"/>
  <c r="Q17" i="66"/>
  <c r="AV14" i="68"/>
  <c r="AV67" i="68" s="1"/>
  <c r="AV116" i="68" s="1"/>
  <c r="D38" i="86"/>
  <c r="K37" i="86"/>
  <c r="L37" i="86" s="1"/>
  <c r="G37" i="86"/>
  <c r="Z66" i="69"/>
  <c r="J40" i="80"/>
  <c r="B41" i="80"/>
  <c r="C41" i="80" s="1"/>
  <c r="N41" i="80"/>
  <c r="R40" i="80"/>
  <c r="H40" i="80"/>
  <c r="J41" i="89"/>
  <c r="L41" i="89" s="1"/>
  <c r="N42" i="89"/>
  <c r="P42" i="89" s="1"/>
  <c r="B42" i="89"/>
  <c r="C42" i="89" s="1"/>
  <c r="R41" i="89"/>
  <c r="T41" i="89" s="1"/>
  <c r="I41" i="89"/>
  <c r="G41" i="89"/>
  <c r="H41" i="89"/>
  <c r="C41" i="83"/>
  <c r="J42" i="43"/>
  <c r="B43" i="43"/>
  <c r="N43" i="43"/>
  <c r="R42" i="43"/>
  <c r="M16" i="66"/>
  <c r="M13" i="68"/>
  <c r="M66" i="68" s="1"/>
  <c r="M115" i="68" s="1"/>
  <c r="K38" i="97"/>
  <c r="L38" i="97" s="1"/>
  <c r="D39" i="97"/>
  <c r="G38" i="97"/>
  <c r="U30" i="99"/>
  <c r="CA27" i="68"/>
  <c r="CA80" i="68" s="1"/>
  <c r="CA129" i="68" s="1"/>
  <c r="K37" i="99"/>
  <c r="L37" i="99" s="1"/>
  <c r="D38" i="99"/>
  <c r="G37" i="99"/>
  <c r="DB62" i="68"/>
  <c r="CZ111" i="68"/>
  <c r="BP129" i="68"/>
  <c r="K37" i="103"/>
  <c r="L37" i="103" s="1"/>
  <c r="D38" i="103"/>
  <c r="G37" i="103"/>
  <c r="S38" i="59"/>
  <c r="T38" i="59" s="1"/>
  <c r="F39" i="59"/>
  <c r="I38" i="59"/>
  <c r="O37" i="59"/>
  <c r="P37" i="59" s="1"/>
  <c r="E38" i="59"/>
  <c r="H37" i="59"/>
  <c r="J45" i="96"/>
  <c r="B46" i="96"/>
  <c r="N46" i="96"/>
  <c r="R45" i="96"/>
  <c r="BL133" i="68"/>
  <c r="S37" i="7"/>
  <c r="T37" i="7" s="1"/>
  <c r="F38" i="7"/>
  <c r="I37" i="7"/>
  <c r="U30" i="97"/>
  <c r="BF27" i="69"/>
  <c r="BF80" i="69" s="1"/>
  <c r="BF130" i="69" s="1"/>
  <c r="Q16" i="7"/>
  <c r="AB13" i="69"/>
  <c r="AB66" i="69" s="1"/>
  <c r="AB116" i="69" s="1"/>
  <c r="O37" i="35"/>
  <c r="P37" i="35" s="1"/>
  <c r="E38" i="35"/>
  <c r="H37" i="35"/>
  <c r="S38" i="86"/>
  <c r="T38" i="86" s="1"/>
  <c r="F39" i="86"/>
  <c r="I38" i="86"/>
  <c r="Q31" i="97"/>
  <c r="AI28" i="69"/>
  <c r="AI81" i="69" s="1"/>
  <c r="AI131" i="69" s="1"/>
  <c r="K37" i="1"/>
  <c r="L37" i="1" s="1"/>
  <c r="D38" i="1"/>
  <c r="G37" i="1"/>
  <c r="BL33" i="68"/>
  <c r="S35" i="46"/>
  <c r="U31" i="96"/>
  <c r="BD28" i="69"/>
  <c r="BD81" i="69" s="1"/>
  <c r="BD131" i="69" s="1"/>
  <c r="S39" i="38"/>
  <c r="T39" i="38" s="1"/>
  <c r="F40" i="38"/>
  <c r="I40" i="38" s="1"/>
  <c r="K38" i="58"/>
  <c r="L38" i="58" s="1"/>
  <c r="D39" i="58"/>
  <c r="G38" i="58"/>
  <c r="U17" i="38"/>
  <c r="BT14" i="68"/>
  <c r="BT67" i="68" s="1"/>
  <c r="S38" i="67"/>
  <c r="T38" i="67" s="1"/>
  <c r="F39" i="67"/>
  <c r="I38" i="67"/>
  <c r="C54" i="42"/>
  <c r="G4" i="70" l="1"/>
  <c r="D35" i="47"/>
  <c r="Q35" i="47"/>
  <c r="T35" i="47" s="1"/>
  <c r="K34" i="47"/>
  <c r="U16" i="37"/>
  <c r="BC13" i="69"/>
  <c r="BC66" i="69" s="1"/>
  <c r="BC116" i="69" s="1"/>
  <c r="C46" i="36"/>
  <c r="I13" i="69"/>
  <c r="I66" i="69" s="1"/>
  <c r="I116" i="69" s="1"/>
  <c r="M16" i="37"/>
  <c r="U16" i="44"/>
  <c r="CL13" i="68"/>
  <c r="CL66" i="68" s="1"/>
  <c r="CL115" i="68" s="1"/>
  <c r="U17" i="35"/>
  <c r="AZ14" i="69"/>
  <c r="AZ67" i="69" s="1"/>
  <c r="AZ117" i="69" s="1"/>
  <c r="Q18" i="1"/>
  <c r="Y15" i="69"/>
  <c r="Y68" i="69" s="1"/>
  <c r="Y118" i="69" s="1"/>
  <c r="U31" i="85"/>
  <c r="CM28" i="68"/>
  <c r="CM81" i="68" s="1"/>
  <c r="CM130" i="68" s="1"/>
  <c r="Q17" i="41"/>
  <c r="AN14" i="68"/>
  <c r="AN67" i="68" s="1"/>
  <c r="AN116" i="68" s="1"/>
  <c r="H40" i="47"/>
  <c r="E41" i="47"/>
  <c r="L40" i="47"/>
  <c r="CN28" i="68"/>
  <c r="CN81" i="68" s="1"/>
  <c r="CN130" i="68" s="1"/>
  <c r="CP28" i="68"/>
  <c r="CP81" i="68" s="1"/>
  <c r="CP130" i="68" s="1"/>
  <c r="U31" i="87"/>
  <c r="AD130" i="68"/>
  <c r="AG81" i="68"/>
  <c r="AG130" i="68" s="1"/>
  <c r="U32" i="89"/>
  <c r="CS29" i="68"/>
  <c r="CS82" i="68" s="1"/>
  <c r="CS131" i="68" s="1"/>
  <c r="M17" i="4"/>
  <c r="C14" i="69"/>
  <c r="C67" i="69" s="1"/>
  <c r="C117" i="69" s="1"/>
  <c r="Q17" i="23"/>
  <c r="AA14" i="69"/>
  <c r="AA67" i="69" s="1"/>
  <c r="AA117" i="69" s="1"/>
  <c r="X16" i="23"/>
  <c r="M17" i="61"/>
  <c r="G14" i="68"/>
  <c r="G67" i="68" s="1"/>
  <c r="G116" i="68" s="1"/>
  <c r="S34" i="75"/>
  <c r="T34" i="75" s="1"/>
  <c r="I34" i="75"/>
  <c r="F35" i="75"/>
  <c r="O37" i="74"/>
  <c r="P37" i="74" s="1"/>
  <c r="Q37" i="74" s="1"/>
  <c r="H37" i="74"/>
  <c r="E38" i="74"/>
  <c r="CX114" i="68"/>
  <c r="CY65" i="68"/>
  <c r="CY114" i="68" s="1"/>
  <c r="AP35" i="69"/>
  <c r="AP88" i="69" s="1"/>
  <c r="S37" i="45"/>
  <c r="BJ29" i="69"/>
  <c r="BJ82" i="69" s="1"/>
  <c r="BJ132" i="69" s="1"/>
  <c r="U32" i="82"/>
  <c r="U17" i="1"/>
  <c r="AV14" i="69"/>
  <c r="AV67" i="69" s="1"/>
  <c r="AV117" i="69" s="1"/>
  <c r="Q31" i="99"/>
  <c r="AR28" i="68"/>
  <c r="AR81" i="68" s="1"/>
  <c r="AR130" i="68" s="1"/>
  <c r="CV30" i="68"/>
  <c r="CV83" i="68" s="1"/>
  <c r="CV132" i="68" s="1"/>
  <c r="Y32" i="47"/>
  <c r="U32" i="101"/>
  <c r="CK29" i="68"/>
  <c r="CK82" i="68" s="1"/>
  <c r="CK131" i="68" s="1"/>
  <c r="M17" i="59"/>
  <c r="T14" i="69"/>
  <c r="W16" i="59"/>
  <c r="H114" i="69"/>
  <c r="R64" i="69"/>
  <c r="X30" i="68"/>
  <c r="X83" i="68" s="1"/>
  <c r="X132" i="68" s="1"/>
  <c r="M33" i="87"/>
  <c r="Q17" i="39"/>
  <c r="AL14" i="68"/>
  <c r="AL67" i="68" s="1"/>
  <c r="AL116" i="68" s="1"/>
  <c r="BM34" i="69"/>
  <c r="BM87" i="69" s="1"/>
  <c r="Y36" i="45"/>
  <c r="U34" i="75"/>
  <c r="BM32" i="68"/>
  <c r="BM85" i="68" s="1"/>
  <c r="BM134" i="68" s="1"/>
  <c r="S34" i="47"/>
  <c r="K37" i="75"/>
  <c r="L37" i="75" s="1"/>
  <c r="M37" i="75" s="1"/>
  <c r="D38" i="75"/>
  <c r="G37" i="75"/>
  <c r="N37" i="45"/>
  <c r="W37" i="45"/>
  <c r="Z37" i="45" s="1"/>
  <c r="J46" i="36"/>
  <c r="B47" i="36"/>
  <c r="N47" i="36"/>
  <c r="R46" i="36"/>
  <c r="M30" i="58"/>
  <c r="G27" i="69"/>
  <c r="G80" i="69" s="1"/>
  <c r="G130" i="69" s="1"/>
  <c r="Q33" i="82"/>
  <c r="AM30" i="69"/>
  <c r="AM83" i="69" s="1"/>
  <c r="AM133" i="69" s="1"/>
  <c r="U17" i="63"/>
  <c r="CX14" i="68"/>
  <c r="M16" i="65"/>
  <c r="L13" i="68"/>
  <c r="L66" i="68" s="1"/>
  <c r="L115" i="68" s="1"/>
  <c r="T115" i="69"/>
  <c r="U65" i="69"/>
  <c r="U115" i="69" s="1"/>
  <c r="BK131" i="69"/>
  <c r="H39" i="63"/>
  <c r="E40" i="63"/>
  <c r="O39" i="63"/>
  <c r="P39" i="63" s="1"/>
  <c r="U17" i="23"/>
  <c r="AX14" i="69"/>
  <c r="AX67" i="69" s="1"/>
  <c r="AX117" i="69" s="1"/>
  <c r="AD30" i="68"/>
  <c r="AD83" i="68" s="1"/>
  <c r="M32" i="47"/>
  <c r="Q18" i="38"/>
  <c r="AK15" i="68"/>
  <c r="AK68" i="68" s="1"/>
  <c r="AK117" i="68" s="1"/>
  <c r="Q20" i="35"/>
  <c r="AC17" i="69"/>
  <c r="AC70" i="69" s="1"/>
  <c r="AC120" i="69" s="1"/>
  <c r="O38" i="98"/>
  <c r="P38" i="98" s="1"/>
  <c r="E39" i="98"/>
  <c r="H38" i="98"/>
  <c r="U16" i="42"/>
  <c r="CG13" i="68"/>
  <c r="CG66" i="68" s="1"/>
  <c r="CG115" i="68" s="1"/>
  <c r="S34" i="69"/>
  <c r="S87" i="69" s="1"/>
  <c r="M36" i="45"/>
  <c r="W33" i="47"/>
  <c r="Z33" i="47" s="1"/>
  <c r="N33" i="47"/>
  <c r="D38" i="45"/>
  <c r="K38" i="45" s="1"/>
  <c r="U16" i="64"/>
  <c r="CC13" i="68"/>
  <c r="CC66" i="68" s="1"/>
  <c r="CC115" i="68" s="1"/>
  <c r="AD82" i="68"/>
  <c r="AG29" i="68"/>
  <c r="J42" i="58"/>
  <c r="B43" i="58"/>
  <c r="N43" i="58"/>
  <c r="R42" i="58"/>
  <c r="M16" i="64"/>
  <c r="K13" i="68"/>
  <c r="K66" i="68" s="1"/>
  <c r="K115" i="68" s="1"/>
  <c r="F40" i="74"/>
  <c r="I39" i="74"/>
  <c r="S39" i="74"/>
  <c r="T39" i="74" s="1"/>
  <c r="U39" i="74" s="1"/>
  <c r="CX66" i="68"/>
  <c r="CY13" i="68"/>
  <c r="BH28" i="68"/>
  <c r="BH81" i="68" s="1"/>
  <c r="BH130" i="68" s="1"/>
  <c r="Q31" i="88"/>
  <c r="U32" i="83"/>
  <c r="BK29" i="69"/>
  <c r="BK82" i="69" s="1"/>
  <c r="BK132" i="69" s="1"/>
  <c r="Q38" i="63"/>
  <c r="BO35" i="68"/>
  <c r="BO88" i="68" s="1"/>
  <c r="J43" i="86"/>
  <c r="B44" i="86"/>
  <c r="R43" i="86"/>
  <c r="N44" i="86"/>
  <c r="F40" i="101"/>
  <c r="I39" i="101"/>
  <c r="S39" i="101"/>
  <c r="T39" i="101" s="1"/>
  <c r="J44" i="7"/>
  <c r="B45" i="7"/>
  <c r="N45" i="7"/>
  <c r="R44" i="7"/>
  <c r="M16" i="41"/>
  <c r="E13" i="68"/>
  <c r="E66" i="68" s="1"/>
  <c r="E115" i="68" s="1"/>
  <c r="J43" i="60"/>
  <c r="B44" i="60"/>
  <c r="N44" i="60"/>
  <c r="R43" i="60"/>
  <c r="T66" i="69"/>
  <c r="U13" i="69"/>
  <c r="U17" i="7"/>
  <c r="AY14" i="69"/>
  <c r="AY67" i="69" s="1"/>
  <c r="AY117" i="69" s="1"/>
  <c r="M17" i="62"/>
  <c r="J14" i="68"/>
  <c r="J67" i="68" s="1"/>
  <c r="J116" i="68" s="1"/>
  <c r="K37" i="74"/>
  <c r="L37" i="74" s="1"/>
  <c r="M37" i="74" s="1"/>
  <c r="D38" i="74"/>
  <c r="G37" i="74"/>
  <c r="M16" i="36"/>
  <c r="H13" i="69"/>
  <c r="H66" i="69" s="1"/>
  <c r="H116" i="69" s="1"/>
  <c r="C42" i="58"/>
  <c r="C43" i="58" s="1"/>
  <c r="C43" i="60"/>
  <c r="C44" i="60" s="1"/>
  <c r="E42" i="48"/>
  <c r="H41" i="48"/>
  <c r="J38" i="48"/>
  <c r="G39" i="48"/>
  <c r="E40" i="46"/>
  <c r="H39" i="46"/>
  <c r="I40" i="47"/>
  <c r="F41" i="47"/>
  <c r="R40" i="47"/>
  <c r="I38" i="103"/>
  <c r="F39" i="103"/>
  <c r="S38" i="103"/>
  <c r="T38" i="103" s="1"/>
  <c r="M41" i="63"/>
  <c r="AF38" i="68"/>
  <c r="AF91" i="68" s="1"/>
  <c r="O38" i="64"/>
  <c r="P38" i="64" s="1"/>
  <c r="E39" i="64"/>
  <c r="H38" i="64"/>
  <c r="S38" i="100"/>
  <c r="T38" i="100" s="1"/>
  <c r="F39" i="100"/>
  <c r="I38" i="100"/>
  <c r="E39" i="38"/>
  <c r="O38" i="38"/>
  <c r="P38" i="38" s="1"/>
  <c r="H38" i="38"/>
  <c r="S39" i="97"/>
  <c r="T39" i="97" s="1"/>
  <c r="F40" i="97"/>
  <c r="I39" i="97"/>
  <c r="U18" i="38"/>
  <c r="BT15" i="68"/>
  <c r="BT68" i="68" s="1"/>
  <c r="D40" i="58"/>
  <c r="K39" i="58"/>
  <c r="L39" i="58" s="1"/>
  <c r="G39" i="58"/>
  <c r="S39" i="86"/>
  <c r="T39" i="86" s="1"/>
  <c r="F40" i="86"/>
  <c r="I39" i="86"/>
  <c r="U31" i="97"/>
  <c r="BF28" i="69"/>
  <c r="BF81" i="69" s="1"/>
  <c r="BF131" i="69" s="1"/>
  <c r="J43" i="43"/>
  <c r="B44" i="43"/>
  <c r="N44" i="43"/>
  <c r="R43" i="43"/>
  <c r="BP114" i="68"/>
  <c r="S39" i="35"/>
  <c r="T39" i="35" s="1"/>
  <c r="F40" i="35"/>
  <c r="I39" i="35"/>
  <c r="O39" i="7"/>
  <c r="P39" i="7" s="1"/>
  <c r="E40" i="7"/>
  <c r="H39" i="7"/>
  <c r="Q34" i="83"/>
  <c r="AN31" i="69"/>
  <c r="AN84" i="69" s="1"/>
  <c r="AN134" i="69" s="1"/>
  <c r="Q17" i="60"/>
  <c r="AO14" i="68"/>
  <c r="AO67" i="68" s="1"/>
  <c r="AO116" i="68" s="1"/>
  <c r="D40" i="63"/>
  <c r="G39" i="63"/>
  <c r="K39" i="63"/>
  <c r="L39" i="63" s="1"/>
  <c r="BU66" i="68"/>
  <c r="AO115" i="69"/>
  <c r="U31" i="102"/>
  <c r="CI28" i="68"/>
  <c r="CI81" i="68" s="1"/>
  <c r="CI130" i="68" s="1"/>
  <c r="U17" i="36"/>
  <c r="BB14" i="69"/>
  <c r="BB67" i="69" s="1"/>
  <c r="BB117" i="69" s="1"/>
  <c r="U16" i="61"/>
  <c r="BY13" i="68"/>
  <c r="BY66" i="68" s="1"/>
  <c r="BY115" i="68" s="1"/>
  <c r="D39" i="60"/>
  <c r="K38" i="60"/>
  <c r="L38" i="60" s="1"/>
  <c r="G38" i="60"/>
  <c r="AM114" i="68"/>
  <c r="BK65" i="68"/>
  <c r="BK114" i="68" s="1"/>
  <c r="M32" i="99"/>
  <c r="I29" i="68"/>
  <c r="I82" i="68" s="1"/>
  <c r="I131" i="68" s="1"/>
  <c r="O39" i="36"/>
  <c r="P39" i="36" s="1"/>
  <c r="E40" i="36"/>
  <c r="H39" i="36"/>
  <c r="M32" i="85"/>
  <c r="U29" i="68"/>
  <c r="U82" i="68" s="1"/>
  <c r="U131" i="68" s="1"/>
  <c r="M17" i="35"/>
  <c r="F14" i="69"/>
  <c r="F67" i="69" s="1"/>
  <c r="F117" i="69" s="1"/>
  <c r="M17" i="38"/>
  <c r="B14" i="68"/>
  <c r="K38" i="4"/>
  <c r="L38" i="4" s="1"/>
  <c r="D39" i="4"/>
  <c r="G38" i="4"/>
  <c r="K39" i="102"/>
  <c r="L39" i="102" s="1"/>
  <c r="D40" i="102"/>
  <c r="G39" i="102"/>
  <c r="R33" i="48"/>
  <c r="T34" i="48" s="1"/>
  <c r="BN31" i="68"/>
  <c r="Z33" i="48"/>
  <c r="S33" i="48"/>
  <c r="CU85" i="68"/>
  <c r="O40" i="80"/>
  <c r="P40" i="80" s="1"/>
  <c r="E41" i="80"/>
  <c r="F45" i="46"/>
  <c r="I44" i="46"/>
  <c r="R44" i="46" s="1"/>
  <c r="G5" i="92"/>
  <c r="M5" i="92" s="1"/>
  <c r="AC84" i="68"/>
  <c r="U37" i="86"/>
  <c r="CO34" i="68"/>
  <c r="CO87" i="68" s="1"/>
  <c r="M17" i="60"/>
  <c r="F14" i="68"/>
  <c r="F67" i="68" s="1"/>
  <c r="F116" i="68" s="1"/>
  <c r="O40" i="100"/>
  <c r="P40" i="100" s="1"/>
  <c r="E41" i="100"/>
  <c r="H40" i="100"/>
  <c r="J41" i="38"/>
  <c r="B42" i="38"/>
  <c r="N42" i="38"/>
  <c r="R41" i="38"/>
  <c r="AW66" i="69"/>
  <c r="BL13" i="69"/>
  <c r="K39" i="66"/>
  <c r="L39" i="66" s="1"/>
  <c r="D40" i="66"/>
  <c r="G39" i="66"/>
  <c r="AF115" i="68"/>
  <c r="AG66" i="68"/>
  <c r="U18" i="65"/>
  <c r="CD15" i="68"/>
  <c r="CD68" i="68" s="1"/>
  <c r="CD117" i="68" s="1"/>
  <c r="S38" i="64"/>
  <c r="T38" i="64" s="1"/>
  <c r="F39" i="64"/>
  <c r="I38" i="64"/>
  <c r="K40" i="38"/>
  <c r="D41" i="38"/>
  <c r="G41" i="38" s="1"/>
  <c r="CU33" i="68"/>
  <c r="Y35" i="46"/>
  <c r="O40" i="86"/>
  <c r="P40" i="86" s="1"/>
  <c r="E41" i="86"/>
  <c r="H40" i="86"/>
  <c r="K35" i="48"/>
  <c r="W35" i="48" s="1"/>
  <c r="D36" i="48"/>
  <c r="Q36" i="48"/>
  <c r="U17" i="41"/>
  <c r="BW14" i="68"/>
  <c r="BW67" i="68" s="1"/>
  <c r="BW116" i="68" s="1"/>
  <c r="K38" i="98"/>
  <c r="L38" i="98" s="1"/>
  <c r="D39" i="98"/>
  <c r="G38" i="98"/>
  <c r="H4" i="70"/>
  <c r="M31" i="102"/>
  <c r="Q28" i="68"/>
  <c r="Q81" i="68" s="1"/>
  <c r="Q130" i="68" s="1"/>
  <c r="B5" i="92"/>
  <c r="Q33" i="90"/>
  <c r="AJ30" i="69"/>
  <c r="AJ83" i="69" s="1"/>
  <c r="AJ133" i="69" s="1"/>
  <c r="J6" i="92"/>
  <c r="S39" i="36"/>
  <c r="T39" i="36" s="1"/>
  <c r="F40" i="36"/>
  <c r="I39" i="36"/>
  <c r="R42" i="4"/>
  <c r="R43" i="4" s="1"/>
  <c r="R44" i="4" s="1"/>
  <c r="R45" i="4" s="1"/>
  <c r="R46" i="4" s="1"/>
  <c r="R47" i="4" s="1"/>
  <c r="R48" i="4" s="1"/>
  <c r="R49" i="4" s="1"/>
  <c r="R50" i="4" s="1"/>
  <c r="R51" i="4" s="1"/>
  <c r="R52" i="4" s="1"/>
  <c r="R53" i="4" s="1"/>
  <c r="R54" i="4" s="1"/>
  <c r="U32" i="100"/>
  <c r="BZ29" i="68"/>
  <c r="BZ82" i="68" s="1"/>
  <c r="BZ131" i="68" s="1"/>
  <c r="S39" i="67"/>
  <c r="T39" i="67" s="1"/>
  <c r="F40" i="67"/>
  <c r="I39" i="67"/>
  <c r="U32" i="96"/>
  <c r="BD29" i="69"/>
  <c r="BD82" i="69" s="1"/>
  <c r="BD132" i="69" s="1"/>
  <c r="BL86" i="68"/>
  <c r="O38" i="59"/>
  <c r="P38" i="59" s="1"/>
  <c r="E39" i="59"/>
  <c r="H38" i="59"/>
  <c r="K38" i="103"/>
  <c r="L38" i="103" s="1"/>
  <c r="D39" i="103"/>
  <c r="G38" i="103"/>
  <c r="U31" i="99"/>
  <c r="CA28" i="68"/>
  <c r="CA81" i="68" s="1"/>
  <c r="CA130" i="68" s="1"/>
  <c r="AO13" i="69"/>
  <c r="D39" i="86"/>
  <c r="K38" i="86"/>
  <c r="L38" i="86" s="1"/>
  <c r="G38" i="86"/>
  <c r="O38" i="96"/>
  <c r="P38" i="96" s="1"/>
  <c r="E39" i="96"/>
  <c r="H38" i="96"/>
  <c r="U16" i="66"/>
  <c r="CE13" i="68"/>
  <c r="CE66" i="68" s="1"/>
  <c r="CE115" i="68" s="1"/>
  <c r="R66" i="69"/>
  <c r="B116" i="69"/>
  <c r="M33" i="80"/>
  <c r="N30" i="69"/>
  <c r="N83" i="69" s="1"/>
  <c r="N133" i="69" s="1"/>
  <c r="O38" i="66"/>
  <c r="P38" i="66" s="1"/>
  <c r="E39" i="66"/>
  <c r="H38" i="66"/>
  <c r="M31" i="100"/>
  <c r="H28" i="68"/>
  <c r="H81" i="68" s="1"/>
  <c r="H130" i="68" s="1"/>
  <c r="BO67" i="68"/>
  <c r="BP14" i="68"/>
  <c r="O38" i="1"/>
  <c r="P38" i="1" s="1"/>
  <c r="E39" i="1"/>
  <c r="H38" i="1"/>
  <c r="K38" i="36"/>
  <c r="L38" i="36" s="1"/>
  <c r="D39" i="36"/>
  <c r="G38" i="36"/>
  <c r="U17" i="39"/>
  <c r="BU14" i="68"/>
  <c r="BU67" i="68" s="1"/>
  <c r="BU116" i="68" s="1"/>
  <c r="M32" i="89"/>
  <c r="AA29" i="68"/>
  <c r="AA82" i="68" s="1"/>
  <c r="AA131" i="68" s="1"/>
  <c r="BP64" i="69"/>
  <c r="BO114" i="69"/>
  <c r="B4" i="70"/>
  <c r="M17" i="7"/>
  <c r="E14" i="69"/>
  <c r="E67" i="69" s="1"/>
  <c r="E117" i="69" s="1"/>
  <c r="K39" i="64"/>
  <c r="L39" i="64" s="1"/>
  <c r="D40" i="64"/>
  <c r="G39" i="64"/>
  <c r="O39" i="99"/>
  <c r="P39" i="99" s="1"/>
  <c r="E40" i="99"/>
  <c r="H39" i="99"/>
  <c r="K39" i="85"/>
  <c r="L39" i="85" s="1"/>
  <c r="D40" i="85"/>
  <c r="G39" i="85"/>
  <c r="M17" i="43"/>
  <c r="R14" i="68"/>
  <c r="R67" i="68" s="1"/>
  <c r="R116" i="68" s="1"/>
  <c r="U33" i="80"/>
  <c r="BH30" i="69"/>
  <c r="BH83" i="69" s="1"/>
  <c r="BH133" i="69" s="1"/>
  <c r="D4" i="70"/>
  <c r="C4" i="70"/>
  <c r="CT113" i="68"/>
  <c r="CZ64" i="68"/>
  <c r="BL134" i="68"/>
  <c r="U18" i="43"/>
  <c r="CJ15" i="68"/>
  <c r="CJ68" i="68" s="1"/>
  <c r="CJ117" i="68" s="1"/>
  <c r="M32" i="82"/>
  <c r="P29" i="69"/>
  <c r="P82" i="69" s="1"/>
  <c r="P132" i="69" s="1"/>
  <c r="L34" i="46"/>
  <c r="N35" i="46" s="1"/>
  <c r="AC32" i="68"/>
  <c r="M34" i="46"/>
  <c r="CU133" i="68"/>
  <c r="AS12" i="69"/>
  <c r="AG114" i="68"/>
  <c r="R5" i="70"/>
  <c r="K5" i="70"/>
  <c r="L40" i="38"/>
  <c r="S38" i="1"/>
  <c r="T38" i="1" s="1"/>
  <c r="F39" i="1"/>
  <c r="I38" i="1"/>
  <c r="Q18" i="67"/>
  <c r="AW15" i="68"/>
  <c r="AW68" i="68" s="1"/>
  <c r="AW117" i="68" s="1"/>
  <c r="U17" i="4"/>
  <c r="AW14" i="69"/>
  <c r="Y16" i="23"/>
  <c r="Q32" i="96"/>
  <c r="AG29" i="69"/>
  <c r="AG82" i="69" s="1"/>
  <c r="AG132" i="69" s="1"/>
  <c r="O38" i="43"/>
  <c r="P38" i="43" s="1"/>
  <c r="E39" i="43"/>
  <c r="H38" i="43"/>
  <c r="U33" i="90"/>
  <c r="BG30" i="69"/>
  <c r="BG83" i="69" s="1"/>
  <c r="BG133" i="69" s="1"/>
  <c r="M16" i="67"/>
  <c r="N13" i="68"/>
  <c r="N66" i="68" s="1"/>
  <c r="N115" i="68" s="1"/>
  <c r="AQ67" i="69"/>
  <c r="AR14" i="69"/>
  <c r="BP130" i="68"/>
  <c r="O38" i="60"/>
  <c r="P38" i="60" s="1"/>
  <c r="E39" i="60"/>
  <c r="H38" i="60"/>
  <c r="O38" i="103"/>
  <c r="P38" i="103" s="1"/>
  <c r="E39" i="103"/>
  <c r="H38" i="103"/>
  <c r="M4" i="70"/>
  <c r="U33" i="104"/>
  <c r="CR30" i="68"/>
  <c r="CR83" i="68" s="1"/>
  <c r="CR132" i="68" s="1"/>
  <c r="Q32" i="81"/>
  <c r="AL29" i="69"/>
  <c r="AL82" i="69" s="1"/>
  <c r="AL132" i="69" s="1"/>
  <c r="Q17" i="61"/>
  <c r="AP14" i="68"/>
  <c r="AP67" i="68" s="1"/>
  <c r="AP116" i="68" s="1"/>
  <c r="S41" i="85"/>
  <c r="T41" i="85" s="1"/>
  <c r="F42" i="85"/>
  <c r="I41" i="85"/>
  <c r="M32" i="98"/>
  <c r="K29" i="69"/>
  <c r="K82" i="69" s="1"/>
  <c r="K132" i="69" s="1"/>
  <c r="B67" i="69"/>
  <c r="J46" i="85"/>
  <c r="B47" i="85"/>
  <c r="N47" i="85"/>
  <c r="R46" i="85"/>
  <c r="AW115" i="69"/>
  <c r="BT65" i="69"/>
  <c r="BL65" i="69"/>
  <c r="M17" i="40"/>
  <c r="D14" i="68"/>
  <c r="D67" i="68" s="1"/>
  <c r="D116" i="68" s="1"/>
  <c r="O38" i="58"/>
  <c r="P38" i="58" s="1"/>
  <c r="E39" i="58"/>
  <c r="H38" i="58"/>
  <c r="AQ116" i="69"/>
  <c r="AR66" i="69"/>
  <c r="Q19" i="65"/>
  <c r="AU16" i="68"/>
  <c r="AU69" i="68" s="1"/>
  <c r="AU118" i="68" s="1"/>
  <c r="K38" i="59"/>
  <c r="L38" i="59" s="1"/>
  <c r="D39" i="59"/>
  <c r="G38" i="59"/>
  <c r="U33" i="81"/>
  <c r="BI30" i="69"/>
  <c r="BI83" i="69" s="1"/>
  <c r="BI133" i="69" s="1"/>
  <c r="I38" i="48"/>
  <c r="F39" i="48"/>
  <c r="J42" i="4"/>
  <c r="J43" i="4" s="1"/>
  <c r="J44" i="4" s="1"/>
  <c r="J45" i="4" s="1"/>
  <c r="J46" i="4" s="1"/>
  <c r="J47" i="4" s="1"/>
  <c r="J48" i="4" s="1"/>
  <c r="J49" i="4" s="1"/>
  <c r="J50" i="4" s="1"/>
  <c r="J51" i="4" s="1"/>
  <c r="J52" i="4" s="1"/>
  <c r="J53" i="4" s="1"/>
  <c r="J54" i="4" s="1"/>
  <c r="BE29" i="68"/>
  <c r="BE82" i="68" s="1"/>
  <c r="BE131" i="68" s="1"/>
  <c r="BG29" i="68"/>
  <c r="BG82" i="68" s="1"/>
  <c r="BG131" i="68" s="1"/>
  <c r="Q32" i="87"/>
  <c r="K39" i="90"/>
  <c r="L39" i="90" s="1"/>
  <c r="D40" i="90"/>
  <c r="G39" i="90"/>
  <c r="S40" i="38"/>
  <c r="F41" i="38"/>
  <c r="I41" i="38" s="1"/>
  <c r="Q32" i="97"/>
  <c r="AI29" i="69"/>
  <c r="AI82" i="69" s="1"/>
  <c r="AI132" i="69" s="1"/>
  <c r="Q17" i="7"/>
  <c r="AB14" i="69"/>
  <c r="AB67" i="69" s="1"/>
  <c r="AB117" i="69" s="1"/>
  <c r="S38" i="7"/>
  <c r="T38" i="7" s="1"/>
  <c r="F39" i="7"/>
  <c r="I38" i="7"/>
  <c r="S39" i="59"/>
  <c r="T39" i="59" s="1"/>
  <c r="F40" i="59"/>
  <c r="I39" i="59"/>
  <c r="K38" i="99"/>
  <c r="L38" i="99" s="1"/>
  <c r="D39" i="99"/>
  <c r="G38" i="99"/>
  <c r="M17" i="66"/>
  <c r="M14" i="68"/>
  <c r="M67" i="68" s="1"/>
  <c r="M116" i="68" s="1"/>
  <c r="Z116" i="69"/>
  <c r="AO66" i="69"/>
  <c r="U33" i="88"/>
  <c r="CQ30" i="68"/>
  <c r="CQ83" i="68" s="1"/>
  <c r="CQ132" i="68" s="1"/>
  <c r="BN115" i="69"/>
  <c r="BO65" i="69"/>
  <c r="AM66" i="68"/>
  <c r="M33" i="83"/>
  <c r="Q30" i="69"/>
  <c r="Q83" i="69" s="1"/>
  <c r="Q133" i="69" s="1"/>
  <c r="Q18" i="63"/>
  <c r="BO15" i="68"/>
  <c r="J42" i="82"/>
  <c r="L42" i="82" s="1"/>
  <c r="B43" i="82"/>
  <c r="N43" i="82"/>
  <c r="P43" i="82" s="1"/>
  <c r="R42" i="82"/>
  <c r="T42" i="82" s="1"/>
  <c r="I42" i="82"/>
  <c r="H42" i="82"/>
  <c r="G42" i="82"/>
  <c r="S38" i="4"/>
  <c r="T38" i="4" s="1"/>
  <c r="F39" i="4"/>
  <c r="I38" i="4"/>
  <c r="DB63" i="68"/>
  <c r="CZ112" i="68"/>
  <c r="BU112" i="69"/>
  <c r="BW62" i="69"/>
  <c r="M18" i="23"/>
  <c r="D15" i="69"/>
  <c r="D68" i="69" s="1"/>
  <c r="D118" i="69" s="1"/>
  <c r="W17" i="23"/>
  <c r="S39" i="102"/>
  <c r="T39" i="102" s="1"/>
  <c r="F40" i="102"/>
  <c r="I39" i="102"/>
  <c r="U18" i="62"/>
  <c r="CB15" i="68"/>
  <c r="CB68" i="68" s="1"/>
  <c r="CB117" i="68" s="1"/>
  <c r="M31" i="101"/>
  <c r="S28" i="68"/>
  <c r="S81" i="68" s="1"/>
  <c r="S130" i="68" s="1"/>
  <c r="Q17" i="37"/>
  <c r="AF14" i="69"/>
  <c r="AF67" i="69" s="1"/>
  <c r="AF117" i="69" s="1"/>
  <c r="BV64" i="69"/>
  <c r="BV114" i="69" s="1"/>
  <c r="BT114" i="69"/>
  <c r="CT65" i="68"/>
  <c r="Q19" i="62"/>
  <c r="AS16" i="68"/>
  <c r="AS69" i="68" s="1"/>
  <c r="AS118" i="68" s="1"/>
  <c r="Q32" i="80"/>
  <c r="AK29" i="69"/>
  <c r="AK82" i="69" s="1"/>
  <c r="AK132" i="69" s="1"/>
  <c r="D40" i="7"/>
  <c r="K39" i="7"/>
  <c r="L39" i="7" s="1"/>
  <c r="G39" i="7"/>
  <c r="U30" i="58"/>
  <c r="BA27" i="69"/>
  <c r="BA80" i="69" s="1"/>
  <c r="BA130" i="69" s="1"/>
  <c r="C47" i="85"/>
  <c r="W28" i="68"/>
  <c r="W81" i="68" s="1"/>
  <c r="W130" i="68" s="1"/>
  <c r="M31" i="86"/>
  <c r="Q34" i="85"/>
  <c r="BD31" i="68"/>
  <c r="BD84" i="68" s="1"/>
  <c r="BD133" i="68" s="1"/>
  <c r="U32" i="98"/>
  <c r="BE29" i="69"/>
  <c r="BE82" i="69" s="1"/>
  <c r="BE132" i="69" s="1"/>
  <c r="J47" i="66"/>
  <c r="B48" i="66"/>
  <c r="N48" i="66"/>
  <c r="R47" i="66"/>
  <c r="C43" i="43"/>
  <c r="C44" i="43" s="1"/>
  <c r="O38" i="90"/>
  <c r="P38" i="90" s="1"/>
  <c r="E39" i="90"/>
  <c r="H38" i="90"/>
  <c r="Q31" i="98"/>
  <c r="AH28" i="69"/>
  <c r="AH81" i="69" s="1"/>
  <c r="AH131" i="69" s="1"/>
  <c r="K39" i="100"/>
  <c r="L39" i="100" s="1"/>
  <c r="D40" i="100"/>
  <c r="G39" i="100"/>
  <c r="CW30" i="68"/>
  <c r="CW83" i="68" s="1"/>
  <c r="CW132" i="68" s="1"/>
  <c r="Y32" i="48"/>
  <c r="X32" i="48"/>
  <c r="M18" i="42"/>
  <c r="O15" i="68"/>
  <c r="O68" i="68" s="1"/>
  <c r="O117" i="68" s="1"/>
  <c r="Q31" i="86"/>
  <c r="BF28" i="68"/>
  <c r="BF81" i="68" s="1"/>
  <c r="BF130" i="68" s="1"/>
  <c r="S38" i="96"/>
  <c r="T38" i="96" s="1"/>
  <c r="F39" i="96"/>
  <c r="I38" i="96"/>
  <c r="O38" i="97"/>
  <c r="P38" i="97" s="1"/>
  <c r="E39" i="97"/>
  <c r="H38" i="97"/>
  <c r="T40" i="38"/>
  <c r="O39" i="102"/>
  <c r="P39" i="102" s="1"/>
  <c r="E40" i="102"/>
  <c r="H39" i="102"/>
  <c r="M32" i="90"/>
  <c r="M29" i="69"/>
  <c r="M82" i="69" s="1"/>
  <c r="M132" i="69" s="1"/>
  <c r="Q18" i="59"/>
  <c r="AQ15" i="69"/>
  <c r="V17" i="59"/>
  <c r="S39" i="43"/>
  <c r="T39" i="43" s="1"/>
  <c r="F40" i="43"/>
  <c r="I39" i="43"/>
  <c r="AB12" i="68"/>
  <c r="AH12" i="68" s="1"/>
  <c r="Q31" i="101"/>
  <c r="BB28" i="68"/>
  <c r="BB81" i="68" s="1"/>
  <c r="BB130" i="68" s="1"/>
  <c r="S38" i="23"/>
  <c r="T38" i="23" s="1"/>
  <c r="F39" i="23"/>
  <c r="I38" i="23"/>
  <c r="U32" i="103"/>
  <c r="CH29" i="68"/>
  <c r="CH82" i="68" s="1"/>
  <c r="CH131" i="68" s="1"/>
  <c r="S39" i="66"/>
  <c r="T39" i="66" s="1"/>
  <c r="F40" i="66"/>
  <c r="I39" i="66"/>
  <c r="K38" i="101"/>
  <c r="L38" i="101" s="1"/>
  <c r="D39" i="101"/>
  <c r="G38" i="101"/>
  <c r="C47" i="66"/>
  <c r="U18" i="67"/>
  <c r="CF15" i="68"/>
  <c r="CF68" i="68" s="1"/>
  <c r="CF117" i="68" s="1"/>
  <c r="BL34" i="68"/>
  <c r="S36" i="46"/>
  <c r="Q30" i="58"/>
  <c r="AD27" i="69"/>
  <c r="AD80" i="69" s="1"/>
  <c r="AD130" i="69" s="1"/>
  <c r="BP113" i="69"/>
  <c r="BU63" i="69"/>
  <c r="S38" i="90"/>
  <c r="T38" i="90" s="1"/>
  <c r="F39" i="90"/>
  <c r="I38" i="90"/>
  <c r="AH64" i="68"/>
  <c r="AH113" i="68" s="1"/>
  <c r="K38" i="80"/>
  <c r="L38" i="80" s="1"/>
  <c r="D39" i="80"/>
  <c r="G38" i="80"/>
  <c r="Z67" i="69"/>
  <c r="M18" i="1"/>
  <c r="B15" i="69"/>
  <c r="AZ29" i="68"/>
  <c r="AZ82" i="68" s="1"/>
  <c r="AZ131" i="68" s="1"/>
  <c r="Q32" i="102"/>
  <c r="BN66" i="69"/>
  <c r="BO13" i="69"/>
  <c r="BP13" i="69" s="1"/>
  <c r="AF67" i="68"/>
  <c r="AG14" i="68"/>
  <c r="AE83" i="68"/>
  <c r="AG30" i="68"/>
  <c r="BO115" i="68"/>
  <c r="BP66" i="68"/>
  <c r="K39" i="67"/>
  <c r="L39" i="67" s="1"/>
  <c r="D40" i="67"/>
  <c r="G39" i="67"/>
  <c r="U17" i="60"/>
  <c r="BX14" i="68"/>
  <c r="BX67" i="68" s="1"/>
  <c r="BX116" i="68" s="1"/>
  <c r="M31" i="103"/>
  <c r="P28" i="68"/>
  <c r="P81" i="68" s="1"/>
  <c r="P130" i="68" s="1"/>
  <c r="C42" i="82"/>
  <c r="C43" i="82" s="1"/>
  <c r="BT116" i="68"/>
  <c r="K38" i="1"/>
  <c r="L38" i="1" s="1"/>
  <c r="D39" i="1"/>
  <c r="G38" i="1"/>
  <c r="O38" i="35"/>
  <c r="P38" i="35" s="1"/>
  <c r="E39" i="35"/>
  <c r="H38" i="35"/>
  <c r="J46" i="96"/>
  <c r="B47" i="96"/>
  <c r="N47" i="96"/>
  <c r="R46" i="96"/>
  <c r="K39" i="97"/>
  <c r="L39" i="97" s="1"/>
  <c r="D40" i="97"/>
  <c r="G39" i="97"/>
  <c r="J42" i="89"/>
  <c r="L42" i="89" s="1"/>
  <c r="B43" i="89"/>
  <c r="C43" i="89" s="1"/>
  <c r="N43" i="89"/>
  <c r="P43" i="89" s="1"/>
  <c r="R42" i="89"/>
  <c r="T42" i="89" s="1"/>
  <c r="I42" i="89"/>
  <c r="G42" i="89"/>
  <c r="H42" i="89"/>
  <c r="J41" i="80"/>
  <c r="B42" i="80"/>
  <c r="N42" i="80"/>
  <c r="R41" i="80"/>
  <c r="H41" i="80"/>
  <c r="Q18" i="66"/>
  <c r="AV15" i="68"/>
  <c r="AV68" i="68" s="1"/>
  <c r="AV117" i="68" s="1"/>
  <c r="M17" i="44"/>
  <c r="T14" i="68"/>
  <c r="T67" i="68" s="1"/>
  <c r="T116" i="68" s="1"/>
  <c r="S39" i="60"/>
  <c r="T39" i="60" s="1"/>
  <c r="F40" i="60"/>
  <c r="I39" i="60"/>
  <c r="Q17" i="40"/>
  <c r="AM14" i="68"/>
  <c r="M31" i="96"/>
  <c r="J28" i="69"/>
  <c r="J81" i="69" s="1"/>
  <c r="J131" i="69" s="1"/>
  <c r="O38" i="23"/>
  <c r="P38" i="23" s="1"/>
  <c r="E39" i="23"/>
  <c r="H38" i="23"/>
  <c r="K39" i="23"/>
  <c r="L39" i="23" s="1"/>
  <c r="D40" i="23"/>
  <c r="G39" i="23"/>
  <c r="K39" i="96"/>
  <c r="L39" i="96" s="1"/>
  <c r="D40" i="96"/>
  <c r="G39" i="96"/>
  <c r="Q17" i="42"/>
  <c r="AX14" i="68"/>
  <c r="AX67" i="68" s="1"/>
  <c r="AX116" i="68" s="1"/>
  <c r="M31" i="88"/>
  <c r="Y28" i="68"/>
  <c r="Y81" i="68" s="1"/>
  <c r="Y130" i="68" s="1"/>
  <c r="Q5" i="70"/>
  <c r="J5" i="70"/>
  <c r="AR115" i="69"/>
  <c r="AS65" i="69"/>
  <c r="AS115" i="69" s="1"/>
  <c r="J41" i="83"/>
  <c r="L41" i="83" s="1"/>
  <c r="B42" i="83"/>
  <c r="N42" i="83"/>
  <c r="P42" i="83" s="1"/>
  <c r="R41" i="83"/>
  <c r="T41" i="83" s="1"/>
  <c r="G41" i="83"/>
  <c r="H41" i="83"/>
  <c r="I41" i="83"/>
  <c r="Q33" i="104"/>
  <c r="BI30" i="68"/>
  <c r="BI83" i="68" s="1"/>
  <c r="BI132" i="68" s="1"/>
  <c r="K39" i="35"/>
  <c r="L39" i="35" s="1"/>
  <c r="D40" i="35"/>
  <c r="G39" i="35"/>
  <c r="C42" i="38"/>
  <c r="B66" i="68"/>
  <c r="AB13" i="68"/>
  <c r="U17" i="40"/>
  <c r="BV14" i="68"/>
  <c r="BV67" i="68" s="1"/>
  <c r="BV116" i="68" s="1"/>
  <c r="M32" i="81"/>
  <c r="O29" i="69"/>
  <c r="O82" i="69" s="1"/>
  <c r="O132" i="69" s="1"/>
  <c r="C46" i="96"/>
  <c r="M32" i="84"/>
  <c r="V29" i="68"/>
  <c r="V82" i="68" s="1"/>
  <c r="V131" i="68" s="1"/>
  <c r="B43" i="59"/>
  <c r="J42" i="59"/>
  <c r="N43" i="59"/>
  <c r="R42" i="59"/>
  <c r="BN83" i="68"/>
  <c r="BP30" i="68"/>
  <c r="Q17" i="43"/>
  <c r="BA14" i="68"/>
  <c r="BA67" i="68" s="1"/>
  <c r="BA116" i="68" s="1"/>
  <c r="O38" i="101"/>
  <c r="P38" i="101" s="1"/>
  <c r="E39" i="101"/>
  <c r="H38" i="101"/>
  <c r="R115" i="69"/>
  <c r="V65" i="69"/>
  <c r="Q16" i="44"/>
  <c r="BC13" i="68"/>
  <c r="BC66" i="68" s="1"/>
  <c r="BC115" i="68" s="1"/>
  <c r="S39" i="58"/>
  <c r="T39" i="58" s="1"/>
  <c r="F40" i="58"/>
  <c r="I39" i="58"/>
  <c r="M17" i="39"/>
  <c r="C14" i="68"/>
  <c r="C67" i="68" s="1"/>
  <c r="C116" i="68" s="1"/>
  <c r="AH13" i="68"/>
  <c r="K6" i="92"/>
  <c r="AB65" i="68"/>
  <c r="AB114" i="68" s="1"/>
  <c r="B114" i="68"/>
  <c r="Q31" i="103"/>
  <c r="AY28" i="68"/>
  <c r="AY81" i="68" s="1"/>
  <c r="AY130" i="68" s="1"/>
  <c r="O38" i="4"/>
  <c r="P38" i="4" s="1"/>
  <c r="E39" i="4"/>
  <c r="H38" i="4"/>
  <c r="BN131" i="68"/>
  <c r="BP82" i="68"/>
  <c r="C47" i="4"/>
  <c r="C52" i="4" s="1"/>
  <c r="C43" i="4"/>
  <c r="CT12" i="68"/>
  <c r="K36" i="46"/>
  <c r="W36" i="46" s="1"/>
  <c r="Z36" i="46" s="1"/>
  <c r="D37" i="46"/>
  <c r="Q37" i="46"/>
  <c r="T37" i="46" s="1"/>
  <c r="M32" i="104"/>
  <c r="Z29" i="68"/>
  <c r="Z82" i="68" s="1"/>
  <c r="Z131" i="68" s="1"/>
  <c r="S41" i="63"/>
  <c r="T41" i="63" s="1"/>
  <c r="F42" i="63"/>
  <c r="I41" i="63"/>
  <c r="H5" i="92"/>
  <c r="N5" i="92" s="1"/>
  <c r="V12" i="69"/>
  <c r="A29" i="70"/>
  <c r="M31" i="97"/>
  <c r="L28" i="69"/>
  <c r="L81" i="69" s="1"/>
  <c r="L131" i="69" s="1"/>
  <c r="Q32" i="100"/>
  <c r="AQ29" i="68"/>
  <c r="AQ82" i="68" s="1"/>
  <c r="AQ131" i="68" s="1"/>
  <c r="S38" i="98"/>
  <c r="T38" i="98" s="1"/>
  <c r="F39" i="98"/>
  <c r="I38" i="98"/>
  <c r="Q18" i="4"/>
  <c r="Z15" i="69"/>
  <c r="AH11" i="68"/>
  <c r="H4" i="92"/>
  <c r="N4" i="92" s="1"/>
  <c r="U17" i="59"/>
  <c r="BN14" i="69"/>
  <c r="Q32" i="89"/>
  <c r="BJ29" i="68"/>
  <c r="BJ82" i="68" s="1"/>
  <c r="BJ131" i="68" s="1"/>
  <c r="M18" i="63"/>
  <c r="AF15" i="68"/>
  <c r="L33" i="48"/>
  <c r="N34" i="48" s="1"/>
  <c r="AE31" i="68"/>
  <c r="AE84" i="68" s="1"/>
  <c r="M33" i="48"/>
  <c r="Q17" i="64"/>
  <c r="AT14" i="68"/>
  <c r="AT67" i="68" s="1"/>
  <c r="AT116" i="68" s="1"/>
  <c r="S38" i="99"/>
  <c r="T38" i="99" s="1"/>
  <c r="F39" i="99"/>
  <c r="I38" i="99"/>
  <c r="Q17" i="36"/>
  <c r="AE14" i="69"/>
  <c r="AE67" i="69" s="1"/>
  <c r="AE117" i="69" s="1"/>
  <c r="O40" i="67"/>
  <c r="P40" i="67" s="1"/>
  <c r="E41" i="67"/>
  <c r="H40" i="67"/>
  <c r="S38" i="80"/>
  <c r="T38" i="80" s="1"/>
  <c r="F39" i="80"/>
  <c r="I38" i="80"/>
  <c r="K39" i="43"/>
  <c r="L39" i="43" s="1"/>
  <c r="D40" i="43"/>
  <c r="G39" i="43"/>
  <c r="O38" i="85"/>
  <c r="P38" i="85" s="1"/>
  <c r="E39" i="85"/>
  <c r="H38" i="85"/>
  <c r="N38" i="45" l="1"/>
  <c r="W38" i="45"/>
  <c r="Z38" i="45" s="1"/>
  <c r="M38" i="75"/>
  <c r="M18" i="62"/>
  <c r="J15" i="68"/>
  <c r="J68" i="68" s="1"/>
  <c r="J117" i="68" s="1"/>
  <c r="T116" i="69"/>
  <c r="U66" i="69"/>
  <c r="U116" i="69" s="1"/>
  <c r="J44" i="86"/>
  <c r="B45" i="86"/>
  <c r="N45" i="86"/>
  <c r="R44" i="86"/>
  <c r="I40" i="74"/>
  <c r="F41" i="74"/>
  <c r="S40" i="74"/>
  <c r="T40" i="74" s="1"/>
  <c r="U40" i="74" s="1"/>
  <c r="AD131" i="68"/>
  <c r="AG82" i="68"/>
  <c r="AG131" i="68" s="1"/>
  <c r="Q21" i="35"/>
  <c r="AC18" i="69"/>
  <c r="AC71" i="69" s="1"/>
  <c r="AC121" i="69" s="1"/>
  <c r="AD132" i="68"/>
  <c r="E41" i="63"/>
  <c r="O40" i="63"/>
  <c r="P40" i="63" s="1"/>
  <c r="H40" i="63"/>
  <c r="CX67" i="68"/>
  <c r="CY14" i="68"/>
  <c r="J47" i="36"/>
  <c r="B48" i="36"/>
  <c r="N48" i="36"/>
  <c r="R47" i="36"/>
  <c r="R114" i="69"/>
  <c r="V64" i="69"/>
  <c r="V114" i="69" s="1"/>
  <c r="M18" i="59"/>
  <c r="T15" i="69"/>
  <c r="W17" i="59"/>
  <c r="U18" i="1"/>
  <c r="AV15" i="69"/>
  <c r="AV68" i="69" s="1"/>
  <c r="AV118" i="69" s="1"/>
  <c r="I35" i="75"/>
  <c r="F36" i="75"/>
  <c r="S35" i="75"/>
  <c r="T35" i="75" s="1"/>
  <c r="U35" i="75" s="1"/>
  <c r="M18" i="61"/>
  <c r="G15" i="68"/>
  <c r="G68" i="68" s="1"/>
  <c r="G117" i="68" s="1"/>
  <c r="C47" i="36"/>
  <c r="BM33" i="68"/>
  <c r="BM86" i="68" s="1"/>
  <c r="BM135" i="68" s="1"/>
  <c r="S35" i="47"/>
  <c r="G38" i="74"/>
  <c r="K38" i="74"/>
  <c r="L38" i="74" s="1"/>
  <c r="M38" i="74" s="1"/>
  <c r="D39" i="74"/>
  <c r="B46" i="7"/>
  <c r="J45" i="7"/>
  <c r="N46" i="7"/>
  <c r="R45" i="7"/>
  <c r="I40" i="101"/>
  <c r="S40" i="101"/>
  <c r="T40" i="101" s="1"/>
  <c r="F41" i="101"/>
  <c r="U33" i="83"/>
  <c r="BK30" i="69"/>
  <c r="BK83" i="69" s="1"/>
  <c r="BK133" i="69" s="1"/>
  <c r="CX115" i="68"/>
  <c r="CY66" i="68"/>
  <c r="CY115" i="68" s="1"/>
  <c r="J43" i="58"/>
  <c r="B44" i="58"/>
  <c r="N44" i="58"/>
  <c r="R43" i="58"/>
  <c r="D39" i="45"/>
  <c r="K39" i="45"/>
  <c r="Q39" i="45"/>
  <c r="T39" i="45" s="1"/>
  <c r="R13" i="69"/>
  <c r="V13" i="69" s="1"/>
  <c r="O39" i="98"/>
  <c r="P39" i="98" s="1"/>
  <c r="E40" i="98"/>
  <c r="H39" i="98"/>
  <c r="U18" i="63"/>
  <c r="CX15" i="68"/>
  <c r="M31" i="58"/>
  <c r="G28" i="69"/>
  <c r="G81" i="69" s="1"/>
  <c r="G131" i="69" s="1"/>
  <c r="G38" i="75"/>
  <c r="D39" i="75"/>
  <c r="K38" i="75"/>
  <c r="L38" i="75" s="1"/>
  <c r="Q18" i="39"/>
  <c r="AL15" i="68"/>
  <c r="AL68" i="68" s="1"/>
  <c r="AL117" i="68" s="1"/>
  <c r="BJ30" i="69"/>
  <c r="BJ83" i="69" s="1"/>
  <c r="BJ133" i="69" s="1"/>
  <c r="U33" i="82"/>
  <c r="M18" i="4"/>
  <c r="C15" i="69"/>
  <c r="C68" i="69" s="1"/>
  <c r="C118" i="69" s="1"/>
  <c r="Q18" i="41"/>
  <c r="AN15" i="68"/>
  <c r="AN68" i="68" s="1"/>
  <c r="AN117" i="68" s="1"/>
  <c r="Q19" i="1"/>
  <c r="Y16" i="69"/>
  <c r="Y69" i="69" s="1"/>
  <c r="Y119" i="69" s="1"/>
  <c r="CL14" i="68"/>
  <c r="CL67" i="68" s="1"/>
  <c r="CL116" i="68" s="1"/>
  <c r="U17" i="44"/>
  <c r="D36" i="47"/>
  <c r="K35" i="47"/>
  <c r="Q36" i="47"/>
  <c r="T36" i="47" s="1"/>
  <c r="V115" i="69"/>
  <c r="U18" i="7"/>
  <c r="AY15" i="69"/>
  <c r="AY68" i="69" s="1"/>
  <c r="AY118" i="69" s="1"/>
  <c r="E14" i="68"/>
  <c r="E67" i="68" s="1"/>
  <c r="E116" i="68" s="1"/>
  <c r="M17" i="41"/>
  <c r="BH29" i="68"/>
  <c r="BH82" i="68" s="1"/>
  <c r="BH131" i="68" s="1"/>
  <c r="Q32" i="88"/>
  <c r="M17" i="64"/>
  <c r="K14" i="68"/>
  <c r="K67" i="68" s="1"/>
  <c r="K116" i="68" s="1"/>
  <c r="U17" i="64"/>
  <c r="CC14" i="68"/>
  <c r="CC67" i="68" s="1"/>
  <c r="CC116" i="68" s="1"/>
  <c r="M33" i="47"/>
  <c r="AD31" i="68"/>
  <c r="AD84" i="68" s="1"/>
  <c r="AD133" i="68" s="1"/>
  <c r="Q19" i="38"/>
  <c r="AK16" i="68"/>
  <c r="AK69" i="68" s="1"/>
  <c r="AK118" i="68" s="1"/>
  <c r="U18" i="23"/>
  <c r="AX15" i="69"/>
  <c r="AX68" i="69" s="1"/>
  <c r="AX118" i="69" s="1"/>
  <c r="BM35" i="69"/>
  <c r="BM88" i="69" s="1"/>
  <c r="Y37" i="45"/>
  <c r="X31" i="68"/>
  <c r="X84" i="68" s="1"/>
  <c r="X133" i="68" s="1"/>
  <c r="M34" i="87"/>
  <c r="U33" i="101"/>
  <c r="CK30" i="68"/>
  <c r="CK83" i="68" s="1"/>
  <c r="CK132" i="68" s="1"/>
  <c r="AR29" i="68"/>
  <c r="AR82" i="68" s="1"/>
  <c r="AR131" i="68" s="1"/>
  <c r="Q32" i="99"/>
  <c r="U32" i="87"/>
  <c r="CN29" i="68"/>
  <c r="CN82" i="68" s="1"/>
  <c r="CN131" i="68" s="1"/>
  <c r="CP29" i="68"/>
  <c r="CP82" i="68" s="1"/>
  <c r="CP131" i="68" s="1"/>
  <c r="L41" i="47"/>
  <c r="E42" i="47"/>
  <c r="H41" i="47"/>
  <c r="M17" i="37"/>
  <c r="I14" i="69"/>
  <c r="I67" i="69" s="1"/>
  <c r="I117" i="69" s="1"/>
  <c r="U17" i="37"/>
  <c r="BC14" i="69"/>
  <c r="BC67" i="69" s="1"/>
  <c r="BC117" i="69" s="1"/>
  <c r="C45" i="7"/>
  <c r="C46" i="7" s="1"/>
  <c r="C48" i="66"/>
  <c r="H14" i="69"/>
  <c r="M17" i="36"/>
  <c r="B45" i="60"/>
  <c r="C45" i="60" s="1"/>
  <c r="J44" i="60"/>
  <c r="N45" i="60"/>
  <c r="R44" i="60"/>
  <c r="Q39" i="63"/>
  <c r="BO36" i="68"/>
  <c r="BO89" i="68" s="1"/>
  <c r="Q38" i="45"/>
  <c r="T38" i="45" s="1"/>
  <c r="CV31" i="68"/>
  <c r="CV84" i="68" s="1"/>
  <c r="CV133" i="68" s="1"/>
  <c r="Y33" i="47"/>
  <c r="U17" i="42"/>
  <c r="CG14" i="68"/>
  <c r="CG67" i="68" s="1"/>
  <c r="CG116" i="68" s="1"/>
  <c r="M17" i="65"/>
  <c r="L14" i="68"/>
  <c r="L67" i="68" s="1"/>
  <c r="L116" i="68" s="1"/>
  <c r="Q34" i="82"/>
  <c r="AM31" i="69"/>
  <c r="AM84" i="69" s="1"/>
  <c r="AM134" i="69" s="1"/>
  <c r="S35" i="69"/>
  <c r="S88" i="69" s="1"/>
  <c r="M37" i="45"/>
  <c r="T67" i="69"/>
  <c r="U14" i="69"/>
  <c r="H38" i="74"/>
  <c r="E39" i="74"/>
  <c r="O38" i="74"/>
  <c r="P38" i="74" s="1"/>
  <c r="Q38" i="74" s="1"/>
  <c r="AA15" i="69"/>
  <c r="AA68" i="69" s="1"/>
  <c r="AA118" i="69" s="1"/>
  <c r="X17" i="23"/>
  <c r="Q18" i="23"/>
  <c r="U33" i="89"/>
  <c r="CS30" i="68"/>
  <c r="CS83" i="68" s="1"/>
  <c r="CS132" i="68" s="1"/>
  <c r="U32" i="85"/>
  <c r="CM29" i="68"/>
  <c r="CM82" i="68" s="1"/>
  <c r="CM131" i="68" s="1"/>
  <c r="U18" i="35"/>
  <c r="AZ15" i="69"/>
  <c r="AZ68" i="69" s="1"/>
  <c r="AZ118" i="69" s="1"/>
  <c r="W34" i="47"/>
  <c r="Z34" i="47" s="1"/>
  <c r="N34" i="47"/>
  <c r="C44" i="86"/>
  <c r="C45" i="86" s="1"/>
  <c r="AE133" i="68"/>
  <c r="J39" i="48"/>
  <c r="G40" i="48"/>
  <c r="E43" i="48"/>
  <c r="H42" i="48"/>
  <c r="E41" i="46"/>
  <c r="H40" i="46"/>
  <c r="R41" i="47"/>
  <c r="I41" i="47"/>
  <c r="F42" i="47"/>
  <c r="I39" i="103"/>
  <c r="F40" i="103"/>
  <c r="S39" i="103"/>
  <c r="T39" i="103" s="1"/>
  <c r="M42" i="63"/>
  <c r="AF39" i="68"/>
  <c r="AF92" i="68" s="1"/>
  <c r="E40" i="64"/>
  <c r="O39" i="64"/>
  <c r="P39" i="64" s="1"/>
  <c r="H39" i="64"/>
  <c r="S39" i="100"/>
  <c r="T39" i="100" s="1"/>
  <c r="F40" i="100"/>
  <c r="I39" i="100"/>
  <c r="H39" i="38"/>
  <c r="E40" i="38"/>
  <c r="O39" i="38"/>
  <c r="P39" i="38" s="1"/>
  <c r="I40" i="97"/>
  <c r="S40" i="97"/>
  <c r="T40" i="97" s="1"/>
  <c r="F41" i="97"/>
  <c r="BN67" i="69"/>
  <c r="BO14" i="69"/>
  <c r="S39" i="98"/>
  <c r="T39" i="98" s="1"/>
  <c r="F40" i="98"/>
  <c r="I39" i="98"/>
  <c r="K37" i="46"/>
  <c r="W37" i="46" s="1"/>
  <c r="Z37" i="46" s="1"/>
  <c r="D38" i="46"/>
  <c r="Q38" i="46"/>
  <c r="T38" i="46" s="1"/>
  <c r="Q32" i="103"/>
  <c r="AY29" i="68"/>
  <c r="AY82" i="68" s="1"/>
  <c r="AY131" i="68" s="1"/>
  <c r="BN132" i="68"/>
  <c r="BP83" i="68"/>
  <c r="M33" i="81"/>
  <c r="O30" i="69"/>
  <c r="O83" i="69" s="1"/>
  <c r="O133" i="69" s="1"/>
  <c r="Q34" i="104"/>
  <c r="BI31" i="68"/>
  <c r="BI84" i="68" s="1"/>
  <c r="BI133" i="68" s="1"/>
  <c r="M32" i="88"/>
  <c r="Y29" i="68"/>
  <c r="Y82" i="68" s="1"/>
  <c r="Y131" i="68" s="1"/>
  <c r="Q18" i="42"/>
  <c r="AX15" i="68"/>
  <c r="AX68" i="68" s="1"/>
  <c r="AX117" i="68" s="1"/>
  <c r="D41" i="23"/>
  <c r="K40" i="23"/>
  <c r="L40" i="23" s="1"/>
  <c r="G40" i="23"/>
  <c r="Q18" i="40"/>
  <c r="AM15" i="68"/>
  <c r="M18" i="44"/>
  <c r="T15" i="68"/>
  <c r="T68" i="68" s="1"/>
  <c r="T117" i="68" s="1"/>
  <c r="J42" i="80"/>
  <c r="B43" i="80"/>
  <c r="N43" i="80"/>
  <c r="R42" i="80"/>
  <c r="U18" i="60"/>
  <c r="BX15" i="68"/>
  <c r="BX68" i="68" s="1"/>
  <c r="BX117" i="68" s="1"/>
  <c r="BP115" i="68"/>
  <c r="K7" i="92"/>
  <c r="Z117" i="69"/>
  <c r="AO67" i="69"/>
  <c r="BL87" i="68"/>
  <c r="U33" i="103"/>
  <c r="CH30" i="68"/>
  <c r="CH83" i="68" s="1"/>
  <c r="CH132" i="68" s="1"/>
  <c r="S40" i="43"/>
  <c r="T40" i="43" s="1"/>
  <c r="F41" i="43"/>
  <c r="I40" i="43"/>
  <c r="Q19" i="59"/>
  <c r="AQ16" i="69"/>
  <c r="V18" i="59"/>
  <c r="O40" i="102"/>
  <c r="P40" i="102" s="1"/>
  <c r="E41" i="102"/>
  <c r="H40" i="102"/>
  <c r="E40" i="97"/>
  <c r="O39" i="97"/>
  <c r="P39" i="97" s="1"/>
  <c r="H39" i="97"/>
  <c r="O39" i="90"/>
  <c r="P39" i="90" s="1"/>
  <c r="E40" i="90"/>
  <c r="H39" i="90"/>
  <c r="M32" i="86"/>
  <c r="W29" i="68"/>
  <c r="W82" i="68" s="1"/>
  <c r="W131" i="68" s="1"/>
  <c r="U31" i="58"/>
  <c r="BA28" i="69"/>
  <c r="BA81" i="69" s="1"/>
  <c r="BA131" i="69" s="1"/>
  <c r="C5" i="70"/>
  <c r="D5" i="70"/>
  <c r="CT114" i="68"/>
  <c r="CZ65" i="68"/>
  <c r="Q18" i="37"/>
  <c r="AF15" i="69"/>
  <c r="AF68" i="69" s="1"/>
  <c r="AF118" i="69" s="1"/>
  <c r="U19" i="62"/>
  <c r="CB16" i="68"/>
  <c r="CB69" i="68" s="1"/>
  <c r="CB118" i="68" s="1"/>
  <c r="Q19" i="63"/>
  <c r="BO16" i="68"/>
  <c r="AO116" i="69"/>
  <c r="D40" i="99"/>
  <c r="K39" i="99"/>
  <c r="L39" i="99" s="1"/>
  <c r="G39" i="99"/>
  <c r="BE30" i="68"/>
  <c r="BE83" i="68" s="1"/>
  <c r="BE132" i="68" s="1"/>
  <c r="BG30" i="68"/>
  <c r="BG83" i="68" s="1"/>
  <c r="BG132" i="68" s="1"/>
  <c r="Q33" i="87"/>
  <c r="U34" i="81"/>
  <c r="BI31" i="69"/>
  <c r="BI84" i="69" s="1"/>
  <c r="BI134" i="69" s="1"/>
  <c r="Q20" i="65"/>
  <c r="AU17" i="68"/>
  <c r="AU70" i="68" s="1"/>
  <c r="AU119" i="68" s="1"/>
  <c r="O39" i="58"/>
  <c r="P39" i="58" s="1"/>
  <c r="E40" i="58"/>
  <c r="H39" i="58"/>
  <c r="B5" i="70"/>
  <c r="J47" i="85"/>
  <c r="B48" i="85"/>
  <c r="N48" i="85"/>
  <c r="R47" i="85"/>
  <c r="U34" i="104"/>
  <c r="CR31" i="68"/>
  <c r="CR84" i="68" s="1"/>
  <c r="CR133" i="68" s="1"/>
  <c r="J7" i="92"/>
  <c r="AW67" i="69"/>
  <c r="BL14" i="69"/>
  <c r="B7" i="92" s="1"/>
  <c r="AC85" i="68"/>
  <c r="M18" i="7"/>
  <c r="E15" i="69"/>
  <c r="E68" i="69" s="1"/>
  <c r="E118" i="69" s="1"/>
  <c r="M34" i="80"/>
  <c r="N31" i="69"/>
  <c r="N84" i="69" s="1"/>
  <c r="N134" i="69" s="1"/>
  <c r="U32" i="99"/>
  <c r="CA29" i="68"/>
  <c r="CA82" i="68" s="1"/>
  <c r="CA131" i="68" s="1"/>
  <c r="M32" i="102"/>
  <c r="Q29" i="68"/>
  <c r="Q82" i="68" s="1"/>
  <c r="Q131" i="68" s="1"/>
  <c r="O41" i="86"/>
  <c r="P41" i="86" s="1"/>
  <c r="E42" i="86"/>
  <c r="H41" i="86"/>
  <c r="K41" i="38"/>
  <c r="D42" i="38"/>
  <c r="G42" i="38" s="1"/>
  <c r="AG115" i="68"/>
  <c r="K6" i="70"/>
  <c r="R6" i="70"/>
  <c r="J42" i="38"/>
  <c r="B43" i="38"/>
  <c r="N43" i="38"/>
  <c r="R42" i="38"/>
  <c r="U38" i="86"/>
  <c r="CO35" i="68"/>
  <c r="CO88" i="68" s="1"/>
  <c r="BN84" i="68"/>
  <c r="BP31" i="68"/>
  <c r="K40" i="102"/>
  <c r="L40" i="102" s="1"/>
  <c r="D41" i="102"/>
  <c r="G40" i="102"/>
  <c r="M33" i="99"/>
  <c r="I30" i="68"/>
  <c r="I83" i="68" s="1"/>
  <c r="I132" i="68" s="1"/>
  <c r="CT13" i="68"/>
  <c r="S40" i="35"/>
  <c r="T40" i="35" s="1"/>
  <c r="F41" i="35"/>
  <c r="I40" i="35"/>
  <c r="BQ65" i="68"/>
  <c r="BQ114" i="68" s="1"/>
  <c r="BT117" i="68"/>
  <c r="S39" i="80"/>
  <c r="T39" i="80" s="1"/>
  <c r="F40" i="80"/>
  <c r="I39" i="80"/>
  <c r="Q18" i="36"/>
  <c r="AE15" i="69"/>
  <c r="AE68" i="69" s="1"/>
  <c r="AE118" i="69" s="1"/>
  <c r="L34" i="48"/>
  <c r="N35" i="48" s="1"/>
  <c r="AE32" i="68"/>
  <c r="AE85" i="68" s="1"/>
  <c r="AE134" i="68" s="1"/>
  <c r="M34" i="48"/>
  <c r="Q33" i="89"/>
  <c r="BJ30" i="68"/>
  <c r="BJ83" i="68" s="1"/>
  <c r="BJ132" i="68" s="1"/>
  <c r="U18" i="59"/>
  <c r="BN15" i="69"/>
  <c r="Z68" i="69"/>
  <c r="M32" i="97"/>
  <c r="L29" i="69"/>
  <c r="L82" i="69" s="1"/>
  <c r="L132" i="69" s="1"/>
  <c r="CU34" i="68"/>
  <c r="Y36" i="46"/>
  <c r="C44" i="4"/>
  <c r="C48" i="4"/>
  <c r="C53" i="4" s="1"/>
  <c r="O39" i="4"/>
  <c r="P39" i="4" s="1"/>
  <c r="E40" i="4"/>
  <c r="H39" i="4"/>
  <c r="H5" i="70"/>
  <c r="M33" i="84"/>
  <c r="V30" i="68"/>
  <c r="V83" i="68" s="1"/>
  <c r="V132" i="68" s="1"/>
  <c r="AB66" i="68"/>
  <c r="AB115" i="68" s="1"/>
  <c r="B115" i="68"/>
  <c r="D41" i="35"/>
  <c r="K40" i="35"/>
  <c r="L40" i="35" s="1"/>
  <c r="G40" i="35"/>
  <c r="K40" i="96"/>
  <c r="L40" i="96" s="1"/>
  <c r="D41" i="96"/>
  <c r="G40" i="96"/>
  <c r="S40" i="60"/>
  <c r="T40" i="60" s="1"/>
  <c r="F41" i="60"/>
  <c r="I40" i="60"/>
  <c r="K39" i="1"/>
  <c r="L39" i="1" s="1"/>
  <c r="D40" i="1"/>
  <c r="G39" i="1"/>
  <c r="DA67" i="68"/>
  <c r="AF116" i="68"/>
  <c r="AG67" i="68"/>
  <c r="BN116" i="69"/>
  <c r="BO66" i="69"/>
  <c r="B68" i="69"/>
  <c r="S40" i="66"/>
  <c r="T40" i="66" s="1"/>
  <c r="F41" i="66"/>
  <c r="I40" i="66"/>
  <c r="Q32" i="101"/>
  <c r="BB29" i="68"/>
  <c r="BB82" i="68" s="1"/>
  <c r="BB131" i="68" s="1"/>
  <c r="M19" i="42"/>
  <c r="O16" i="68"/>
  <c r="O69" i="68" s="1"/>
  <c r="O118" i="68" s="1"/>
  <c r="U33" i="98"/>
  <c r="BE30" i="69"/>
  <c r="BE83" i="69" s="1"/>
  <c r="BE133" i="69" s="1"/>
  <c r="Q33" i="80"/>
  <c r="AK30" i="69"/>
  <c r="AK83" i="69" s="1"/>
  <c r="AK133" i="69" s="1"/>
  <c r="J43" i="82"/>
  <c r="L43" i="82" s="1"/>
  <c r="B44" i="82"/>
  <c r="N44" i="82"/>
  <c r="P44" i="82" s="1"/>
  <c r="R43" i="82"/>
  <c r="T43" i="82" s="1"/>
  <c r="H43" i="82"/>
  <c r="G43" i="82"/>
  <c r="I43" i="82"/>
  <c r="BK13" i="68"/>
  <c r="BQ13" i="68" s="1"/>
  <c r="Q18" i="7"/>
  <c r="AB15" i="69"/>
  <c r="AB68" i="69" s="1"/>
  <c r="AB118" i="69" s="1"/>
  <c r="Q33" i="97"/>
  <c r="AI30" i="69"/>
  <c r="AI83" i="69" s="1"/>
  <c r="AI133" i="69" s="1"/>
  <c r="F40" i="48"/>
  <c r="I39" i="48"/>
  <c r="Q6" i="70"/>
  <c r="J6" i="70"/>
  <c r="AR116" i="69"/>
  <c r="AS66" i="69"/>
  <c r="AS116" i="69" s="1"/>
  <c r="BT115" i="69"/>
  <c r="BV65" i="69"/>
  <c r="BV115" i="69" s="1"/>
  <c r="M33" i="98"/>
  <c r="K30" i="69"/>
  <c r="K83" i="69" s="1"/>
  <c r="K133" i="69" s="1"/>
  <c r="AQ117" i="69"/>
  <c r="AR67" i="69"/>
  <c r="U34" i="90"/>
  <c r="BG31" i="69"/>
  <c r="BG84" i="69" s="1"/>
  <c r="BG134" i="69" s="1"/>
  <c r="U18" i="4"/>
  <c r="AW15" i="69"/>
  <c r="Y17" i="23"/>
  <c r="S39" i="1"/>
  <c r="T39" i="1" s="1"/>
  <c r="F40" i="1"/>
  <c r="I39" i="1"/>
  <c r="L35" i="46"/>
  <c r="N36" i="46" s="1"/>
  <c r="AC33" i="68"/>
  <c r="M35" i="46"/>
  <c r="CZ113" i="68"/>
  <c r="DB64" i="68"/>
  <c r="M18" i="43"/>
  <c r="R15" i="68"/>
  <c r="R68" i="68" s="1"/>
  <c r="R117" i="68" s="1"/>
  <c r="K40" i="64"/>
  <c r="L40" i="64" s="1"/>
  <c r="D41" i="64"/>
  <c r="G40" i="64"/>
  <c r="BU64" i="69"/>
  <c r="BP114" i="69"/>
  <c r="U18" i="39"/>
  <c r="BU15" i="68"/>
  <c r="BO116" i="68"/>
  <c r="BP67" i="68"/>
  <c r="O39" i="66"/>
  <c r="P39" i="66" s="1"/>
  <c r="E40" i="66"/>
  <c r="H39" i="66"/>
  <c r="U17" i="66"/>
  <c r="CE14" i="68"/>
  <c r="CE67" i="68" s="1"/>
  <c r="CE116" i="68" s="1"/>
  <c r="O39" i="59"/>
  <c r="P39" i="59" s="1"/>
  <c r="E40" i="59"/>
  <c r="H39" i="59"/>
  <c r="BL135" i="68"/>
  <c r="AS13" i="69"/>
  <c r="K36" i="48"/>
  <c r="W36" i="48" s="1"/>
  <c r="D37" i="48"/>
  <c r="Q37" i="48"/>
  <c r="U19" i="65"/>
  <c r="CD16" i="68"/>
  <c r="CD69" i="68" s="1"/>
  <c r="CD118" i="68" s="1"/>
  <c r="B6" i="92"/>
  <c r="L41" i="38"/>
  <c r="AG31" i="68"/>
  <c r="F46" i="46"/>
  <c r="I45" i="46"/>
  <c r="R45" i="46" s="1"/>
  <c r="CU134" i="68"/>
  <c r="R34" i="48"/>
  <c r="T35" i="48" s="1"/>
  <c r="BN32" i="68"/>
  <c r="Z34" i="48"/>
  <c r="S34" i="48"/>
  <c r="B67" i="68"/>
  <c r="M18" i="35"/>
  <c r="F15" i="69"/>
  <c r="F68" i="69" s="1"/>
  <c r="F118" i="69" s="1"/>
  <c r="O40" i="36"/>
  <c r="P40" i="36" s="1"/>
  <c r="E41" i="36"/>
  <c r="H40" i="36"/>
  <c r="U18" i="36"/>
  <c r="BB15" i="69"/>
  <c r="BB68" i="69" s="1"/>
  <c r="BB118" i="69" s="1"/>
  <c r="BU115" i="68"/>
  <c r="CT66" i="68"/>
  <c r="DA66" i="68"/>
  <c r="DA115" i="68" s="1"/>
  <c r="Q18" i="60"/>
  <c r="AO15" i="68"/>
  <c r="AO68" i="68" s="1"/>
  <c r="AO117" i="68" s="1"/>
  <c r="O40" i="7"/>
  <c r="P40" i="7" s="1"/>
  <c r="E41" i="7"/>
  <c r="H40" i="7"/>
  <c r="J44" i="43"/>
  <c r="B45" i="43"/>
  <c r="C45" i="43" s="1"/>
  <c r="N45" i="43"/>
  <c r="R44" i="43"/>
  <c r="U32" i="97"/>
  <c r="BF29" i="69"/>
  <c r="BF82" i="69" s="1"/>
  <c r="BF132" i="69" s="1"/>
  <c r="U19" i="38"/>
  <c r="BT16" i="68"/>
  <c r="BT69" i="68" s="1"/>
  <c r="K40" i="43"/>
  <c r="L40" i="43" s="1"/>
  <c r="D41" i="43"/>
  <c r="G40" i="43"/>
  <c r="O41" i="67"/>
  <c r="P41" i="67" s="1"/>
  <c r="E42" i="67"/>
  <c r="H41" i="67"/>
  <c r="Q18" i="64"/>
  <c r="AT15" i="68"/>
  <c r="AT68" i="68" s="1"/>
  <c r="AT117" i="68" s="1"/>
  <c r="AF68" i="68"/>
  <c r="AG15" i="68"/>
  <c r="Q19" i="4"/>
  <c r="Z16" i="69"/>
  <c r="A30" i="70"/>
  <c r="M33" i="104"/>
  <c r="Z30" i="68"/>
  <c r="Z83" i="68" s="1"/>
  <c r="Z132" i="68" s="1"/>
  <c r="C5" i="92"/>
  <c r="D5" i="92"/>
  <c r="CZ12" i="68"/>
  <c r="X18" i="23"/>
  <c r="Q18" i="43"/>
  <c r="BA15" i="68"/>
  <c r="BA68" i="68" s="1"/>
  <c r="BA117" i="68" s="1"/>
  <c r="C47" i="96"/>
  <c r="U18" i="40"/>
  <c r="BV15" i="68"/>
  <c r="BV68" i="68" s="1"/>
  <c r="BV117" i="68" s="1"/>
  <c r="C43" i="38"/>
  <c r="J42" i="83"/>
  <c r="L42" i="83" s="1"/>
  <c r="B43" i="83"/>
  <c r="N43" i="83"/>
  <c r="P43" i="83" s="1"/>
  <c r="R42" i="83"/>
  <c r="T42" i="83" s="1"/>
  <c r="G42" i="83"/>
  <c r="I42" i="83"/>
  <c r="H42" i="83"/>
  <c r="M32" i="96"/>
  <c r="J29" i="69"/>
  <c r="J82" i="69" s="1"/>
  <c r="J132" i="69" s="1"/>
  <c r="Q19" i="66"/>
  <c r="AV16" i="68"/>
  <c r="AV69" i="68" s="1"/>
  <c r="AV118" i="68" s="1"/>
  <c r="O39" i="35"/>
  <c r="P39" i="35" s="1"/>
  <c r="E40" i="35"/>
  <c r="H39" i="35"/>
  <c r="M32" i="103"/>
  <c r="P29" i="68"/>
  <c r="P82" i="68" s="1"/>
  <c r="P131" i="68" s="1"/>
  <c r="K40" i="67"/>
  <c r="L40" i="67" s="1"/>
  <c r="D41" i="67"/>
  <c r="G40" i="67"/>
  <c r="Q33" i="102"/>
  <c r="AZ30" i="68"/>
  <c r="AZ83" i="68" s="1"/>
  <c r="AZ132" i="68" s="1"/>
  <c r="M19" i="1"/>
  <c r="B16" i="69"/>
  <c r="K39" i="80"/>
  <c r="L39" i="80" s="1"/>
  <c r="D40" i="80"/>
  <c r="G39" i="80"/>
  <c r="S39" i="90"/>
  <c r="T39" i="90" s="1"/>
  <c r="F40" i="90"/>
  <c r="I39" i="90"/>
  <c r="Q31" i="58"/>
  <c r="AD28" i="69"/>
  <c r="AD81" i="69" s="1"/>
  <c r="AD131" i="69" s="1"/>
  <c r="U19" i="67"/>
  <c r="CF16" i="68"/>
  <c r="CF69" i="68" s="1"/>
  <c r="CF118" i="68" s="1"/>
  <c r="K39" i="101"/>
  <c r="L39" i="101" s="1"/>
  <c r="D40" i="101"/>
  <c r="G39" i="101"/>
  <c r="S39" i="23"/>
  <c r="T39" i="23" s="1"/>
  <c r="F40" i="23"/>
  <c r="I39" i="23"/>
  <c r="M33" i="90"/>
  <c r="M30" i="69"/>
  <c r="M83" i="69" s="1"/>
  <c r="M133" i="69" s="1"/>
  <c r="S39" i="96"/>
  <c r="T39" i="96" s="1"/>
  <c r="F40" i="96"/>
  <c r="I39" i="96"/>
  <c r="Q32" i="98"/>
  <c r="AH29" i="69"/>
  <c r="AH82" i="69" s="1"/>
  <c r="AH132" i="69" s="1"/>
  <c r="J48" i="66"/>
  <c r="B49" i="66"/>
  <c r="N49" i="66"/>
  <c r="R48" i="66"/>
  <c r="C48" i="85"/>
  <c r="M32" i="101"/>
  <c r="S29" i="68"/>
  <c r="S82" i="68" s="1"/>
  <c r="S131" i="68" s="1"/>
  <c r="S40" i="102"/>
  <c r="T40" i="102" s="1"/>
  <c r="F41" i="102"/>
  <c r="I40" i="102"/>
  <c r="M19" i="23"/>
  <c r="D16" i="69"/>
  <c r="D69" i="69" s="1"/>
  <c r="D119" i="69" s="1"/>
  <c r="W18" i="23"/>
  <c r="S39" i="4"/>
  <c r="T39" i="4" s="1"/>
  <c r="F40" i="4"/>
  <c r="I39" i="4"/>
  <c r="M34" i="83"/>
  <c r="Q31" i="69"/>
  <c r="Q84" i="69" s="1"/>
  <c r="Q134" i="69" s="1"/>
  <c r="AM115" i="68"/>
  <c r="BK66" i="68"/>
  <c r="BK115" i="68" s="1"/>
  <c r="M18" i="66"/>
  <c r="M15" i="68"/>
  <c r="M68" i="68" s="1"/>
  <c r="M117" i="68" s="1"/>
  <c r="S39" i="7"/>
  <c r="T39" i="7" s="1"/>
  <c r="F40" i="7"/>
  <c r="I39" i="7"/>
  <c r="S41" i="38"/>
  <c r="F42" i="38"/>
  <c r="I42" i="38" s="1"/>
  <c r="D40" i="59"/>
  <c r="K39" i="59"/>
  <c r="L39" i="59" s="1"/>
  <c r="G39" i="59"/>
  <c r="Q18" i="61"/>
  <c r="AP15" i="68"/>
  <c r="AP68" i="68" s="1"/>
  <c r="AP117" i="68" s="1"/>
  <c r="Q33" i="81"/>
  <c r="AL30" i="69"/>
  <c r="AL83" i="69" s="1"/>
  <c r="AL133" i="69" s="1"/>
  <c r="E40" i="60"/>
  <c r="O39" i="60"/>
  <c r="P39" i="60" s="1"/>
  <c r="H39" i="60"/>
  <c r="Q33" i="96"/>
  <c r="AG30" i="69"/>
  <c r="AG83" i="69" s="1"/>
  <c r="AG133" i="69" s="1"/>
  <c r="AH65" i="68"/>
  <c r="AH114" i="68" s="1"/>
  <c r="U19" i="43"/>
  <c r="CJ16" i="68"/>
  <c r="CJ69" i="68" s="1"/>
  <c r="CJ118" i="68" s="1"/>
  <c r="U34" i="80"/>
  <c r="BH31" i="69"/>
  <c r="BH84" i="69" s="1"/>
  <c r="BH134" i="69" s="1"/>
  <c r="O40" i="99"/>
  <c r="P40" i="99" s="1"/>
  <c r="E41" i="99"/>
  <c r="H40" i="99"/>
  <c r="O39" i="1"/>
  <c r="P39" i="1" s="1"/>
  <c r="E40" i="1"/>
  <c r="H39" i="1"/>
  <c r="K39" i="103"/>
  <c r="L39" i="103" s="1"/>
  <c r="D40" i="103"/>
  <c r="G39" i="103"/>
  <c r="U33" i="100"/>
  <c r="BZ30" i="68"/>
  <c r="BZ83" i="68" s="1"/>
  <c r="BZ132" i="68" s="1"/>
  <c r="S40" i="36"/>
  <c r="T40" i="36" s="1"/>
  <c r="F41" i="36"/>
  <c r="I40" i="36"/>
  <c r="N4" i="70"/>
  <c r="K39" i="98"/>
  <c r="L39" i="98" s="1"/>
  <c r="D40" i="98"/>
  <c r="G39" i="98"/>
  <c r="S39" i="64"/>
  <c r="T39" i="64" s="1"/>
  <c r="F40" i="64"/>
  <c r="I39" i="64"/>
  <c r="AW116" i="69"/>
  <c r="BT66" i="69"/>
  <c r="BL66" i="69"/>
  <c r="B6" i="70" s="1"/>
  <c r="T41" i="38"/>
  <c r="M18" i="60"/>
  <c r="F15" i="68"/>
  <c r="F68" i="68" s="1"/>
  <c r="F117" i="68" s="1"/>
  <c r="AG84" i="68"/>
  <c r="AC133" i="68"/>
  <c r="O41" i="80"/>
  <c r="P41" i="80" s="1"/>
  <c r="E42" i="80"/>
  <c r="M18" i="38"/>
  <c r="B15" i="68"/>
  <c r="E40" i="85"/>
  <c r="O39" i="85"/>
  <c r="P39" i="85" s="1"/>
  <c r="H39" i="85"/>
  <c r="S39" i="99"/>
  <c r="T39" i="99" s="1"/>
  <c r="F40" i="99"/>
  <c r="I39" i="99"/>
  <c r="M19" i="63"/>
  <c r="AF16" i="68"/>
  <c r="Q33" i="100"/>
  <c r="AQ30" i="68"/>
  <c r="AQ83" i="68" s="1"/>
  <c r="AQ132" i="68" s="1"/>
  <c r="S42" i="63"/>
  <c r="T42" i="63" s="1"/>
  <c r="F43" i="63"/>
  <c r="I42" i="63"/>
  <c r="BL35" i="68"/>
  <c r="S37" i="46"/>
  <c r="BP131" i="68"/>
  <c r="M18" i="39"/>
  <c r="C15" i="68"/>
  <c r="C68" i="68" s="1"/>
  <c r="C117" i="68" s="1"/>
  <c r="S40" i="58"/>
  <c r="T40" i="58" s="1"/>
  <c r="F41" i="58"/>
  <c r="I40" i="58"/>
  <c r="Q17" i="44"/>
  <c r="BC14" i="68"/>
  <c r="BC67" i="68" s="1"/>
  <c r="BC116" i="68" s="1"/>
  <c r="E40" i="101"/>
  <c r="O39" i="101"/>
  <c r="P39" i="101" s="1"/>
  <c r="H39" i="101"/>
  <c r="J43" i="59"/>
  <c r="B44" i="59"/>
  <c r="N44" i="59"/>
  <c r="R43" i="59"/>
  <c r="C43" i="59"/>
  <c r="O39" i="23"/>
  <c r="P39" i="23" s="1"/>
  <c r="E40" i="23"/>
  <c r="H39" i="23"/>
  <c r="AM67" i="68"/>
  <c r="J43" i="89"/>
  <c r="L43" i="89" s="1"/>
  <c r="B44" i="89"/>
  <c r="N44" i="89"/>
  <c r="P44" i="89" s="1"/>
  <c r="R43" i="89"/>
  <c r="T43" i="89" s="1"/>
  <c r="I43" i="89"/>
  <c r="G43" i="89"/>
  <c r="H43" i="89"/>
  <c r="D41" i="97"/>
  <c r="K40" i="97"/>
  <c r="L40" i="97" s="1"/>
  <c r="G40" i="97"/>
  <c r="J47" i="96"/>
  <c r="B48" i="96"/>
  <c r="N48" i="96"/>
  <c r="R47" i="96"/>
  <c r="AE132" i="68"/>
  <c r="AG83" i="68"/>
  <c r="AO14" i="69"/>
  <c r="BU113" i="69"/>
  <c r="BW63" i="69"/>
  <c r="C49" i="66"/>
  <c r="AQ68" i="69"/>
  <c r="AR15" i="69"/>
  <c r="Q32" i="86"/>
  <c r="BF29" i="68"/>
  <c r="BF82" i="68" s="1"/>
  <c r="BF131" i="68" s="1"/>
  <c r="K40" i="100"/>
  <c r="L40" i="100" s="1"/>
  <c r="D41" i="100"/>
  <c r="G40" i="100"/>
  <c r="Q35" i="85"/>
  <c r="BD32" i="68"/>
  <c r="BD85" i="68" s="1"/>
  <c r="BD134" i="68" s="1"/>
  <c r="K40" i="7"/>
  <c r="L40" i="7" s="1"/>
  <c r="D41" i="7"/>
  <c r="G40" i="7"/>
  <c r="Q20" i="62"/>
  <c r="AS17" i="68"/>
  <c r="AS70" i="68" s="1"/>
  <c r="AS119" i="68" s="1"/>
  <c r="BO68" i="68"/>
  <c r="BP15" i="68"/>
  <c r="BO115" i="69"/>
  <c r="BP65" i="69"/>
  <c r="U34" i="88"/>
  <c r="CQ31" i="68"/>
  <c r="CQ84" i="68" s="1"/>
  <c r="CQ133" i="68" s="1"/>
  <c r="C42" i="83"/>
  <c r="S40" i="59"/>
  <c r="T40" i="59" s="1"/>
  <c r="F41" i="59"/>
  <c r="I40" i="59"/>
  <c r="D41" i="90"/>
  <c r="K40" i="90"/>
  <c r="L40" i="90" s="1"/>
  <c r="G40" i="90"/>
  <c r="M18" i="40"/>
  <c r="D15" i="68"/>
  <c r="D68" i="68" s="1"/>
  <c r="D117" i="68" s="1"/>
  <c r="B117" i="69"/>
  <c r="S42" i="85"/>
  <c r="T42" i="85" s="1"/>
  <c r="F43" i="85"/>
  <c r="I42" i="85"/>
  <c r="O39" i="103"/>
  <c r="P39" i="103" s="1"/>
  <c r="E40" i="103"/>
  <c r="H39" i="103"/>
  <c r="M17" i="67"/>
  <c r="N14" i="68"/>
  <c r="N67" i="68" s="1"/>
  <c r="N116" i="68" s="1"/>
  <c r="O39" i="43"/>
  <c r="P39" i="43" s="1"/>
  <c r="E40" i="43"/>
  <c r="H39" i="43"/>
  <c r="Q19" i="67"/>
  <c r="AW16" i="68"/>
  <c r="AW69" i="68" s="1"/>
  <c r="AW118" i="68" s="1"/>
  <c r="M33" i="82"/>
  <c r="P30" i="69"/>
  <c r="P83" i="69" s="1"/>
  <c r="P133" i="69" s="1"/>
  <c r="K40" i="85"/>
  <c r="L40" i="85" s="1"/>
  <c r="D41" i="85"/>
  <c r="G40" i="85"/>
  <c r="E4" i="70"/>
  <c r="M33" i="89"/>
  <c r="AA30" i="68"/>
  <c r="AA83" i="68" s="1"/>
  <c r="AA132" i="68" s="1"/>
  <c r="D40" i="36"/>
  <c r="K39" i="36"/>
  <c r="L39" i="36" s="1"/>
  <c r="G39" i="36"/>
  <c r="M32" i="100"/>
  <c r="H29" i="68"/>
  <c r="H82" i="68" s="1"/>
  <c r="H131" i="68" s="1"/>
  <c r="H6" i="70"/>
  <c r="R116" i="69"/>
  <c r="V66" i="69"/>
  <c r="V116" i="69" s="1"/>
  <c r="O39" i="96"/>
  <c r="P39" i="96" s="1"/>
  <c r="E40" i="96"/>
  <c r="H39" i="96"/>
  <c r="D40" i="86"/>
  <c r="K39" i="86"/>
  <c r="L39" i="86" s="1"/>
  <c r="G39" i="86"/>
  <c r="U33" i="96"/>
  <c r="BD30" i="69"/>
  <c r="BD83" i="69" s="1"/>
  <c r="BD133" i="69" s="1"/>
  <c r="S40" i="67"/>
  <c r="T40" i="67" s="1"/>
  <c r="F41" i="67"/>
  <c r="I40" i="67"/>
  <c r="Q34" i="90"/>
  <c r="AJ31" i="69"/>
  <c r="AJ84" i="69" s="1"/>
  <c r="AJ134" i="69" s="1"/>
  <c r="U18" i="41"/>
  <c r="BW15" i="68"/>
  <c r="BW68" i="68" s="1"/>
  <c r="BW117" i="68" s="1"/>
  <c r="CU86" i="68"/>
  <c r="K40" i="66"/>
  <c r="L40" i="66" s="1"/>
  <c r="D41" i="66"/>
  <c r="G40" i="66"/>
  <c r="O41" i="100"/>
  <c r="P41" i="100" s="1"/>
  <c r="E42" i="100"/>
  <c r="H41" i="100"/>
  <c r="CW31" i="68"/>
  <c r="CW84" i="68" s="1"/>
  <c r="CW133" i="68" s="1"/>
  <c r="X33" i="48"/>
  <c r="Y33" i="48"/>
  <c r="K39" i="4"/>
  <c r="L39" i="4" s="1"/>
  <c r="D40" i="4"/>
  <c r="G39" i="4"/>
  <c r="M33" i="85"/>
  <c r="U30" i="68"/>
  <c r="U83" i="68" s="1"/>
  <c r="U132" i="68" s="1"/>
  <c r="K39" i="60"/>
  <c r="L39" i="60" s="1"/>
  <c r="D40" i="60"/>
  <c r="G39" i="60"/>
  <c r="U17" i="61"/>
  <c r="BY14" i="68"/>
  <c r="BY67" i="68" s="1"/>
  <c r="BY116" i="68" s="1"/>
  <c r="U32" i="102"/>
  <c r="CI29" i="68"/>
  <c r="CI82" i="68" s="1"/>
  <c r="CI131" i="68" s="1"/>
  <c r="G5" i="70"/>
  <c r="D41" i="63"/>
  <c r="K40" i="63"/>
  <c r="L40" i="63" s="1"/>
  <c r="G40" i="63"/>
  <c r="Q35" i="83"/>
  <c r="AN32" i="69"/>
  <c r="AN85" i="69" s="1"/>
  <c r="AN135" i="69" s="1"/>
  <c r="S40" i="86"/>
  <c r="T40" i="86" s="1"/>
  <c r="F41" i="86"/>
  <c r="I40" i="86"/>
  <c r="K40" i="58"/>
  <c r="L40" i="58" s="1"/>
  <c r="D41" i="58"/>
  <c r="G40" i="58"/>
  <c r="C42" i="80"/>
  <c r="C43" i="80" s="1"/>
  <c r="Q39" i="74" l="1"/>
  <c r="C43" i="83"/>
  <c r="AP36" i="69"/>
  <c r="AP89" i="69" s="1"/>
  <c r="S38" i="45"/>
  <c r="H67" i="69"/>
  <c r="R14" i="69"/>
  <c r="V14" i="69" s="1"/>
  <c r="AR30" i="68"/>
  <c r="AR83" i="68" s="1"/>
  <c r="AR132" i="68" s="1"/>
  <c r="Q33" i="99"/>
  <c r="M35" i="87"/>
  <c r="X32" i="68"/>
  <c r="X85" i="68" s="1"/>
  <c r="X134" i="68" s="1"/>
  <c r="M18" i="41"/>
  <c r="E15" i="68"/>
  <c r="E68" i="68" s="1"/>
  <c r="E117" i="68" s="1"/>
  <c r="D37" i="47"/>
  <c r="Q37" i="47"/>
  <c r="T37" i="47" s="1"/>
  <c r="K36" i="47"/>
  <c r="Q20" i="1"/>
  <c r="Y17" i="69"/>
  <c r="Y70" i="69" s="1"/>
  <c r="Y120" i="69" s="1"/>
  <c r="K39" i="75"/>
  <c r="L39" i="75" s="1"/>
  <c r="D40" i="75"/>
  <c r="G39" i="75"/>
  <c r="CX68" i="68"/>
  <c r="CY15" i="68"/>
  <c r="D40" i="45"/>
  <c r="K40" i="45"/>
  <c r="Q40" i="45"/>
  <c r="T40" i="45" s="1"/>
  <c r="BK31" i="69"/>
  <c r="BK84" i="69" s="1"/>
  <c r="BK134" i="69" s="1"/>
  <c r="U34" i="83"/>
  <c r="K39" i="74"/>
  <c r="L39" i="74" s="1"/>
  <c r="M39" i="74" s="1"/>
  <c r="D40" i="74"/>
  <c r="G39" i="74"/>
  <c r="M19" i="61"/>
  <c r="G16" i="68"/>
  <c r="G69" i="68" s="1"/>
  <c r="G118" i="68" s="1"/>
  <c r="M19" i="59"/>
  <c r="T16" i="69"/>
  <c r="W18" i="59"/>
  <c r="CX116" i="68"/>
  <c r="CY67" i="68"/>
  <c r="CY116" i="68" s="1"/>
  <c r="U19" i="35"/>
  <c r="AZ16" i="69"/>
  <c r="AZ69" i="69" s="1"/>
  <c r="AZ119" i="69" s="1"/>
  <c r="U34" i="89"/>
  <c r="CS31" i="68"/>
  <c r="CS84" i="68" s="1"/>
  <c r="CS133" i="68" s="1"/>
  <c r="T117" i="69"/>
  <c r="U67" i="69"/>
  <c r="U117" i="69" s="1"/>
  <c r="AM32" i="69"/>
  <c r="AM85" i="69" s="1"/>
  <c r="AM135" i="69" s="1"/>
  <c r="Q35" i="82"/>
  <c r="U18" i="42"/>
  <c r="CG15" i="68"/>
  <c r="CG68" i="68" s="1"/>
  <c r="CG117" i="68" s="1"/>
  <c r="M18" i="37"/>
  <c r="I15" i="69"/>
  <c r="I68" i="69" s="1"/>
  <c r="I118" i="69" s="1"/>
  <c r="U19" i="23"/>
  <c r="AX16" i="69"/>
  <c r="AX69" i="69" s="1"/>
  <c r="AX119" i="69" s="1"/>
  <c r="M18" i="64"/>
  <c r="K15" i="68"/>
  <c r="K68" i="68" s="1"/>
  <c r="K117" i="68" s="1"/>
  <c r="CL15" i="68"/>
  <c r="CL68" i="68" s="1"/>
  <c r="CL117" i="68" s="1"/>
  <c r="U18" i="44"/>
  <c r="M19" i="4"/>
  <c r="C16" i="69"/>
  <c r="C69" i="69" s="1"/>
  <c r="C119" i="69" s="1"/>
  <c r="Q19" i="39"/>
  <c r="AL16" i="68"/>
  <c r="AL69" i="68" s="1"/>
  <c r="AL118" i="68" s="1"/>
  <c r="U19" i="63"/>
  <c r="CX16" i="68"/>
  <c r="I41" i="101"/>
  <c r="S41" i="101"/>
  <c r="T41" i="101" s="1"/>
  <c r="F42" i="101"/>
  <c r="U19" i="1"/>
  <c r="AV16" i="69"/>
  <c r="AV69" i="69" s="1"/>
  <c r="AV119" i="69" s="1"/>
  <c r="B49" i="36"/>
  <c r="J48" i="36"/>
  <c r="N49" i="36"/>
  <c r="R48" i="36"/>
  <c r="H6" i="92"/>
  <c r="N6" i="92" s="1"/>
  <c r="M39" i="75"/>
  <c r="E5" i="92"/>
  <c r="AD32" i="68"/>
  <c r="AD85" i="68" s="1"/>
  <c r="AD134" i="68" s="1"/>
  <c r="M34" i="47"/>
  <c r="Q19" i="23"/>
  <c r="AA16" i="69"/>
  <c r="AA69" i="69" s="1"/>
  <c r="AA119" i="69" s="1"/>
  <c r="E40" i="74"/>
  <c r="O39" i="74"/>
  <c r="P39" i="74" s="1"/>
  <c r="H39" i="74"/>
  <c r="Q40" i="63"/>
  <c r="BO37" i="68"/>
  <c r="BO90" i="68" s="1"/>
  <c r="J45" i="60"/>
  <c r="B46" i="60"/>
  <c r="N46" i="60"/>
  <c r="R45" i="60"/>
  <c r="Q33" i="88"/>
  <c r="BH30" i="68"/>
  <c r="BH83" i="68" s="1"/>
  <c r="BH132" i="68" s="1"/>
  <c r="BM34" i="68"/>
  <c r="BM87" i="68" s="1"/>
  <c r="S36" i="47"/>
  <c r="Q19" i="41"/>
  <c r="AN16" i="68"/>
  <c r="AN69" i="68" s="1"/>
  <c r="AN118" i="68" s="1"/>
  <c r="U34" i="82"/>
  <c r="BJ31" i="69"/>
  <c r="BJ84" i="69" s="1"/>
  <c r="BJ134" i="69" s="1"/>
  <c r="AP37" i="69"/>
  <c r="AP90" i="69" s="1"/>
  <c r="S39" i="45"/>
  <c r="C48" i="36"/>
  <c r="I36" i="75"/>
  <c r="F37" i="75"/>
  <c r="S36" i="75"/>
  <c r="T36" i="75" s="1"/>
  <c r="U36" i="75" s="1"/>
  <c r="Q22" i="35"/>
  <c r="AC19" i="69"/>
  <c r="AC72" i="69" s="1"/>
  <c r="AC122" i="69" s="1"/>
  <c r="F42" i="74"/>
  <c r="I41" i="74"/>
  <c r="S41" i="74"/>
  <c r="T41" i="74" s="1"/>
  <c r="U41" i="74" s="1"/>
  <c r="N46" i="86"/>
  <c r="R45" i="86"/>
  <c r="J45" i="86"/>
  <c r="B46" i="86"/>
  <c r="C46" i="86" s="1"/>
  <c r="BM36" i="69"/>
  <c r="BM89" i="69" s="1"/>
  <c r="Y38" i="45"/>
  <c r="C44" i="59"/>
  <c r="AO15" i="69"/>
  <c r="CV32" i="68"/>
  <c r="CV85" i="68" s="1"/>
  <c r="CV134" i="68" s="1"/>
  <c r="Y34" i="47"/>
  <c r="U33" i="85"/>
  <c r="CM30" i="68"/>
  <c r="CM83" i="68" s="1"/>
  <c r="CM132" i="68" s="1"/>
  <c r="M18" i="65"/>
  <c r="L15" i="68"/>
  <c r="L68" i="68" s="1"/>
  <c r="L117" i="68" s="1"/>
  <c r="M18" i="36"/>
  <c r="H15" i="69"/>
  <c r="H68" i="69" s="1"/>
  <c r="H118" i="69" s="1"/>
  <c r="U18" i="37"/>
  <c r="BC15" i="69"/>
  <c r="BC68" i="69" s="1"/>
  <c r="BC118" i="69" s="1"/>
  <c r="E43" i="47"/>
  <c r="L42" i="47"/>
  <c r="H42" i="47"/>
  <c r="CP30" i="68"/>
  <c r="CP83" i="68" s="1"/>
  <c r="CP132" i="68" s="1"/>
  <c r="U33" i="87"/>
  <c r="CN30" i="68"/>
  <c r="CN83" i="68" s="1"/>
  <c r="CN132" i="68" s="1"/>
  <c r="U34" i="101"/>
  <c r="CK31" i="68"/>
  <c r="CK84" i="68" s="1"/>
  <c r="CK133" i="68" s="1"/>
  <c r="Q20" i="38"/>
  <c r="AK17" i="68"/>
  <c r="AK70" i="68" s="1"/>
  <c r="AK119" i="68" s="1"/>
  <c r="CC15" i="68"/>
  <c r="CC68" i="68" s="1"/>
  <c r="CC117" i="68" s="1"/>
  <c r="U18" i="64"/>
  <c r="U19" i="7"/>
  <c r="AY16" i="69"/>
  <c r="AY69" i="69" s="1"/>
  <c r="AY119" i="69" s="1"/>
  <c r="W35" i="47"/>
  <c r="Z35" i="47" s="1"/>
  <c r="N35" i="47"/>
  <c r="G29" i="69"/>
  <c r="G82" i="69" s="1"/>
  <c r="G132" i="69" s="1"/>
  <c r="M32" i="58"/>
  <c r="H40" i="98"/>
  <c r="O40" i="98"/>
  <c r="P40" i="98" s="1"/>
  <c r="E41" i="98"/>
  <c r="N39" i="45"/>
  <c r="W39" i="45"/>
  <c r="Z39" i="45" s="1"/>
  <c r="J44" i="58"/>
  <c r="B45" i="58"/>
  <c r="N45" i="58"/>
  <c r="R44" i="58"/>
  <c r="J46" i="7"/>
  <c r="B47" i="7"/>
  <c r="N47" i="7"/>
  <c r="R46" i="7"/>
  <c r="C44" i="58"/>
  <c r="T68" i="69"/>
  <c r="U15" i="69"/>
  <c r="H41" i="63"/>
  <c r="E42" i="63"/>
  <c r="O41" i="63"/>
  <c r="P41" i="63" s="1"/>
  <c r="M19" i="62"/>
  <c r="J16" i="68"/>
  <c r="J69" i="68" s="1"/>
  <c r="J118" i="68" s="1"/>
  <c r="S36" i="69"/>
  <c r="S89" i="69" s="1"/>
  <c r="M38" i="45"/>
  <c r="E44" i="48"/>
  <c r="H43" i="48"/>
  <c r="J40" i="48"/>
  <c r="G41" i="48"/>
  <c r="E42" i="46"/>
  <c r="H41" i="46"/>
  <c r="I42" i="47"/>
  <c r="F43" i="47"/>
  <c r="R42" i="47"/>
  <c r="S40" i="103"/>
  <c r="T40" i="103" s="1"/>
  <c r="F41" i="103"/>
  <c r="I40" i="103"/>
  <c r="M43" i="63"/>
  <c r="AF40" i="68"/>
  <c r="AF93" i="68" s="1"/>
  <c r="H40" i="64"/>
  <c r="O40" i="64"/>
  <c r="P40" i="64" s="1"/>
  <c r="E41" i="64"/>
  <c r="F41" i="100"/>
  <c r="I40" i="100"/>
  <c r="S40" i="100"/>
  <c r="T40" i="100" s="1"/>
  <c r="O40" i="38"/>
  <c r="P40" i="38" s="1"/>
  <c r="E41" i="38"/>
  <c r="H40" i="38"/>
  <c r="I41" i="97"/>
  <c r="S41" i="97"/>
  <c r="T41" i="97" s="1"/>
  <c r="F42" i="97"/>
  <c r="Q36" i="83"/>
  <c r="AN33" i="69"/>
  <c r="AN86" i="69" s="1"/>
  <c r="AN136" i="69" s="1"/>
  <c r="M5" i="70"/>
  <c r="U18" i="61"/>
  <c r="BY15" i="68"/>
  <c r="BY68" i="68" s="1"/>
  <c r="BY117" i="68" s="1"/>
  <c r="U19" i="41"/>
  <c r="BW16" i="68"/>
  <c r="BW69" i="68" s="1"/>
  <c r="BW118" i="68" s="1"/>
  <c r="S41" i="67"/>
  <c r="T41" i="67" s="1"/>
  <c r="F42" i="67"/>
  <c r="I41" i="67"/>
  <c r="E41" i="96"/>
  <c r="O40" i="96"/>
  <c r="P40" i="96" s="1"/>
  <c r="H40" i="96"/>
  <c r="N6" i="70"/>
  <c r="Q20" i="67"/>
  <c r="AW17" i="68"/>
  <c r="AW70" i="68" s="1"/>
  <c r="AW119" i="68" s="1"/>
  <c r="M19" i="40"/>
  <c r="D16" i="68"/>
  <c r="D69" i="68" s="1"/>
  <c r="D118" i="68" s="1"/>
  <c r="Q21" i="62"/>
  <c r="AS18" i="68"/>
  <c r="AS71" i="68" s="1"/>
  <c r="AS120" i="68" s="1"/>
  <c r="G7" i="92"/>
  <c r="M7" i="92" s="1"/>
  <c r="J44" i="89"/>
  <c r="L44" i="89" s="1"/>
  <c r="B45" i="89"/>
  <c r="N45" i="89"/>
  <c r="P45" i="89" s="1"/>
  <c r="R44" i="89"/>
  <c r="T44" i="89" s="1"/>
  <c r="H44" i="89"/>
  <c r="I44" i="89"/>
  <c r="G44" i="89"/>
  <c r="BK14" i="68"/>
  <c r="BQ14" i="68" s="1"/>
  <c r="E41" i="101"/>
  <c r="O40" i="101"/>
  <c r="P40" i="101" s="1"/>
  <c r="H40" i="101"/>
  <c r="S41" i="58"/>
  <c r="T41" i="58" s="1"/>
  <c r="F42" i="58"/>
  <c r="I41" i="58"/>
  <c r="S40" i="99"/>
  <c r="T40" i="99" s="1"/>
  <c r="F41" i="99"/>
  <c r="I40" i="99"/>
  <c r="E41" i="85"/>
  <c r="O40" i="85"/>
  <c r="P40" i="85" s="1"/>
  <c r="H40" i="85"/>
  <c r="M19" i="38"/>
  <c r="B16" i="68"/>
  <c r="AG133" i="68"/>
  <c r="S41" i="36"/>
  <c r="T41" i="36" s="1"/>
  <c r="F42" i="36"/>
  <c r="I41" i="36"/>
  <c r="O40" i="1"/>
  <c r="P40" i="1" s="1"/>
  <c r="E41" i="1"/>
  <c r="H40" i="1"/>
  <c r="O40" i="60"/>
  <c r="P40" i="60" s="1"/>
  <c r="E41" i="60"/>
  <c r="H40" i="60"/>
  <c r="M19" i="66"/>
  <c r="M16" i="68"/>
  <c r="M69" i="68" s="1"/>
  <c r="M118" i="68" s="1"/>
  <c r="M35" i="83"/>
  <c r="Q32" i="69"/>
  <c r="Q85" i="69" s="1"/>
  <c r="Q135" i="69" s="1"/>
  <c r="S41" i="102"/>
  <c r="T41" i="102" s="1"/>
  <c r="F42" i="102"/>
  <c r="I41" i="102"/>
  <c r="M34" i="90"/>
  <c r="M31" i="69"/>
  <c r="M84" i="69" s="1"/>
  <c r="M134" i="69" s="1"/>
  <c r="U20" i="67"/>
  <c r="CF17" i="68"/>
  <c r="CF70" i="68" s="1"/>
  <c r="CF119" i="68" s="1"/>
  <c r="M20" i="1"/>
  <c r="B17" i="69"/>
  <c r="Q20" i="66"/>
  <c r="AV17" i="68"/>
  <c r="AV70" i="68" s="1"/>
  <c r="AV119" i="68" s="1"/>
  <c r="M34" i="104"/>
  <c r="Z31" i="68"/>
  <c r="Z84" i="68" s="1"/>
  <c r="Z133" i="68" s="1"/>
  <c r="Q20" i="4"/>
  <c r="Z17" i="69"/>
  <c r="Q19" i="64"/>
  <c r="AT16" i="68"/>
  <c r="AT69" i="68" s="1"/>
  <c r="AT118" i="68" s="1"/>
  <c r="U33" i="97"/>
  <c r="BF30" i="69"/>
  <c r="BF83" i="69" s="1"/>
  <c r="BF133" i="69" s="1"/>
  <c r="Q19" i="60"/>
  <c r="AO16" i="68"/>
  <c r="AO69" i="68" s="1"/>
  <c r="AO118" i="68" s="1"/>
  <c r="M19" i="35"/>
  <c r="F16" i="69"/>
  <c r="F69" i="69" s="1"/>
  <c r="F119" i="69" s="1"/>
  <c r="CW32" i="68"/>
  <c r="CW85" i="68" s="1"/>
  <c r="CW134" i="68" s="1"/>
  <c r="X34" i="48"/>
  <c r="Y34" i="48"/>
  <c r="E41" i="66"/>
  <c r="O40" i="66"/>
  <c r="P40" i="66" s="1"/>
  <c r="H40" i="66"/>
  <c r="BU68" i="68"/>
  <c r="S40" i="1"/>
  <c r="T40" i="1" s="1"/>
  <c r="F41" i="1"/>
  <c r="I40" i="1"/>
  <c r="U19" i="4"/>
  <c r="AW16" i="69"/>
  <c r="Y18" i="23"/>
  <c r="M34" i="98"/>
  <c r="K31" i="69"/>
  <c r="K84" i="69" s="1"/>
  <c r="K134" i="69" s="1"/>
  <c r="J44" i="82"/>
  <c r="L44" i="82" s="1"/>
  <c r="B45" i="82"/>
  <c r="N45" i="82"/>
  <c r="P45" i="82" s="1"/>
  <c r="R44" i="82"/>
  <c r="T44" i="82" s="1"/>
  <c r="G44" i="82"/>
  <c r="H44" i="82"/>
  <c r="I44" i="82"/>
  <c r="M20" i="42"/>
  <c r="O17" i="68"/>
  <c r="O70" i="68" s="1"/>
  <c r="O119" i="68" s="1"/>
  <c r="Q33" i="101"/>
  <c r="BB30" i="68"/>
  <c r="BB83" i="68" s="1"/>
  <c r="BB132" i="68" s="1"/>
  <c r="R15" i="69"/>
  <c r="AG116" i="68"/>
  <c r="R7" i="70"/>
  <c r="K7" i="70"/>
  <c r="CU87" i="68"/>
  <c r="Z118" i="69"/>
  <c r="AO68" i="69"/>
  <c r="Q34" i="89"/>
  <c r="BJ31" i="68"/>
  <c r="BJ84" i="68" s="1"/>
  <c r="BJ133" i="68" s="1"/>
  <c r="S41" i="35"/>
  <c r="T41" i="35" s="1"/>
  <c r="F42" i="35"/>
  <c r="I41" i="35"/>
  <c r="M34" i="99"/>
  <c r="I31" i="68"/>
  <c r="I84" i="68" s="1"/>
  <c r="I133" i="68" s="1"/>
  <c r="E43" i="86"/>
  <c r="O42" i="86"/>
  <c r="P42" i="86" s="1"/>
  <c r="H42" i="86"/>
  <c r="M19" i="7"/>
  <c r="E16" i="69"/>
  <c r="E69" i="69" s="1"/>
  <c r="E119" i="69" s="1"/>
  <c r="AG85" i="68"/>
  <c r="AC134" i="68"/>
  <c r="AS14" i="69"/>
  <c r="U35" i="81"/>
  <c r="BI32" i="69"/>
  <c r="BI85" i="69" s="1"/>
  <c r="BI135" i="69" s="1"/>
  <c r="G6" i="70"/>
  <c r="Q20" i="63"/>
  <c r="BO18" i="68" s="1"/>
  <c r="BO17" i="68"/>
  <c r="U20" i="62"/>
  <c r="CB17" i="68"/>
  <c r="CB70" i="68" s="1"/>
  <c r="CB119" i="68" s="1"/>
  <c r="U32" i="58"/>
  <c r="BA29" i="69"/>
  <c r="BA82" i="69" s="1"/>
  <c r="BA132" i="69" s="1"/>
  <c r="O41" i="102"/>
  <c r="P41" i="102" s="1"/>
  <c r="E42" i="102"/>
  <c r="H41" i="102"/>
  <c r="Q20" i="59"/>
  <c r="AQ17" i="69"/>
  <c r="V19" i="59"/>
  <c r="U19" i="60"/>
  <c r="BX16" i="68"/>
  <c r="BX69" i="68" s="1"/>
  <c r="BX118" i="68" s="1"/>
  <c r="M19" i="44"/>
  <c r="T16" i="68"/>
  <c r="T69" i="68" s="1"/>
  <c r="T118" i="68" s="1"/>
  <c r="Q19" i="42"/>
  <c r="AX16" i="68"/>
  <c r="AX69" i="68" s="1"/>
  <c r="AX118" i="68" s="1"/>
  <c r="Q35" i="104"/>
  <c r="BI32" i="68"/>
  <c r="BI85" i="68" s="1"/>
  <c r="BI134" i="68" s="1"/>
  <c r="BP132" i="68"/>
  <c r="BN117" i="69"/>
  <c r="BO67" i="69"/>
  <c r="M34" i="85"/>
  <c r="U31" i="68"/>
  <c r="U84" i="68" s="1"/>
  <c r="U133" i="68" s="1"/>
  <c r="E43" i="100"/>
  <c r="O42" i="100"/>
  <c r="P42" i="100" s="1"/>
  <c r="H42" i="100"/>
  <c r="K41" i="66"/>
  <c r="L41" i="66" s="1"/>
  <c r="D42" i="66"/>
  <c r="G41" i="66"/>
  <c r="K40" i="36"/>
  <c r="L40" i="36" s="1"/>
  <c r="D41" i="36"/>
  <c r="G40" i="36"/>
  <c r="K41" i="85"/>
  <c r="L41" i="85" s="1"/>
  <c r="D42" i="85"/>
  <c r="G41" i="85"/>
  <c r="M18" i="67"/>
  <c r="N15" i="68"/>
  <c r="N68" i="68" s="1"/>
  <c r="N117" i="68" s="1"/>
  <c r="Q36" i="85"/>
  <c r="BD33" i="68"/>
  <c r="BD86" i="68" s="1"/>
  <c r="BD135" i="68" s="1"/>
  <c r="BF30" i="68"/>
  <c r="BF83" i="68" s="1"/>
  <c r="BF132" i="68" s="1"/>
  <c r="Q33" i="86"/>
  <c r="J8" i="92"/>
  <c r="AS15" i="69"/>
  <c r="AG132" i="68"/>
  <c r="BK67" i="68"/>
  <c r="BK116" i="68" s="1"/>
  <c r="AM116" i="68"/>
  <c r="BL88" i="68"/>
  <c r="AF69" i="68"/>
  <c r="AG16" i="68"/>
  <c r="CT67" i="68"/>
  <c r="E43" i="80"/>
  <c r="O42" i="80"/>
  <c r="P42" i="80" s="1"/>
  <c r="BV66" i="69"/>
  <c r="BV116" i="69" s="1"/>
  <c r="BT116" i="69"/>
  <c r="K40" i="98"/>
  <c r="L40" i="98" s="1"/>
  <c r="D41" i="98"/>
  <c r="G40" i="98"/>
  <c r="K40" i="103"/>
  <c r="L40" i="103" s="1"/>
  <c r="D41" i="103"/>
  <c r="G40" i="103"/>
  <c r="Q34" i="96"/>
  <c r="AG31" i="69"/>
  <c r="AG84" i="69" s="1"/>
  <c r="AG134" i="69" s="1"/>
  <c r="S40" i="96"/>
  <c r="T40" i="96" s="1"/>
  <c r="F41" i="96"/>
  <c r="I40" i="96"/>
  <c r="K40" i="101"/>
  <c r="L40" i="101" s="1"/>
  <c r="D41" i="101"/>
  <c r="G40" i="101"/>
  <c r="K40" i="80"/>
  <c r="L40" i="80" s="1"/>
  <c r="D41" i="80"/>
  <c r="G40" i="80"/>
  <c r="K8" i="92"/>
  <c r="K41" i="43"/>
  <c r="L41" i="43" s="1"/>
  <c r="D42" i="43"/>
  <c r="G41" i="43"/>
  <c r="BT118" i="68"/>
  <c r="O41" i="7"/>
  <c r="P41" i="7" s="1"/>
  <c r="E42" i="7"/>
  <c r="H41" i="7"/>
  <c r="U19" i="36"/>
  <c r="BB16" i="69"/>
  <c r="BB69" i="69" s="1"/>
  <c r="BB119" i="69" s="1"/>
  <c r="O41" i="36"/>
  <c r="P41" i="36" s="1"/>
  <c r="E42" i="36"/>
  <c r="H41" i="36"/>
  <c r="AB14" i="68"/>
  <c r="BN85" i="68"/>
  <c r="BP32" i="68"/>
  <c r="K37" i="48"/>
  <c r="W37" i="48" s="1"/>
  <c r="D38" i="48"/>
  <c r="Q38" i="48"/>
  <c r="U19" i="39"/>
  <c r="BU16" i="68"/>
  <c r="AC86" i="68"/>
  <c r="F41" i="48"/>
  <c r="I40" i="48"/>
  <c r="Q19" i="7"/>
  <c r="AB16" i="69"/>
  <c r="AB69" i="69" s="1"/>
  <c r="AB119" i="69" s="1"/>
  <c r="U34" i="98"/>
  <c r="BE31" i="69"/>
  <c r="BE84" i="69" s="1"/>
  <c r="BE134" i="69" s="1"/>
  <c r="R68" i="69"/>
  <c r="B118" i="69"/>
  <c r="K40" i="1"/>
  <c r="L40" i="1" s="1"/>
  <c r="D41" i="1"/>
  <c r="G40" i="1"/>
  <c r="S41" i="60"/>
  <c r="T41" i="60" s="1"/>
  <c r="F42" i="60"/>
  <c r="I41" i="60"/>
  <c r="K41" i="96"/>
  <c r="L41" i="96" s="1"/>
  <c r="D42" i="96"/>
  <c r="G41" i="96"/>
  <c r="N5" i="70"/>
  <c r="BN68" i="69"/>
  <c r="BO15" i="69"/>
  <c r="Q19" i="36"/>
  <c r="AE16" i="69"/>
  <c r="AE69" i="69" s="1"/>
  <c r="AE119" i="69" s="1"/>
  <c r="BN133" i="68"/>
  <c r="BP84" i="68"/>
  <c r="J43" i="38"/>
  <c r="B44" i="38"/>
  <c r="N44" i="38"/>
  <c r="R43" i="38"/>
  <c r="AH66" i="68"/>
  <c r="AH115" i="68" s="1"/>
  <c r="M33" i="102"/>
  <c r="Q30" i="68"/>
  <c r="Q83" i="68" s="1"/>
  <c r="Q132" i="68" s="1"/>
  <c r="M35" i="80"/>
  <c r="N32" i="69"/>
  <c r="N85" i="69" s="1"/>
  <c r="N135" i="69" s="1"/>
  <c r="U35" i="104"/>
  <c r="CR32" i="68"/>
  <c r="CR85" i="68" s="1"/>
  <c r="CR134" i="68" s="1"/>
  <c r="E5" i="70"/>
  <c r="BE31" i="68"/>
  <c r="BE84" i="68" s="1"/>
  <c r="BE133" i="68" s="1"/>
  <c r="BG31" i="68"/>
  <c r="BG84" i="68" s="1"/>
  <c r="BG133" i="68" s="1"/>
  <c r="Q34" i="87"/>
  <c r="U34" i="103"/>
  <c r="CH31" i="68"/>
  <c r="CH84" i="68" s="1"/>
  <c r="CH133" i="68" s="1"/>
  <c r="G7" i="70"/>
  <c r="AO117" i="69"/>
  <c r="H42" i="80"/>
  <c r="J43" i="80"/>
  <c r="B44" i="80"/>
  <c r="N44" i="80"/>
  <c r="R43" i="80"/>
  <c r="H43" i="80"/>
  <c r="BL36" i="68"/>
  <c r="S38" i="46"/>
  <c r="S40" i="98"/>
  <c r="T40" i="98" s="1"/>
  <c r="F41" i="98"/>
  <c r="I40" i="98"/>
  <c r="S41" i="86"/>
  <c r="T41" i="86" s="1"/>
  <c r="F42" i="86"/>
  <c r="I41" i="86"/>
  <c r="U33" i="102"/>
  <c r="CI30" i="68"/>
  <c r="CI83" i="68" s="1"/>
  <c r="CI132" i="68" s="1"/>
  <c r="D41" i="60"/>
  <c r="K40" i="60"/>
  <c r="L40" i="60" s="1"/>
  <c r="G40" i="60"/>
  <c r="CU135" i="68"/>
  <c r="Q35" i="90"/>
  <c r="AJ32" i="69"/>
  <c r="AJ85" i="69" s="1"/>
  <c r="AJ135" i="69" s="1"/>
  <c r="D41" i="86"/>
  <c r="K40" i="86"/>
  <c r="L40" i="86" s="1"/>
  <c r="G40" i="86"/>
  <c r="M33" i="100"/>
  <c r="H30" i="68"/>
  <c r="H83" i="68" s="1"/>
  <c r="H132" i="68" s="1"/>
  <c r="M34" i="82"/>
  <c r="P31" i="69"/>
  <c r="P84" i="69" s="1"/>
  <c r="P134" i="69" s="1"/>
  <c r="O40" i="43"/>
  <c r="P40" i="43" s="1"/>
  <c r="E41" i="43"/>
  <c r="H40" i="43"/>
  <c r="S43" i="85"/>
  <c r="T43" i="85" s="1"/>
  <c r="F44" i="85"/>
  <c r="I43" i="85"/>
  <c r="K41" i="90"/>
  <c r="L41" i="90" s="1"/>
  <c r="D42" i="90"/>
  <c r="G41" i="90"/>
  <c r="S41" i="59"/>
  <c r="T41" i="59" s="1"/>
  <c r="F42" i="59"/>
  <c r="I41" i="59"/>
  <c r="U35" i="88"/>
  <c r="CQ32" i="68"/>
  <c r="CQ85" i="68" s="1"/>
  <c r="CQ134" i="68" s="1"/>
  <c r="BO117" i="68"/>
  <c r="BP68" i="68"/>
  <c r="D42" i="7"/>
  <c r="K41" i="7"/>
  <c r="L41" i="7" s="1"/>
  <c r="G41" i="7"/>
  <c r="K41" i="100"/>
  <c r="L41" i="100" s="1"/>
  <c r="D42" i="100"/>
  <c r="G41" i="100"/>
  <c r="AQ118" i="69"/>
  <c r="AR68" i="69"/>
  <c r="J48" i="96"/>
  <c r="B49" i="96"/>
  <c r="N49" i="96"/>
  <c r="R48" i="96"/>
  <c r="K41" i="97"/>
  <c r="L41" i="97" s="1"/>
  <c r="D42" i="97"/>
  <c r="G41" i="97"/>
  <c r="Q18" i="44"/>
  <c r="BC15" i="68"/>
  <c r="BC68" i="68" s="1"/>
  <c r="BC117" i="68" s="1"/>
  <c r="Q34" i="100"/>
  <c r="AQ31" i="68"/>
  <c r="AQ84" i="68" s="1"/>
  <c r="AQ133" i="68" s="1"/>
  <c r="M20" i="63"/>
  <c r="AF18" i="68" s="1"/>
  <c r="AF17" i="68"/>
  <c r="M19" i="60"/>
  <c r="F16" i="68"/>
  <c r="F69" i="68" s="1"/>
  <c r="F118" i="68" s="1"/>
  <c r="S40" i="64"/>
  <c r="T40" i="64" s="1"/>
  <c r="F41" i="64"/>
  <c r="I40" i="64"/>
  <c r="U35" i="80"/>
  <c r="BH32" i="69"/>
  <c r="BH85" i="69" s="1"/>
  <c r="BH135" i="69" s="1"/>
  <c r="U20" i="43"/>
  <c r="CJ17" i="68"/>
  <c r="CJ70" i="68" s="1"/>
  <c r="CJ119" i="68" s="1"/>
  <c r="Q34" i="81"/>
  <c r="AL31" i="69"/>
  <c r="AL84" i="69" s="1"/>
  <c r="AL134" i="69" s="1"/>
  <c r="Q19" i="61"/>
  <c r="AP16" i="68"/>
  <c r="AP69" i="68" s="1"/>
  <c r="AP118" i="68" s="1"/>
  <c r="K40" i="59"/>
  <c r="L40" i="59" s="1"/>
  <c r="D41" i="59"/>
  <c r="G40" i="59"/>
  <c r="S40" i="7"/>
  <c r="T40" i="7" s="1"/>
  <c r="F41" i="7"/>
  <c r="I40" i="7"/>
  <c r="S40" i="4"/>
  <c r="T40" i="4" s="1"/>
  <c r="F41" i="4"/>
  <c r="I40" i="4"/>
  <c r="M20" i="23"/>
  <c r="D17" i="69"/>
  <c r="D70" i="69" s="1"/>
  <c r="D120" i="69" s="1"/>
  <c r="W19" i="23"/>
  <c r="J49" i="66"/>
  <c r="B50" i="66"/>
  <c r="N50" i="66"/>
  <c r="R49" i="66"/>
  <c r="S40" i="23"/>
  <c r="T40" i="23" s="1"/>
  <c r="F41" i="23"/>
  <c r="I40" i="23"/>
  <c r="Q32" i="58"/>
  <c r="AD29" i="69"/>
  <c r="AD82" i="69" s="1"/>
  <c r="AD132" i="69" s="1"/>
  <c r="S40" i="90"/>
  <c r="T40" i="90" s="1"/>
  <c r="F41" i="90"/>
  <c r="I40" i="90"/>
  <c r="Q34" i="102"/>
  <c r="AZ31" i="68"/>
  <c r="AZ84" i="68" s="1"/>
  <c r="AZ133" i="68" s="1"/>
  <c r="M33" i="103"/>
  <c r="P30" i="68"/>
  <c r="P83" i="68" s="1"/>
  <c r="P132" i="68" s="1"/>
  <c r="J43" i="83"/>
  <c r="L43" i="83" s="1"/>
  <c r="B44" i="83"/>
  <c r="C44" i="83" s="1"/>
  <c r="N44" i="83"/>
  <c r="P44" i="83" s="1"/>
  <c r="R43" i="83"/>
  <c r="T43" i="83" s="1"/>
  <c r="G43" i="83"/>
  <c r="I43" i="83"/>
  <c r="H43" i="83"/>
  <c r="U19" i="40"/>
  <c r="BV16" i="68"/>
  <c r="BV69" i="68" s="1"/>
  <c r="BV118" i="68" s="1"/>
  <c r="Q19" i="43"/>
  <c r="BA16" i="68"/>
  <c r="BA69" i="68" s="1"/>
  <c r="BA118" i="68" s="1"/>
  <c r="A31" i="70"/>
  <c r="AF117" i="68"/>
  <c r="AG68" i="68"/>
  <c r="E43" i="67"/>
  <c r="O42" i="67"/>
  <c r="P42" i="67" s="1"/>
  <c r="H42" i="67"/>
  <c r="U20" i="38"/>
  <c r="BT17" i="68"/>
  <c r="BT70" i="68" s="1"/>
  <c r="J45" i="43"/>
  <c r="B46" i="43"/>
  <c r="N46" i="43"/>
  <c r="R45" i="43"/>
  <c r="C6" i="70"/>
  <c r="D6" i="70"/>
  <c r="CT115" i="68"/>
  <c r="CZ66" i="68"/>
  <c r="AB67" i="68"/>
  <c r="AB116" i="68" s="1"/>
  <c r="B116" i="68"/>
  <c r="R35" i="48"/>
  <c r="T36" i="48" s="1"/>
  <c r="BN33" i="68"/>
  <c r="Z35" i="48"/>
  <c r="S35" i="48"/>
  <c r="F47" i="46"/>
  <c r="I46" i="46"/>
  <c r="R46" i="46" s="1"/>
  <c r="U18" i="66"/>
  <c r="CE15" i="68"/>
  <c r="CE68" i="68" s="1"/>
  <c r="CE117" i="68" s="1"/>
  <c r="BP116" i="68"/>
  <c r="BQ67" i="68"/>
  <c r="M19" i="43"/>
  <c r="R16" i="68"/>
  <c r="R69" i="68" s="1"/>
  <c r="R118" i="68" s="1"/>
  <c r="L36" i="46"/>
  <c r="N37" i="46" s="1"/>
  <c r="AC34" i="68"/>
  <c r="M36" i="46"/>
  <c r="U35" i="90"/>
  <c r="BG32" i="69"/>
  <c r="BG85" i="69" s="1"/>
  <c r="BG135" i="69" s="1"/>
  <c r="S41" i="66"/>
  <c r="T41" i="66" s="1"/>
  <c r="F42" i="66"/>
  <c r="I41" i="66"/>
  <c r="BP66" i="69"/>
  <c r="BO116" i="69"/>
  <c r="C44" i="82"/>
  <c r="C45" i="82" s="1"/>
  <c r="CT14" i="68"/>
  <c r="C45" i="4"/>
  <c r="C49" i="4"/>
  <c r="C54" i="4" s="1"/>
  <c r="M33" i="97"/>
  <c r="L30" i="69"/>
  <c r="L83" i="69" s="1"/>
  <c r="L133" i="69" s="1"/>
  <c r="U19" i="59"/>
  <c r="BN16" i="69"/>
  <c r="D6" i="92"/>
  <c r="C6" i="92"/>
  <c r="CZ13" i="68"/>
  <c r="K41" i="102"/>
  <c r="L41" i="102" s="1"/>
  <c r="D42" i="102"/>
  <c r="G41" i="102"/>
  <c r="K42" i="38"/>
  <c r="L42" i="38" s="1"/>
  <c r="D43" i="38"/>
  <c r="U33" i="99"/>
  <c r="CA30" i="68"/>
  <c r="CA83" i="68" s="1"/>
  <c r="CA132" i="68" s="1"/>
  <c r="BT67" i="69"/>
  <c r="AW117" i="69"/>
  <c r="BL67" i="69"/>
  <c r="B7" i="70" s="1"/>
  <c r="Q21" i="65"/>
  <c r="AU18" i="68"/>
  <c r="AU71" i="68" s="1"/>
  <c r="AU120" i="68" s="1"/>
  <c r="K40" i="99"/>
  <c r="L40" i="99" s="1"/>
  <c r="D41" i="99"/>
  <c r="G40" i="99"/>
  <c r="Q19" i="37"/>
  <c r="AF16" i="69"/>
  <c r="AF69" i="69" s="1"/>
  <c r="AF119" i="69" s="1"/>
  <c r="M33" i="86"/>
  <c r="W30" i="68"/>
  <c r="W83" i="68" s="1"/>
  <c r="W132" i="68" s="1"/>
  <c r="O40" i="90"/>
  <c r="P40" i="90" s="1"/>
  <c r="E41" i="90"/>
  <c r="H40" i="90"/>
  <c r="O40" i="97"/>
  <c r="P40" i="97" s="1"/>
  <c r="E41" i="97"/>
  <c r="H40" i="97"/>
  <c r="S41" i="43"/>
  <c r="T41" i="43" s="1"/>
  <c r="F42" i="43"/>
  <c r="I41" i="43"/>
  <c r="BQ66" i="68"/>
  <c r="BQ115" i="68" s="1"/>
  <c r="AM68" i="68"/>
  <c r="K41" i="23"/>
  <c r="L41" i="23" s="1"/>
  <c r="D42" i="23"/>
  <c r="G41" i="23"/>
  <c r="M33" i="88"/>
  <c r="Y30" i="68"/>
  <c r="Y83" i="68" s="1"/>
  <c r="Y132" i="68" s="1"/>
  <c r="M34" i="81"/>
  <c r="O31" i="69"/>
  <c r="O84" i="69" s="1"/>
  <c r="O134" i="69" s="1"/>
  <c r="X19" i="23"/>
  <c r="Q33" i="103"/>
  <c r="AY30" i="68"/>
  <c r="AY83" i="68" s="1"/>
  <c r="AY132" i="68" s="1"/>
  <c r="K38" i="46"/>
  <c r="W38" i="46" s="1"/>
  <c r="Z38" i="46" s="1"/>
  <c r="D39" i="46"/>
  <c r="Q39" i="46"/>
  <c r="T39" i="46" s="1"/>
  <c r="D42" i="58"/>
  <c r="K41" i="58"/>
  <c r="L41" i="58" s="1"/>
  <c r="G41" i="58"/>
  <c r="D42" i="63"/>
  <c r="G41" i="63"/>
  <c r="K41" i="63"/>
  <c r="L41" i="63" s="1"/>
  <c r="K40" i="4"/>
  <c r="L40" i="4" s="1"/>
  <c r="D41" i="4"/>
  <c r="G40" i="4"/>
  <c r="U34" i="96"/>
  <c r="BD31" i="69"/>
  <c r="BD84" i="69" s="1"/>
  <c r="BD134" i="69" s="1"/>
  <c r="M34" i="89"/>
  <c r="AA31" i="68"/>
  <c r="AA84" i="68" s="1"/>
  <c r="AA133" i="68" s="1"/>
  <c r="E41" i="103"/>
  <c r="O40" i="103"/>
  <c r="P40" i="103" s="1"/>
  <c r="H40" i="103"/>
  <c r="BU65" i="69"/>
  <c r="BP115" i="69"/>
  <c r="C50" i="66"/>
  <c r="E41" i="23"/>
  <c r="O40" i="23"/>
  <c r="P40" i="23" s="1"/>
  <c r="H40" i="23"/>
  <c r="B45" i="59"/>
  <c r="C45" i="59" s="1"/>
  <c r="J44" i="59"/>
  <c r="N45" i="59"/>
  <c r="R44" i="59"/>
  <c r="M19" i="39"/>
  <c r="C16" i="68"/>
  <c r="C69" i="68" s="1"/>
  <c r="C118" i="68" s="1"/>
  <c r="S43" i="63"/>
  <c r="T43" i="63" s="1"/>
  <c r="F44" i="63"/>
  <c r="I43" i="63"/>
  <c r="B68" i="68"/>
  <c r="AB15" i="68"/>
  <c r="AH15" i="68" s="1"/>
  <c r="U34" i="100"/>
  <c r="BZ31" i="68"/>
  <c r="BZ84" i="68" s="1"/>
  <c r="BZ133" i="68" s="1"/>
  <c r="O41" i="99"/>
  <c r="P41" i="99" s="1"/>
  <c r="E42" i="99"/>
  <c r="H41" i="99"/>
  <c r="S42" i="38"/>
  <c r="F43" i="38"/>
  <c r="I43" i="38" s="1"/>
  <c r="M33" i="101"/>
  <c r="S30" i="68"/>
  <c r="S83" i="68" s="1"/>
  <c r="S132" i="68" s="1"/>
  <c r="Q33" i="98"/>
  <c r="AH30" i="69"/>
  <c r="AH83" i="69" s="1"/>
  <c r="AH133" i="69" s="1"/>
  <c r="B69" i="69"/>
  <c r="K41" i="67"/>
  <c r="L41" i="67" s="1"/>
  <c r="D42" i="67"/>
  <c r="G41" i="67"/>
  <c r="O40" i="35"/>
  <c r="P40" i="35" s="1"/>
  <c r="E41" i="35"/>
  <c r="H40" i="35"/>
  <c r="M33" i="96"/>
  <c r="J30" i="69"/>
  <c r="J83" i="69" s="1"/>
  <c r="J133" i="69" s="1"/>
  <c r="C48" i="96"/>
  <c r="C49" i="96" s="1"/>
  <c r="Z69" i="69"/>
  <c r="AO16" i="69"/>
  <c r="U20" i="65"/>
  <c r="CD17" i="68"/>
  <c r="CD70" i="68" s="1"/>
  <c r="CD119" i="68" s="1"/>
  <c r="E41" i="59"/>
  <c r="O40" i="59"/>
  <c r="P40" i="59" s="1"/>
  <c r="H40" i="59"/>
  <c r="BU114" i="69"/>
  <c r="BW64" i="69"/>
  <c r="K41" i="64"/>
  <c r="L41" i="64" s="1"/>
  <c r="D42" i="64"/>
  <c r="G41" i="64"/>
  <c r="AW68" i="69"/>
  <c r="BL15" i="69"/>
  <c r="B8" i="92" s="1"/>
  <c r="Q7" i="70"/>
  <c r="J7" i="70"/>
  <c r="AS67" i="69"/>
  <c r="AS117" i="69" s="1"/>
  <c r="AR117" i="69"/>
  <c r="Q34" i="97"/>
  <c r="AI31" i="69"/>
  <c r="AI84" i="69" s="1"/>
  <c r="AI134" i="69" s="1"/>
  <c r="Q34" i="80"/>
  <c r="AK31" i="69"/>
  <c r="AK84" i="69" s="1"/>
  <c r="AK134" i="69" s="1"/>
  <c r="DA116" i="68"/>
  <c r="K41" i="35"/>
  <c r="L41" i="35" s="1"/>
  <c r="D42" i="35"/>
  <c r="G41" i="35"/>
  <c r="M34" i="84"/>
  <c r="V31" i="68"/>
  <c r="V84" i="68" s="1"/>
  <c r="V133" i="68" s="1"/>
  <c r="O40" i="4"/>
  <c r="P40" i="4" s="1"/>
  <c r="E41" i="4"/>
  <c r="H40" i="4"/>
  <c r="L35" i="48"/>
  <c r="N36" i="48" s="1"/>
  <c r="AE33" i="68"/>
  <c r="AE86" i="68" s="1"/>
  <c r="AE135" i="68" s="1"/>
  <c r="M35" i="48"/>
  <c r="S40" i="80"/>
  <c r="T40" i="80" s="1"/>
  <c r="F41" i="80"/>
  <c r="I40" i="80"/>
  <c r="U39" i="86"/>
  <c r="CO36" i="68"/>
  <c r="CO89" i="68" s="1"/>
  <c r="T42" i="38"/>
  <c r="G6" i="92"/>
  <c r="M6" i="92" s="1"/>
  <c r="J48" i="85"/>
  <c r="B49" i="85"/>
  <c r="N49" i="85"/>
  <c r="R48" i="85"/>
  <c r="E41" i="58"/>
  <c r="O40" i="58"/>
  <c r="P40" i="58" s="1"/>
  <c r="H40" i="58"/>
  <c r="BO69" i="68"/>
  <c r="BP16" i="68"/>
  <c r="DB65" i="68"/>
  <c r="CZ114" i="68"/>
  <c r="AQ69" i="69"/>
  <c r="AR16" i="69"/>
  <c r="Q19" i="40"/>
  <c r="AM16" i="68"/>
  <c r="CU35" i="68"/>
  <c r="Y37" i="46"/>
  <c r="BP14" i="69"/>
  <c r="C44" i="89"/>
  <c r="C45" i="89" s="1"/>
  <c r="AG32" i="68" l="1"/>
  <c r="M20" i="62"/>
  <c r="J17" i="68"/>
  <c r="J70" i="68" s="1"/>
  <c r="J119" i="68" s="1"/>
  <c r="S37" i="69"/>
  <c r="S90" i="69" s="1"/>
  <c r="M39" i="45"/>
  <c r="M33" i="58"/>
  <c r="G30" i="69"/>
  <c r="G83" i="69" s="1"/>
  <c r="G133" i="69" s="1"/>
  <c r="F43" i="74"/>
  <c r="I42" i="74"/>
  <c r="S42" i="74"/>
  <c r="T42" i="74" s="1"/>
  <c r="U42" i="74" s="1"/>
  <c r="F38" i="75"/>
  <c r="S37" i="75"/>
  <c r="T37" i="75" s="1"/>
  <c r="U37" i="75" s="1"/>
  <c r="I37" i="75"/>
  <c r="Q20" i="41"/>
  <c r="AN17" i="68"/>
  <c r="AN70" i="68" s="1"/>
  <c r="AN119" i="68" s="1"/>
  <c r="Q34" i="88"/>
  <c r="BH31" i="68"/>
  <c r="BH84" i="68" s="1"/>
  <c r="BH133" i="68" s="1"/>
  <c r="I42" i="101"/>
  <c r="S42" i="101"/>
  <c r="T42" i="101" s="1"/>
  <c r="F43" i="101"/>
  <c r="CX17" i="68"/>
  <c r="U20" i="63"/>
  <c r="M20" i="4"/>
  <c r="C17" i="69"/>
  <c r="C70" i="69" s="1"/>
  <c r="C120" i="69" s="1"/>
  <c r="M19" i="64"/>
  <c r="K16" i="68"/>
  <c r="K69" i="68" s="1"/>
  <c r="K118" i="68" s="1"/>
  <c r="I16" i="69"/>
  <c r="I69" i="69" s="1"/>
  <c r="I119" i="69" s="1"/>
  <c r="M19" i="37"/>
  <c r="AM33" i="69"/>
  <c r="AM86" i="69" s="1"/>
  <c r="AM136" i="69" s="1"/>
  <c r="Q36" i="82"/>
  <c r="T69" i="69"/>
  <c r="U16" i="69"/>
  <c r="BM35" i="68"/>
  <c r="BM88" i="68" s="1"/>
  <c r="S37" i="47"/>
  <c r="T118" i="69"/>
  <c r="U68" i="69"/>
  <c r="U118" i="69" s="1"/>
  <c r="B48" i="7"/>
  <c r="J47" i="7"/>
  <c r="N48" i="7"/>
  <c r="R47" i="7"/>
  <c r="J45" i="58"/>
  <c r="B46" i="58"/>
  <c r="N46" i="58"/>
  <c r="R45" i="58"/>
  <c r="H41" i="98"/>
  <c r="E42" i="98"/>
  <c r="O41" i="98"/>
  <c r="P41" i="98" s="1"/>
  <c r="U20" i="7"/>
  <c r="AY17" i="69"/>
  <c r="AY70" i="69" s="1"/>
  <c r="AY120" i="69" s="1"/>
  <c r="Q21" i="38"/>
  <c r="AK18" i="68"/>
  <c r="AK71" i="68" s="1"/>
  <c r="AK120" i="68" s="1"/>
  <c r="CP31" i="68"/>
  <c r="CP84" i="68" s="1"/>
  <c r="CP133" i="68" s="1"/>
  <c r="U34" i="87"/>
  <c r="CN31" i="68"/>
  <c r="CN84" i="68" s="1"/>
  <c r="CN133" i="68" s="1"/>
  <c r="H43" i="47"/>
  <c r="E44" i="47"/>
  <c r="L43" i="47"/>
  <c r="M19" i="36"/>
  <c r="H16" i="69"/>
  <c r="U34" i="85"/>
  <c r="CM31" i="68"/>
  <c r="CM84" i="68" s="1"/>
  <c r="CM133" i="68" s="1"/>
  <c r="H40" i="74"/>
  <c r="O40" i="74"/>
  <c r="P40" i="74" s="1"/>
  <c r="E41" i="74"/>
  <c r="J49" i="36"/>
  <c r="B50" i="36"/>
  <c r="N50" i="36"/>
  <c r="R49" i="36"/>
  <c r="U19" i="44"/>
  <c r="CL16" i="68"/>
  <c r="CL69" i="68" s="1"/>
  <c r="CL118" i="68" s="1"/>
  <c r="C47" i="7"/>
  <c r="CS32" i="68"/>
  <c r="CS85" i="68" s="1"/>
  <c r="CS134" i="68" s="1"/>
  <c r="U35" i="89"/>
  <c r="T17" i="69"/>
  <c r="W19" i="59"/>
  <c r="M20" i="59"/>
  <c r="G40" i="74"/>
  <c r="D41" i="74"/>
  <c r="K40" i="74"/>
  <c r="L40" i="74" s="1"/>
  <c r="M40" i="74" s="1"/>
  <c r="AP38" i="69"/>
  <c r="AP91" i="69" s="1"/>
  <c r="S40" i="45"/>
  <c r="CX117" i="68"/>
  <c r="CY68" i="68"/>
  <c r="CY117" i="68" s="1"/>
  <c r="D38" i="47"/>
  <c r="Q38" i="47"/>
  <c r="T38" i="47" s="1"/>
  <c r="K37" i="47"/>
  <c r="M36" i="87"/>
  <c r="X33" i="68"/>
  <c r="X86" i="68" s="1"/>
  <c r="X135" i="68" s="1"/>
  <c r="Q40" i="74"/>
  <c r="O42" i="63"/>
  <c r="P42" i="63" s="1"/>
  <c r="H42" i="63"/>
  <c r="E43" i="63"/>
  <c r="C45" i="58"/>
  <c r="C46" i="58" s="1"/>
  <c r="AD33" i="68"/>
  <c r="AD86" i="68" s="1"/>
  <c r="AD135" i="68" s="1"/>
  <c r="M35" i="47"/>
  <c r="U19" i="64"/>
  <c r="CC16" i="68"/>
  <c r="CC69" i="68" s="1"/>
  <c r="CC118" i="68" s="1"/>
  <c r="R46" i="86"/>
  <c r="J46" i="86"/>
  <c r="B47" i="86"/>
  <c r="N47" i="86"/>
  <c r="Q23" i="35"/>
  <c r="AC20" i="69"/>
  <c r="AC73" i="69" s="1"/>
  <c r="AC123" i="69" s="1"/>
  <c r="C49" i="36"/>
  <c r="C50" i="36" s="1"/>
  <c r="BJ32" i="69"/>
  <c r="BJ85" i="69" s="1"/>
  <c r="BJ135" i="69" s="1"/>
  <c r="U35" i="82"/>
  <c r="Q41" i="63"/>
  <c r="BO38" i="68"/>
  <c r="BO91" i="68" s="1"/>
  <c r="Q20" i="39"/>
  <c r="AL17" i="68"/>
  <c r="AL70" i="68" s="1"/>
  <c r="AL119" i="68" s="1"/>
  <c r="U20" i="23"/>
  <c r="AX17" i="69"/>
  <c r="AX70" i="69" s="1"/>
  <c r="AX120" i="69" s="1"/>
  <c r="N40" i="45"/>
  <c r="W40" i="45"/>
  <c r="Z40" i="45" s="1"/>
  <c r="Q21" i="1"/>
  <c r="Y18" i="69"/>
  <c r="Y71" i="69" s="1"/>
  <c r="Y121" i="69" s="1"/>
  <c r="AR31" i="68"/>
  <c r="AR84" i="68" s="1"/>
  <c r="AR133" i="68" s="1"/>
  <c r="Q34" i="99"/>
  <c r="H117" i="69"/>
  <c r="R67" i="69"/>
  <c r="E6" i="92"/>
  <c r="BQ116" i="68"/>
  <c r="BM37" i="69"/>
  <c r="BM90" i="69" s="1"/>
  <c r="Y39" i="45"/>
  <c r="CV33" i="68"/>
  <c r="CV86" i="68" s="1"/>
  <c r="CV135" i="68" s="1"/>
  <c r="Y35" i="47"/>
  <c r="U35" i="101"/>
  <c r="CK32" i="68"/>
  <c r="CK85" i="68" s="1"/>
  <c r="CK134" i="68" s="1"/>
  <c r="U19" i="37"/>
  <c r="BC16" i="69"/>
  <c r="BC69" i="69" s="1"/>
  <c r="BC119" i="69" s="1"/>
  <c r="M19" i="65"/>
  <c r="L16" i="68"/>
  <c r="L69" i="68" s="1"/>
  <c r="L118" i="68" s="1"/>
  <c r="B47" i="60"/>
  <c r="J46" i="60"/>
  <c r="N47" i="60"/>
  <c r="R46" i="60"/>
  <c r="Q20" i="23"/>
  <c r="AA17" i="69"/>
  <c r="AA70" i="69" s="1"/>
  <c r="AA120" i="69" s="1"/>
  <c r="U20" i="1"/>
  <c r="AV17" i="69"/>
  <c r="AV70" i="69" s="1"/>
  <c r="AV120" i="69" s="1"/>
  <c r="CX69" i="68"/>
  <c r="CY16" i="68"/>
  <c r="CG16" i="68"/>
  <c r="CG69" i="68" s="1"/>
  <c r="CG118" i="68" s="1"/>
  <c r="U19" i="42"/>
  <c r="U20" i="35"/>
  <c r="AZ17" i="69"/>
  <c r="AZ70" i="69" s="1"/>
  <c r="AZ120" i="69" s="1"/>
  <c r="M20" i="61"/>
  <c r="G17" i="68"/>
  <c r="G70" i="68" s="1"/>
  <c r="G119" i="68" s="1"/>
  <c r="BK32" i="69"/>
  <c r="BK85" i="69" s="1"/>
  <c r="BK135" i="69" s="1"/>
  <c r="U35" i="83"/>
  <c r="D41" i="45"/>
  <c r="Q41" i="45"/>
  <c r="T41" i="45" s="1"/>
  <c r="K41" i="45"/>
  <c r="G40" i="75"/>
  <c r="K40" i="75"/>
  <c r="L40" i="75" s="1"/>
  <c r="M40" i="75" s="1"/>
  <c r="D41" i="75"/>
  <c r="N36" i="47"/>
  <c r="AD34" i="68" s="1"/>
  <c r="AD87" i="68" s="1"/>
  <c r="W36" i="47"/>
  <c r="Z36" i="47" s="1"/>
  <c r="E16" i="68"/>
  <c r="E69" i="68" s="1"/>
  <c r="E118" i="68" s="1"/>
  <c r="M19" i="41"/>
  <c r="C46" i="60"/>
  <c r="C47" i="60" s="1"/>
  <c r="J41" i="48"/>
  <c r="G42" i="48"/>
  <c r="E45" i="48"/>
  <c r="H44" i="48"/>
  <c r="E43" i="46"/>
  <c r="H42" i="46"/>
  <c r="F44" i="47"/>
  <c r="R43" i="47"/>
  <c r="I43" i="47"/>
  <c r="F42" i="103"/>
  <c r="I41" i="103"/>
  <c r="S41" i="103"/>
  <c r="T41" i="103" s="1"/>
  <c r="M44" i="63"/>
  <c r="AF41" i="68"/>
  <c r="AF94" i="68" s="1"/>
  <c r="E42" i="64"/>
  <c r="H41" i="64"/>
  <c r="O41" i="64"/>
  <c r="P41" i="64" s="1"/>
  <c r="F42" i="100"/>
  <c r="S41" i="100"/>
  <c r="T41" i="100" s="1"/>
  <c r="I41" i="100"/>
  <c r="H41" i="38"/>
  <c r="O41" i="38"/>
  <c r="P41" i="38" s="1"/>
  <c r="E42" i="38"/>
  <c r="I42" i="97"/>
  <c r="F43" i="97"/>
  <c r="S42" i="97"/>
  <c r="T42" i="97" s="1"/>
  <c r="AR69" i="69"/>
  <c r="AQ119" i="69"/>
  <c r="O41" i="4"/>
  <c r="E42" i="4"/>
  <c r="E43" i="4" s="1"/>
  <c r="E44" i="4" s="1"/>
  <c r="E45" i="4" s="1"/>
  <c r="E46" i="4" s="1"/>
  <c r="E47" i="4" s="1"/>
  <c r="E48" i="4" s="1"/>
  <c r="E49" i="4" s="1"/>
  <c r="E50" i="4" s="1"/>
  <c r="E51" i="4" s="1"/>
  <c r="E52" i="4" s="1"/>
  <c r="E53" i="4" s="1"/>
  <c r="E54" i="4" s="1"/>
  <c r="H41" i="4"/>
  <c r="H42" i="4" s="1"/>
  <c r="H43" i="4" s="1"/>
  <c r="H44" i="4" s="1"/>
  <c r="H45" i="4" s="1"/>
  <c r="H46" i="4" s="1"/>
  <c r="H47" i="4" s="1"/>
  <c r="H48" i="4" s="1"/>
  <c r="H49" i="4" s="1"/>
  <c r="H50" i="4" s="1"/>
  <c r="H51" i="4" s="1"/>
  <c r="H52" i="4" s="1"/>
  <c r="H53" i="4" s="1"/>
  <c r="H54" i="4" s="1"/>
  <c r="Q34" i="98"/>
  <c r="AH31" i="69"/>
  <c r="AH84" i="69" s="1"/>
  <c r="AH134" i="69" s="1"/>
  <c r="J49" i="85"/>
  <c r="B50" i="85"/>
  <c r="N50" i="85"/>
  <c r="R49" i="85"/>
  <c r="S41" i="80"/>
  <c r="T41" i="80" s="1"/>
  <c r="F42" i="80"/>
  <c r="I41" i="80"/>
  <c r="L36" i="48"/>
  <c r="N37" i="48" s="1"/>
  <c r="AE34" i="68"/>
  <c r="AE87" i="68" s="1"/>
  <c r="M36" i="48"/>
  <c r="M35" i="84"/>
  <c r="V32" i="68"/>
  <c r="V85" i="68" s="1"/>
  <c r="V134" i="68" s="1"/>
  <c r="Q35" i="97"/>
  <c r="AI32" i="69"/>
  <c r="AI85" i="69" s="1"/>
  <c r="AI135" i="69" s="1"/>
  <c r="K42" i="67"/>
  <c r="L42" i="67" s="1"/>
  <c r="D43" i="67"/>
  <c r="G42" i="67"/>
  <c r="O41" i="23"/>
  <c r="P41" i="23" s="1"/>
  <c r="E42" i="23"/>
  <c r="H41" i="23"/>
  <c r="K42" i="58"/>
  <c r="L42" i="58" s="1"/>
  <c r="D43" i="58"/>
  <c r="G42" i="58"/>
  <c r="M35" i="81"/>
  <c r="O32" i="69"/>
  <c r="O85" i="69" s="1"/>
  <c r="O135" i="69" s="1"/>
  <c r="K42" i="23"/>
  <c r="L42" i="23" s="1"/>
  <c r="D43" i="23"/>
  <c r="G42" i="23"/>
  <c r="S42" i="43"/>
  <c r="T42" i="43" s="1"/>
  <c r="F43" i="43"/>
  <c r="I42" i="43"/>
  <c r="Q22" i="65"/>
  <c r="AU19" i="68"/>
  <c r="AU72" i="68" s="1"/>
  <c r="AU121" i="68" s="1"/>
  <c r="BT117" i="69"/>
  <c r="BV67" i="69"/>
  <c r="BV117" i="69" s="1"/>
  <c r="D43" i="102"/>
  <c r="K42" i="102"/>
  <c r="L42" i="102" s="1"/>
  <c r="G42" i="102"/>
  <c r="M34" i="97"/>
  <c r="L31" i="69"/>
  <c r="L84" i="69" s="1"/>
  <c r="L134" i="69" s="1"/>
  <c r="S42" i="66"/>
  <c r="T42" i="66" s="1"/>
  <c r="F43" i="66"/>
  <c r="I42" i="66"/>
  <c r="L37" i="46"/>
  <c r="N38" i="46" s="1"/>
  <c r="AC35" i="68"/>
  <c r="M37" i="46"/>
  <c r="F48" i="46"/>
  <c r="I47" i="46"/>
  <c r="R47" i="46" s="1"/>
  <c r="R36" i="48"/>
  <c r="T37" i="48" s="1"/>
  <c r="BN34" i="68"/>
  <c r="Z36" i="48"/>
  <c r="S36" i="48"/>
  <c r="J46" i="43"/>
  <c r="B47" i="43"/>
  <c r="N47" i="43"/>
  <c r="R46" i="43"/>
  <c r="Q35" i="102"/>
  <c r="AZ32" i="68"/>
  <c r="AZ85" i="68" s="1"/>
  <c r="AZ134" i="68" s="1"/>
  <c r="S41" i="4"/>
  <c r="F42" i="4"/>
  <c r="F43" i="4" s="1"/>
  <c r="F44" i="4" s="1"/>
  <c r="F45" i="4" s="1"/>
  <c r="F46" i="4" s="1"/>
  <c r="F47" i="4" s="1"/>
  <c r="F48" i="4" s="1"/>
  <c r="F49" i="4" s="1"/>
  <c r="F50" i="4" s="1"/>
  <c r="F51" i="4" s="1"/>
  <c r="F52" i="4" s="1"/>
  <c r="F53" i="4" s="1"/>
  <c r="F54" i="4" s="1"/>
  <c r="I41" i="4"/>
  <c r="I42" i="4" s="1"/>
  <c r="I43" i="4" s="1"/>
  <c r="I44" i="4" s="1"/>
  <c r="I45" i="4" s="1"/>
  <c r="I46" i="4" s="1"/>
  <c r="I47" i="4" s="1"/>
  <c r="I48" i="4" s="1"/>
  <c r="I49" i="4" s="1"/>
  <c r="I50" i="4" s="1"/>
  <c r="I51" i="4" s="1"/>
  <c r="I52" i="4" s="1"/>
  <c r="I53" i="4" s="1"/>
  <c r="I54" i="4" s="1"/>
  <c r="AF71" i="68"/>
  <c r="AG18" i="68"/>
  <c r="Q19" i="44"/>
  <c r="BC16" i="68"/>
  <c r="BC69" i="68" s="1"/>
  <c r="BC118" i="68" s="1"/>
  <c r="Q8" i="70"/>
  <c r="J8" i="70"/>
  <c r="AR118" i="69"/>
  <c r="AS68" i="69"/>
  <c r="AS118" i="69" s="1"/>
  <c r="BP117" i="68"/>
  <c r="D43" i="90"/>
  <c r="K42" i="90"/>
  <c r="L42" i="90" s="1"/>
  <c r="G42" i="90"/>
  <c r="Q36" i="90"/>
  <c r="AJ33" i="69"/>
  <c r="AJ86" i="69" s="1"/>
  <c r="AJ136" i="69" s="1"/>
  <c r="S41" i="98"/>
  <c r="T41" i="98" s="1"/>
  <c r="F42" i="98"/>
  <c r="I41" i="98"/>
  <c r="BE32" i="68"/>
  <c r="BE85" i="68" s="1"/>
  <c r="BE134" i="68" s="1"/>
  <c r="BG32" i="68"/>
  <c r="BG85" i="68" s="1"/>
  <c r="BG134" i="68" s="1"/>
  <c r="Q35" i="87"/>
  <c r="BP133" i="68"/>
  <c r="BP15" i="69"/>
  <c r="R118" i="69"/>
  <c r="V68" i="69"/>
  <c r="U35" i="98"/>
  <c r="BE32" i="69"/>
  <c r="BE85" i="69" s="1"/>
  <c r="BE135" i="69" s="1"/>
  <c r="F42" i="48"/>
  <c r="I41" i="48"/>
  <c r="AG33" i="68"/>
  <c r="AH14" i="68"/>
  <c r="H7" i="92"/>
  <c r="N7" i="92" s="1"/>
  <c r="K41" i="80"/>
  <c r="L41" i="80" s="1"/>
  <c r="D42" i="80"/>
  <c r="G41" i="80"/>
  <c r="D42" i="98"/>
  <c r="K41" i="98"/>
  <c r="L41" i="98" s="1"/>
  <c r="G41" i="98"/>
  <c r="AF118" i="68"/>
  <c r="AG69" i="68"/>
  <c r="Q34" i="86"/>
  <c r="BF31" i="68"/>
  <c r="BF84" i="68" s="1"/>
  <c r="BF133" i="68" s="1"/>
  <c r="D42" i="36"/>
  <c r="K41" i="36"/>
  <c r="L41" i="36" s="1"/>
  <c r="G41" i="36"/>
  <c r="U20" i="60"/>
  <c r="BX17" i="68"/>
  <c r="BX70" i="68" s="1"/>
  <c r="BX119" i="68" s="1"/>
  <c r="U33" i="58"/>
  <c r="BA30" i="69"/>
  <c r="BA83" i="69" s="1"/>
  <c r="BA133" i="69" s="1"/>
  <c r="BO71" i="68"/>
  <c r="BP18" i="68"/>
  <c r="M35" i="99"/>
  <c r="I32" i="68"/>
  <c r="I85" i="68" s="1"/>
  <c r="I134" i="68" s="1"/>
  <c r="AO118" i="69"/>
  <c r="AH67" i="68"/>
  <c r="AH116" i="68" s="1"/>
  <c r="M21" i="42"/>
  <c r="O18" i="68"/>
  <c r="O71" i="68" s="1"/>
  <c r="O120" i="68" s="1"/>
  <c r="U20" i="4"/>
  <c r="AW17" i="69"/>
  <c r="Y19" i="23"/>
  <c r="U34" i="97"/>
  <c r="BF31" i="69"/>
  <c r="BF84" i="69" s="1"/>
  <c r="BF134" i="69" s="1"/>
  <c r="Q20" i="64"/>
  <c r="AT17" i="68"/>
  <c r="AT70" i="68" s="1"/>
  <c r="AT119" i="68" s="1"/>
  <c r="M35" i="104"/>
  <c r="Z32" i="68"/>
  <c r="Z85" i="68" s="1"/>
  <c r="Z134" i="68" s="1"/>
  <c r="B70" i="69"/>
  <c r="S42" i="102"/>
  <c r="T42" i="102" s="1"/>
  <c r="F43" i="102"/>
  <c r="I42" i="102"/>
  <c r="O41" i="1"/>
  <c r="P41" i="1" s="1"/>
  <c r="E42" i="1"/>
  <c r="H41" i="1"/>
  <c r="AW118" i="69"/>
  <c r="BT68" i="69"/>
  <c r="BL68" i="69"/>
  <c r="K42" i="64"/>
  <c r="L42" i="64" s="1"/>
  <c r="D43" i="64"/>
  <c r="G42" i="64"/>
  <c r="U21" i="65"/>
  <c r="CD18" i="68"/>
  <c r="CD71" i="68" s="1"/>
  <c r="CD120" i="68" s="1"/>
  <c r="O41" i="35"/>
  <c r="P41" i="35" s="1"/>
  <c r="E42" i="35"/>
  <c r="H41" i="35"/>
  <c r="U35" i="100"/>
  <c r="BZ32" i="68"/>
  <c r="BZ85" i="68" s="1"/>
  <c r="BZ134" i="68" s="1"/>
  <c r="J45" i="59"/>
  <c r="B46" i="59"/>
  <c r="N46" i="59"/>
  <c r="R45" i="59"/>
  <c r="E42" i="103"/>
  <c r="O41" i="103"/>
  <c r="P41" i="103" s="1"/>
  <c r="H41" i="103"/>
  <c r="U35" i="96"/>
  <c r="BD32" i="69"/>
  <c r="BD85" i="69" s="1"/>
  <c r="BD135" i="69" s="1"/>
  <c r="K41" i="4"/>
  <c r="D42" i="4"/>
  <c r="D43" i="4" s="1"/>
  <c r="D44" i="4" s="1"/>
  <c r="D45" i="4" s="1"/>
  <c r="D46" i="4" s="1"/>
  <c r="D47" i="4" s="1"/>
  <c r="D48" i="4" s="1"/>
  <c r="D49" i="4" s="1"/>
  <c r="D50" i="4" s="1"/>
  <c r="D51" i="4" s="1"/>
  <c r="D52" i="4" s="1"/>
  <c r="D53" i="4" s="1"/>
  <c r="D54" i="4" s="1"/>
  <c r="G41" i="4"/>
  <c r="G42" i="4" s="1"/>
  <c r="G43" i="4" s="1"/>
  <c r="G44" i="4" s="1"/>
  <c r="G45" i="4" s="1"/>
  <c r="G46" i="4" s="1"/>
  <c r="G47" i="4" s="1"/>
  <c r="G48" i="4" s="1"/>
  <c r="G49" i="4" s="1"/>
  <c r="G50" i="4" s="1"/>
  <c r="G51" i="4" s="1"/>
  <c r="G52" i="4" s="1"/>
  <c r="G53" i="4" s="1"/>
  <c r="G54" i="4" s="1"/>
  <c r="D43" i="63"/>
  <c r="G42" i="63"/>
  <c r="K42" i="63"/>
  <c r="L42" i="63" s="1"/>
  <c r="BL37" i="68"/>
  <c r="S39" i="46"/>
  <c r="AY31" i="68"/>
  <c r="AY84" i="68" s="1"/>
  <c r="AY133" i="68" s="1"/>
  <c r="Q34" i="103"/>
  <c r="M34" i="86"/>
  <c r="W31" i="68"/>
  <c r="W84" i="68" s="1"/>
  <c r="W133" i="68" s="1"/>
  <c r="K41" i="99"/>
  <c r="L41" i="99" s="1"/>
  <c r="D42" i="99"/>
  <c r="G41" i="99"/>
  <c r="BN69" i="69"/>
  <c r="BO16" i="69"/>
  <c r="U36" i="90"/>
  <c r="BG33" i="69"/>
  <c r="BG86" i="69" s="1"/>
  <c r="BG136" i="69" s="1"/>
  <c r="U20" i="40"/>
  <c r="BV17" i="68"/>
  <c r="BV70" i="68" s="1"/>
  <c r="BV119" i="68" s="1"/>
  <c r="Q33" i="58"/>
  <c r="AD30" i="69"/>
  <c r="AD83" i="69" s="1"/>
  <c r="AD133" i="69" s="1"/>
  <c r="Q20" i="61"/>
  <c r="AP17" i="68"/>
  <c r="AP70" i="68" s="1"/>
  <c r="AP119" i="68" s="1"/>
  <c r="U21" i="43"/>
  <c r="CJ18" i="68"/>
  <c r="CJ71" i="68" s="1"/>
  <c r="CJ120" i="68" s="1"/>
  <c r="S42" i="59"/>
  <c r="T42" i="59" s="1"/>
  <c r="F43" i="59"/>
  <c r="I42" i="59"/>
  <c r="M35" i="82"/>
  <c r="P32" i="69"/>
  <c r="P85" i="69" s="1"/>
  <c r="P135" i="69" s="1"/>
  <c r="K41" i="60"/>
  <c r="L41" i="60" s="1"/>
  <c r="D42" i="60"/>
  <c r="G41" i="60"/>
  <c r="S42" i="86"/>
  <c r="T42" i="86" s="1"/>
  <c r="F43" i="86"/>
  <c r="I42" i="86"/>
  <c r="J44" i="80"/>
  <c r="B45" i="80"/>
  <c r="N45" i="80"/>
  <c r="R44" i="80"/>
  <c r="M7" i="70"/>
  <c r="U36" i="104"/>
  <c r="CR33" i="68"/>
  <c r="CR86" i="68" s="1"/>
  <c r="CR135" i="68" s="1"/>
  <c r="M34" i="102"/>
  <c r="Q31" i="68"/>
  <c r="Q84" i="68" s="1"/>
  <c r="Q133" i="68" s="1"/>
  <c r="BN118" i="69"/>
  <c r="BO68" i="69"/>
  <c r="K41" i="1"/>
  <c r="L41" i="1" s="1"/>
  <c r="D42" i="1"/>
  <c r="G41" i="1"/>
  <c r="AG86" i="68"/>
  <c r="AC135" i="68"/>
  <c r="U20" i="36"/>
  <c r="BB17" i="69"/>
  <c r="BB70" i="69" s="1"/>
  <c r="BB120" i="69" s="1"/>
  <c r="K42" i="43"/>
  <c r="L42" i="43" s="1"/>
  <c r="D43" i="43"/>
  <c r="G42" i="43"/>
  <c r="K41" i="103"/>
  <c r="L41" i="103" s="1"/>
  <c r="D42" i="103"/>
  <c r="G41" i="103"/>
  <c r="O43" i="80"/>
  <c r="P43" i="80" s="1"/>
  <c r="E44" i="80"/>
  <c r="H44" i="80" s="1"/>
  <c r="M19" i="67"/>
  <c r="N16" i="68"/>
  <c r="N69" i="68" s="1"/>
  <c r="N118" i="68" s="1"/>
  <c r="M35" i="85"/>
  <c r="U32" i="68"/>
  <c r="U85" i="68" s="1"/>
  <c r="U134" i="68" s="1"/>
  <c r="Q20" i="42"/>
  <c r="AX17" i="68"/>
  <c r="AX70" i="68" s="1"/>
  <c r="AX119" i="68" s="1"/>
  <c r="O42" i="102"/>
  <c r="P42" i="102" s="1"/>
  <c r="E43" i="102"/>
  <c r="H42" i="102"/>
  <c r="M6" i="70"/>
  <c r="AG134" i="68"/>
  <c r="M20" i="7"/>
  <c r="E17" i="69"/>
  <c r="E70" i="69" s="1"/>
  <c r="E120" i="69" s="1"/>
  <c r="M35" i="98"/>
  <c r="K32" i="69"/>
  <c r="K85" i="69" s="1"/>
  <c r="K135" i="69" s="1"/>
  <c r="Q20" i="60"/>
  <c r="AO17" i="68"/>
  <c r="AO70" i="68" s="1"/>
  <c r="AO119" i="68" s="1"/>
  <c r="Z70" i="69"/>
  <c r="Q21" i="66"/>
  <c r="AV18" i="68"/>
  <c r="AV71" i="68" s="1"/>
  <c r="AV120" i="68" s="1"/>
  <c r="M21" i="1"/>
  <c r="B18" i="69"/>
  <c r="U21" i="67"/>
  <c r="CF18" i="68"/>
  <c r="CF71" i="68" s="1"/>
  <c r="CF120" i="68" s="1"/>
  <c r="M20" i="66"/>
  <c r="M17" i="68"/>
  <c r="M70" i="68" s="1"/>
  <c r="M119" i="68" s="1"/>
  <c r="O41" i="60"/>
  <c r="P41" i="60" s="1"/>
  <c r="E42" i="60"/>
  <c r="H41" i="60"/>
  <c r="B69" i="68"/>
  <c r="AB16" i="68"/>
  <c r="O41" i="85"/>
  <c r="P41" i="85" s="1"/>
  <c r="E42" i="85"/>
  <c r="H41" i="85"/>
  <c r="E42" i="96"/>
  <c r="O41" i="96"/>
  <c r="P41" i="96" s="1"/>
  <c r="H41" i="96"/>
  <c r="CU88" i="68"/>
  <c r="AM69" i="68"/>
  <c r="BK16" i="68"/>
  <c r="J9" i="92"/>
  <c r="AS16" i="69"/>
  <c r="BQ16" i="68"/>
  <c r="O41" i="58"/>
  <c r="P41" i="58" s="1"/>
  <c r="E42" i="58"/>
  <c r="H41" i="58"/>
  <c r="U40" i="86"/>
  <c r="CO37" i="68"/>
  <c r="CO90" i="68" s="1"/>
  <c r="D43" i="35"/>
  <c r="K42" i="35"/>
  <c r="L42" i="35" s="1"/>
  <c r="G42" i="35"/>
  <c r="Q35" i="80"/>
  <c r="AK32" i="69"/>
  <c r="AK85" i="69" s="1"/>
  <c r="AK135" i="69" s="1"/>
  <c r="G9" i="92"/>
  <c r="M9" i="92" s="1"/>
  <c r="M34" i="101"/>
  <c r="S31" i="68"/>
  <c r="S84" i="68" s="1"/>
  <c r="S133" i="68" s="1"/>
  <c r="O42" i="99"/>
  <c r="P42" i="99" s="1"/>
  <c r="E43" i="99"/>
  <c r="H42" i="99"/>
  <c r="M20" i="39"/>
  <c r="C17" i="68"/>
  <c r="C70" i="68" s="1"/>
  <c r="C119" i="68" s="1"/>
  <c r="K39" i="46"/>
  <c r="W39" i="46" s="1"/>
  <c r="Z39" i="46" s="1"/>
  <c r="D40" i="46"/>
  <c r="Q40" i="46"/>
  <c r="T40" i="46" s="1"/>
  <c r="M34" i="88"/>
  <c r="Y31" i="68"/>
  <c r="Y84" i="68" s="1"/>
  <c r="Y133" i="68" s="1"/>
  <c r="BK15" i="68"/>
  <c r="E42" i="90"/>
  <c r="O41" i="90"/>
  <c r="P41" i="90" s="1"/>
  <c r="H41" i="90"/>
  <c r="U34" i="99"/>
  <c r="CA31" i="68"/>
  <c r="CA84" i="68" s="1"/>
  <c r="CA133" i="68" s="1"/>
  <c r="U20" i="59"/>
  <c r="BN17" i="69"/>
  <c r="C50" i="4"/>
  <c r="C46" i="4"/>
  <c r="C51" i="4" s="1"/>
  <c r="BP116" i="69"/>
  <c r="BU66" i="69"/>
  <c r="M20" i="43"/>
  <c r="R17" i="68"/>
  <c r="R70" i="68" s="1"/>
  <c r="R119" i="68" s="1"/>
  <c r="U19" i="66"/>
  <c r="CE16" i="68"/>
  <c r="CE69" i="68" s="1"/>
  <c r="CE118" i="68" s="1"/>
  <c r="CW33" i="68"/>
  <c r="CW86" i="68" s="1"/>
  <c r="CW135" i="68" s="1"/>
  <c r="Y35" i="48"/>
  <c r="X35" i="48"/>
  <c r="BT119" i="68"/>
  <c r="O43" i="67"/>
  <c r="P43" i="67" s="1"/>
  <c r="E44" i="67"/>
  <c r="H43" i="67"/>
  <c r="A32" i="70"/>
  <c r="M34" i="103"/>
  <c r="P31" i="68"/>
  <c r="P84" i="68" s="1"/>
  <c r="P133" i="68" s="1"/>
  <c r="S41" i="90"/>
  <c r="T41" i="90" s="1"/>
  <c r="F42" i="90"/>
  <c r="I41" i="90"/>
  <c r="J50" i="66"/>
  <c r="B51" i="66"/>
  <c r="N51" i="66"/>
  <c r="R50" i="66"/>
  <c r="M21" i="23"/>
  <c r="D18" i="69"/>
  <c r="D71" i="69" s="1"/>
  <c r="D121" i="69" s="1"/>
  <c r="W20" i="23"/>
  <c r="D42" i="59"/>
  <c r="K41" i="59"/>
  <c r="L41" i="59" s="1"/>
  <c r="G41" i="59"/>
  <c r="M20" i="60"/>
  <c r="F17" i="68"/>
  <c r="F70" i="68" s="1"/>
  <c r="F119" i="68" s="1"/>
  <c r="Q35" i="100"/>
  <c r="AQ32" i="68"/>
  <c r="AQ85" i="68" s="1"/>
  <c r="AQ134" i="68" s="1"/>
  <c r="J49" i="96"/>
  <c r="B50" i="96"/>
  <c r="N50" i="96"/>
  <c r="R49" i="96"/>
  <c r="O41" i="43"/>
  <c r="P41" i="43" s="1"/>
  <c r="E42" i="43"/>
  <c r="H41" i="43"/>
  <c r="D42" i="86"/>
  <c r="K41" i="86"/>
  <c r="L41" i="86" s="1"/>
  <c r="G41" i="86"/>
  <c r="J44" i="38"/>
  <c r="B45" i="38"/>
  <c r="N45" i="38"/>
  <c r="R44" i="38"/>
  <c r="S42" i="60"/>
  <c r="T42" i="60" s="1"/>
  <c r="F43" i="60"/>
  <c r="I42" i="60"/>
  <c r="Q20" i="7"/>
  <c r="AB17" i="69"/>
  <c r="AB70" i="69" s="1"/>
  <c r="AB120" i="69" s="1"/>
  <c r="BU69" i="68"/>
  <c r="E43" i="36"/>
  <c r="O42" i="36"/>
  <c r="P42" i="36" s="1"/>
  <c r="H42" i="36"/>
  <c r="S41" i="96"/>
  <c r="T41" i="96" s="1"/>
  <c r="F42" i="96"/>
  <c r="I41" i="96"/>
  <c r="C7" i="70"/>
  <c r="D7" i="70"/>
  <c r="CT116" i="68"/>
  <c r="CZ67" i="68"/>
  <c r="C44" i="80"/>
  <c r="C45" i="80" s="1"/>
  <c r="AQ70" i="69"/>
  <c r="AR17" i="69"/>
  <c r="U21" i="62"/>
  <c r="CB18" i="68"/>
  <c r="CB71" i="68" s="1"/>
  <c r="CB120" i="68" s="1"/>
  <c r="O43" i="86"/>
  <c r="P43" i="86" s="1"/>
  <c r="E44" i="86"/>
  <c r="H43" i="86"/>
  <c r="S42" i="35"/>
  <c r="T42" i="35" s="1"/>
  <c r="F43" i="35"/>
  <c r="I42" i="35"/>
  <c r="H8" i="92"/>
  <c r="N8" i="92" s="1"/>
  <c r="V15" i="69"/>
  <c r="Q34" i="101"/>
  <c r="BB31" i="68"/>
  <c r="BB84" i="68" s="1"/>
  <c r="BB133" i="68" s="1"/>
  <c r="J45" i="82"/>
  <c r="L45" i="82" s="1"/>
  <c r="B46" i="82"/>
  <c r="N46" i="82"/>
  <c r="P46" i="82" s="1"/>
  <c r="R45" i="82"/>
  <c r="T45" i="82" s="1"/>
  <c r="G45" i="82"/>
  <c r="H45" i="82"/>
  <c r="I45" i="82"/>
  <c r="S41" i="1"/>
  <c r="T41" i="1" s="1"/>
  <c r="F42" i="1"/>
  <c r="I41" i="1"/>
  <c r="CT15" i="68"/>
  <c r="E42" i="66"/>
  <c r="O41" i="66"/>
  <c r="P41" i="66" s="1"/>
  <c r="H41" i="66"/>
  <c r="Q21" i="4"/>
  <c r="Z18" i="69"/>
  <c r="C49" i="85"/>
  <c r="C50" i="85" s="1"/>
  <c r="E6" i="70"/>
  <c r="M20" i="38"/>
  <c r="B17" i="68"/>
  <c r="S42" i="58"/>
  <c r="T42" i="58" s="1"/>
  <c r="F43" i="58"/>
  <c r="I42" i="58"/>
  <c r="O41" i="101"/>
  <c r="P41" i="101" s="1"/>
  <c r="E42" i="101"/>
  <c r="H41" i="101"/>
  <c r="J45" i="89"/>
  <c r="L45" i="89" s="1"/>
  <c r="N46" i="89"/>
  <c r="P46" i="89" s="1"/>
  <c r="B46" i="89"/>
  <c r="R45" i="89"/>
  <c r="T45" i="89" s="1"/>
  <c r="I45" i="89"/>
  <c r="H45" i="89"/>
  <c r="G45" i="89"/>
  <c r="M20" i="40"/>
  <c r="D17" i="68"/>
  <c r="D70" i="68" s="1"/>
  <c r="D119" i="68" s="1"/>
  <c r="Q21" i="67"/>
  <c r="AW18" i="68"/>
  <c r="AW71" i="68" s="1"/>
  <c r="AW120" i="68" s="1"/>
  <c r="U20" i="41"/>
  <c r="BW17" i="68"/>
  <c r="BW70" i="68" s="1"/>
  <c r="BW119" i="68" s="1"/>
  <c r="U19" i="61"/>
  <c r="BY16" i="68"/>
  <c r="BY69" i="68" s="1"/>
  <c r="BY118" i="68" s="1"/>
  <c r="Q37" i="83"/>
  <c r="AN34" i="69"/>
  <c r="AN87" i="69" s="1"/>
  <c r="C46" i="43"/>
  <c r="C47" i="43" s="1"/>
  <c r="Q20" i="40"/>
  <c r="AM17" i="68"/>
  <c r="BO118" i="68"/>
  <c r="BP69" i="68"/>
  <c r="O41" i="59"/>
  <c r="P41" i="59" s="1"/>
  <c r="E42" i="59"/>
  <c r="H41" i="59"/>
  <c r="Z119" i="69"/>
  <c r="AO69" i="69"/>
  <c r="C50" i="96"/>
  <c r="M34" i="96"/>
  <c r="J31" i="69"/>
  <c r="J84" i="69" s="1"/>
  <c r="J134" i="69" s="1"/>
  <c r="B119" i="69"/>
  <c r="S43" i="38"/>
  <c r="T43" i="38" s="1"/>
  <c r="F44" i="38"/>
  <c r="I44" i="38" s="1"/>
  <c r="AB68" i="68"/>
  <c r="AB117" i="68" s="1"/>
  <c r="B117" i="68"/>
  <c r="S44" i="63"/>
  <c r="T44" i="63" s="1"/>
  <c r="F45" i="63"/>
  <c r="I44" i="63"/>
  <c r="BW65" i="69"/>
  <c r="BU115" i="69"/>
  <c r="M35" i="89"/>
  <c r="AA32" i="68"/>
  <c r="AA85" i="68" s="1"/>
  <c r="AA134" i="68" s="1"/>
  <c r="CU36" i="68"/>
  <c r="Y38" i="46"/>
  <c r="BK68" i="68"/>
  <c r="BK117" i="68" s="1"/>
  <c r="AM117" i="68"/>
  <c r="O41" i="97"/>
  <c r="P41" i="97" s="1"/>
  <c r="E42" i="97"/>
  <c r="H41" i="97"/>
  <c r="Q20" i="37"/>
  <c r="AF17" i="69"/>
  <c r="AF70" i="69" s="1"/>
  <c r="AF120" i="69" s="1"/>
  <c r="K43" i="38"/>
  <c r="D44" i="38"/>
  <c r="G44" i="38" s="1"/>
  <c r="D7" i="92"/>
  <c r="C7" i="92"/>
  <c r="CZ14" i="68"/>
  <c r="AC87" i="68"/>
  <c r="AG87" i="68" s="1"/>
  <c r="BN86" i="68"/>
  <c r="BP33" i="68"/>
  <c r="DB66" i="68"/>
  <c r="CZ115" i="68"/>
  <c r="U21" i="38"/>
  <c r="BT18" i="68"/>
  <c r="BT71" i="68" s="1"/>
  <c r="AG117" i="68"/>
  <c r="AH68" i="68"/>
  <c r="AH117" i="68" s="1"/>
  <c r="R8" i="70"/>
  <c r="K8" i="70"/>
  <c r="Q20" i="43"/>
  <c r="BA17" i="68"/>
  <c r="BA70" i="68" s="1"/>
  <c r="BA119" i="68" s="1"/>
  <c r="J44" i="83"/>
  <c r="L44" i="83" s="1"/>
  <c r="B45" i="83"/>
  <c r="N45" i="83"/>
  <c r="P45" i="83" s="1"/>
  <c r="R44" i="83"/>
  <c r="T44" i="83" s="1"/>
  <c r="G44" i="83"/>
  <c r="H44" i="83"/>
  <c r="I44" i="83"/>
  <c r="S41" i="23"/>
  <c r="T41" i="23" s="1"/>
  <c r="F42" i="23"/>
  <c r="I41" i="23"/>
  <c r="S41" i="7"/>
  <c r="T41" i="7" s="1"/>
  <c r="F42" i="7"/>
  <c r="I41" i="7"/>
  <c r="Q35" i="81"/>
  <c r="AL32" i="69"/>
  <c r="AL85" i="69" s="1"/>
  <c r="AL135" i="69" s="1"/>
  <c r="U36" i="80"/>
  <c r="BH33" i="69"/>
  <c r="BH86" i="69" s="1"/>
  <c r="BH136" i="69" s="1"/>
  <c r="S41" i="64"/>
  <c r="T41" i="64" s="1"/>
  <c r="F42" i="64"/>
  <c r="I41" i="64"/>
  <c r="AF70" i="68"/>
  <c r="AG17" i="68"/>
  <c r="K42" i="97"/>
  <c r="L42" i="97" s="1"/>
  <c r="D43" i="97"/>
  <c r="G42" i="97"/>
  <c r="D43" i="100"/>
  <c r="K42" i="100"/>
  <c r="L42" i="100" s="1"/>
  <c r="G42" i="100"/>
  <c r="K42" i="7"/>
  <c r="L42" i="7" s="1"/>
  <c r="D43" i="7"/>
  <c r="G42" i="7"/>
  <c r="U36" i="88"/>
  <c r="CQ33" i="68"/>
  <c r="CQ86" i="68" s="1"/>
  <c r="CQ135" i="68" s="1"/>
  <c r="S44" i="85"/>
  <c r="T44" i="85" s="1"/>
  <c r="F45" i="85"/>
  <c r="I44" i="85"/>
  <c r="M34" i="100"/>
  <c r="H31" i="68"/>
  <c r="H84" i="68" s="1"/>
  <c r="H133" i="68" s="1"/>
  <c r="U34" i="102"/>
  <c r="CI31" i="68"/>
  <c r="CI84" i="68" s="1"/>
  <c r="CI133" i="68" s="1"/>
  <c r="BL89" i="68"/>
  <c r="U35" i="103"/>
  <c r="CH32" i="68"/>
  <c r="CH85" i="68" s="1"/>
  <c r="CH134" i="68" s="1"/>
  <c r="M36" i="80"/>
  <c r="N33" i="69"/>
  <c r="N86" i="69" s="1"/>
  <c r="N136" i="69" s="1"/>
  <c r="G43" i="38"/>
  <c r="L43" i="38"/>
  <c r="Q20" i="36"/>
  <c r="AE17" i="69"/>
  <c r="AE70" i="69" s="1"/>
  <c r="AE120" i="69" s="1"/>
  <c r="K42" i="96"/>
  <c r="L42" i="96" s="1"/>
  <c r="D43" i="96"/>
  <c r="G42" i="96"/>
  <c r="U20" i="39"/>
  <c r="BU17" i="68"/>
  <c r="BU70" i="68" s="1"/>
  <c r="BU119" i="68" s="1"/>
  <c r="D39" i="48"/>
  <c r="K38" i="48"/>
  <c r="W38" i="48" s="1"/>
  <c r="Q39" i="48"/>
  <c r="BN134" i="68"/>
  <c r="BP85" i="68"/>
  <c r="E43" i="7"/>
  <c r="O42" i="7"/>
  <c r="P42" i="7" s="1"/>
  <c r="H42" i="7"/>
  <c r="D42" i="101"/>
  <c r="K41" i="101"/>
  <c r="L41" i="101" s="1"/>
  <c r="G41" i="101"/>
  <c r="Q35" i="96"/>
  <c r="AG32" i="69"/>
  <c r="AG85" i="69" s="1"/>
  <c r="AG135" i="69" s="1"/>
  <c r="AH16" i="68"/>
  <c r="K9" i="92"/>
  <c r="Q37" i="85"/>
  <c r="BD34" i="68"/>
  <c r="BD87" i="68" s="1"/>
  <c r="H7" i="70"/>
  <c r="K42" i="85"/>
  <c r="L42" i="85" s="1"/>
  <c r="D43" i="85"/>
  <c r="G42" i="85"/>
  <c r="K42" i="66"/>
  <c r="L42" i="66" s="1"/>
  <c r="D43" i="66"/>
  <c r="G42" i="66"/>
  <c r="O43" i="100"/>
  <c r="P43" i="100" s="1"/>
  <c r="E44" i="100"/>
  <c r="H43" i="100"/>
  <c r="BO117" i="69"/>
  <c r="BP67" i="69"/>
  <c r="Q36" i="104"/>
  <c r="BI33" i="68"/>
  <c r="BI86" i="68" s="1"/>
  <c r="BI135" i="68" s="1"/>
  <c r="M20" i="44"/>
  <c r="T17" i="68"/>
  <c r="T70" i="68" s="1"/>
  <c r="T119" i="68" s="1"/>
  <c r="Q21" i="59"/>
  <c r="AQ18" i="69"/>
  <c r="V20" i="59"/>
  <c r="BO70" i="68"/>
  <c r="BP17" i="68"/>
  <c r="U36" i="81"/>
  <c r="BI33" i="69"/>
  <c r="BI86" i="69" s="1"/>
  <c r="BI136" i="69" s="1"/>
  <c r="Q35" i="89"/>
  <c r="BJ32" i="68"/>
  <c r="BJ85" i="68" s="1"/>
  <c r="BJ134" i="68" s="1"/>
  <c r="AW69" i="69"/>
  <c r="BL16" i="69"/>
  <c r="B9" i="92" s="1"/>
  <c r="BU117" i="68"/>
  <c r="CT68" i="68"/>
  <c r="DA68" i="68"/>
  <c r="DA117" i="68" s="1"/>
  <c r="M20" i="35"/>
  <c r="F17" i="69"/>
  <c r="F70" i="69" s="1"/>
  <c r="F120" i="69" s="1"/>
  <c r="C44" i="38"/>
  <c r="C45" i="38" s="1"/>
  <c r="M35" i="90"/>
  <c r="M32" i="69"/>
  <c r="M85" i="69" s="1"/>
  <c r="M135" i="69" s="1"/>
  <c r="M36" i="83"/>
  <c r="Q33" i="69"/>
  <c r="Q86" i="69" s="1"/>
  <c r="Q136" i="69" s="1"/>
  <c r="S42" i="36"/>
  <c r="T42" i="36" s="1"/>
  <c r="F43" i="36"/>
  <c r="I42" i="36"/>
  <c r="S41" i="99"/>
  <c r="T41" i="99" s="1"/>
  <c r="F42" i="99"/>
  <c r="I41" i="99"/>
  <c r="Q22" i="62"/>
  <c r="AS19" i="68"/>
  <c r="AS72" i="68" s="1"/>
  <c r="AS121" i="68" s="1"/>
  <c r="S42" i="67"/>
  <c r="T42" i="67" s="1"/>
  <c r="F43" i="67"/>
  <c r="I42" i="67"/>
  <c r="M41" i="74" l="1"/>
  <c r="V118" i="69"/>
  <c r="CV34" i="68"/>
  <c r="CV87" i="68" s="1"/>
  <c r="Y36" i="47"/>
  <c r="BK33" i="69"/>
  <c r="BK86" i="69" s="1"/>
  <c r="BK136" i="69" s="1"/>
  <c r="U36" i="83"/>
  <c r="R117" i="69"/>
  <c r="V67" i="69"/>
  <c r="V117" i="69" s="1"/>
  <c r="J47" i="86"/>
  <c r="B48" i="86"/>
  <c r="R47" i="86"/>
  <c r="N48" i="86"/>
  <c r="U20" i="64"/>
  <c r="CC17" i="68"/>
  <c r="CC70" i="68" s="1"/>
  <c r="CC119" i="68" s="1"/>
  <c r="N37" i="47"/>
  <c r="W37" i="47"/>
  <c r="Z37" i="47" s="1"/>
  <c r="G41" i="74"/>
  <c r="D42" i="74"/>
  <c r="K41" i="74"/>
  <c r="L41" i="74" s="1"/>
  <c r="T70" i="69"/>
  <c r="U17" i="69"/>
  <c r="J50" i="36"/>
  <c r="B51" i="36"/>
  <c r="N51" i="36"/>
  <c r="R50" i="36"/>
  <c r="H17" i="69"/>
  <c r="H70" i="69" s="1"/>
  <c r="M20" i="36"/>
  <c r="Q22" i="38"/>
  <c r="AK19" i="68"/>
  <c r="AK72" i="68" s="1"/>
  <c r="AK121" i="68" s="1"/>
  <c r="O42" i="98"/>
  <c r="P42" i="98" s="1"/>
  <c r="E43" i="98"/>
  <c r="H42" i="98"/>
  <c r="J46" i="58"/>
  <c r="B47" i="58"/>
  <c r="N47" i="58"/>
  <c r="R46" i="58"/>
  <c r="AM34" i="69"/>
  <c r="AM87" i="69" s="1"/>
  <c r="Q37" i="82"/>
  <c r="U21" i="63"/>
  <c r="CX18" i="68"/>
  <c r="I38" i="75"/>
  <c r="F39" i="75"/>
  <c r="S38" i="75"/>
  <c r="T38" i="75" s="1"/>
  <c r="U38" i="75" s="1"/>
  <c r="E7" i="92"/>
  <c r="N41" i="45"/>
  <c r="W41" i="45"/>
  <c r="Z41" i="45" s="1"/>
  <c r="U21" i="35"/>
  <c r="AZ18" i="69"/>
  <c r="AZ71" i="69" s="1"/>
  <c r="AZ121" i="69" s="1"/>
  <c r="CX118" i="68"/>
  <c r="CY69" i="68"/>
  <c r="CY118" i="68" s="1"/>
  <c r="AA18" i="69"/>
  <c r="AA71" i="69" s="1"/>
  <c r="AA121" i="69" s="1"/>
  <c r="X20" i="23"/>
  <c r="Q21" i="23"/>
  <c r="J47" i="60"/>
  <c r="B48" i="60"/>
  <c r="C48" i="60" s="1"/>
  <c r="N48" i="60"/>
  <c r="R47" i="60"/>
  <c r="BC17" i="69"/>
  <c r="BC70" i="69" s="1"/>
  <c r="BC120" i="69" s="1"/>
  <c r="U20" i="37"/>
  <c r="Q22" i="1"/>
  <c r="Y19" i="69"/>
  <c r="Y72" i="69" s="1"/>
  <c r="Y122" i="69" s="1"/>
  <c r="AX18" i="69"/>
  <c r="AX71" i="69" s="1"/>
  <c r="AX121" i="69" s="1"/>
  <c r="U21" i="23"/>
  <c r="BO39" i="68"/>
  <c r="BO92" i="68" s="1"/>
  <c r="Q42" i="63"/>
  <c r="H43" i="63"/>
  <c r="O43" i="63"/>
  <c r="P43" i="63" s="1"/>
  <c r="E44" i="63"/>
  <c r="Q41" i="74"/>
  <c r="BM36" i="68"/>
  <c r="BM89" i="68" s="1"/>
  <c r="S38" i="47"/>
  <c r="CS33" i="68"/>
  <c r="CS86" i="68" s="1"/>
  <c r="CS135" i="68" s="1"/>
  <c r="U36" i="89"/>
  <c r="U20" i="44"/>
  <c r="CL17" i="68"/>
  <c r="CL70" i="68" s="1"/>
  <c r="CL119" i="68" s="1"/>
  <c r="U35" i="87"/>
  <c r="CP32" i="68"/>
  <c r="CP85" i="68" s="1"/>
  <c r="CP134" i="68" s="1"/>
  <c r="CN32" i="68"/>
  <c r="CN85" i="68" s="1"/>
  <c r="CN134" i="68" s="1"/>
  <c r="J48" i="7"/>
  <c r="B49" i="7"/>
  <c r="N49" i="7"/>
  <c r="R48" i="7"/>
  <c r="M20" i="64"/>
  <c r="K17" i="68"/>
  <c r="K70" i="68" s="1"/>
  <c r="K119" i="68" s="1"/>
  <c r="CX70" i="68"/>
  <c r="CY17" i="68"/>
  <c r="AN18" i="68"/>
  <c r="AN71" i="68" s="1"/>
  <c r="AN120" i="68" s="1"/>
  <c r="Q21" i="41"/>
  <c r="C47" i="86"/>
  <c r="C48" i="86" s="1"/>
  <c r="E17" i="68"/>
  <c r="E70" i="68" s="1"/>
  <c r="E119" i="68" s="1"/>
  <c r="M20" i="41"/>
  <c r="D42" i="75"/>
  <c r="K41" i="75"/>
  <c r="L41" i="75" s="1"/>
  <c r="M41" i="75" s="1"/>
  <c r="G41" i="75"/>
  <c r="AP39" i="69"/>
  <c r="AP92" i="69" s="1"/>
  <c r="S41" i="45"/>
  <c r="U20" i="42"/>
  <c r="CG17" i="68"/>
  <c r="CG70" i="68" s="1"/>
  <c r="CG119" i="68" s="1"/>
  <c r="Q35" i="99"/>
  <c r="AR32" i="68"/>
  <c r="AR85" i="68" s="1"/>
  <c r="AR134" i="68" s="1"/>
  <c r="BM38" i="69"/>
  <c r="BM91" i="69" s="1"/>
  <c r="Y40" i="45"/>
  <c r="BJ33" i="69"/>
  <c r="BJ86" i="69" s="1"/>
  <c r="BJ136" i="69" s="1"/>
  <c r="U36" i="82"/>
  <c r="Q24" i="35"/>
  <c r="AC21" i="69"/>
  <c r="AC74" i="69" s="1"/>
  <c r="AC124" i="69" s="1"/>
  <c r="D39" i="47"/>
  <c r="K38" i="47"/>
  <c r="Q39" i="47"/>
  <c r="T39" i="47" s="1"/>
  <c r="M21" i="59"/>
  <c r="T18" i="69"/>
  <c r="W20" i="59"/>
  <c r="E42" i="74"/>
  <c r="H41" i="74"/>
  <c r="O41" i="74"/>
  <c r="P41" i="74" s="1"/>
  <c r="CM32" i="68"/>
  <c r="CM85" i="68" s="1"/>
  <c r="CM134" i="68" s="1"/>
  <c r="U35" i="85"/>
  <c r="H44" i="47"/>
  <c r="L44" i="47"/>
  <c r="E45" i="47"/>
  <c r="U21" i="7"/>
  <c r="AY18" i="69"/>
  <c r="AY71" i="69" s="1"/>
  <c r="AY121" i="69" s="1"/>
  <c r="I17" i="69"/>
  <c r="I70" i="69" s="1"/>
  <c r="I120" i="69" s="1"/>
  <c r="M20" i="37"/>
  <c r="S43" i="101"/>
  <c r="T43" i="101" s="1"/>
  <c r="F44" i="101"/>
  <c r="I43" i="101"/>
  <c r="M34" i="58"/>
  <c r="G31" i="69"/>
  <c r="G84" i="69" s="1"/>
  <c r="G134" i="69" s="1"/>
  <c r="M21" i="62"/>
  <c r="J18" i="68"/>
  <c r="J71" i="68" s="1"/>
  <c r="J120" i="68" s="1"/>
  <c r="D42" i="45"/>
  <c r="Q42" i="45" s="1"/>
  <c r="T42" i="45" s="1"/>
  <c r="M21" i="61"/>
  <c r="G18" i="68"/>
  <c r="G71" i="68" s="1"/>
  <c r="G120" i="68" s="1"/>
  <c r="U21" i="1"/>
  <c r="AV18" i="69"/>
  <c r="AV71" i="69" s="1"/>
  <c r="AV121" i="69" s="1"/>
  <c r="L17" i="68"/>
  <c r="L70" i="68" s="1"/>
  <c r="L119" i="68" s="1"/>
  <c r="M20" i="65"/>
  <c r="U36" i="101"/>
  <c r="CK33" i="68"/>
  <c r="CK86" i="68" s="1"/>
  <c r="CK135" i="68" s="1"/>
  <c r="S38" i="69"/>
  <c r="S91" i="69" s="1"/>
  <c r="M40" i="45"/>
  <c r="Q21" i="39"/>
  <c r="AL18" i="68"/>
  <c r="AL71" i="68" s="1"/>
  <c r="AL120" i="68" s="1"/>
  <c r="M36" i="47"/>
  <c r="X34" i="68"/>
  <c r="X87" i="68" s="1"/>
  <c r="M37" i="87"/>
  <c r="C48" i="7"/>
  <c r="C49" i="7" s="1"/>
  <c r="H69" i="69"/>
  <c r="R16" i="69"/>
  <c r="V16" i="69" s="1"/>
  <c r="T119" i="69"/>
  <c r="U69" i="69"/>
  <c r="U119" i="69" s="1"/>
  <c r="M21" i="4"/>
  <c r="C18" i="69"/>
  <c r="C71" i="69" s="1"/>
  <c r="C121" i="69" s="1"/>
  <c r="BH32" i="68"/>
  <c r="BH85" i="68" s="1"/>
  <c r="BH134" i="68" s="1"/>
  <c r="Q35" i="88"/>
  <c r="I43" i="74"/>
  <c r="S43" i="74"/>
  <c r="T43" i="74" s="1"/>
  <c r="U43" i="74" s="1"/>
  <c r="F44" i="74"/>
  <c r="AG34" i="68"/>
  <c r="E46" i="48"/>
  <c r="H45" i="48"/>
  <c r="G43" i="48"/>
  <c r="J42" i="48"/>
  <c r="E44" i="46"/>
  <c r="H43" i="46"/>
  <c r="I44" i="47"/>
  <c r="R44" i="47"/>
  <c r="F45" i="47"/>
  <c r="F43" i="103"/>
  <c r="I42" i="103"/>
  <c r="S42" i="103"/>
  <c r="T42" i="103" s="1"/>
  <c r="M45" i="63"/>
  <c r="AF42" i="68"/>
  <c r="AF95" i="68" s="1"/>
  <c r="E43" i="64"/>
  <c r="O42" i="64"/>
  <c r="P42" i="64" s="1"/>
  <c r="H42" i="64"/>
  <c r="S42" i="100"/>
  <c r="T42" i="100" s="1"/>
  <c r="F43" i="100"/>
  <c r="I42" i="100"/>
  <c r="H42" i="38"/>
  <c r="O42" i="38"/>
  <c r="P42" i="38" s="1"/>
  <c r="E43" i="38"/>
  <c r="S43" i="97"/>
  <c r="T43" i="97" s="1"/>
  <c r="F44" i="97"/>
  <c r="I43" i="97"/>
  <c r="S42" i="99"/>
  <c r="T42" i="99" s="1"/>
  <c r="F43" i="99"/>
  <c r="I42" i="99"/>
  <c r="M37" i="83"/>
  <c r="Q34" i="69"/>
  <c r="Q87" i="69" s="1"/>
  <c r="AW119" i="69"/>
  <c r="BT69" i="69"/>
  <c r="BL69" i="69"/>
  <c r="M21" i="44"/>
  <c r="T18" i="68"/>
  <c r="T71" i="68" s="1"/>
  <c r="T120" i="68" s="1"/>
  <c r="K43" i="66"/>
  <c r="L43" i="66" s="1"/>
  <c r="D44" i="66"/>
  <c r="G43" i="66"/>
  <c r="U21" i="39"/>
  <c r="BU18" i="68"/>
  <c r="BU71" i="68" s="1"/>
  <c r="BU120" i="68" s="1"/>
  <c r="M35" i="100"/>
  <c r="H32" i="68"/>
  <c r="H85" i="68" s="1"/>
  <c r="H134" i="68" s="1"/>
  <c r="K10" i="92"/>
  <c r="Q36" i="81"/>
  <c r="AL33" i="69"/>
  <c r="AL86" i="69" s="1"/>
  <c r="AL136" i="69" s="1"/>
  <c r="Q21" i="43"/>
  <c r="BA18" i="68"/>
  <c r="BA71" i="68" s="1"/>
  <c r="BA120" i="68" s="1"/>
  <c r="Q21" i="37"/>
  <c r="AF18" i="69"/>
  <c r="AF71" i="69" s="1"/>
  <c r="AF121" i="69" s="1"/>
  <c r="M35" i="96"/>
  <c r="J32" i="69"/>
  <c r="J85" i="69" s="1"/>
  <c r="J135" i="69" s="1"/>
  <c r="Q21" i="40"/>
  <c r="AM18" i="68"/>
  <c r="M21" i="38"/>
  <c r="B18" i="68"/>
  <c r="Z71" i="69"/>
  <c r="J46" i="82"/>
  <c r="L46" i="82" s="1"/>
  <c r="B47" i="82"/>
  <c r="N47" i="82"/>
  <c r="P47" i="82" s="1"/>
  <c r="R46" i="82"/>
  <c r="T46" i="82" s="1"/>
  <c r="G46" i="82"/>
  <c r="I46" i="82"/>
  <c r="H46" i="82"/>
  <c r="J10" i="92"/>
  <c r="CZ116" i="68"/>
  <c r="DB67" i="68"/>
  <c r="BU118" i="68"/>
  <c r="DA69" i="68"/>
  <c r="DA118" i="68" s="1"/>
  <c r="CT69" i="68"/>
  <c r="M21" i="43"/>
  <c r="R18" i="68"/>
  <c r="R71" i="68" s="1"/>
  <c r="R120" i="68" s="1"/>
  <c r="U35" i="99"/>
  <c r="CA32" i="68"/>
  <c r="CA85" i="68" s="1"/>
  <c r="CA134" i="68" s="1"/>
  <c r="E7" i="70"/>
  <c r="G8" i="92"/>
  <c r="M8" i="92" s="1"/>
  <c r="BQ15" i="68"/>
  <c r="D41" i="46"/>
  <c r="K40" i="46"/>
  <c r="W40" i="46" s="1"/>
  <c r="Z40" i="46" s="1"/>
  <c r="Q41" i="46"/>
  <c r="T41" i="46" s="1"/>
  <c r="M35" i="101"/>
  <c r="S32" i="68"/>
  <c r="S85" i="68" s="1"/>
  <c r="S134" i="68" s="1"/>
  <c r="K43" i="35"/>
  <c r="L43" i="35" s="1"/>
  <c r="D44" i="35"/>
  <c r="G43" i="35"/>
  <c r="U41" i="86"/>
  <c r="CO38" i="68"/>
  <c r="CO91" i="68" s="1"/>
  <c r="O42" i="60"/>
  <c r="P42" i="60" s="1"/>
  <c r="E43" i="60"/>
  <c r="H42" i="60"/>
  <c r="AO17" i="69"/>
  <c r="K42" i="1"/>
  <c r="L42" i="1" s="1"/>
  <c r="D43" i="1"/>
  <c r="G42" i="1"/>
  <c r="U37" i="104"/>
  <c r="CR34" i="68"/>
  <c r="CR87" i="68" s="1"/>
  <c r="J45" i="80"/>
  <c r="B46" i="80"/>
  <c r="C46" i="80" s="1"/>
  <c r="N46" i="80"/>
  <c r="R45" i="80"/>
  <c r="U21" i="40"/>
  <c r="BV18" i="68"/>
  <c r="BV71" i="68" s="1"/>
  <c r="BV120" i="68" s="1"/>
  <c r="BP16" i="69"/>
  <c r="K42" i="4"/>
  <c r="K43" i="4" s="1"/>
  <c r="K44" i="4" s="1"/>
  <c r="K45" i="4" s="1"/>
  <c r="K46" i="4" s="1"/>
  <c r="K47" i="4" s="1"/>
  <c r="K48" i="4" s="1"/>
  <c r="K49" i="4" s="1"/>
  <c r="K50" i="4" s="1"/>
  <c r="K51" i="4" s="1"/>
  <c r="K52" i="4" s="1"/>
  <c r="K53" i="4" s="1"/>
  <c r="K54" i="4" s="1"/>
  <c r="L41" i="4"/>
  <c r="L42" i="4" s="1"/>
  <c r="L43" i="4" s="1"/>
  <c r="L44" i="4" s="1"/>
  <c r="L45" i="4" s="1"/>
  <c r="L46" i="4" s="1"/>
  <c r="L47" i="4" s="1"/>
  <c r="L48" i="4" s="1"/>
  <c r="L49" i="4" s="1"/>
  <c r="L50" i="4" s="1"/>
  <c r="L51" i="4" s="1"/>
  <c r="L52" i="4" s="1"/>
  <c r="L53" i="4" s="1"/>
  <c r="L54" i="4" s="1"/>
  <c r="O42" i="35"/>
  <c r="P42" i="35" s="1"/>
  <c r="E43" i="35"/>
  <c r="H42" i="35"/>
  <c r="K43" i="64"/>
  <c r="L43" i="64" s="1"/>
  <c r="D44" i="64"/>
  <c r="G43" i="64"/>
  <c r="O42" i="1"/>
  <c r="P42" i="1" s="1"/>
  <c r="E43" i="1"/>
  <c r="H42" i="1"/>
  <c r="M36" i="104"/>
  <c r="Z33" i="68"/>
  <c r="Z86" i="68" s="1"/>
  <c r="Z135" i="68" s="1"/>
  <c r="U35" i="97"/>
  <c r="BF32" i="69"/>
  <c r="BF85" i="69" s="1"/>
  <c r="BF135" i="69" s="1"/>
  <c r="M36" i="99"/>
  <c r="I33" i="68"/>
  <c r="I86" i="68" s="1"/>
  <c r="I135" i="68" s="1"/>
  <c r="BP71" i="68"/>
  <c r="BO120" i="68"/>
  <c r="BO121" i="68"/>
  <c r="U21" i="60"/>
  <c r="BX18" i="68"/>
  <c r="BX71" i="68" s="1"/>
  <c r="BX120" i="68" s="1"/>
  <c r="U36" i="98"/>
  <c r="BE33" i="69"/>
  <c r="BE86" i="69" s="1"/>
  <c r="BE136" i="69" s="1"/>
  <c r="BE33" i="68"/>
  <c r="BE86" i="68" s="1"/>
  <c r="BE135" i="68" s="1"/>
  <c r="BG33" i="68"/>
  <c r="BG86" i="68" s="1"/>
  <c r="BG135" i="68" s="1"/>
  <c r="Q36" i="87"/>
  <c r="Q37" i="90"/>
  <c r="AJ34" i="69"/>
  <c r="AJ87" i="69" s="1"/>
  <c r="BQ68" i="68"/>
  <c r="BQ117" i="68" s="1"/>
  <c r="Q20" i="44"/>
  <c r="BC17" i="68"/>
  <c r="BC70" i="68" s="1"/>
  <c r="BC119" i="68" s="1"/>
  <c r="AZ33" i="68"/>
  <c r="AZ86" i="68" s="1"/>
  <c r="AZ135" i="68" s="1"/>
  <c r="Q36" i="102"/>
  <c r="CW34" i="68"/>
  <c r="CW87" i="68" s="1"/>
  <c r="Y36" i="48"/>
  <c r="X36" i="48"/>
  <c r="F49" i="46"/>
  <c r="I48" i="46"/>
  <c r="R48" i="46" s="1"/>
  <c r="K43" i="102"/>
  <c r="L43" i="102" s="1"/>
  <c r="D44" i="102"/>
  <c r="G43" i="102"/>
  <c r="M36" i="81"/>
  <c r="O33" i="69"/>
  <c r="O86" i="69" s="1"/>
  <c r="O136" i="69" s="1"/>
  <c r="D44" i="58"/>
  <c r="K43" i="58"/>
  <c r="L43" i="58" s="1"/>
  <c r="G43" i="58"/>
  <c r="S42" i="80"/>
  <c r="T42" i="80" s="1"/>
  <c r="F43" i="80"/>
  <c r="I42" i="80"/>
  <c r="O42" i="4"/>
  <c r="O43" i="4" s="1"/>
  <c r="O44" i="4" s="1"/>
  <c r="O45" i="4" s="1"/>
  <c r="O46" i="4" s="1"/>
  <c r="O47" i="4" s="1"/>
  <c r="O48" i="4" s="1"/>
  <c r="O49" i="4" s="1"/>
  <c r="O50" i="4" s="1"/>
  <c r="O51" i="4" s="1"/>
  <c r="O52" i="4" s="1"/>
  <c r="O53" i="4" s="1"/>
  <c r="O54" i="4" s="1"/>
  <c r="P41" i="4"/>
  <c r="P42" i="4" s="1"/>
  <c r="P43" i="4" s="1"/>
  <c r="P44" i="4" s="1"/>
  <c r="P45" i="4" s="1"/>
  <c r="P46" i="4" s="1"/>
  <c r="P47" i="4" s="1"/>
  <c r="P48" i="4" s="1"/>
  <c r="P49" i="4" s="1"/>
  <c r="P50" i="4" s="1"/>
  <c r="P51" i="4" s="1"/>
  <c r="P52" i="4" s="1"/>
  <c r="P53" i="4" s="1"/>
  <c r="P54" i="4" s="1"/>
  <c r="D8" i="70"/>
  <c r="C8" i="70"/>
  <c r="CT117" i="68"/>
  <c r="CZ68" i="68"/>
  <c r="U37" i="81"/>
  <c r="BI34" i="69"/>
  <c r="BI87" i="69" s="1"/>
  <c r="AQ71" i="69"/>
  <c r="AR18" i="69"/>
  <c r="O44" i="100"/>
  <c r="P44" i="100" s="1"/>
  <c r="E45" i="100"/>
  <c r="H44" i="100"/>
  <c r="N7" i="70"/>
  <c r="O43" i="7"/>
  <c r="P43" i="7" s="1"/>
  <c r="E44" i="7"/>
  <c r="H43" i="7"/>
  <c r="M37" i="80"/>
  <c r="N34" i="69"/>
  <c r="N87" i="69" s="1"/>
  <c r="U36" i="103"/>
  <c r="CH33" i="68"/>
  <c r="CH86" i="68" s="1"/>
  <c r="CH135" i="68" s="1"/>
  <c r="U37" i="88"/>
  <c r="CQ34" i="68"/>
  <c r="CQ87" i="68" s="1"/>
  <c r="AG70" i="68"/>
  <c r="AF119" i="68"/>
  <c r="J45" i="83"/>
  <c r="L45" i="83" s="1"/>
  <c r="B46" i="83"/>
  <c r="N46" i="83"/>
  <c r="P46" i="83" s="1"/>
  <c r="R45" i="83"/>
  <c r="T45" i="83" s="1"/>
  <c r="G45" i="83"/>
  <c r="I45" i="83"/>
  <c r="H45" i="83"/>
  <c r="BT120" i="68"/>
  <c r="M36" i="89"/>
  <c r="AA33" i="68"/>
  <c r="AA86" i="68" s="1"/>
  <c r="AA135" i="68" s="1"/>
  <c r="O42" i="59"/>
  <c r="P42" i="59" s="1"/>
  <c r="E43" i="59"/>
  <c r="H42" i="59"/>
  <c r="BP118" i="68"/>
  <c r="U20" i="61"/>
  <c r="BY17" i="68"/>
  <c r="BY70" i="68" s="1"/>
  <c r="BY119" i="68" s="1"/>
  <c r="Q22" i="67"/>
  <c r="AW19" i="68"/>
  <c r="AW72" i="68" s="1"/>
  <c r="AW121" i="68" s="1"/>
  <c r="S43" i="58"/>
  <c r="T43" i="58" s="1"/>
  <c r="F44" i="58"/>
  <c r="I43" i="58"/>
  <c r="Q22" i="4"/>
  <c r="Z19" i="69"/>
  <c r="S42" i="1"/>
  <c r="T42" i="1" s="1"/>
  <c r="F43" i="1"/>
  <c r="I42" i="1"/>
  <c r="AQ120" i="69"/>
  <c r="AR70" i="69"/>
  <c r="S42" i="96"/>
  <c r="T42" i="96" s="1"/>
  <c r="F43" i="96"/>
  <c r="I42" i="96"/>
  <c r="O43" i="36"/>
  <c r="P43" i="36" s="1"/>
  <c r="E44" i="36"/>
  <c r="H43" i="36"/>
  <c r="Q21" i="7"/>
  <c r="AB18" i="69"/>
  <c r="AB71" i="69" s="1"/>
  <c r="AB121" i="69" s="1"/>
  <c r="D43" i="86"/>
  <c r="K42" i="86"/>
  <c r="L42" i="86" s="1"/>
  <c r="G42" i="86"/>
  <c r="Q36" i="100"/>
  <c r="AQ33" i="68"/>
  <c r="AQ86" i="68" s="1"/>
  <c r="AQ135" i="68" s="1"/>
  <c r="M22" i="23"/>
  <c r="D19" i="69"/>
  <c r="D72" i="69" s="1"/>
  <c r="D122" i="69" s="1"/>
  <c r="W21" i="23"/>
  <c r="M35" i="103"/>
  <c r="P32" i="68"/>
  <c r="P85" i="68" s="1"/>
  <c r="P134" i="68" s="1"/>
  <c r="O44" i="67"/>
  <c r="P44" i="67" s="1"/>
  <c r="E45" i="67"/>
  <c r="H44" i="67"/>
  <c r="BW66" i="69"/>
  <c r="BU116" i="69"/>
  <c r="BN70" i="69"/>
  <c r="BO17" i="69"/>
  <c r="CU37" i="68"/>
  <c r="Y39" i="46"/>
  <c r="M21" i="39"/>
  <c r="C18" i="68"/>
  <c r="C71" i="68" s="1"/>
  <c r="C120" i="68" s="1"/>
  <c r="Q36" i="80"/>
  <c r="AK33" i="69"/>
  <c r="AK86" i="69" s="1"/>
  <c r="AK136" i="69" s="1"/>
  <c r="BK69" i="68"/>
  <c r="BK118" i="68" s="1"/>
  <c r="AM118" i="68"/>
  <c r="U22" i="67"/>
  <c r="CF19" i="68"/>
  <c r="CF72" i="68" s="1"/>
  <c r="CF121" i="68" s="1"/>
  <c r="Q22" i="66"/>
  <c r="AV19" i="68"/>
  <c r="AV72" i="68" s="1"/>
  <c r="AV121" i="68" s="1"/>
  <c r="Z120" i="69"/>
  <c r="AO70" i="69"/>
  <c r="M36" i="98"/>
  <c r="K33" i="69"/>
  <c r="K86" i="69" s="1"/>
  <c r="K136" i="69" s="1"/>
  <c r="Q21" i="42"/>
  <c r="AX18" i="68"/>
  <c r="AX71" i="68" s="1"/>
  <c r="AX120" i="68" s="1"/>
  <c r="M20" i="67"/>
  <c r="N17" i="68"/>
  <c r="N70" i="68" s="1"/>
  <c r="N119" i="68" s="1"/>
  <c r="K42" i="103"/>
  <c r="L42" i="103" s="1"/>
  <c r="D43" i="103"/>
  <c r="G42" i="103"/>
  <c r="M36" i="82"/>
  <c r="P33" i="69"/>
  <c r="P86" i="69" s="1"/>
  <c r="P136" i="69" s="1"/>
  <c r="U22" i="43"/>
  <c r="CJ19" i="68"/>
  <c r="CJ72" i="68" s="1"/>
  <c r="CJ121" i="68" s="1"/>
  <c r="BN119" i="69"/>
  <c r="BO69" i="69"/>
  <c r="D44" i="63"/>
  <c r="G43" i="63"/>
  <c r="K43" i="63"/>
  <c r="L43" i="63" s="1"/>
  <c r="O42" i="103"/>
  <c r="P42" i="103" s="1"/>
  <c r="E43" i="103"/>
  <c r="H42" i="103"/>
  <c r="B47" i="59"/>
  <c r="J46" i="59"/>
  <c r="N47" i="59"/>
  <c r="R46" i="59"/>
  <c r="R17" i="69"/>
  <c r="M22" i="42"/>
  <c r="O19" i="68"/>
  <c r="O72" i="68" s="1"/>
  <c r="O121" i="68" s="1"/>
  <c r="Q35" i="86"/>
  <c r="BF32" i="68"/>
  <c r="BF85" i="68" s="1"/>
  <c r="BF134" i="68" s="1"/>
  <c r="S42" i="98"/>
  <c r="T42" i="98" s="1"/>
  <c r="F43" i="98"/>
  <c r="I42" i="98"/>
  <c r="S42" i="4"/>
  <c r="S43" i="4" s="1"/>
  <c r="S44" i="4" s="1"/>
  <c r="S45" i="4" s="1"/>
  <c r="S46" i="4" s="1"/>
  <c r="S47" i="4" s="1"/>
  <c r="S48" i="4" s="1"/>
  <c r="S49" i="4" s="1"/>
  <c r="S50" i="4" s="1"/>
  <c r="S51" i="4" s="1"/>
  <c r="S52" i="4" s="1"/>
  <c r="S53" i="4" s="1"/>
  <c r="S54" i="4" s="1"/>
  <c r="T41" i="4"/>
  <c r="T42" i="4" s="1"/>
  <c r="T43" i="4" s="1"/>
  <c r="T44" i="4" s="1"/>
  <c r="T45" i="4" s="1"/>
  <c r="T46" i="4" s="1"/>
  <c r="T47" i="4" s="1"/>
  <c r="T48" i="4" s="1"/>
  <c r="T49" i="4" s="1"/>
  <c r="T50" i="4" s="1"/>
  <c r="T51" i="4" s="1"/>
  <c r="T52" i="4" s="1"/>
  <c r="T53" i="4" s="1"/>
  <c r="T54" i="4" s="1"/>
  <c r="J47" i="43"/>
  <c r="B48" i="43"/>
  <c r="N48" i="43"/>
  <c r="R47" i="43"/>
  <c r="BN87" i="68"/>
  <c r="BP87" i="68" s="1"/>
  <c r="BP34" i="68"/>
  <c r="S43" i="66"/>
  <c r="T43" i="66" s="1"/>
  <c r="F44" i="66"/>
  <c r="I43" i="66"/>
  <c r="M35" i="97"/>
  <c r="L32" i="69"/>
  <c r="L85" i="69" s="1"/>
  <c r="L135" i="69" s="1"/>
  <c r="K43" i="23"/>
  <c r="L43" i="23" s="1"/>
  <c r="D44" i="23"/>
  <c r="G43" i="23"/>
  <c r="O42" i="23"/>
  <c r="P42" i="23" s="1"/>
  <c r="E43" i="23"/>
  <c r="H42" i="23"/>
  <c r="K43" i="67"/>
  <c r="L43" i="67" s="1"/>
  <c r="D44" i="67"/>
  <c r="G43" i="67"/>
  <c r="Q23" i="62"/>
  <c r="AS20" i="68"/>
  <c r="AS73" i="68" s="1"/>
  <c r="AS122" i="68" s="1"/>
  <c r="M36" i="90"/>
  <c r="M33" i="69"/>
  <c r="M86" i="69" s="1"/>
  <c r="M136" i="69" s="1"/>
  <c r="Q22" i="59"/>
  <c r="AQ19" i="69"/>
  <c r="V21" i="59"/>
  <c r="Q37" i="104"/>
  <c r="BI34" i="68"/>
  <c r="BI87" i="68" s="1"/>
  <c r="BP117" i="69"/>
  <c r="BU67" i="69"/>
  <c r="K42" i="101"/>
  <c r="L42" i="101" s="1"/>
  <c r="D43" i="101"/>
  <c r="G42" i="101"/>
  <c r="BP134" i="68"/>
  <c r="K39" i="48"/>
  <c r="W39" i="48" s="1"/>
  <c r="D40" i="48"/>
  <c r="Q40" i="48"/>
  <c r="K43" i="96"/>
  <c r="L43" i="96" s="1"/>
  <c r="D44" i="96"/>
  <c r="G43" i="96"/>
  <c r="U35" i="102"/>
  <c r="CI32" i="68"/>
  <c r="CI85" i="68" s="1"/>
  <c r="CI134" i="68" s="1"/>
  <c r="S45" i="85"/>
  <c r="T45" i="85" s="1"/>
  <c r="F46" i="85"/>
  <c r="I45" i="85"/>
  <c r="K43" i="97"/>
  <c r="L43" i="97" s="1"/>
  <c r="D44" i="97"/>
  <c r="G43" i="97"/>
  <c r="U37" i="80"/>
  <c r="BH34" i="69"/>
  <c r="BH87" i="69" s="1"/>
  <c r="S42" i="7"/>
  <c r="T42" i="7" s="1"/>
  <c r="F43" i="7"/>
  <c r="I42" i="7"/>
  <c r="S42" i="23"/>
  <c r="T42" i="23" s="1"/>
  <c r="F43" i="23"/>
  <c r="I42" i="23"/>
  <c r="U22" i="38"/>
  <c r="BT19" i="68"/>
  <c r="BT72" i="68" s="1"/>
  <c r="O42" i="97"/>
  <c r="P42" i="97" s="1"/>
  <c r="E43" i="97"/>
  <c r="H42" i="97"/>
  <c r="G9" i="70"/>
  <c r="AO119" i="69"/>
  <c r="J46" i="89"/>
  <c r="L46" i="89" s="1"/>
  <c r="B47" i="89"/>
  <c r="N47" i="89"/>
  <c r="P47" i="89" s="1"/>
  <c r="R46" i="89"/>
  <c r="T46" i="89" s="1"/>
  <c r="I46" i="89"/>
  <c r="H46" i="89"/>
  <c r="G46" i="89"/>
  <c r="O42" i="101"/>
  <c r="P42" i="101" s="1"/>
  <c r="E43" i="101"/>
  <c r="H42" i="101"/>
  <c r="O42" i="66"/>
  <c r="P42" i="66" s="1"/>
  <c r="E43" i="66"/>
  <c r="H42" i="66"/>
  <c r="O44" i="86"/>
  <c r="P44" i="86" s="1"/>
  <c r="E45" i="86"/>
  <c r="H44" i="86"/>
  <c r="J45" i="38"/>
  <c r="B46" i="38"/>
  <c r="C46" i="38" s="1"/>
  <c r="N46" i="38"/>
  <c r="R45" i="38"/>
  <c r="J50" i="96"/>
  <c r="B51" i="96"/>
  <c r="N51" i="96"/>
  <c r="R50" i="96"/>
  <c r="K42" i="59"/>
  <c r="L42" i="59" s="1"/>
  <c r="D43" i="59"/>
  <c r="G42" i="59"/>
  <c r="S42" i="90"/>
  <c r="T42" i="90" s="1"/>
  <c r="F43" i="90"/>
  <c r="I42" i="90"/>
  <c r="U20" i="66"/>
  <c r="CE17" i="68"/>
  <c r="CE70" i="68" s="1"/>
  <c r="CE119" i="68" s="1"/>
  <c r="U21" i="59"/>
  <c r="BN18" i="69"/>
  <c r="M35" i="88"/>
  <c r="Y32" i="68"/>
  <c r="Y85" i="68" s="1"/>
  <c r="Y134" i="68" s="1"/>
  <c r="C46" i="89"/>
  <c r="AB69" i="68"/>
  <c r="AB118" i="68" s="1"/>
  <c r="B118" i="68"/>
  <c r="B71" i="69"/>
  <c r="O43" i="102"/>
  <c r="P43" i="102" s="1"/>
  <c r="E44" i="102"/>
  <c r="H43" i="102"/>
  <c r="O44" i="80"/>
  <c r="P44" i="80" s="1"/>
  <c r="E45" i="80"/>
  <c r="U21" i="36"/>
  <c r="BB18" i="69"/>
  <c r="BB71" i="69" s="1"/>
  <c r="BB121" i="69" s="1"/>
  <c r="AG135" i="68"/>
  <c r="BO118" i="69"/>
  <c r="BP68" i="69"/>
  <c r="M35" i="102"/>
  <c r="Q32" i="68"/>
  <c r="Q85" i="68" s="1"/>
  <c r="Q134" i="68" s="1"/>
  <c r="D43" i="60"/>
  <c r="K42" i="60"/>
  <c r="L42" i="60" s="1"/>
  <c r="G42" i="60"/>
  <c r="Q34" i="58"/>
  <c r="AD31" i="69"/>
  <c r="AD84" i="69" s="1"/>
  <c r="AD134" i="69" s="1"/>
  <c r="M35" i="86"/>
  <c r="W32" i="68"/>
  <c r="W85" i="68" s="1"/>
  <c r="W134" i="68" s="1"/>
  <c r="BL90" i="68"/>
  <c r="U36" i="96"/>
  <c r="BD33" i="69"/>
  <c r="BD86" i="69" s="1"/>
  <c r="BD136" i="69" s="1"/>
  <c r="U36" i="100"/>
  <c r="BZ33" i="68"/>
  <c r="BZ86" i="68" s="1"/>
  <c r="BZ135" i="68" s="1"/>
  <c r="U22" i="65"/>
  <c r="CD19" i="68"/>
  <c r="CD72" i="68" s="1"/>
  <c r="CD121" i="68" s="1"/>
  <c r="B8" i="70"/>
  <c r="R70" i="69"/>
  <c r="B120" i="69"/>
  <c r="Q21" i="64"/>
  <c r="AT18" i="68"/>
  <c r="AT71" i="68" s="1"/>
  <c r="AT120" i="68" s="1"/>
  <c r="AW70" i="69"/>
  <c r="BL17" i="69"/>
  <c r="B10" i="92" s="1"/>
  <c r="G8" i="70"/>
  <c r="U34" i="58"/>
  <c r="BA31" i="69"/>
  <c r="BA84" i="69" s="1"/>
  <c r="BA134" i="69" s="1"/>
  <c r="AG118" i="68"/>
  <c r="AH69" i="68"/>
  <c r="AH118" i="68" s="1"/>
  <c r="R9" i="70"/>
  <c r="K9" i="70"/>
  <c r="K42" i="98"/>
  <c r="L42" i="98" s="1"/>
  <c r="D43" i="98"/>
  <c r="G42" i="98"/>
  <c r="K42" i="80"/>
  <c r="L42" i="80" s="1"/>
  <c r="D43" i="80"/>
  <c r="G42" i="80"/>
  <c r="I42" i="48"/>
  <c r="F43" i="48"/>
  <c r="AF120" i="68"/>
  <c r="AF121" i="68"/>
  <c r="AG71" i="68"/>
  <c r="R37" i="48"/>
  <c r="T38" i="48" s="1"/>
  <c r="BN35" i="68"/>
  <c r="Z37" i="48"/>
  <c r="S37" i="48"/>
  <c r="AC88" i="68"/>
  <c r="Q23" i="65"/>
  <c r="AU20" i="68"/>
  <c r="AU73" i="68" s="1"/>
  <c r="AU122" i="68" s="1"/>
  <c r="S43" i="43"/>
  <c r="T43" i="43" s="1"/>
  <c r="F44" i="43"/>
  <c r="I43" i="43"/>
  <c r="L37" i="48"/>
  <c r="N38" i="48" s="1"/>
  <c r="AE35" i="68"/>
  <c r="AE88" i="68" s="1"/>
  <c r="M37" i="48"/>
  <c r="Q35" i="98"/>
  <c r="AH32" i="69"/>
  <c r="AH85" i="69" s="1"/>
  <c r="AH135" i="69" s="1"/>
  <c r="C46" i="59"/>
  <c r="C47" i="59" s="1"/>
  <c r="S43" i="67"/>
  <c r="T43" i="67" s="1"/>
  <c r="F44" i="67"/>
  <c r="I43" i="67"/>
  <c r="S43" i="36"/>
  <c r="T43" i="36" s="1"/>
  <c r="F44" i="36"/>
  <c r="I43" i="36"/>
  <c r="M21" i="35"/>
  <c r="F18" i="69"/>
  <c r="F71" i="69" s="1"/>
  <c r="F121" i="69" s="1"/>
  <c r="Q36" i="89"/>
  <c r="BJ33" i="68"/>
  <c r="BJ86" i="68" s="1"/>
  <c r="BJ135" i="68" s="1"/>
  <c r="BO119" i="68"/>
  <c r="BP70" i="68"/>
  <c r="K43" i="85"/>
  <c r="L43" i="85" s="1"/>
  <c r="D44" i="85"/>
  <c r="G43" i="85"/>
  <c r="Q38" i="85"/>
  <c r="BD35" i="68"/>
  <c r="BD88" i="68" s="1"/>
  <c r="Q36" i="96"/>
  <c r="AG33" i="69"/>
  <c r="AG86" i="69" s="1"/>
  <c r="AG136" i="69" s="1"/>
  <c r="Q21" i="36"/>
  <c r="AE18" i="69"/>
  <c r="AE71" i="69" s="1"/>
  <c r="AE121" i="69" s="1"/>
  <c r="D44" i="7"/>
  <c r="K43" i="7"/>
  <c r="L43" i="7" s="1"/>
  <c r="G43" i="7"/>
  <c r="K43" i="100"/>
  <c r="L43" i="100" s="1"/>
  <c r="D44" i="100"/>
  <c r="G43" i="100"/>
  <c r="S42" i="64"/>
  <c r="T42" i="64" s="1"/>
  <c r="F43" i="64"/>
  <c r="I42" i="64"/>
  <c r="BN135" i="68"/>
  <c r="BP86" i="68"/>
  <c r="K44" i="38"/>
  <c r="D45" i="38"/>
  <c r="CU89" i="68"/>
  <c r="S45" i="63"/>
  <c r="T45" i="63" s="1"/>
  <c r="F46" i="63"/>
  <c r="I45" i="63"/>
  <c r="S44" i="38"/>
  <c r="T44" i="38" s="1"/>
  <c r="F45" i="38"/>
  <c r="AM70" i="68"/>
  <c r="BK17" i="68"/>
  <c r="BQ17" i="68" s="1"/>
  <c r="Q38" i="83"/>
  <c r="AN35" i="69"/>
  <c r="AN88" i="69" s="1"/>
  <c r="U21" i="41"/>
  <c r="BW18" i="68"/>
  <c r="BW71" i="68" s="1"/>
  <c r="BW120" i="68" s="1"/>
  <c r="M21" i="40"/>
  <c r="D18" i="68"/>
  <c r="D71" i="68" s="1"/>
  <c r="D120" i="68" s="1"/>
  <c r="B70" i="68"/>
  <c r="AB17" i="68"/>
  <c r="AH17" i="68" s="1"/>
  <c r="D8" i="92"/>
  <c r="C8" i="92"/>
  <c r="CZ15" i="68"/>
  <c r="Q35" i="101"/>
  <c r="BB32" i="68"/>
  <c r="BB85" i="68" s="1"/>
  <c r="BB134" i="68" s="1"/>
  <c r="S43" i="35"/>
  <c r="T43" i="35" s="1"/>
  <c r="F44" i="35"/>
  <c r="I43" i="35"/>
  <c r="U22" i="62"/>
  <c r="CB19" i="68"/>
  <c r="CB72" i="68" s="1"/>
  <c r="CB121" i="68" s="1"/>
  <c r="CT16" i="68"/>
  <c r="S43" i="60"/>
  <c r="T43" i="60" s="1"/>
  <c r="F44" i="60"/>
  <c r="I43" i="60"/>
  <c r="L44" i="38"/>
  <c r="O42" i="43"/>
  <c r="P42" i="43" s="1"/>
  <c r="E43" i="43"/>
  <c r="H42" i="43"/>
  <c r="M21" i="60"/>
  <c r="F18" i="68"/>
  <c r="F71" i="68" s="1"/>
  <c r="F120" i="68" s="1"/>
  <c r="J51" i="66"/>
  <c r="B52" i="66"/>
  <c r="N52" i="66"/>
  <c r="R51" i="66"/>
  <c r="A33" i="70"/>
  <c r="DA70" i="68"/>
  <c r="DA119" i="68" s="1"/>
  <c r="O42" i="90"/>
  <c r="P42" i="90" s="1"/>
  <c r="E43" i="90"/>
  <c r="H42" i="90"/>
  <c r="BL38" i="68"/>
  <c r="S40" i="46"/>
  <c r="O43" i="99"/>
  <c r="P43" i="99" s="1"/>
  <c r="E44" i="99"/>
  <c r="H43" i="99"/>
  <c r="O42" i="58"/>
  <c r="P42" i="58" s="1"/>
  <c r="E43" i="58"/>
  <c r="H42" i="58"/>
  <c r="O42" i="96"/>
  <c r="P42" i="96" s="1"/>
  <c r="E43" i="96"/>
  <c r="H42" i="96"/>
  <c r="O42" i="85"/>
  <c r="P42" i="85" s="1"/>
  <c r="E43" i="85"/>
  <c r="H42" i="85"/>
  <c r="M21" i="66"/>
  <c r="M18" i="68"/>
  <c r="M71" i="68" s="1"/>
  <c r="M120" i="68" s="1"/>
  <c r="M22" i="1"/>
  <c r="B19" i="69"/>
  <c r="Q21" i="60"/>
  <c r="AO18" i="68"/>
  <c r="AO71" i="68" s="1"/>
  <c r="AO120" i="68" s="1"/>
  <c r="M21" i="7"/>
  <c r="E18" i="69"/>
  <c r="E71" i="69" s="1"/>
  <c r="E121" i="69" s="1"/>
  <c r="M36" i="85"/>
  <c r="U33" i="68"/>
  <c r="U86" i="68" s="1"/>
  <c r="U135" i="68" s="1"/>
  <c r="K43" i="43"/>
  <c r="L43" i="43" s="1"/>
  <c r="D44" i="43"/>
  <c r="G43" i="43"/>
  <c r="S43" i="86"/>
  <c r="T43" i="86" s="1"/>
  <c r="F44" i="86"/>
  <c r="I43" i="86"/>
  <c r="S43" i="59"/>
  <c r="T43" i="59" s="1"/>
  <c r="F44" i="59"/>
  <c r="I43" i="59"/>
  <c r="Q21" i="61"/>
  <c r="AP18" i="68"/>
  <c r="AP71" i="68" s="1"/>
  <c r="AP120" i="68" s="1"/>
  <c r="U37" i="90"/>
  <c r="BG34" i="69"/>
  <c r="BG87" i="69" s="1"/>
  <c r="K42" i="99"/>
  <c r="L42" i="99" s="1"/>
  <c r="D43" i="99"/>
  <c r="G42" i="99"/>
  <c r="Q35" i="103"/>
  <c r="AY32" i="68"/>
  <c r="AY85" i="68" s="1"/>
  <c r="AY134" i="68" s="1"/>
  <c r="BT118" i="69"/>
  <c r="BV68" i="69"/>
  <c r="BV118" i="69" s="1"/>
  <c r="S43" i="102"/>
  <c r="T43" i="102" s="1"/>
  <c r="F44" i="102"/>
  <c r="I43" i="102"/>
  <c r="U21" i="4"/>
  <c r="AW18" i="69"/>
  <c r="Y20" i="23"/>
  <c r="K42" i="36"/>
  <c r="L42" i="36" s="1"/>
  <c r="D43" i="36"/>
  <c r="G42" i="36"/>
  <c r="H8" i="70"/>
  <c r="K43" i="90"/>
  <c r="L43" i="90" s="1"/>
  <c r="D44" i="90"/>
  <c r="G43" i="90"/>
  <c r="L38" i="46"/>
  <c r="N39" i="46" s="1"/>
  <c r="AC36" i="68"/>
  <c r="M38" i="46"/>
  <c r="C46" i="82"/>
  <c r="C47" i="82" s="1"/>
  <c r="C51" i="66"/>
  <c r="Q36" i="97"/>
  <c r="AI33" i="69"/>
  <c r="AI86" i="69" s="1"/>
  <c r="AI136" i="69" s="1"/>
  <c r="M36" i="84"/>
  <c r="V33" i="68"/>
  <c r="V86" i="68" s="1"/>
  <c r="V135" i="68" s="1"/>
  <c r="J50" i="85"/>
  <c r="B51" i="85"/>
  <c r="N51" i="85"/>
  <c r="R50" i="85"/>
  <c r="Q9" i="70"/>
  <c r="J9" i="70"/>
  <c r="AS69" i="69"/>
  <c r="AS119" i="69" s="1"/>
  <c r="AR119" i="69"/>
  <c r="C45" i="83"/>
  <c r="C46" i="83" s="1"/>
  <c r="U39" i="75" l="1"/>
  <c r="AP40" i="69"/>
  <c r="AP93" i="69" s="1"/>
  <c r="S42" i="45"/>
  <c r="C52" i="66"/>
  <c r="CT17" i="68"/>
  <c r="S44" i="74"/>
  <c r="T44" i="74" s="1"/>
  <c r="U44" i="74" s="1"/>
  <c r="I44" i="74"/>
  <c r="F45" i="74"/>
  <c r="M38" i="87"/>
  <c r="X35" i="68"/>
  <c r="X88" i="68" s="1"/>
  <c r="Q22" i="39"/>
  <c r="AL19" i="68"/>
  <c r="AL72" i="68" s="1"/>
  <c r="AL121" i="68" s="1"/>
  <c r="U37" i="101"/>
  <c r="CK34" i="68"/>
  <c r="CK87" i="68" s="1"/>
  <c r="U22" i="1"/>
  <c r="AV19" i="69"/>
  <c r="AV72" i="69" s="1"/>
  <c r="AV122" i="69" s="1"/>
  <c r="U18" i="69"/>
  <c r="K11" i="92" s="1"/>
  <c r="T71" i="69"/>
  <c r="D40" i="47"/>
  <c r="Q40" i="47"/>
  <c r="T40" i="47" s="1"/>
  <c r="K39" i="47"/>
  <c r="AR33" i="68"/>
  <c r="AR86" i="68" s="1"/>
  <c r="AR135" i="68" s="1"/>
  <c r="Q36" i="99"/>
  <c r="M21" i="41"/>
  <c r="E18" i="68"/>
  <c r="E71" i="68" s="1"/>
  <c r="E120" i="68" s="1"/>
  <c r="K18" i="68"/>
  <c r="K71" i="68" s="1"/>
  <c r="K120" i="68" s="1"/>
  <c r="M21" i="64"/>
  <c r="H44" i="63"/>
  <c r="E45" i="63"/>
  <c r="O44" i="63"/>
  <c r="P44" i="63" s="1"/>
  <c r="Q23" i="1"/>
  <c r="Y20" i="69"/>
  <c r="Y73" i="69" s="1"/>
  <c r="Y123" i="69" s="1"/>
  <c r="S39" i="75"/>
  <c r="T39" i="75" s="1"/>
  <c r="F40" i="75"/>
  <c r="I39" i="75"/>
  <c r="AM35" i="69"/>
  <c r="AM88" i="69" s="1"/>
  <c r="Q38" i="82"/>
  <c r="J47" i="58"/>
  <c r="B48" i="58"/>
  <c r="N48" i="58"/>
  <c r="R47" i="58"/>
  <c r="H120" i="69"/>
  <c r="D43" i="74"/>
  <c r="K42" i="74"/>
  <c r="L42" i="74" s="1"/>
  <c r="G42" i="74"/>
  <c r="C47" i="58"/>
  <c r="L18" i="68"/>
  <c r="L71" i="68" s="1"/>
  <c r="L120" i="68" s="1"/>
  <c r="M21" i="65"/>
  <c r="D43" i="45"/>
  <c r="K43" i="45"/>
  <c r="Q43" i="45"/>
  <c r="T43" i="45" s="1"/>
  <c r="J19" i="68"/>
  <c r="J72" i="68" s="1"/>
  <c r="J121" i="68" s="1"/>
  <c r="M22" i="62"/>
  <c r="S44" i="101"/>
  <c r="T44" i="101" s="1"/>
  <c r="F45" i="101"/>
  <c r="I44" i="101"/>
  <c r="T19" i="69"/>
  <c r="W21" i="59"/>
  <c r="M22" i="59"/>
  <c r="U22" i="23"/>
  <c r="AX19" i="69"/>
  <c r="AX72" i="69" s="1"/>
  <c r="AX122" i="69" s="1"/>
  <c r="U21" i="37"/>
  <c r="BC18" i="69"/>
  <c r="BC71" i="69" s="1"/>
  <c r="BC121" i="69" s="1"/>
  <c r="B49" i="60"/>
  <c r="J48" i="60"/>
  <c r="N49" i="60"/>
  <c r="R48" i="60"/>
  <c r="U22" i="35"/>
  <c r="AZ19" i="69"/>
  <c r="AZ72" i="69" s="1"/>
  <c r="AZ122" i="69" s="1"/>
  <c r="B49" i="86"/>
  <c r="N49" i="86"/>
  <c r="R48" i="86"/>
  <c r="J48" i="86"/>
  <c r="M22" i="4"/>
  <c r="C19" i="69"/>
  <c r="C72" i="69" s="1"/>
  <c r="C122" i="69" s="1"/>
  <c r="H119" i="69"/>
  <c r="R69" i="69"/>
  <c r="G19" i="68"/>
  <c r="G72" i="68" s="1"/>
  <c r="G121" i="68" s="1"/>
  <c r="M22" i="61"/>
  <c r="H9" i="92"/>
  <c r="N9" i="92" s="1"/>
  <c r="U22" i="7"/>
  <c r="AY19" i="69"/>
  <c r="AY72" i="69" s="1"/>
  <c r="AY122" i="69" s="1"/>
  <c r="U36" i="85"/>
  <c r="CM33" i="68"/>
  <c r="CM86" i="68" s="1"/>
  <c r="CM135" i="68" s="1"/>
  <c r="E43" i="74"/>
  <c r="H42" i="74"/>
  <c r="O42" i="74"/>
  <c r="P42" i="74" s="1"/>
  <c r="BM37" i="68"/>
  <c r="BM90" i="68" s="1"/>
  <c r="S39" i="47"/>
  <c r="Q25" i="35"/>
  <c r="AC22" i="69"/>
  <c r="AC75" i="69" s="1"/>
  <c r="AC125" i="69" s="1"/>
  <c r="U21" i="42"/>
  <c r="CG18" i="68"/>
  <c r="CG71" i="68" s="1"/>
  <c r="CG120" i="68" s="1"/>
  <c r="CY70" i="68"/>
  <c r="CY119" i="68" s="1"/>
  <c r="CX119" i="68"/>
  <c r="CL18" i="68"/>
  <c r="CL71" i="68" s="1"/>
  <c r="CL120" i="68" s="1"/>
  <c r="U21" i="44"/>
  <c r="BM39" i="69"/>
  <c r="BM92" i="69" s="1"/>
  <c r="Y41" i="45"/>
  <c r="CX71" i="68"/>
  <c r="CY18" i="68"/>
  <c r="Q23" i="38"/>
  <c r="AK20" i="68"/>
  <c r="AK73" i="68" s="1"/>
  <c r="AK122" i="68" s="1"/>
  <c r="T120" i="69"/>
  <c r="U70" i="69"/>
  <c r="U120" i="69" s="1"/>
  <c r="Y37" i="47"/>
  <c r="CV35" i="68"/>
  <c r="CV88" i="68" s="1"/>
  <c r="U21" i="64"/>
  <c r="CC18" i="68"/>
  <c r="CC71" i="68" s="1"/>
  <c r="CC120" i="68" s="1"/>
  <c r="BK34" i="69"/>
  <c r="BK87" i="69" s="1"/>
  <c r="U37" i="83"/>
  <c r="M42" i="74"/>
  <c r="Q36" i="88"/>
  <c r="BH33" i="68"/>
  <c r="BH86" i="68" s="1"/>
  <c r="BH135" i="68" s="1"/>
  <c r="K42" i="45"/>
  <c r="M35" i="58"/>
  <c r="G32" i="69"/>
  <c r="G85" i="69" s="1"/>
  <c r="G135" i="69" s="1"/>
  <c r="M21" i="37"/>
  <c r="I18" i="69"/>
  <c r="I71" i="69" s="1"/>
  <c r="I121" i="69" s="1"/>
  <c r="H45" i="47"/>
  <c r="L45" i="47"/>
  <c r="E46" i="47"/>
  <c r="W38" i="47"/>
  <c r="Z38" i="47" s="1"/>
  <c r="N38" i="47"/>
  <c r="U37" i="82"/>
  <c r="BJ34" i="69"/>
  <c r="BJ87" i="69" s="1"/>
  <c r="G42" i="75"/>
  <c r="K42" i="75"/>
  <c r="L42" i="75" s="1"/>
  <c r="M42" i="75" s="1"/>
  <c r="Q22" i="41"/>
  <c r="AN19" i="68"/>
  <c r="AN72" i="68" s="1"/>
  <c r="AN121" i="68" s="1"/>
  <c r="B50" i="7"/>
  <c r="C50" i="7" s="1"/>
  <c r="J49" i="7"/>
  <c r="N50" i="7"/>
  <c r="R49" i="7"/>
  <c r="CP33" i="68"/>
  <c r="CP86" i="68" s="1"/>
  <c r="CP135" i="68" s="1"/>
  <c r="U36" i="87"/>
  <c r="CN33" i="68"/>
  <c r="CN86" i="68" s="1"/>
  <c r="CN135" i="68" s="1"/>
  <c r="CS34" i="68"/>
  <c r="CS87" i="68" s="1"/>
  <c r="U37" i="89"/>
  <c r="Q42" i="74"/>
  <c r="Q43" i="63"/>
  <c r="BO40" i="68"/>
  <c r="BO93" i="68" s="1"/>
  <c r="Q22" i="23"/>
  <c r="AA19" i="69"/>
  <c r="AA72" i="69" s="1"/>
  <c r="AA122" i="69" s="1"/>
  <c r="X21" i="23"/>
  <c r="S39" i="69"/>
  <c r="S92" i="69" s="1"/>
  <c r="M41" i="45"/>
  <c r="U22" i="63"/>
  <c r="CX19" i="68"/>
  <c r="E44" i="98"/>
  <c r="O43" i="98"/>
  <c r="P43" i="98" s="1"/>
  <c r="H43" i="98"/>
  <c r="M21" i="36"/>
  <c r="H18" i="69"/>
  <c r="H71" i="69" s="1"/>
  <c r="H121" i="69" s="1"/>
  <c r="J51" i="36"/>
  <c r="B52" i="36"/>
  <c r="N52" i="36"/>
  <c r="R51" i="36"/>
  <c r="M37" i="47"/>
  <c r="AD35" i="68"/>
  <c r="AD88" i="68" s="1"/>
  <c r="C51" i="36"/>
  <c r="C52" i="36" s="1"/>
  <c r="G44" i="48"/>
  <c r="J43" i="48"/>
  <c r="E47" i="48"/>
  <c r="H46" i="48"/>
  <c r="E45" i="46"/>
  <c r="H44" i="46"/>
  <c r="F46" i="47"/>
  <c r="I45" i="47"/>
  <c r="R45" i="47"/>
  <c r="S43" i="103"/>
  <c r="T43" i="103" s="1"/>
  <c r="F44" i="103"/>
  <c r="I43" i="103"/>
  <c r="M46" i="63"/>
  <c r="AF43" i="68"/>
  <c r="AF96" i="68" s="1"/>
  <c r="O43" i="64"/>
  <c r="P43" i="64" s="1"/>
  <c r="E44" i="64"/>
  <c r="H43" i="64"/>
  <c r="F44" i="100"/>
  <c r="S43" i="100"/>
  <c r="T43" i="100" s="1"/>
  <c r="I43" i="100"/>
  <c r="H43" i="38"/>
  <c r="O43" i="38"/>
  <c r="P43" i="38" s="1"/>
  <c r="E44" i="38"/>
  <c r="S44" i="97"/>
  <c r="T44" i="97" s="1"/>
  <c r="F45" i="97"/>
  <c r="I44" i="97"/>
  <c r="Q37" i="97"/>
  <c r="AI34" i="69"/>
  <c r="AI87" i="69" s="1"/>
  <c r="Q22" i="60"/>
  <c r="AO19" i="68"/>
  <c r="AO72" i="68" s="1"/>
  <c r="AO121" i="68" s="1"/>
  <c r="O43" i="58"/>
  <c r="P43" i="58" s="1"/>
  <c r="E44" i="58"/>
  <c r="H43" i="58"/>
  <c r="O43" i="90"/>
  <c r="P43" i="90" s="1"/>
  <c r="E44" i="90"/>
  <c r="H43" i="90"/>
  <c r="E44" i="43"/>
  <c r="O43" i="43"/>
  <c r="P43" i="43" s="1"/>
  <c r="H43" i="43"/>
  <c r="AM119" i="68"/>
  <c r="BK70" i="68"/>
  <c r="BK119" i="68" s="1"/>
  <c r="Q39" i="85"/>
  <c r="BD36" i="68"/>
  <c r="BD89" i="68" s="1"/>
  <c r="BP119" i="68"/>
  <c r="L39" i="46"/>
  <c r="N40" i="46" s="1"/>
  <c r="AC37" i="68"/>
  <c r="M39" i="46"/>
  <c r="D44" i="36"/>
  <c r="K43" i="36"/>
  <c r="L43" i="36" s="1"/>
  <c r="G43" i="36"/>
  <c r="AW71" i="69"/>
  <c r="BL18" i="69"/>
  <c r="D44" i="99"/>
  <c r="K43" i="99"/>
  <c r="L43" i="99" s="1"/>
  <c r="G43" i="99"/>
  <c r="S44" i="86"/>
  <c r="T44" i="86" s="1"/>
  <c r="F45" i="86"/>
  <c r="I44" i="86"/>
  <c r="B72" i="69"/>
  <c r="O43" i="96"/>
  <c r="P43" i="96" s="1"/>
  <c r="E44" i="96"/>
  <c r="H43" i="96"/>
  <c r="M22" i="60"/>
  <c r="F19" i="68"/>
  <c r="F72" i="68" s="1"/>
  <c r="F121" i="68" s="1"/>
  <c r="E8" i="92"/>
  <c r="S45" i="38"/>
  <c r="F46" i="38"/>
  <c r="BJ34" i="68"/>
  <c r="BJ87" i="68" s="1"/>
  <c r="Q37" i="89"/>
  <c r="AG35" i="68"/>
  <c r="BN88" i="68"/>
  <c r="BP88" i="68" s="1"/>
  <c r="BP35" i="68"/>
  <c r="K43" i="80"/>
  <c r="L43" i="80" s="1"/>
  <c r="D44" i="80"/>
  <c r="G43" i="80"/>
  <c r="E8" i="70"/>
  <c r="U37" i="100"/>
  <c r="BZ34" i="68"/>
  <c r="BZ87" i="68" s="1"/>
  <c r="O45" i="80"/>
  <c r="P45" i="80" s="1"/>
  <c r="E46" i="80"/>
  <c r="R18" i="69"/>
  <c r="C47" i="89"/>
  <c r="BN71" i="69"/>
  <c r="BO18" i="69"/>
  <c r="BP18" i="69" s="1"/>
  <c r="J51" i="96"/>
  <c r="B52" i="96"/>
  <c r="N52" i="96"/>
  <c r="R51" i="96"/>
  <c r="O43" i="66"/>
  <c r="P43" i="66" s="1"/>
  <c r="E44" i="66"/>
  <c r="H43" i="66"/>
  <c r="E44" i="101"/>
  <c r="O43" i="101"/>
  <c r="P43" i="101" s="1"/>
  <c r="H43" i="101"/>
  <c r="U23" i="38"/>
  <c r="BT20" i="68"/>
  <c r="BT73" i="68" s="1"/>
  <c r="U38" i="80"/>
  <c r="BH35" i="69"/>
  <c r="BH88" i="69" s="1"/>
  <c r="U36" i="102"/>
  <c r="CI33" i="68"/>
  <c r="CI86" i="68" s="1"/>
  <c r="CI135" i="68" s="1"/>
  <c r="Q38" i="104"/>
  <c r="BI35" i="68"/>
  <c r="BI88" i="68" s="1"/>
  <c r="K44" i="67"/>
  <c r="L44" i="67" s="1"/>
  <c r="D45" i="67"/>
  <c r="G44" i="67"/>
  <c r="J48" i="43"/>
  <c r="N49" i="43"/>
  <c r="B49" i="43"/>
  <c r="R48" i="43"/>
  <c r="H10" i="92"/>
  <c r="N10" i="92" s="1"/>
  <c r="V17" i="69"/>
  <c r="J47" i="59"/>
  <c r="B48" i="59"/>
  <c r="C48" i="59" s="1"/>
  <c r="N48" i="59"/>
  <c r="R47" i="59"/>
  <c r="M37" i="82"/>
  <c r="P34" i="69"/>
  <c r="P87" i="69" s="1"/>
  <c r="Q22" i="42"/>
  <c r="AX19" i="68"/>
  <c r="AX72" i="68" s="1"/>
  <c r="AX121" i="68" s="1"/>
  <c r="M37" i="98"/>
  <c r="K34" i="69"/>
  <c r="K87" i="69" s="1"/>
  <c r="Q23" i="66"/>
  <c r="AV20" i="68"/>
  <c r="AV73" i="68" s="1"/>
  <c r="AV122" i="68" s="1"/>
  <c r="Q37" i="80"/>
  <c r="AK34" i="69"/>
  <c r="AK87" i="69" s="1"/>
  <c r="CU90" i="68"/>
  <c r="O44" i="36"/>
  <c r="P44" i="36" s="1"/>
  <c r="E45" i="36"/>
  <c r="H44" i="36"/>
  <c r="Q23" i="4"/>
  <c r="Z20" i="69"/>
  <c r="S44" i="58"/>
  <c r="T44" i="58" s="1"/>
  <c r="F45" i="58"/>
  <c r="I44" i="58"/>
  <c r="C48" i="43"/>
  <c r="C49" i="43" s="1"/>
  <c r="E44" i="59"/>
  <c r="O43" i="59"/>
  <c r="P43" i="59" s="1"/>
  <c r="H43" i="59"/>
  <c r="M37" i="89"/>
  <c r="AA34" i="68"/>
  <c r="AA87" i="68" s="1"/>
  <c r="AG119" i="68"/>
  <c r="R10" i="70"/>
  <c r="K10" i="70"/>
  <c r="U37" i="103"/>
  <c r="CH34" i="68"/>
  <c r="CH87" i="68" s="1"/>
  <c r="J11" i="92"/>
  <c r="DB68" i="68"/>
  <c r="CZ117" i="68"/>
  <c r="F50" i="46"/>
  <c r="I49" i="46"/>
  <c r="R49" i="46" s="1"/>
  <c r="Q21" i="44"/>
  <c r="BC18" i="68"/>
  <c r="BC71" i="68" s="1"/>
  <c r="BC120" i="68" s="1"/>
  <c r="BE34" i="68"/>
  <c r="BE87" i="68" s="1"/>
  <c r="BG34" i="68"/>
  <c r="BG87" i="68" s="1"/>
  <c r="Q37" i="87"/>
  <c r="U37" i="98"/>
  <c r="BE34" i="69"/>
  <c r="BE87" i="69" s="1"/>
  <c r="M37" i="99"/>
  <c r="I34" i="68"/>
  <c r="I87" i="68" s="1"/>
  <c r="K44" i="64"/>
  <c r="L44" i="64" s="1"/>
  <c r="D45" i="64"/>
  <c r="G44" i="64"/>
  <c r="U22" i="40"/>
  <c r="BV19" i="68"/>
  <c r="BV72" i="68" s="1"/>
  <c r="BV121" i="68" s="1"/>
  <c r="E44" i="60"/>
  <c r="O43" i="60"/>
  <c r="P43" i="60" s="1"/>
  <c r="H43" i="60"/>
  <c r="D45" i="35"/>
  <c r="K44" i="35"/>
  <c r="L44" i="35" s="1"/>
  <c r="G44" i="35"/>
  <c r="BL39" i="68"/>
  <c r="S41" i="46"/>
  <c r="C9" i="70"/>
  <c r="D9" i="70"/>
  <c r="CT118" i="68"/>
  <c r="CZ69" i="68"/>
  <c r="Z121" i="69"/>
  <c r="AO71" i="69"/>
  <c r="B71" i="68"/>
  <c r="Q37" i="81"/>
  <c r="AL34" i="69"/>
  <c r="AL87" i="69" s="1"/>
  <c r="M36" i="100"/>
  <c r="H33" i="68"/>
  <c r="H86" i="68" s="1"/>
  <c r="H135" i="68" s="1"/>
  <c r="K44" i="66"/>
  <c r="L44" i="66" s="1"/>
  <c r="D45" i="66"/>
  <c r="G44" i="66"/>
  <c r="B9" i="70"/>
  <c r="M38" i="83"/>
  <c r="Q35" i="69"/>
  <c r="Q88" i="69" s="1"/>
  <c r="D45" i="90"/>
  <c r="K44" i="90"/>
  <c r="L44" i="90" s="1"/>
  <c r="G44" i="90"/>
  <c r="U38" i="90"/>
  <c r="BG35" i="69"/>
  <c r="BG88" i="69" s="1"/>
  <c r="M22" i="66"/>
  <c r="M19" i="68"/>
  <c r="M72" i="68" s="1"/>
  <c r="M121" i="68" s="1"/>
  <c r="A34" i="70"/>
  <c r="U22" i="41"/>
  <c r="BW19" i="68"/>
  <c r="BW72" i="68" s="1"/>
  <c r="BW121" i="68" s="1"/>
  <c r="BP135" i="68"/>
  <c r="M22" i="35"/>
  <c r="F19" i="69"/>
  <c r="F72" i="69" s="1"/>
  <c r="F122" i="69" s="1"/>
  <c r="M37" i="84"/>
  <c r="V34" i="68"/>
  <c r="V87" i="68" s="1"/>
  <c r="N8" i="70"/>
  <c r="U22" i="4"/>
  <c r="AW19" i="69"/>
  <c r="Y21" i="23"/>
  <c r="S44" i="102"/>
  <c r="T44" i="102" s="1"/>
  <c r="F45" i="102"/>
  <c r="I44" i="102"/>
  <c r="Q22" i="61"/>
  <c r="AP19" i="68"/>
  <c r="AP72" i="68" s="1"/>
  <c r="AP121" i="68" s="1"/>
  <c r="S44" i="59"/>
  <c r="T44" i="59" s="1"/>
  <c r="F45" i="59"/>
  <c r="I44" i="59"/>
  <c r="M37" i="85"/>
  <c r="U34" i="68"/>
  <c r="U87" i="68" s="1"/>
  <c r="M23" i="1"/>
  <c r="B20" i="69"/>
  <c r="O43" i="85"/>
  <c r="P43" i="85" s="1"/>
  <c r="E44" i="85"/>
  <c r="H43" i="85"/>
  <c r="BL91" i="68"/>
  <c r="J52" i="66"/>
  <c r="B53" i="66"/>
  <c r="N53" i="66"/>
  <c r="R52" i="66"/>
  <c r="D9" i="92"/>
  <c r="C9" i="92"/>
  <c r="E9" i="92" s="1"/>
  <c r="CZ16" i="68"/>
  <c r="U23" i="62"/>
  <c r="CB20" i="68"/>
  <c r="CB73" i="68" s="1"/>
  <c r="CB122" i="68" s="1"/>
  <c r="M22" i="40"/>
  <c r="D19" i="68"/>
  <c r="D72" i="68" s="1"/>
  <c r="D121" i="68" s="1"/>
  <c r="Q39" i="83"/>
  <c r="AN36" i="69"/>
  <c r="AN89" i="69" s="1"/>
  <c r="K44" i="100"/>
  <c r="L44" i="100" s="1"/>
  <c r="D45" i="100"/>
  <c r="G44" i="100"/>
  <c r="K44" i="7"/>
  <c r="L44" i="7" s="1"/>
  <c r="D45" i="7"/>
  <c r="G44" i="7"/>
  <c r="Q37" i="96"/>
  <c r="AG34" i="69"/>
  <c r="AG87" i="69" s="1"/>
  <c r="K44" i="85"/>
  <c r="L44" i="85" s="1"/>
  <c r="D45" i="85"/>
  <c r="G44" i="85"/>
  <c r="Q24" i="65"/>
  <c r="AU21" i="68"/>
  <c r="AU74" i="68" s="1"/>
  <c r="AU123" i="68" s="1"/>
  <c r="AG88" i="68"/>
  <c r="BN36" i="68"/>
  <c r="R38" i="48"/>
  <c r="T39" i="48" s="1"/>
  <c r="Z38" i="48"/>
  <c r="S38" i="48"/>
  <c r="I43" i="48"/>
  <c r="F44" i="48"/>
  <c r="BT70" i="69"/>
  <c r="AW120" i="69"/>
  <c r="BL70" i="69"/>
  <c r="R120" i="69"/>
  <c r="V70" i="69"/>
  <c r="U37" i="96"/>
  <c r="BD34" i="69"/>
  <c r="BD87" i="69" s="1"/>
  <c r="M36" i="86"/>
  <c r="W33" i="68"/>
  <c r="W86" i="68" s="1"/>
  <c r="W135" i="68" s="1"/>
  <c r="M36" i="102"/>
  <c r="Q33" i="68"/>
  <c r="Q86" i="68" s="1"/>
  <c r="Q135" i="68" s="1"/>
  <c r="D10" i="92"/>
  <c r="C10" i="92"/>
  <c r="CZ17" i="68"/>
  <c r="R71" i="69"/>
  <c r="B121" i="69"/>
  <c r="M36" i="88"/>
  <c r="Y33" i="68"/>
  <c r="Y86" i="68" s="1"/>
  <c r="Y135" i="68" s="1"/>
  <c r="U22" i="59"/>
  <c r="BN19" i="69"/>
  <c r="S43" i="90"/>
  <c r="T43" i="90" s="1"/>
  <c r="F44" i="90"/>
  <c r="I43" i="90"/>
  <c r="D44" i="59"/>
  <c r="K43" i="59"/>
  <c r="L43" i="59" s="1"/>
  <c r="G43" i="59"/>
  <c r="T45" i="38"/>
  <c r="O45" i="86"/>
  <c r="P45" i="86" s="1"/>
  <c r="E46" i="86"/>
  <c r="H45" i="86"/>
  <c r="H9" i="70"/>
  <c r="S43" i="7"/>
  <c r="T43" i="7" s="1"/>
  <c r="F44" i="7"/>
  <c r="I43" i="7"/>
  <c r="S46" i="85"/>
  <c r="T46" i="85" s="1"/>
  <c r="F47" i="85"/>
  <c r="I46" i="85"/>
  <c r="BU117" i="69"/>
  <c r="BW67" i="69"/>
  <c r="M36" i="97"/>
  <c r="L33" i="69"/>
  <c r="L86" i="69" s="1"/>
  <c r="L136" i="69" s="1"/>
  <c r="Q36" i="86"/>
  <c r="BF33" i="68"/>
  <c r="BF86" i="68" s="1"/>
  <c r="BF135" i="68" s="1"/>
  <c r="AO120" i="69"/>
  <c r="AT70" i="69"/>
  <c r="BP17" i="69"/>
  <c r="M36" i="103"/>
  <c r="P33" i="68"/>
  <c r="P86" i="68" s="1"/>
  <c r="P135" i="68" s="1"/>
  <c r="M23" i="23"/>
  <c r="D20" i="69"/>
  <c r="D73" i="69" s="1"/>
  <c r="D123" i="69" s="1"/>
  <c r="W22" i="23"/>
  <c r="Q10" i="70"/>
  <c r="J10" i="70"/>
  <c r="AS70" i="69"/>
  <c r="AS120" i="69" s="1"/>
  <c r="AR120" i="69"/>
  <c r="S43" i="1"/>
  <c r="T43" i="1" s="1"/>
  <c r="F44" i="1"/>
  <c r="I43" i="1"/>
  <c r="Q23" i="67"/>
  <c r="AW20" i="68"/>
  <c r="AW73" i="68" s="1"/>
  <c r="AW122" i="68" s="1"/>
  <c r="BQ69" i="68"/>
  <c r="BQ118" i="68" s="1"/>
  <c r="J46" i="83"/>
  <c r="L46" i="83" s="1"/>
  <c r="B47" i="83"/>
  <c r="C47" i="83" s="1"/>
  <c r="N47" i="83"/>
  <c r="P47" i="83" s="1"/>
  <c r="R46" i="83"/>
  <c r="T46" i="83" s="1"/>
  <c r="I46" i="83"/>
  <c r="H46" i="83"/>
  <c r="G46" i="83"/>
  <c r="X22" i="23"/>
  <c r="AQ121" i="69"/>
  <c r="AR71" i="69"/>
  <c r="S43" i="80"/>
  <c r="T43" i="80" s="1"/>
  <c r="F44" i="80"/>
  <c r="I43" i="80"/>
  <c r="M37" i="81"/>
  <c r="O34" i="69"/>
  <c r="O87" i="69" s="1"/>
  <c r="K44" i="102"/>
  <c r="L44" i="102" s="1"/>
  <c r="D45" i="102"/>
  <c r="G44" i="102"/>
  <c r="Q37" i="102"/>
  <c r="AZ34" i="68"/>
  <c r="AZ87" i="68" s="1"/>
  <c r="M37" i="104"/>
  <c r="Z34" i="68"/>
  <c r="Z87" i="68" s="1"/>
  <c r="U38" i="104"/>
  <c r="CR35" i="68"/>
  <c r="CR88" i="68" s="1"/>
  <c r="CU38" i="68"/>
  <c r="Y40" i="46"/>
  <c r="M22" i="43"/>
  <c r="R19" i="68"/>
  <c r="R72" i="68" s="1"/>
  <c r="R121" i="68" s="1"/>
  <c r="J47" i="82"/>
  <c r="L47" i="82" s="1"/>
  <c r="B48" i="82"/>
  <c r="N48" i="82"/>
  <c r="P48" i="82" s="1"/>
  <c r="R47" i="82"/>
  <c r="T47" i="82" s="1"/>
  <c r="H47" i="82"/>
  <c r="G47" i="82"/>
  <c r="I47" i="82"/>
  <c r="M22" i="38"/>
  <c r="B19" i="68"/>
  <c r="BT119" i="69"/>
  <c r="BV69" i="69"/>
  <c r="BV119" i="69" s="1"/>
  <c r="AC89" i="68"/>
  <c r="M22" i="7"/>
  <c r="E19" i="69"/>
  <c r="E72" i="69" s="1"/>
  <c r="E122" i="69" s="1"/>
  <c r="S44" i="60"/>
  <c r="T44" i="60" s="1"/>
  <c r="F45" i="60"/>
  <c r="I44" i="60"/>
  <c r="S44" i="35"/>
  <c r="T44" i="35" s="1"/>
  <c r="F45" i="35"/>
  <c r="I44" i="35"/>
  <c r="AB70" i="68"/>
  <c r="AB119" i="68" s="1"/>
  <c r="B119" i="68"/>
  <c r="S46" i="63"/>
  <c r="T46" i="63" s="1"/>
  <c r="F47" i="63"/>
  <c r="I46" i="63"/>
  <c r="K45" i="38"/>
  <c r="L45" i="38" s="1"/>
  <c r="D46" i="38"/>
  <c r="Q22" i="36"/>
  <c r="AE19" i="69"/>
  <c r="AE72" i="69" s="1"/>
  <c r="AE122" i="69" s="1"/>
  <c r="S44" i="36"/>
  <c r="T44" i="36" s="1"/>
  <c r="F45" i="36"/>
  <c r="I44" i="36"/>
  <c r="J51" i="85"/>
  <c r="B52" i="85"/>
  <c r="N52" i="85"/>
  <c r="R51" i="85"/>
  <c r="Q36" i="103"/>
  <c r="AY33" i="68"/>
  <c r="AY86" i="68" s="1"/>
  <c r="AY135" i="68" s="1"/>
  <c r="K44" i="43"/>
  <c r="L44" i="43" s="1"/>
  <c r="D45" i="43"/>
  <c r="G44" i="43"/>
  <c r="O44" i="99"/>
  <c r="P44" i="99" s="1"/>
  <c r="E45" i="99"/>
  <c r="H44" i="99"/>
  <c r="Q36" i="101"/>
  <c r="BB33" i="68"/>
  <c r="BB86" i="68" s="1"/>
  <c r="BB135" i="68" s="1"/>
  <c r="S43" i="64"/>
  <c r="T43" i="64" s="1"/>
  <c r="F44" i="64"/>
  <c r="I43" i="64"/>
  <c r="S44" i="67"/>
  <c r="T44" i="67" s="1"/>
  <c r="F45" i="67"/>
  <c r="I44" i="67"/>
  <c r="Q36" i="98"/>
  <c r="AH33" i="69"/>
  <c r="AH86" i="69" s="1"/>
  <c r="AH136" i="69" s="1"/>
  <c r="L38" i="48"/>
  <c r="N39" i="48" s="1"/>
  <c r="AE36" i="68"/>
  <c r="AE89" i="68" s="1"/>
  <c r="M38" i="48"/>
  <c r="S44" i="43"/>
  <c r="T44" i="43" s="1"/>
  <c r="F45" i="43"/>
  <c r="I44" i="43"/>
  <c r="AG120" i="68"/>
  <c r="AG121" i="68"/>
  <c r="U35" i="58"/>
  <c r="BA32" i="69"/>
  <c r="BA85" i="69" s="1"/>
  <c r="BA135" i="69" s="1"/>
  <c r="U23" i="65"/>
  <c r="CD20" i="68"/>
  <c r="CD73" i="68" s="1"/>
  <c r="CD122" i="68" s="1"/>
  <c r="K43" i="60"/>
  <c r="L43" i="60" s="1"/>
  <c r="D44" i="60"/>
  <c r="G43" i="60"/>
  <c r="BP118" i="69"/>
  <c r="BU68" i="69"/>
  <c r="G45" i="38"/>
  <c r="C51" i="85"/>
  <c r="M9" i="70"/>
  <c r="E44" i="97"/>
  <c r="O43" i="97"/>
  <c r="P43" i="97" s="1"/>
  <c r="H43" i="97"/>
  <c r="S43" i="23"/>
  <c r="T43" i="23" s="1"/>
  <c r="F44" i="23"/>
  <c r="I43" i="23"/>
  <c r="D45" i="97"/>
  <c r="K44" i="97"/>
  <c r="L44" i="97" s="1"/>
  <c r="G44" i="97"/>
  <c r="K40" i="48"/>
  <c r="W40" i="48" s="1"/>
  <c r="D41" i="48"/>
  <c r="Q41" i="48"/>
  <c r="AQ72" i="69"/>
  <c r="AR19" i="69"/>
  <c r="M37" i="90"/>
  <c r="M34" i="69"/>
  <c r="M87" i="69" s="1"/>
  <c r="Q24" i="62"/>
  <c r="AS21" i="68"/>
  <c r="AS74" i="68" s="1"/>
  <c r="AS123" i="68" s="1"/>
  <c r="D45" i="23"/>
  <c r="K44" i="23"/>
  <c r="L44" i="23" s="1"/>
  <c r="G44" i="23"/>
  <c r="S43" i="98"/>
  <c r="T43" i="98" s="1"/>
  <c r="F44" i="98"/>
  <c r="I43" i="98"/>
  <c r="O43" i="103"/>
  <c r="P43" i="103" s="1"/>
  <c r="E44" i="103"/>
  <c r="H43" i="103"/>
  <c r="K44" i="63"/>
  <c r="L44" i="63" s="1"/>
  <c r="G44" i="63"/>
  <c r="D45" i="63"/>
  <c r="U23" i="43"/>
  <c r="CJ20" i="68"/>
  <c r="CJ73" i="68" s="1"/>
  <c r="CJ122" i="68" s="1"/>
  <c r="M21" i="67"/>
  <c r="N18" i="68"/>
  <c r="N71" i="68" s="1"/>
  <c r="N120" i="68" s="1"/>
  <c r="U23" i="67"/>
  <c r="CF20" i="68"/>
  <c r="CF73" i="68" s="1"/>
  <c r="CF122" i="68" s="1"/>
  <c r="M22" i="39"/>
  <c r="C19" i="68"/>
  <c r="C72" i="68" s="1"/>
  <c r="C121" i="68" s="1"/>
  <c r="BN120" i="69"/>
  <c r="BO70" i="69"/>
  <c r="O45" i="67"/>
  <c r="P45" i="67" s="1"/>
  <c r="E46" i="67"/>
  <c r="H45" i="67"/>
  <c r="Q22" i="7"/>
  <c r="AB19" i="69"/>
  <c r="AB72" i="69" s="1"/>
  <c r="AB122" i="69" s="1"/>
  <c r="C51" i="96"/>
  <c r="C52" i="96" s="1"/>
  <c r="DA71" i="68"/>
  <c r="DA120" i="68" s="1"/>
  <c r="U38" i="88"/>
  <c r="CQ35" i="68"/>
  <c r="CQ88" i="68" s="1"/>
  <c r="M38" i="80"/>
  <c r="N35" i="69"/>
  <c r="N88" i="69" s="1"/>
  <c r="O44" i="7"/>
  <c r="P44" i="7" s="1"/>
  <c r="E45" i="7"/>
  <c r="H44" i="7"/>
  <c r="BP120" i="68"/>
  <c r="BP121" i="68"/>
  <c r="H45" i="80"/>
  <c r="J46" i="80"/>
  <c r="B47" i="80"/>
  <c r="N47" i="80"/>
  <c r="R46" i="80"/>
  <c r="H46" i="80"/>
  <c r="G10" i="92"/>
  <c r="M10" i="92" s="1"/>
  <c r="U42" i="86"/>
  <c r="CO39" i="68"/>
  <c r="CO92" i="68" s="1"/>
  <c r="K41" i="46"/>
  <c r="W41" i="46" s="1"/>
  <c r="Z41" i="46" s="1"/>
  <c r="D42" i="46"/>
  <c r="Q42" i="46"/>
  <c r="T42" i="46" s="1"/>
  <c r="AS17" i="69"/>
  <c r="AM71" i="68"/>
  <c r="BK18" i="68"/>
  <c r="BQ18" i="68" s="1"/>
  <c r="Q22" i="43"/>
  <c r="BA19" i="68"/>
  <c r="BA72" i="68" s="1"/>
  <c r="BA121" i="68" s="1"/>
  <c r="U22" i="39"/>
  <c r="BU19" i="68"/>
  <c r="BU72" i="68" s="1"/>
  <c r="BU121" i="68" s="1"/>
  <c r="S43" i="99"/>
  <c r="T43" i="99" s="1"/>
  <c r="F44" i="99"/>
  <c r="I43" i="99"/>
  <c r="CW35" i="68"/>
  <c r="CW88" i="68" s="1"/>
  <c r="Y37" i="48"/>
  <c r="X37" i="48"/>
  <c r="K43" i="98"/>
  <c r="L43" i="98" s="1"/>
  <c r="D44" i="98"/>
  <c r="G43" i="98"/>
  <c r="M8" i="70"/>
  <c r="Q22" i="64"/>
  <c r="AT19" i="68"/>
  <c r="AT72" i="68" s="1"/>
  <c r="AT121" i="68" s="1"/>
  <c r="Q35" i="58"/>
  <c r="AD32" i="69"/>
  <c r="AD85" i="69" s="1"/>
  <c r="AD135" i="69" s="1"/>
  <c r="U22" i="36"/>
  <c r="BB19" i="69"/>
  <c r="BB72" i="69" s="1"/>
  <c r="BB122" i="69" s="1"/>
  <c r="O44" i="102"/>
  <c r="P44" i="102" s="1"/>
  <c r="E45" i="102"/>
  <c r="H44" i="102"/>
  <c r="U21" i="66"/>
  <c r="CE18" i="68"/>
  <c r="CE71" i="68" s="1"/>
  <c r="CE120" i="68" s="1"/>
  <c r="I45" i="38"/>
  <c r="J46" i="38"/>
  <c r="B47" i="38"/>
  <c r="N47" i="38"/>
  <c r="R46" i="38"/>
  <c r="G46" i="38"/>
  <c r="I46" i="38"/>
  <c r="J47" i="89"/>
  <c r="L47" i="89" s="1"/>
  <c r="B48" i="89"/>
  <c r="N48" i="89"/>
  <c r="P48" i="89" s="1"/>
  <c r="R47" i="89"/>
  <c r="T47" i="89" s="1"/>
  <c r="G47" i="89"/>
  <c r="H47" i="89"/>
  <c r="I47" i="89"/>
  <c r="BT121" i="68"/>
  <c r="K44" i="96"/>
  <c r="L44" i="96" s="1"/>
  <c r="D45" i="96"/>
  <c r="G44" i="96"/>
  <c r="K43" i="101"/>
  <c r="L43" i="101" s="1"/>
  <c r="D44" i="101"/>
  <c r="G43" i="101"/>
  <c r="Q23" i="59"/>
  <c r="AQ20" i="69"/>
  <c r="V22" i="59"/>
  <c r="O43" i="23"/>
  <c r="P43" i="23" s="1"/>
  <c r="E44" i="23"/>
  <c r="H43" i="23"/>
  <c r="S44" i="66"/>
  <c r="T44" i="66" s="1"/>
  <c r="F45" i="66"/>
  <c r="I44" i="66"/>
  <c r="M23" i="42"/>
  <c r="O20" i="68"/>
  <c r="O73" i="68" s="1"/>
  <c r="O122" i="68" s="1"/>
  <c r="BO119" i="69"/>
  <c r="BP69" i="69"/>
  <c r="K43" i="103"/>
  <c r="L43" i="103" s="1"/>
  <c r="D44" i="103"/>
  <c r="G43" i="103"/>
  <c r="Q37" i="100"/>
  <c r="AQ34" i="68"/>
  <c r="AQ87" i="68" s="1"/>
  <c r="D44" i="86"/>
  <c r="K43" i="86"/>
  <c r="L43" i="86" s="1"/>
  <c r="G43" i="86"/>
  <c r="S43" i="96"/>
  <c r="T43" i="96" s="1"/>
  <c r="F44" i="96"/>
  <c r="I43" i="96"/>
  <c r="CT70" i="68"/>
  <c r="Z72" i="69"/>
  <c r="U21" i="61"/>
  <c r="BY18" i="68"/>
  <c r="BY71" i="68" s="1"/>
  <c r="BY120" i="68" s="1"/>
  <c r="O45" i="100"/>
  <c r="P45" i="100" s="1"/>
  <c r="E46" i="100"/>
  <c r="H45" i="100"/>
  <c r="U38" i="81"/>
  <c r="BI35" i="69"/>
  <c r="BI88" i="69" s="1"/>
  <c r="K44" i="58"/>
  <c r="L44" i="58" s="1"/>
  <c r="D45" i="58"/>
  <c r="G44" i="58"/>
  <c r="Q38" i="90"/>
  <c r="AJ35" i="69"/>
  <c r="AJ88" i="69" s="1"/>
  <c r="U22" i="60"/>
  <c r="BX19" i="68"/>
  <c r="BX72" i="68" s="1"/>
  <c r="BX121" i="68" s="1"/>
  <c r="U36" i="97"/>
  <c r="BF33" i="69"/>
  <c r="BF86" i="69" s="1"/>
  <c r="BF136" i="69" s="1"/>
  <c r="O43" i="1"/>
  <c r="P43" i="1" s="1"/>
  <c r="E44" i="1"/>
  <c r="H43" i="1"/>
  <c r="O43" i="35"/>
  <c r="P43" i="35" s="1"/>
  <c r="E44" i="35"/>
  <c r="H43" i="35"/>
  <c r="K43" i="1"/>
  <c r="L43" i="1" s="1"/>
  <c r="D44" i="1"/>
  <c r="G43" i="1"/>
  <c r="M36" i="101"/>
  <c r="S33" i="68"/>
  <c r="S86" i="68" s="1"/>
  <c r="S135" i="68" s="1"/>
  <c r="U36" i="99"/>
  <c r="CA33" i="68"/>
  <c r="CA86" i="68" s="1"/>
  <c r="CA135" i="68" s="1"/>
  <c r="AO18" i="69"/>
  <c r="Q22" i="40"/>
  <c r="AM19" i="68"/>
  <c r="M36" i="96"/>
  <c r="J33" i="69"/>
  <c r="J86" i="69" s="1"/>
  <c r="J136" i="69" s="1"/>
  <c r="Q22" i="37"/>
  <c r="AF19" i="69"/>
  <c r="AF72" i="69" s="1"/>
  <c r="AF122" i="69" s="1"/>
  <c r="M22" i="44"/>
  <c r="T19" i="68"/>
  <c r="T72" i="68" s="1"/>
  <c r="T121" i="68" s="1"/>
  <c r="G11" i="92" l="1"/>
  <c r="M11" i="92" s="1"/>
  <c r="AS18" i="69"/>
  <c r="H44" i="98"/>
  <c r="O44" i="98"/>
  <c r="P44" i="98" s="1"/>
  <c r="E45" i="98"/>
  <c r="L46" i="47"/>
  <c r="H46" i="47"/>
  <c r="E47" i="47"/>
  <c r="M22" i="37"/>
  <c r="I19" i="69"/>
  <c r="I72" i="69" s="1"/>
  <c r="I122" i="69" s="1"/>
  <c r="U22" i="64"/>
  <c r="CC19" i="68"/>
  <c r="CC72" i="68" s="1"/>
  <c r="CC121" i="68" s="1"/>
  <c r="CX120" i="68"/>
  <c r="CY71" i="68"/>
  <c r="CY120" i="68" s="1"/>
  <c r="H43" i="74"/>
  <c r="E44" i="74"/>
  <c r="O43" i="74"/>
  <c r="P43" i="74" s="1"/>
  <c r="U23" i="7"/>
  <c r="AY20" i="69"/>
  <c r="AY73" i="69" s="1"/>
  <c r="AY123" i="69" s="1"/>
  <c r="R119" i="69"/>
  <c r="V69" i="69"/>
  <c r="V119" i="69" s="1"/>
  <c r="U23" i="35"/>
  <c r="AZ20" i="69"/>
  <c r="AZ73" i="69" s="1"/>
  <c r="AZ123" i="69" s="1"/>
  <c r="J49" i="60"/>
  <c r="B50" i="60"/>
  <c r="R49" i="60"/>
  <c r="N50" i="60"/>
  <c r="U23" i="23"/>
  <c r="AX20" i="69"/>
  <c r="AX73" i="69" s="1"/>
  <c r="AX123" i="69" s="1"/>
  <c r="M22" i="65"/>
  <c r="L19" i="68"/>
  <c r="L72" i="68" s="1"/>
  <c r="L121" i="68" s="1"/>
  <c r="M22" i="41"/>
  <c r="E19" i="68"/>
  <c r="E72" i="68" s="1"/>
  <c r="E121" i="68" s="1"/>
  <c r="BM38" i="68"/>
  <c r="BM91" i="68" s="1"/>
  <c r="S40" i="47"/>
  <c r="U38" i="101"/>
  <c r="CK35" i="68"/>
  <c r="CK88" i="68" s="1"/>
  <c r="X36" i="68"/>
  <c r="X89" i="68" s="1"/>
  <c r="M39" i="87"/>
  <c r="M22" i="36"/>
  <c r="H19" i="69"/>
  <c r="H72" i="69" s="1"/>
  <c r="H122" i="69" s="1"/>
  <c r="CX72" i="68"/>
  <c r="CY19" i="68"/>
  <c r="BO41" i="68"/>
  <c r="BO94" i="68" s="1"/>
  <c r="Q44" i="63"/>
  <c r="Q23" i="41"/>
  <c r="AN20" i="68"/>
  <c r="AN73" i="68" s="1"/>
  <c r="AN122" i="68" s="1"/>
  <c r="U38" i="82"/>
  <c r="BJ35" i="69"/>
  <c r="BJ88" i="69" s="1"/>
  <c r="BK35" i="69"/>
  <c r="BK88" i="69" s="1"/>
  <c r="U38" i="83"/>
  <c r="U22" i="42"/>
  <c r="CG19" i="68"/>
  <c r="CG72" i="68" s="1"/>
  <c r="CG121" i="68" s="1"/>
  <c r="W22" i="59"/>
  <c r="M23" i="59"/>
  <c r="T20" i="69"/>
  <c r="F46" i="101"/>
  <c r="I45" i="101"/>
  <c r="S45" i="101"/>
  <c r="T45" i="101" s="1"/>
  <c r="AP41" i="69"/>
  <c r="AP94" i="69" s="1"/>
  <c r="S43" i="45"/>
  <c r="D44" i="74"/>
  <c r="K43" i="74"/>
  <c r="L43" i="74" s="1"/>
  <c r="M43" i="74" s="1"/>
  <c r="G43" i="74"/>
  <c r="J48" i="58"/>
  <c r="B49" i="58"/>
  <c r="N49" i="58"/>
  <c r="R48" i="58"/>
  <c r="Q24" i="1"/>
  <c r="Y21" i="69"/>
  <c r="Y74" i="69" s="1"/>
  <c r="Y124" i="69" s="1"/>
  <c r="M22" i="64"/>
  <c r="K19" i="68"/>
  <c r="K72" i="68" s="1"/>
  <c r="K121" i="68" s="1"/>
  <c r="AR34" i="68"/>
  <c r="AR87" i="68" s="1"/>
  <c r="Q37" i="99"/>
  <c r="D41" i="47"/>
  <c r="K40" i="47"/>
  <c r="Q41" i="47"/>
  <c r="T41" i="47" s="1"/>
  <c r="F46" i="74"/>
  <c r="S45" i="74"/>
  <c r="T45" i="74" s="1"/>
  <c r="U45" i="74" s="1"/>
  <c r="I45" i="74"/>
  <c r="DA72" i="68"/>
  <c r="V120" i="69"/>
  <c r="CT18" i="68"/>
  <c r="J52" i="36"/>
  <c r="B53" i="36"/>
  <c r="N53" i="36"/>
  <c r="R52" i="36"/>
  <c r="U23" i="63"/>
  <c r="CX20" i="68"/>
  <c r="Q43" i="74"/>
  <c r="CN34" i="68"/>
  <c r="CN87" i="68" s="1"/>
  <c r="CP34" i="68"/>
  <c r="CP87" i="68" s="1"/>
  <c r="U37" i="87"/>
  <c r="M38" i="47"/>
  <c r="AD36" i="68"/>
  <c r="AD89" i="68" s="1"/>
  <c r="M36" i="58"/>
  <c r="G33" i="69"/>
  <c r="G86" i="69" s="1"/>
  <c r="G136" i="69" s="1"/>
  <c r="Q37" i="88"/>
  <c r="BH34" i="68"/>
  <c r="BH87" i="68" s="1"/>
  <c r="Q24" i="38"/>
  <c r="AK21" i="68"/>
  <c r="AK74" i="68" s="1"/>
  <c r="AK123" i="68" s="1"/>
  <c r="U37" i="85"/>
  <c r="CM34" i="68"/>
  <c r="CM87" i="68" s="1"/>
  <c r="G20" i="68"/>
  <c r="G73" i="68" s="1"/>
  <c r="G122" i="68" s="1"/>
  <c r="M23" i="61"/>
  <c r="R49" i="86"/>
  <c r="J49" i="86"/>
  <c r="B50" i="86"/>
  <c r="N50" i="86"/>
  <c r="U22" i="37"/>
  <c r="BC19" i="69"/>
  <c r="BC72" i="69" s="1"/>
  <c r="BC122" i="69" s="1"/>
  <c r="N43" i="45"/>
  <c r="W43" i="45"/>
  <c r="Z43" i="45" s="1"/>
  <c r="C48" i="58"/>
  <c r="I40" i="75"/>
  <c r="S40" i="75"/>
  <c r="T40" i="75" s="1"/>
  <c r="F41" i="75"/>
  <c r="T121" i="69"/>
  <c r="U71" i="69"/>
  <c r="U23" i="1"/>
  <c r="AV20" i="69"/>
  <c r="AV73" i="69" s="1"/>
  <c r="AV123" i="69" s="1"/>
  <c r="Q23" i="39"/>
  <c r="AL20" i="68"/>
  <c r="AL73" i="68" s="1"/>
  <c r="AL122" i="68" s="1"/>
  <c r="U40" i="75"/>
  <c r="E10" i="92"/>
  <c r="AA20" i="69"/>
  <c r="AA73" i="69" s="1"/>
  <c r="AA123" i="69" s="1"/>
  <c r="Q23" i="23"/>
  <c r="CS35" i="68"/>
  <c r="CS88" i="68" s="1"/>
  <c r="U38" i="89"/>
  <c r="J50" i="7"/>
  <c r="B51" i="7"/>
  <c r="N51" i="7"/>
  <c r="R50" i="7"/>
  <c r="CV36" i="68"/>
  <c r="CV89" i="68" s="1"/>
  <c r="Y38" i="47"/>
  <c r="N42" i="45"/>
  <c r="W42" i="45"/>
  <c r="Z42" i="45" s="1"/>
  <c r="U22" i="44"/>
  <c r="CL19" i="68"/>
  <c r="CL72" i="68" s="1"/>
  <c r="CL121" i="68" s="1"/>
  <c r="C49" i="86"/>
  <c r="C50" i="86" s="1"/>
  <c r="Q26" i="35"/>
  <c r="AC23" i="69"/>
  <c r="AC76" i="69" s="1"/>
  <c r="AC126" i="69" s="1"/>
  <c r="M23" i="4"/>
  <c r="C20" i="69"/>
  <c r="C73" i="69" s="1"/>
  <c r="C123" i="69" s="1"/>
  <c r="T72" i="69"/>
  <c r="U19" i="69"/>
  <c r="K12" i="92" s="1"/>
  <c r="M23" i="62"/>
  <c r="J20" i="68"/>
  <c r="J73" i="68" s="1"/>
  <c r="J122" i="68" s="1"/>
  <c r="D44" i="45"/>
  <c r="Q44" i="45"/>
  <c r="T44" i="45" s="1"/>
  <c r="K44" i="45"/>
  <c r="Q39" i="82"/>
  <c r="AM36" i="69"/>
  <c r="AM89" i="69" s="1"/>
  <c r="O45" i="63"/>
  <c r="P45" i="63" s="1"/>
  <c r="E46" i="63"/>
  <c r="H45" i="63"/>
  <c r="W39" i="47"/>
  <c r="Z39" i="47" s="1"/>
  <c r="N39" i="47"/>
  <c r="C49" i="60"/>
  <c r="C50" i="60" s="1"/>
  <c r="E48" i="48"/>
  <c r="H47" i="48"/>
  <c r="G45" i="48"/>
  <c r="J44" i="48"/>
  <c r="E46" i="46"/>
  <c r="H45" i="46"/>
  <c r="I46" i="47"/>
  <c r="F47" i="47"/>
  <c r="R46" i="47"/>
  <c r="S44" i="103"/>
  <c r="T44" i="103" s="1"/>
  <c r="F45" i="103"/>
  <c r="I44" i="103"/>
  <c r="M47" i="63"/>
  <c r="AF44" i="68"/>
  <c r="AF97" i="68" s="1"/>
  <c r="E45" i="64"/>
  <c r="H44" i="64"/>
  <c r="O44" i="64"/>
  <c r="P44" i="64" s="1"/>
  <c r="I44" i="100"/>
  <c r="S44" i="100"/>
  <c r="T44" i="100" s="1"/>
  <c r="F45" i="100"/>
  <c r="H44" i="38"/>
  <c r="E45" i="38"/>
  <c r="O44" i="38"/>
  <c r="P44" i="38" s="1"/>
  <c r="S45" i="97"/>
  <c r="T45" i="97" s="1"/>
  <c r="F46" i="97"/>
  <c r="I45" i="97"/>
  <c r="Q38" i="100"/>
  <c r="AQ35" i="68"/>
  <c r="AQ88" i="68" s="1"/>
  <c r="E45" i="23"/>
  <c r="O44" i="23"/>
  <c r="P44" i="23" s="1"/>
  <c r="H44" i="23"/>
  <c r="U43" i="86"/>
  <c r="CO40" i="68"/>
  <c r="CO93" i="68" s="1"/>
  <c r="U39" i="88"/>
  <c r="CQ36" i="68"/>
  <c r="CQ89" i="68" s="1"/>
  <c r="M38" i="90"/>
  <c r="M35" i="69"/>
  <c r="M88" i="69" s="1"/>
  <c r="O44" i="97"/>
  <c r="P44" i="97" s="1"/>
  <c r="E45" i="97"/>
  <c r="H44" i="97"/>
  <c r="S44" i="1"/>
  <c r="T44" i="1" s="1"/>
  <c r="F45" i="1"/>
  <c r="I44" i="1"/>
  <c r="M38" i="84"/>
  <c r="V35" i="68"/>
  <c r="V88" i="68" s="1"/>
  <c r="U38" i="103"/>
  <c r="CH35" i="68"/>
  <c r="CH88" i="68" s="1"/>
  <c r="S45" i="58"/>
  <c r="T45" i="58" s="1"/>
  <c r="F46" i="58"/>
  <c r="I45" i="58"/>
  <c r="S45" i="66"/>
  <c r="T45" i="66" s="1"/>
  <c r="F46" i="66"/>
  <c r="I45" i="66"/>
  <c r="K44" i="101"/>
  <c r="L44" i="101" s="1"/>
  <c r="D45" i="101"/>
  <c r="G44" i="101"/>
  <c r="J47" i="38"/>
  <c r="B48" i="38"/>
  <c r="N48" i="38"/>
  <c r="R47" i="38"/>
  <c r="U23" i="36"/>
  <c r="BB20" i="69"/>
  <c r="BB73" i="69" s="1"/>
  <c r="BB123" i="69" s="1"/>
  <c r="Q23" i="43"/>
  <c r="BA20" i="68"/>
  <c r="BA73" i="68" s="1"/>
  <c r="BA122" i="68" s="1"/>
  <c r="K42" i="46"/>
  <c r="W42" i="46" s="1"/>
  <c r="Z42" i="46" s="1"/>
  <c r="D43" i="46"/>
  <c r="Q43" i="46"/>
  <c r="T43" i="46" s="1"/>
  <c r="U24" i="67"/>
  <c r="CF21" i="68"/>
  <c r="CF74" i="68" s="1"/>
  <c r="CF123" i="68" s="1"/>
  <c r="M22" i="67"/>
  <c r="N19" i="68"/>
  <c r="N72" i="68" s="1"/>
  <c r="N121" i="68" s="1"/>
  <c r="J12" i="92"/>
  <c r="Q37" i="98"/>
  <c r="AH34" i="69"/>
  <c r="AH87" i="69" s="1"/>
  <c r="Q37" i="103"/>
  <c r="AY34" i="68"/>
  <c r="AY87" i="68" s="1"/>
  <c r="M23" i="7"/>
  <c r="E20" i="69"/>
  <c r="E73" i="69" s="1"/>
  <c r="E123" i="69" s="1"/>
  <c r="J48" i="82"/>
  <c r="L48" i="82" s="1"/>
  <c r="B49" i="82"/>
  <c r="N49" i="82"/>
  <c r="P49" i="82" s="1"/>
  <c r="R48" i="82"/>
  <c r="T48" i="82" s="1"/>
  <c r="I48" i="82"/>
  <c r="G48" i="82"/>
  <c r="H48" i="82"/>
  <c r="Q38" i="102"/>
  <c r="AZ35" i="68"/>
  <c r="AZ88" i="68" s="1"/>
  <c r="M24" i="23"/>
  <c r="D21" i="69"/>
  <c r="D74" i="69" s="1"/>
  <c r="D124" i="69" s="1"/>
  <c r="W23" i="23"/>
  <c r="U23" i="59"/>
  <c r="BN20" i="69"/>
  <c r="W71" i="69"/>
  <c r="R121" i="69"/>
  <c r="V71" i="69"/>
  <c r="V121" i="69" s="1"/>
  <c r="BT120" i="69"/>
  <c r="BV70" i="69"/>
  <c r="BV120" i="69" s="1"/>
  <c r="CW36" i="68"/>
  <c r="CW89" i="68" s="1"/>
  <c r="X38" i="48"/>
  <c r="Y38" i="48"/>
  <c r="Q40" i="83"/>
  <c r="AN37" i="69"/>
  <c r="AN90" i="69" s="1"/>
  <c r="O44" i="85"/>
  <c r="P44" i="85" s="1"/>
  <c r="E45" i="85"/>
  <c r="H44" i="85"/>
  <c r="Q23" i="61"/>
  <c r="AP20" i="68"/>
  <c r="AP73" i="68" s="1"/>
  <c r="AP122" i="68" s="1"/>
  <c r="M23" i="66"/>
  <c r="M20" i="68"/>
  <c r="M73" i="68" s="1"/>
  <c r="M122" i="68" s="1"/>
  <c r="M39" i="83"/>
  <c r="Q36" i="69"/>
  <c r="Q89" i="69" s="1"/>
  <c r="M37" i="100"/>
  <c r="H34" i="68"/>
  <c r="H87" i="68" s="1"/>
  <c r="AB71" i="68"/>
  <c r="H11" i="70" s="1"/>
  <c r="B120" i="68"/>
  <c r="K45" i="35"/>
  <c r="L45" i="35" s="1"/>
  <c r="D46" i="35"/>
  <c r="G45" i="35"/>
  <c r="U38" i="98"/>
  <c r="BE35" i="69"/>
  <c r="BE88" i="69" s="1"/>
  <c r="K5" i="56"/>
  <c r="O44" i="59"/>
  <c r="P44" i="59" s="1"/>
  <c r="E45" i="59"/>
  <c r="H44" i="59"/>
  <c r="O45" i="36"/>
  <c r="P45" i="36" s="1"/>
  <c r="E46" i="36"/>
  <c r="H45" i="36"/>
  <c r="U37" i="102"/>
  <c r="CI34" i="68"/>
  <c r="CI87" i="68" s="1"/>
  <c r="U24" i="38"/>
  <c r="BT21" i="68"/>
  <c r="BT74" i="68" s="1"/>
  <c r="BN121" i="69"/>
  <c r="BO71" i="69"/>
  <c r="V18" i="69"/>
  <c r="U38" i="100"/>
  <c r="BZ35" i="68"/>
  <c r="BZ88" i="68" s="1"/>
  <c r="R72" i="69"/>
  <c r="B122" i="69"/>
  <c r="AC90" i="68"/>
  <c r="Q40" i="85"/>
  <c r="BD37" i="68"/>
  <c r="BD90" i="68" s="1"/>
  <c r="O44" i="90"/>
  <c r="P44" i="90" s="1"/>
  <c r="E45" i="90"/>
  <c r="H44" i="90"/>
  <c r="U37" i="97"/>
  <c r="BF34" i="69"/>
  <c r="BF87" i="69" s="1"/>
  <c r="E47" i="100"/>
  <c r="O46" i="100"/>
  <c r="P46" i="100" s="1"/>
  <c r="H46" i="100"/>
  <c r="K45" i="96"/>
  <c r="L45" i="96" s="1"/>
  <c r="D46" i="96"/>
  <c r="G45" i="96"/>
  <c r="J48" i="89"/>
  <c r="L48" i="89" s="1"/>
  <c r="B49" i="89"/>
  <c r="N49" i="89"/>
  <c r="P49" i="89" s="1"/>
  <c r="R48" i="89"/>
  <c r="T48" i="89" s="1"/>
  <c r="I48" i="89"/>
  <c r="H48" i="89"/>
  <c r="G48" i="89"/>
  <c r="S44" i="99"/>
  <c r="T44" i="99" s="1"/>
  <c r="F45" i="99"/>
  <c r="I44" i="99"/>
  <c r="BP70" i="69"/>
  <c r="BO120" i="69"/>
  <c r="D46" i="63"/>
  <c r="G45" i="63"/>
  <c r="K45" i="63"/>
  <c r="L45" i="63" s="1"/>
  <c r="S44" i="98"/>
  <c r="T44" i="98" s="1"/>
  <c r="F45" i="98"/>
  <c r="I44" i="98"/>
  <c r="K41" i="48"/>
  <c r="W41" i="48" s="1"/>
  <c r="D42" i="48"/>
  <c r="Q42" i="48"/>
  <c r="BU118" i="69"/>
  <c r="BW68" i="69"/>
  <c r="M23" i="43"/>
  <c r="R20" i="68"/>
  <c r="R73" i="68" s="1"/>
  <c r="R122" i="68" s="1"/>
  <c r="BN72" i="69"/>
  <c r="BO19" i="69"/>
  <c r="M37" i="86"/>
  <c r="W34" i="68"/>
  <c r="W87" i="68" s="1"/>
  <c r="J53" i="66"/>
  <c r="B54" i="66"/>
  <c r="N54" i="66"/>
  <c r="R53" i="66"/>
  <c r="M38" i="85"/>
  <c r="U35" i="68"/>
  <c r="U88" i="68" s="1"/>
  <c r="K45" i="66"/>
  <c r="L45" i="66" s="1"/>
  <c r="D46" i="66"/>
  <c r="G45" i="66"/>
  <c r="C11" i="92"/>
  <c r="D11" i="92"/>
  <c r="CZ18" i="68"/>
  <c r="K45" i="64"/>
  <c r="L45" i="64" s="1"/>
  <c r="D46" i="64"/>
  <c r="G45" i="64"/>
  <c r="F51" i="46"/>
  <c r="I50" i="46"/>
  <c r="R50" i="46" s="1"/>
  <c r="E45" i="101"/>
  <c r="O44" i="101"/>
  <c r="P44" i="101" s="1"/>
  <c r="H44" i="101"/>
  <c r="C48" i="89"/>
  <c r="C49" i="89" s="1"/>
  <c r="AW121" i="69"/>
  <c r="BT71" i="69"/>
  <c r="BL71" i="69"/>
  <c r="M37" i="96"/>
  <c r="J34" i="69"/>
  <c r="J87" i="69" s="1"/>
  <c r="O44" i="1"/>
  <c r="P44" i="1" s="1"/>
  <c r="E45" i="1"/>
  <c r="H44" i="1"/>
  <c r="AM72" i="68"/>
  <c r="M37" i="101"/>
  <c r="S34" i="68"/>
  <c r="S87" i="68" s="1"/>
  <c r="K44" i="1"/>
  <c r="L44" i="1" s="1"/>
  <c r="D45" i="1"/>
  <c r="G44" i="1"/>
  <c r="O44" i="35"/>
  <c r="P44" i="35" s="1"/>
  <c r="E45" i="35"/>
  <c r="H44" i="35"/>
  <c r="U23" i="60"/>
  <c r="BX20" i="68"/>
  <c r="BX73" i="68" s="1"/>
  <c r="BX122" i="68" s="1"/>
  <c r="AO19" i="69"/>
  <c r="S44" i="96"/>
  <c r="T44" i="96" s="1"/>
  <c r="F45" i="96"/>
  <c r="I44" i="96"/>
  <c r="K44" i="86"/>
  <c r="L44" i="86" s="1"/>
  <c r="D45" i="86"/>
  <c r="G44" i="86"/>
  <c r="BP119" i="69"/>
  <c r="BU69" i="69"/>
  <c r="M24" i="42"/>
  <c r="O21" i="68"/>
  <c r="O74" i="68" s="1"/>
  <c r="O123" i="68" s="1"/>
  <c r="AQ73" i="69"/>
  <c r="AR20" i="69"/>
  <c r="DA121" i="68"/>
  <c r="U22" i="66"/>
  <c r="CE19" i="68"/>
  <c r="CE72" i="68" s="1"/>
  <c r="CE121" i="68" s="1"/>
  <c r="O45" i="102"/>
  <c r="P45" i="102" s="1"/>
  <c r="E46" i="102"/>
  <c r="H45" i="102"/>
  <c r="Q23" i="64"/>
  <c r="AT20" i="68"/>
  <c r="AT73" i="68" s="1"/>
  <c r="AT122" i="68" s="1"/>
  <c r="K44" i="98"/>
  <c r="L44" i="98" s="1"/>
  <c r="D45" i="98"/>
  <c r="G44" i="98"/>
  <c r="CU39" i="68"/>
  <c r="Y41" i="46"/>
  <c r="J47" i="80"/>
  <c r="B48" i="80"/>
  <c r="N48" i="80"/>
  <c r="R47" i="80"/>
  <c r="M39" i="80"/>
  <c r="N36" i="69"/>
  <c r="N89" i="69" s="1"/>
  <c r="E47" i="67"/>
  <c r="O46" i="67"/>
  <c r="P46" i="67" s="1"/>
  <c r="H46" i="67"/>
  <c r="K45" i="23"/>
  <c r="L45" i="23" s="1"/>
  <c r="D46" i="23"/>
  <c r="G45" i="23"/>
  <c r="Q25" i="62"/>
  <c r="AS22" i="68"/>
  <c r="AS75" i="68" s="1"/>
  <c r="AS124" i="68" s="1"/>
  <c r="AQ122" i="69"/>
  <c r="AR72" i="69"/>
  <c r="K45" i="97"/>
  <c r="L45" i="97" s="1"/>
  <c r="D46" i="97"/>
  <c r="G45" i="97"/>
  <c r="U24" i="65"/>
  <c r="CD21" i="68"/>
  <c r="CD74" i="68" s="1"/>
  <c r="CD123" i="68" s="1"/>
  <c r="U36" i="58"/>
  <c r="BA33" i="69"/>
  <c r="BA86" i="69" s="1"/>
  <c r="BA136" i="69" s="1"/>
  <c r="S44" i="64"/>
  <c r="T44" i="64" s="1"/>
  <c r="F45" i="64"/>
  <c r="I44" i="64"/>
  <c r="K45" i="43"/>
  <c r="L45" i="43" s="1"/>
  <c r="D46" i="43"/>
  <c r="G45" i="43"/>
  <c r="Q23" i="36"/>
  <c r="AE20" i="69"/>
  <c r="AE73" i="69" s="1"/>
  <c r="AE123" i="69" s="1"/>
  <c r="S47" i="63"/>
  <c r="T47" i="63" s="1"/>
  <c r="F48" i="63"/>
  <c r="I47" i="63"/>
  <c r="S45" i="60"/>
  <c r="T45" i="60" s="1"/>
  <c r="F46" i="60"/>
  <c r="I45" i="60"/>
  <c r="AG36" i="68"/>
  <c r="B72" i="68"/>
  <c r="AB19" i="68"/>
  <c r="AH19" i="68" s="1"/>
  <c r="CU91" i="68"/>
  <c r="U39" i="104"/>
  <c r="CR36" i="68"/>
  <c r="CR89" i="68" s="1"/>
  <c r="M38" i="81"/>
  <c r="O35" i="69"/>
  <c r="O88" i="69" s="1"/>
  <c r="Q11" i="70"/>
  <c r="J11" i="70"/>
  <c r="AS71" i="69"/>
  <c r="AS121" i="69" s="1"/>
  <c r="AR121" i="69"/>
  <c r="J47" i="83"/>
  <c r="L47" i="83" s="1"/>
  <c r="B48" i="83"/>
  <c r="N48" i="83"/>
  <c r="P48" i="83" s="1"/>
  <c r="R47" i="83"/>
  <c r="T47" i="83" s="1"/>
  <c r="H47" i="83"/>
  <c r="I47" i="83"/>
  <c r="G47" i="83"/>
  <c r="Q24" i="67"/>
  <c r="AW21" i="68"/>
  <c r="AW74" i="68" s="1"/>
  <c r="AW123" i="68" s="1"/>
  <c r="CT71" i="68"/>
  <c r="BF34" i="68"/>
  <c r="BF87" i="68" s="1"/>
  <c r="Q37" i="86"/>
  <c r="M37" i="97"/>
  <c r="L34" i="69"/>
  <c r="L87" i="69" s="1"/>
  <c r="S44" i="7"/>
  <c r="T44" i="7" s="1"/>
  <c r="F45" i="7"/>
  <c r="I44" i="7"/>
  <c r="N9" i="70"/>
  <c r="S44" i="90"/>
  <c r="T44" i="90" s="1"/>
  <c r="F45" i="90"/>
  <c r="I44" i="90"/>
  <c r="M37" i="102"/>
  <c r="Q34" i="68"/>
  <c r="Q87" i="68" s="1"/>
  <c r="U38" i="96"/>
  <c r="BD35" i="69"/>
  <c r="BD88" i="69" s="1"/>
  <c r="H10" i="70"/>
  <c r="I44" i="48"/>
  <c r="F45" i="48"/>
  <c r="BN37" i="68"/>
  <c r="R39" i="48"/>
  <c r="T40" i="48" s="1"/>
  <c r="Z39" i="48"/>
  <c r="S39" i="48"/>
  <c r="Q25" i="65"/>
  <c r="AU22" i="68"/>
  <c r="AU75" i="68" s="1"/>
  <c r="AU124" i="68" s="1"/>
  <c r="K45" i="100"/>
  <c r="L45" i="100" s="1"/>
  <c r="D46" i="100"/>
  <c r="G45" i="100"/>
  <c r="S45" i="59"/>
  <c r="T45" i="59" s="1"/>
  <c r="F46" i="59"/>
  <c r="I45" i="59"/>
  <c r="AW72" i="69"/>
  <c r="BL19" i="69"/>
  <c r="C48" i="82"/>
  <c r="C49" i="82" s="1"/>
  <c r="K45" i="90"/>
  <c r="L45" i="90" s="1"/>
  <c r="D46" i="90"/>
  <c r="G45" i="90"/>
  <c r="E9" i="70"/>
  <c r="AO121" i="69"/>
  <c r="AT71" i="69"/>
  <c r="BL92" i="68"/>
  <c r="U23" i="40"/>
  <c r="BV20" i="68"/>
  <c r="BV73" i="68" s="1"/>
  <c r="BV122" i="68" s="1"/>
  <c r="BE35" i="68"/>
  <c r="BE88" i="68" s="1"/>
  <c r="BG35" i="68"/>
  <c r="BG88" i="68" s="1"/>
  <c r="Q38" i="87"/>
  <c r="Q22" i="44"/>
  <c r="BC19" i="68"/>
  <c r="BC72" i="68" s="1"/>
  <c r="BC121" i="68" s="1"/>
  <c r="M38" i="89"/>
  <c r="AA35" i="68"/>
  <c r="AA88" i="68" s="1"/>
  <c r="Z73" i="69"/>
  <c r="Q38" i="80"/>
  <c r="AK35" i="69"/>
  <c r="AK88" i="69" s="1"/>
  <c r="Q24" i="66"/>
  <c r="AV21" i="68"/>
  <c r="AV74" i="68" s="1"/>
  <c r="AV123" i="68" s="1"/>
  <c r="Q23" i="42"/>
  <c r="AX20" i="68"/>
  <c r="AX73" i="68" s="1"/>
  <c r="AX122" i="68" s="1"/>
  <c r="B49" i="59"/>
  <c r="J48" i="59"/>
  <c r="N49" i="59"/>
  <c r="R48" i="59"/>
  <c r="O44" i="66"/>
  <c r="P44" i="66" s="1"/>
  <c r="E45" i="66"/>
  <c r="H44" i="66"/>
  <c r="J52" i="96"/>
  <c r="B53" i="96"/>
  <c r="C53" i="96" s="1"/>
  <c r="N53" i="96"/>
  <c r="R52" i="96"/>
  <c r="O46" i="80"/>
  <c r="P46" i="80" s="1"/>
  <c r="E47" i="80"/>
  <c r="K44" i="80"/>
  <c r="L44" i="80" s="1"/>
  <c r="D45" i="80"/>
  <c r="G44" i="80"/>
  <c r="O44" i="96"/>
  <c r="P44" i="96" s="1"/>
  <c r="E45" i="96"/>
  <c r="H44" i="96"/>
  <c r="S45" i="86"/>
  <c r="T45" i="86" s="1"/>
  <c r="F46" i="86"/>
  <c r="I45" i="86"/>
  <c r="K44" i="99"/>
  <c r="L44" i="99" s="1"/>
  <c r="D45" i="99"/>
  <c r="G44" i="99"/>
  <c r="L40" i="46"/>
  <c r="N41" i="46" s="1"/>
  <c r="AC38" i="68"/>
  <c r="M40" i="46"/>
  <c r="BQ70" i="68"/>
  <c r="BQ119" i="68" s="1"/>
  <c r="E45" i="43"/>
  <c r="O44" i="43"/>
  <c r="P44" i="43" s="1"/>
  <c r="H44" i="43"/>
  <c r="C47" i="38"/>
  <c r="C48" i="38" s="1"/>
  <c r="U37" i="99"/>
  <c r="CA34" i="68"/>
  <c r="CA87" i="68" s="1"/>
  <c r="Q39" i="90"/>
  <c r="AJ36" i="69"/>
  <c r="AJ89" i="69" s="1"/>
  <c r="D46" i="58"/>
  <c r="K45" i="58"/>
  <c r="L45" i="58" s="1"/>
  <c r="G45" i="58"/>
  <c r="C10" i="70"/>
  <c r="D10" i="70"/>
  <c r="CT119" i="68"/>
  <c r="CZ70" i="68"/>
  <c r="K44" i="103"/>
  <c r="L44" i="103" s="1"/>
  <c r="D45" i="103"/>
  <c r="G44" i="103"/>
  <c r="BL40" i="68"/>
  <c r="S42" i="46"/>
  <c r="Q23" i="7"/>
  <c r="AB20" i="69"/>
  <c r="AB73" i="69" s="1"/>
  <c r="AB123" i="69" s="1"/>
  <c r="E45" i="103"/>
  <c r="O44" i="103"/>
  <c r="P44" i="103" s="1"/>
  <c r="H44" i="103"/>
  <c r="S44" i="23"/>
  <c r="T44" i="23" s="1"/>
  <c r="F45" i="23"/>
  <c r="I44" i="23"/>
  <c r="Q37" i="101"/>
  <c r="BB34" i="68"/>
  <c r="BB87" i="68" s="1"/>
  <c r="J52" i="85"/>
  <c r="N53" i="85"/>
  <c r="B53" i="85"/>
  <c r="R52" i="85"/>
  <c r="S44" i="80"/>
  <c r="T44" i="80" s="1"/>
  <c r="F45" i="80"/>
  <c r="I44" i="80"/>
  <c r="J5" i="56"/>
  <c r="O46" i="86"/>
  <c r="P46" i="86" s="1"/>
  <c r="E47" i="86"/>
  <c r="H46" i="86"/>
  <c r="K44" i="59"/>
  <c r="L44" i="59" s="1"/>
  <c r="D45" i="59"/>
  <c r="G44" i="59"/>
  <c r="K45" i="85"/>
  <c r="L45" i="85" s="1"/>
  <c r="D46" i="85"/>
  <c r="G45" i="85"/>
  <c r="M24" i="1"/>
  <c r="B21" i="69"/>
  <c r="AB18" i="68"/>
  <c r="AH18" i="68" s="1"/>
  <c r="DB69" i="68"/>
  <c r="CZ118" i="68"/>
  <c r="O44" i="60"/>
  <c r="P44" i="60" s="1"/>
  <c r="E45" i="60"/>
  <c r="H44" i="60"/>
  <c r="M38" i="98"/>
  <c r="K35" i="69"/>
  <c r="K88" i="69" s="1"/>
  <c r="M38" i="82"/>
  <c r="P35" i="69"/>
  <c r="P88" i="69" s="1"/>
  <c r="Q39" i="104"/>
  <c r="BI36" i="68"/>
  <c r="BI89" i="68" s="1"/>
  <c r="BT122" i="68"/>
  <c r="R19" i="69"/>
  <c r="E45" i="58"/>
  <c r="O44" i="58"/>
  <c r="P44" i="58" s="1"/>
  <c r="H44" i="58"/>
  <c r="M23" i="44"/>
  <c r="T20" i="68"/>
  <c r="T73" i="68" s="1"/>
  <c r="T122" i="68" s="1"/>
  <c r="Q23" i="37"/>
  <c r="AF20" i="69"/>
  <c r="AF73" i="69" s="1"/>
  <c r="AF123" i="69" s="1"/>
  <c r="Q23" i="40"/>
  <c r="AM20" i="68"/>
  <c r="U39" i="81"/>
  <c r="BI36" i="69"/>
  <c r="BI89" i="69" s="1"/>
  <c r="U22" i="61"/>
  <c r="BY19" i="68"/>
  <c r="BY72" i="68" s="1"/>
  <c r="BY121" i="68" s="1"/>
  <c r="Z122" i="69"/>
  <c r="AO72" i="69"/>
  <c r="Q24" i="59"/>
  <c r="AQ21" i="69"/>
  <c r="V23" i="59"/>
  <c r="Q36" i="58"/>
  <c r="AD33" i="69"/>
  <c r="AD86" i="69" s="1"/>
  <c r="AD136" i="69" s="1"/>
  <c r="U23" i="39"/>
  <c r="BU20" i="68"/>
  <c r="BU73" i="68" s="1"/>
  <c r="BU122" i="68" s="1"/>
  <c r="AM120" i="68"/>
  <c r="BK71" i="68"/>
  <c r="G11" i="70" s="1"/>
  <c r="O45" i="7"/>
  <c r="P45" i="7" s="1"/>
  <c r="E46" i="7"/>
  <c r="H45" i="7"/>
  <c r="M23" i="39"/>
  <c r="C20" i="68"/>
  <c r="C73" i="68" s="1"/>
  <c r="C122" i="68" s="1"/>
  <c r="U24" i="43"/>
  <c r="CJ21" i="68"/>
  <c r="CJ74" i="68" s="1"/>
  <c r="CJ123" i="68" s="1"/>
  <c r="CT72" i="68"/>
  <c r="C52" i="85"/>
  <c r="C53" i="85" s="1"/>
  <c r="D45" i="60"/>
  <c r="K44" i="60"/>
  <c r="L44" i="60" s="1"/>
  <c r="G44" i="60"/>
  <c r="S45" i="43"/>
  <c r="T45" i="43" s="1"/>
  <c r="F46" i="43"/>
  <c r="I45" i="43"/>
  <c r="L39" i="48"/>
  <c r="N40" i="48" s="1"/>
  <c r="AE37" i="68"/>
  <c r="AE90" i="68" s="1"/>
  <c r="M39" i="48"/>
  <c r="S45" i="67"/>
  <c r="T45" i="67" s="1"/>
  <c r="F46" i="67"/>
  <c r="I45" i="67"/>
  <c r="O45" i="99"/>
  <c r="P45" i="99" s="1"/>
  <c r="E46" i="99"/>
  <c r="H45" i="99"/>
  <c r="S45" i="36"/>
  <c r="T45" i="36" s="1"/>
  <c r="F46" i="36"/>
  <c r="I45" i="36"/>
  <c r="K46" i="38"/>
  <c r="L46" i="38" s="1"/>
  <c r="D47" i="38"/>
  <c r="S45" i="35"/>
  <c r="T45" i="35" s="1"/>
  <c r="F46" i="35"/>
  <c r="I45" i="35"/>
  <c r="AG89" i="68"/>
  <c r="M23" i="38"/>
  <c r="B20" i="68"/>
  <c r="M38" i="104"/>
  <c r="Z35" i="68"/>
  <c r="Z88" i="68" s="1"/>
  <c r="K45" i="102"/>
  <c r="L45" i="102" s="1"/>
  <c r="D46" i="102"/>
  <c r="G45" i="102"/>
  <c r="M37" i="103"/>
  <c r="P34" i="68"/>
  <c r="P87" i="68" s="1"/>
  <c r="G10" i="70"/>
  <c r="S47" i="85"/>
  <c r="T47" i="85" s="1"/>
  <c r="F48" i="85"/>
  <c r="I47" i="85"/>
  <c r="M37" i="88"/>
  <c r="Y34" i="68"/>
  <c r="Y87" i="68" s="1"/>
  <c r="B10" i="70"/>
  <c r="BQ70" i="69"/>
  <c r="BN89" i="68"/>
  <c r="BP89" i="68" s="1"/>
  <c r="BP36" i="68"/>
  <c r="Q38" i="96"/>
  <c r="AG35" i="69"/>
  <c r="AG88" i="69" s="1"/>
  <c r="D46" i="7"/>
  <c r="K45" i="7"/>
  <c r="L45" i="7" s="1"/>
  <c r="G45" i="7"/>
  <c r="M23" i="40"/>
  <c r="D20" i="68"/>
  <c r="D73" i="68" s="1"/>
  <c r="D122" i="68" s="1"/>
  <c r="U24" i="62"/>
  <c r="CB21" i="68"/>
  <c r="CB74" i="68" s="1"/>
  <c r="CB123" i="68" s="1"/>
  <c r="B73" i="69"/>
  <c r="S45" i="102"/>
  <c r="T45" i="102" s="1"/>
  <c r="F46" i="102"/>
  <c r="I45" i="102"/>
  <c r="U23" i="4"/>
  <c r="AW20" i="69"/>
  <c r="Y22" i="23"/>
  <c r="M23" i="35"/>
  <c r="F20" i="69"/>
  <c r="F73" i="69" s="1"/>
  <c r="F123" i="69" s="1"/>
  <c r="U23" i="41"/>
  <c r="BW20" i="68"/>
  <c r="BW73" i="68" s="1"/>
  <c r="BW122" i="68" s="1"/>
  <c r="A35" i="70"/>
  <c r="U39" i="90"/>
  <c r="BG36" i="69"/>
  <c r="BG89" i="69" s="1"/>
  <c r="Q38" i="81"/>
  <c r="AL35" i="69"/>
  <c r="AL88" i="69" s="1"/>
  <c r="M38" i="99"/>
  <c r="I35" i="68"/>
  <c r="I88" i="68" s="1"/>
  <c r="AH70" i="68"/>
  <c r="AH119" i="68" s="1"/>
  <c r="Q24" i="4"/>
  <c r="Z21" i="69"/>
  <c r="J49" i="43"/>
  <c r="B50" i="43"/>
  <c r="N50" i="43"/>
  <c r="R49" i="43"/>
  <c r="K45" i="67"/>
  <c r="L45" i="67" s="1"/>
  <c r="D46" i="67"/>
  <c r="G45" i="67"/>
  <c r="U39" i="80"/>
  <c r="BH36" i="69"/>
  <c r="BH89" i="69" s="1"/>
  <c r="Q38" i="89"/>
  <c r="BJ35" i="68"/>
  <c r="BJ88" i="68" s="1"/>
  <c r="S46" i="38"/>
  <c r="T46" i="38" s="1"/>
  <c r="F47" i="38"/>
  <c r="I47" i="38" s="1"/>
  <c r="M23" i="60"/>
  <c r="F20" i="68"/>
  <c r="F73" i="68" s="1"/>
  <c r="F122" i="68" s="1"/>
  <c r="B11" i="92"/>
  <c r="E11" i="92" s="1"/>
  <c r="K44" i="36"/>
  <c r="L44" i="36" s="1"/>
  <c r="D45" i="36"/>
  <c r="G44" i="36"/>
  <c r="C53" i="66"/>
  <c r="C54" i="66" s="1"/>
  <c r="Q23" i="60"/>
  <c r="AO20" i="68"/>
  <c r="AO73" i="68" s="1"/>
  <c r="AO122" i="68" s="1"/>
  <c r="Q38" i="97"/>
  <c r="AI35" i="69"/>
  <c r="AI88" i="69" s="1"/>
  <c r="C47" i="80"/>
  <c r="C48" i="80" s="1"/>
  <c r="CV37" i="68" l="1"/>
  <c r="CV90" i="68" s="1"/>
  <c r="Y39" i="47"/>
  <c r="D45" i="45"/>
  <c r="K45" i="45"/>
  <c r="T122" i="69"/>
  <c r="U72" i="69"/>
  <c r="Q27" i="35"/>
  <c r="AC24" i="69"/>
  <c r="AC77" i="69" s="1"/>
  <c r="AC127" i="69" s="1"/>
  <c r="BM40" i="69"/>
  <c r="BM93" i="69" s="1"/>
  <c r="Y42" i="45"/>
  <c r="CS36" i="68"/>
  <c r="CS89" i="68" s="1"/>
  <c r="U39" i="89"/>
  <c r="Q24" i="39"/>
  <c r="AL21" i="68"/>
  <c r="AL74" i="68" s="1"/>
  <c r="AL123" i="68" s="1"/>
  <c r="C49" i="58"/>
  <c r="U23" i="37"/>
  <c r="BC20" i="69"/>
  <c r="BC73" i="69" s="1"/>
  <c r="BC123" i="69" s="1"/>
  <c r="U38" i="85"/>
  <c r="CM35" i="68"/>
  <c r="CM88" i="68" s="1"/>
  <c r="BH35" i="68"/>
  <c r="BH88" i="68" s="1"/>
  <c r="Q38" i="88"/>
  <c r="D42" i="47"/>
  <c r="Q42" i="47"/>
  <c r="T42" i="47" s="1"/>
  <c r="K41" i="47"/>
  <c r="M23" i="64"/>
  <c r="K20" i="68"/>
  <c r="K73" i="68" s="1"/>
  <c r="K122" i="68" s="1"/>
  <c r="W23" i="59"/>
  <c r="M24" i="59"/>
  <c r="T21" i="69"/>
  <c r="BK36" i="69"/>
  <c r="BK89" i="69" s="1"/>
  <c r="U39" i="83"/>
  <c r="U39" i="82"/>
  <c r="BJ36" i="69"/>
  <c r="BJ89" i="69" s="1"/>
  <c r="M23" i="36"/>
  <c r="H20" i="69"/>
  <c r="H73" i="69" s="1"/>
  <c r="H123" i="69" s="1"/>
  <c r="B51" i="60"/>
  <c r="J50" i="60"/>
  <c r="N51" i="60"/>
  <c r="R50" i="60"/>
  <c r="H11" i="92"/>
  <c r="N11" i="92" s="1"/>
  <c r="Q40" i="82"/>
  <c r="AM37" i="69"/>
  <c r="AM90" i="69" s="1"/>
  <c r="S40" i="69"/>
  <c r="S93" i="69" s="1"/>
  <c r="M42" i="45"/>
  <c r="S41" i="75"/>
  <c r="T41" i="75" s="1"/>
  <c r="I41" i="75"/>
  <c r="F42" i="75"/>
  <c r="BM41" i="69"/>
  <c r="BM94" i="69" s="1"/>
  <c r="Y43" i="45"/>
  <c r="M24" i="61"/>
  <c r="G21" i="68"/>
  <c r="G74" i="68" s="1"/>
  <c r="G123" i="68" s="1"/>
  <c r="U38" i="87"/>
  <c r="CP35" i="68"/>
  <c r="CP88" i="68" s="1"/>
  <c r="CN35" i="68"/>
  <c r="CN88" i="68" s="1"/>
  <c r="CX73" i="68"/>
  <c r="CY20" i="68"/>
  <c r="J53" i="36"/>
  <c r="B54" i="36"/>
  <c r="N54" i="36"/>
  <c r="R53" i="36"/>
  <c r="I46" i="74"/>
  <c r="S46" i="74"/>
  <c r="T46" i="74" s="1"/>
  <c r="U46" i="74" s="1"/>
  <c r="F47" i="74"/>
  <c r="Q38" i="99"/>
  <c r="AR35" i="68"/>
  <c r="AR88" i="68" s="1"/>
  <c r="J49" i="58"/>
  <c r="B50" i="58"/>
  <c r="N50" i="58"/>
  <c r="R49" i="58"/>
  <c r="K44" i="74"/>
  <c r="L44" i="74" s="1"/>
  <c r="M44" i="74" s="1"/>
  <c r="D45" i="74"/>
  <c r="G44" i="74"/>
  <c r="C53" i="36"/>
  <c r="C54" i="36" s="1"/>
  <c r="U39" i="101"/>
  <c r="CK36" i="68"/>
  <c r="CK89" i="68" s="1"/>
  <c r="M23" i="41"/>
  <c r="E20" i="68"/>
  <c r="E73" i="68" s="1"/>
  <c r="E122" i="68" s="1"/>
  <c r="AX21" i="69"/>
  <c r="AX74" i="69" s="1"/>
  <c r="AX124" i="69" s="1"/>
  <c r="U24" i="23"/>
  <c r="H44" i="74"/>
  <c r="O44" i="74"/>
  <c r="P44" i="74" s="1"/>
  <c r="Q44" i="74" s="1"/>
  <c r="E45" i="74"/>
  <c r="M23" i="37"/>
  <c r="I20" i="69"/>
  <c r="I73" i="69" s="1"/>
  <c r="I123" i="69" s="1"/>
  <c r="O45" i="98"/>
  <c r="P45" i="98" s="1"/>
  <c r="E46" i="98"/>
  <c r="H45" i="98"/>
  <c r="C51" i="60"/>
  <c r="O46" i="63"/>
  <c r="P46" i="63" s="1"/>
  <c r="E47" i="63"/>
  <c r="H46" i="63"/>
  <c r="N44" i="45"/>
  <c r="W44" i="45"/>
  <c r="Z44" i="45" s="1"/>
  <c r="J21" i="68"/>
  <c r="J74" i="68" s="1"/>
  <c r="J123" i="68" s="1"/>
  <c r="M24" i="62"/>
  <c r="M24" i="4"/>
  <c r="C21" i="69"/>
  <c r="C74" i="69" s="1"/>
  <c r="C124" i="69" s="1"/>
  <c r="B52" i="7"/>
  <c r="J51" i="7"/>
  <c r="N52" i="7"/>
  <c r="R51" i="7"/>
  <c r="AA21" i="69"/>
  <c r="AA74" i="69" s="1"/>
  <c r="AA124" i="69" s="1"/>
  <c r="Q24" i="23"/>
  <c r="X23" i="23"/>
  <c r="U41" i="75"/>
  <c r="U24" i="1"/>
  <c r="AV21" i="69"/>
  <c r="AV74" i="69" s="1"/>
  <c r="AV124" i="69" s="1"/>
  <c r="S41" i="69"/>
  <c r="S94" i="69" s="1"/>
  <c r="M43" i="45"/>
  <c r="B51" i="86"/>
  <c r="C51" i="86" s="1"/>
  <c r="N51" i="86"/>
  <c r="R50" i="86"/>
  <c r="J50" i="86"/>
  <c r="Q25" i="38"/>
  <c r="AK22" i="68"/>
  <c r="AK75" i="68" s="1"/>
  <c r="AK124" i="68" s="1"/>
  <c r="M37" i="58"/>
  <c r="G34" i="69"/>
  <c r="G87" i="69" s="1"/>
  <c r="U24" i="63"/>
  <c r="CX21" i="68"/>
  <c r="BM39" i="68"/>
  <c r="BM92" i="68" s="1"/>
  <c r="S41" i="47"/>
  <c r="Q25" i="1"/>
  <c r="Y22" i="69"/>
  <c r="Y75" i="69" s="1"/>
  <c r="Y125" i="69" s="1"/>
  <c r="I46" i="101"/>
  <c r="S46" i="101"/>
  <c r="T46" i="101" s="1"/>
  <c r="F47" i="101"/>
  <c r="AN21" i="68"/>
  <c r="AN74" i="68" s="1"/>
  <c r="AN123" i="68" s="1"/>
  <c r="Q24" i="41"/>
  <c r="CX121" i="68"/>
  <c r="CY72" i="68"/>
  <c r="CY121" i="68" s="1"/>
  <c r="X37" i="68"/>
  <c r="X90" i="68" s="1"/>
  <c r="M40" i="87"/>
  <c r="U23" i="64"/>
  <c r="CC20" i="68"/>
  <c r="CC73" i="68" s="1"/>
  <c r="CC122" i="68" s="1"/>
  <c r="E48" i="47"/>
  <c r="L47" i="47"/>
  <c r="H47" i="47"/>
  <c r="BP19" i="69"/>
  <c r="AD37" i="68"/>
  <c r="AD90" i="68" s="1"/>
  <c r="M39" i="47"/>
  <c r="AP42" i="69"/>
  <c r="AP95" i="69" s="1"/>
  <c r="S44" i="45"/>
  <c r="U23" i="44"/>
  <c r="CL20" i="68"/>
  <c r="CL73" i="68" s="1"/>
  <c r="CL122" i="68" s="1"/>
  <c r="U121" i="69"/>
  <c r="R11" i="70"/>
  <c r="K11" i="70"/>
  <c r="K6" i="56" s="1"/>
  <c r="W40" i="47"/>
  <c r="Z40" i="47" s="1"/>
  <c r="N40" i="47"/>
  <c r="U20" i="69"/>
  <c r="K13" i="92" s="1"/>
  <c r="T73" i="69"/>
  <c r="CG20" i="68"/>
  <c r="CG73" i="68" s="1"/>
  <c r="CG122" i="68" s="1"/>
  <c r="U23" i="42"/>
  <c r="Q45" i="63"/>
  <c r="BO42" i="68"/>
  <c r="BO95" i="68" s="1"/>
  <c r="L20" i="68"/>
  <c r="L73" i="68" s="1"/>
  <c r="L122" i="68" s="1"/>
  <c r="M23" i="65"/>
  <c r="U24" i="35"/>
  <c r="AZ21" i="69"/>
  <c r="AZ74" i="69" s="1"/>
  <c r="AZ124" i="69" s="1"/>
  <c r="U24" i="7"/>
  <c r="AY21" i="69"/>
  <c r="AY74" i="69" s="1"/>
  <c r="AY124" i="69" s="1"/>
  <c r="C51" i="7"/>
  <c r="C52" i="7" s="1"/>
  <c r="G46" i="48"/>
  <c r="J45" i="48"/>
  <c r="E49" i="48"/>
  <c r="H48" i="48"/>
  <c r="E47" i="46"/>
  <c r="H46" i="46"/>
  <c r="F48" i="47"/>
  <c r="R47" i="47"/>
  <c r="I47" i="47"/>
  <c r="S45" i="103"/>
  <c r="T45" i="103" s="1"/>
  <c r="F46" i="103"/>
  <c r="I45" i="103"/>
  <c r="M48" i="63"/>
  <c r="AF45" i="68"/>
  <c r="AF98" i="68" s="1"/>
  <c r="H45" i="64"/>
  <c r="O45" i="64"/>
  <c r="P45" i="64" s="1"/>
  <c r="E46" i="64"/>
  <c r="S45" i="100"/>
  <c r="T45" i="100" s="1"/>
  <c r="F46" i="100"/>
  <c r="I45" i="100"/>
  <c r="H45" i="38"/>
  <c r="O45" i="38"/>
  <c r="P45" i="38" s="1"/>
  <c r="E46" i="38"/>
  <c r="I46" i="97"/>
  <c r="F47" i="97"/>
  <c r="S46" i="97"/>
  <c r="T46" i="97" s="1"/>
  <c r="M11" i="70"/>
  <c r="G6" i="56"/>
  <c r="N11" i="70"/>
  <c r="H6" i="56"/>
  <c r="J50" i="43"/>
  <c r="B51" i="43"/>
  <c r="N51" i="43"/>
  <c r="R50" i="43"/>
  <c r="E10" i="70"/>
  <c r="B5" i="56"/>
  <c r="D47" i="102"/>
  <c r="K46" i="102"/>
  <c r="L46" i="102" s="1"/>
  <c r="G46" i="102"/>
  <c r="K47" i="38"/>
  <c r="L47" i="38" s="1"/>
  <c r="D48" i="38"/>
  <c r="D12" i="70"/>
  <c r="C12" i="70"/>
  <c r="CT121" i="68"/>
  <c r="M39" i="82"/>
  <c r="P36" i="69"/>
  <c r="P89" i="69" s="1"/>
  <c r="S45" i="80"/>
  <c r="T45" i="80" s="1"/>
  <c r="F46" i="80"/>
  <c r="I45" i="80"/>
  <c r="O45" i="66"/>
  <c r="P45" i="66" s="1"/>
  <c r="E46" i="66"/>
  <c r="H45" i="66"/>
  <c r="D47" i="90"/>
  <c r="K46" i="90"/>
  <c r="L46" i="90" s="1"/>
  <c r="G46" i="90"/>
  <c r="U40" i="104"/>
  <c r="CR37" i="68"/>
  <c r="CR90" i="68" s="1"/>
  <c r="AB72" i="68"/>
  <c r="B121" i="68"/>
  <c r="U37" i="58"/>
  <c r="BA34" i="69"/>
  <c r="BA87" i="69" s="1"/>
  <c r="O46" i="102"/>
  <c r="P46" i="102" s="1"/>
  <c r="E47" i="102"/>
  <c r="H46" i="102"/>
  <c r="BK19" i="68"/>
  <c r="BQ19" i="68" s="1"/>
  <c r="D47" i="63"/>
  <c r="G46" i="63"/>
  <c r="K46" i="63"/>
  <c r="L46" i="63" s="1"/>
  <c r="K46" i="96"/>
  <c r="L46" i="96" s="1"/>
  <c r="D47" i="96"/>
  <c r="G46" i="96"/>
  <c r="H12" i="70"/>
  <c r="W72" i="69"/>
  <c r="R122" i="69"/>
  <c r="V72" i="69"/>
  <c r="V122" i="69" s="1"/>
  <c r="BT123" i="68"/>
  <c r="K64" i="56"/>
  <c r="K94" i="56"/>
  <c r="M40" i="83"/>
  <c r="Q37" i="69"/>
  <c r="Q90" i="69" s="1"/>
  <c r="Q41" i="83"/>
  <c r="AN38" i="69"/>
  <c r="AN91" i="69" s="1"/>
  <c r="K46" i="67"/>
  <c r="L46" i="67" s="1"/>
  <c r="D47" i="67"/>
  <c r="G46" i="67"/>
  <c r="Z74" i="69"/>
  <c r="M39" i="99"/>
  <c r="I36" i="68"/>
  <c r="I89" i="68" s="1"/>
  <c r="M24" i="35"/>
  <c r="F21" i="69"/>
  <c r="F74" i="69" s="1"/>
  <c r="F124" i="69" s="1"/>
  <c r="R73" i="69"/>
  <c r="B123" i="69"/>
  <c r="U25" i="62"/>
  <c r="CB22" i="68"/>
  <c r="CB75" i="68" s="1"/>
  <c r="CB124" i="68" s="1"/>
  <c r="M24" i="38"/>
  <c r="B21" i="68"/>
  <c r="Q25" i="59"/>
  <c r="AQ22" i="69"/>
  <c r="U23" i="61"/>
  <c r="BY20" i="68"/>
  <c r="Q24" i="37"/>
  <c r="AF21" i="69"/>
  <c r="AF74" i="69" s="1"/>
  <c r="AF124" i="69" s="1"/>
  <c r="Q40" i="104"/>
  <c r="BI37" i="68"/>
  <c r="BI90" i="68" s="1"/>
  <c r="O45" i="60"/>
  <c r="P45" i="60" s="1"/>
  <c r="E46" i="60"/>
  <c r="H45" i="60"/>
  <c r="K46" i="85"/>
  <c r="L46" i="85" s="1"/>
  <c r="D47" i="85"/>
  <c r="G46" i="85"/>
  <c r="J64" i="56"/>
  <c r="J94" i="56"/>
  <c r="E46" i="103"/>
  <c r="O45" i="103"/>
  <c r="P45" i="103" s="1"/>
  <c r="H45" i="103"/>
  <c r="K45" i="103"/>
  <c r="L45" i="103" s="1"/>
  <c r="D46" i="103"/>
  <c r="G45" i="103"/>
  <c r="D5" i="56"/>
  <c r="K46" i="58"/>
  <c r="L46" i="58" s="1"/>
  <c r="D47" i="58"/>
  <c r="G46" i="58"/>
  <c r="U38" i="99"/>
  <c r="CA35" i="68"/>
  <c r="CA88" i="68" s="1"/>
  <c r="O45" i="43"/>
  <c r="P45" i="43" s="1"/>
  <c r="E46" i="43"/>
  <c r="H45" i="43"/>
  <c r="K45" i="99"/>
  <c r="L45" i="99" s="1"/>
  <c r="D46" i="99"/>
  <c r="G45" i="99"/>
  <c r="J53" i="96"/>
  <c r="B54" i="96"/>
  <c r="N54" i="96"/>
  <c r="R53" i="96"/>
  <c r="C50" i="43"/>
  <c r="C51" i="43" s="1"/>
  <c r="Q23" i="44"/>
  <c r="BC20" i="68"/>
  <c r="BC73" i="68" s="1"/>
  <c r="BC122" i="68" s="1"/>
  <c r="CW37" i="68"/>
  <c r="CW90" i="68" s="1"/>
  <c r="X39" i="48"/>
  <c r="Y39" i="48"/>
  <c r="S45" i="7"/>
  <c r="T45" i="7" s="1"/>
  <c r="F46" i="7"/>
  <c r="I45" i="7"/>
  <c r="Q38" i="86"/>
  <c r="BF35" i="68"/>
  <c r="BF88" i="68" s="1"/>
  <c r="Q25" i="67"/>
  <c r="AW22" i="68"/>
  <c r="AW75" i="68" s="1"/>
  <c r="AW124" i="68" s="1"/>
  <c r="Q24" i="36"/>
  <c r="AE21" i="69"/>
  <c r="AE74" i="69" s="1"/>
  <c r="AE124" i="69" s="1"/>
  <c r="Q26" i="62"/>
  <c r="AS23" i="68"/>
  <c r="AS76" i="68" s="1"/>
  <c r="AS125" i="68" s="1"/>
  <c r="CU92" i="68"/>
  <c r="M25" i="42"/>
  <c r="O22" i="68"/>
  <c r="O75" i="68" s="1"/>
  <c r="O124" i="68" s="1"/>
  <c r="O45" i="35"/>
  <c r="P45" i="35" s="1"/>
  <c r="E46" i="35"/>
  <c r="H45" i="35"/>
  <c r="AM121" i="68"/>
  <c r="BK72" i="68"/>
  <c r="K46" i="64"/>
  <c r="L46" i="64" s="1"/>
  <c r="D47" i="64"/>
  <c r="G46" i="64"/>
  <c r="BN122" i="69"/>
  <c r="BO72" i="69"/>
  <c r="M24" i="43"/>
  <c r="R21" i="68"/>
  <c r="R74" i="68" s="1"/>
  <c r="R123" i="68" s="1"/>
  <c r="K42" i="48"/>
  <c r="W42" i="48" s="1"/>
  <c r="D43" i="48"/>
  <c r="Q43" i="48"/>
  <c r="S45" i="99"/>
  <c r="T45" i="99" s="1"/>
  <c r="F46" i="99"/>
  <c r="I45" i="99"/>
  <c r="J49" i="89"/>
  <c r="L49" i="89" s="1"/>
  <c r="N50" i="89"/>
  <c r="P50" i="89" s="1"/>
  <c r="B50" i="89"/>
  <c r="R49" i="89"/>
  <c r="T49" i="89" s="1"/>
  <c r="H49" i="89"/>
  <c r="G49" i="89"/>
  <c r="I49" i="89"/>
  <c r="U38" i="97"/>
  <c r="BF35" i="69"/>
  <c r="BF88" i="69" s="1"/>
  <c r="E46" i="90"/>
  <c r="O45" i="90"/>
  <c r="P45" i="90" s="1"/>
  <c r="H45" i="90"/>
  <c r="AG37" i="68"/>
  <c r="BP71" i="69"/>
  <c r="BO121" i="69"/>
  <c r="U25" i="38"/>
  <c r="BT22" i="68"/>
  <c r="BT75" i="68" s="1"/>
  <c r="D47" i="35"/>
  <c r="K46" i="35"/>
  <c r="L46" i="35" s="1"/>
  <c r="G46" i="35"/>
  <c r="M25" i="23"/>
  <c r="D22" i="69"/>
  <c r="D75" i="69" s="1"/>
  <c r="D125" i="69" s="1"/>
  <c r="W24" i="23"/>
  <c r="J49" i="82"/>
  <c r="L49" i="82" s="1"/>
  <c r="B50" i="82"/>
  <c r="N50" i="82"/>
  <c r="P50" i="82" s="1"/>
  <c r="R49" i="82"/>
  <c r="T49" i="82" s="1"/>
  <c r="H49" i="82"/>
  <c r="G49" i="82"/>
  <c r="I49" i="82"/>
  <c r="S46" i="66"/>
  <c r="T46" i="66" s="1"/>
  <c r="F47" i="66"/>
  <c r="I46" i="66"/>
  <c r="M39" i="90"/>
  <c r="M36" i="69"/>
  <c r="M89" i="69" s="1"/>
  <c r="CO41" i="68"/>
  <c r="CO94" i="68" s="1"/>
  <c r="U44" i="86"/>
  <c r="S47" i="38"/>
  <c r="F48" i="38"/>
  <c r="R20" i="69"/>
  <c r="Q39" i="96"/>
  <c r="AG36" i="69"/>
  <c r="AG89" i="69" s="1"/>
  <c r="K45" i="60"/>
  <c r="L45" i="60" s="1"/>
  <c r="D46" i="60"/>
  <c r="G45" i="60"/>
  <c r="D46" i="59"/>
  <c r="K45" i="59"/>
  <c r="L45" i="59" s="1"/>
  <c r="G45" i="59"/>
  <c r="S46" i="86"/>
  <c r="T46" i="86" s="1"/>
  <c r="F47" i="86"/>
  <c r="I46" i="86"/>
  <c r="K95" i="56"/>
  <c r="K65" i="56"/>
  <c r="J49" i="59"/>
  <c r="B50" i="59"/>
  <c r="N50" i="59"/>
  <c r="R49" i="59"/>
  <c r="AW122" i="69"/>
  <c r="BT72" i="69"/>
  <c r="BL72" i="69"/>
  <c r="D47" i="100"/>
  <c r="K46" i="100"/>
  <c r="L46" i="100" s="1"/>
  <c r="G46" i="100"/>
  <c r="U39" i="96"/>
  <c r="BD36" i="69"/>
  <c r="BD89" i="69" s="1"/>
  <c r="S45" i="90"/>
  <c r="T45" i="90" s="1"/>
  <c r="F46" i="90"/>
  <c r="I45" i="90"/>
  <c r="M38" i="97"/>
  <c r="L35" i="69"/>
  <c r="L88" i="69" s="1"/>
  <c r="K46" i="43"/>
  <c r="L46" i="43" s="1"/>
  <c r="D47" i="43"/>
  <c r="G46" i="43"/>
  <c r="K46" i="97"/>
  <c r="L46" i="97" s="1"/>
  <c r="D47" i="97"/>
  <c r="G46" i="97"/>
  <c r="C54" i="96"/>
  <c r="J54" i="66"/>
  <c r="R54" i="66"/>
  <c r="AB120" i="68"/>
  <c r="AH71" i="68"/>
  <c r="AH120" i="68" s="1"/>
  <c r="AS19" i="69"/>
  <c r="U25" i="67"/>
  <c r="CF22" i="68"/>
  <c r="CF75" i="68" s="1"/>
  <c r="CF124" i="68" s="1"/>
  <c r="Q24" i="43"/>
  <c r="BA21" i="68"/>
  <c r="BA74" i="68" s="1"/>
  <c r="BA123" i="68" s="1"/>
  <c r="M39" i="84"/>
  <c r="V36" i="68"/>
  <c r="V89" i="68" s="1"/>
  <c r="D46" i="36"/>
  <c r="K45" i="36"/>
  <c r="L45" i="36" s="1"/>
  <c r="G45" i="36"/>
  <c r="Q25" i="4"/>
  <c r="Z22" i="69"/>
  <c r="S46" i="102"/>
  <c r="T46" i="102" s="1"/>
  <c r="F47" i="102"/>
  <c r="I46" i="102"/>
  <c r="D47" i="7"/>
  <c r="K46" i="7"/>
  <c r="L46" i="7" s="1"/>
  <c r="G46" i="7"/>
  <c r="M38" i="88"/>
  <c r="Y35" i="68"/>
  <c r="Y88" i="68" s="1"/>
  <c r="S48" i="85"/>
  <c r="T48" i="85" s="1"/>
  <c r="F49" i="85"/>
  <c r="I48" i="85"/>
  <c r="M38" i="103"/>
  <c r="P35" i="68"/>
  <c r="P88" i="68" s="1"/>
  <c r="S46" i="35"/>
  <c r="T46" i="35" s="1"/>
  <c r="F47" i="35"/>
  <c r="I46" i="35"/>
  <c r="O46" i="99"/>
  <c r="P46" i="99" s="1"/>
  <c r="E47" i="99"/>
  <c r="H46" i="99"/>
  <c r="S46" i="67"/>
  <c r="T46" i="67" s="1"/>
  <c r="F47" i="67"/>
  <c r="I46" i="67"/>
  <c r="L40" i="48"/>
  <c r="N41" i="48" s="1"/>
  <c r="AE38" i="68"/>
  <c r="AE91" i="68" s="1"/>
  <c r="M40" i="48"/>
  <c r="U25" i="43"/>
  <c r="CJ22" i="68"/>
  <c r="CJ75" i="68" s="1"/>
  <c r="CJ124" i="68" s="1"/>
  <c r="M24" i="39"/>
  <c r="C21" i="68"/>
  <c r="C74" i="68" s="1"/>
  <c r="C123" i="68" s="1"/>
  <c r="E47" i="7"/>
  <c r="O46" i="7"/>
  <c r="P46" i="7" s="1"/>
  <c r="H46" i="7"/>
  <c r="U24" i="39"/>
  <c r="BU21" i="68"/>
  <c r="BU74" i="68" s="1"/>
  <c r="BU123" i="68" s="1"/>
  <c r="G12" i="70"/>
  <c r="AO122" i="69"/>
  <c r="AT72" i="69"/>
  <c r="AM73" i="68"/>
  <c r="BK20" i="68"/>
  <c r="BQ20" i="68" s="1"/>
  <c r="O45" i="58"/>
  <c r="P45" i="58" s="1"/>
  <c r="E46" i="58"/>
  <c r="H45" i="58"/>
  <c r="DA73" i="68"/>
  <c r="DA122" i="68" s="1"/>
  <c r="M39" i="98"/>
  <c r="K36" i="69"/>
  <c r="K89" i="69" s="1"/>
  <c r="B74" i="69"/>
  <c r="C5" i="56"/>
  <c r="AC91" i="68"/>
  <c r="E48" i="80"/>
  <c r="O47" i="80"/>
  <c r="P47" i="80" s="1"/>
  <c r="Q24" i="42"/>
  <c r="AX21" i="68"/>
  <c r="AX74" i="68" s="1"/>
  <c r="AX123" i="68" s="1"/>
  <c r="Q39" i="80"/>
  <c r="AK36" i="69"/>
  <c r="AK89" i="69" s="1"/>
  <c r="BE36" i="68"/>
  <c r="BE89" i="68" s="1"/>
  <c r="BG36" i="68"/>
  <c r="BG89" i="68" s="1"/>
  <c r="Q39" i="87"/>
  <c r="U24" i="40"/>
  <c r="BV21" i="68"/>
  <c r="BV74" i="68" s="1"/>
  <c r="BV123" i="68" s="1"/>
  <c r="S46" i="59"/>
  <c r="T46" i="59" s="1"/>
  <c r="F47" i="59"/>
  <c r="I46" i="59"/>
  <c r="R40" i="48"/>
  <c r="T41" i="48" s="1"/>
  <c r="BN38" i="68"/>
  <c r="Z40" i="48"/>
  <c r="S40" i="48"/>
  <c r="N10" i="70"/>
  <c r="H5" i="56"/>
  <c r="M38" i="102"/>
  <c r="Q35" i="68"/>
  <c r="Q88" i="68" s="1"/>
  <c r="M39" i="81"/>
  <c r="O36" i="69"/>
  <c r="O89" i="69" s="1"/>
  <c r="S48" i="63"/>
  <c r="T48" i="63" s="1"/>
  <c r="F49" i="63"/>
  <c r="I48" i="63"/>
  <c r="U25" i="65"/>
  <c r="CD22" i="68"/>
  <c r="CD75" i="68" s="1"/>
  <c r="CD124" i="68" s="1"/>
  <c r="Q12" i="70"/>
  <c r="J12" i="70"/>
  <c r="AR122" i="69"/>
  <c r="AS72" i="69"/>
  <c r="AS122" i="69" s="1"/>
  <c r="M40" i="80"/>
  <c r="N37" i="69"/>
  <c r="N90" i="69" s="1"/>
  <c r="J48" i="80"/>
  <c r="B49" i="80"/>
  <c r="N49" i="80"/>
  <c r="R48" i="80"/>
  <c r="H48" i="80"/>
  <c r="Q24" i="64"/>
  <c r="AT21" i="68"/>
  <c r="AT74" i="68" s="1"/>
  <c r="AT123" i="68" s="1"/>
  <c r="J13" i="92"/>
  <c r="BU119" i="69"/>
  <c r="BW69" i="69"/>
  <c r="S45" i="96"/>
  <c r="T45" i="96" s="1"/>
  <c r="F46" i="96"/>
  <c r="I45" i="96"/>
  <c r="M38" i="96"/>
  <c r="J35" i="69"/>
  <c r="J88" i="69" s="1"/>
  <c r="C49" i="59"/>
  <c r="C50" i="59" s="1"/>
  <c r="O45" i="101"/>
  <c r="P45" i="101" s="1"/>
  <c r="E46" i="101"/>
  <c r="H45" i="101"/>
  <c r="M39" i="85"/>
  <c r="U36" i="68"/>
  <c r="U89" i="68" s="1"/>
  <c r="BP120" i="69"/>
  <c r="BU70" i="69"/>
  <c r="AG90" i="68"/>
  <c r="U39" i="100"/>
  <c r="BZ36" i="68"/>
  <c r="BZ89" i="68" s="1"/>
  <c r="O45" i="59"/>
  <c r="P45" i="59" s="1"/>
  <c r="E46" i="59"/>
  <c r="H45" i="59"/>
  <c r="M38" i="100"/>
  <c r="H35" i="68"/>
  <c r="H88" i="68" s="1"/>
  <c r="M24" i="66"/>
  <c r="M21" i="68"/>
  <c r="M74" i="68" s="1"/>
  <c r="M123" i="68" s="1"/>
  <c r="Q24" i="61"/>
  <c r="AP21" i="68"/>
  <c r="AP74" i="68" s="1"/>
  <c r="AP123" i="68" s="1"/>
  <c r="O45" i="85"/>
  <c r="P45" i="85" s="1"/>
  <c r="E46" i="85"/>
  <c r="H45" i="85"/>
  <c r="BN73" i="69"/>
  <c r="BO20" i="69"/>
  <c r="CT19" i="68"/>
  <c r="M24" i="7"/>
  <c r="E21" i="69"/>
  <c r="E74" i="69" s="1"/>
  <c r="E124" i="69" s="1"/>
  <c r="M23" i="67"/>
  <c r="N20" i="68"/>
  <c r="N73" i="68" s="1"/>
  <c r="N122" i="68" s="1"/>
  <c r="BL41" i="68"/>
  <c r="S43" i="46"/>
  <c r="U24" i="36"/>
  <c r="BB21" i="69"/>
  <c r="BB74" i="69" s="1"/>
  <c r="BB124" i="69" s="1"/>
  <c r="T47" i="38"/>
  <c r="D46" i="101"/>
  <c r="K45" i="101"/>
  <c r="L45" i="101" s="1"/>
  <c r="G45" i="101"/>
  <c r="U39" i="103"/>
  <c r="CH36" i="68"/>
  <c r="CH89" i="68" s="1"/>
  <c r="O45" i="97"/>
  <c r="P45" i="97" s="1"/>
  <c r="E46" i="97"/>
  <c r="H45" i="97"/>
  <c r="Q39" i="100"/>
  <c r="AQ36" i="68"/>
  <c r="AQ89" i="68" s="1"/>
  <c r="A36" i="70"/>
  <c r="U24" i="4"/>
  <c r="AW21" i="69"/>
  <c r="Y23" i="23"/>
  <c r="M10" i="70"/>
  <c r="G5" i="56"/>
  <c r="B73" i="68"/>
  <c r="S46" i="43"/>
  <c r="T46" i="43" s="1"/>
  <c r="F47" i="43"/>
  <c r="I46" i="43"/>
  <c r="Q37" i="58"/>
  <c r="AD34" i="69"/>
  <c r="AD87" i="69" s="1"/>
  <c r="AQ74" i="69"/>
  <c r="AR21" i="69"/>
  <c r="CZ72" i="68"/>
  <c r="K45" i="80"/>
  <c r="L45" i="80" s="1"/>
  <c r="D46" i="80"/>
  <c r="G45" i="80"/>
  <c r="Q25" i="66"/>
  <c r="AV22" i="68"/>
  <c r="AV75" i="68" s="1"/>
  <c r="AV124" i="68" s="1"/>
  <c r="Z123" i="69"/>
  <c r="AO73" i="69"/>
  <c r="I45" i="48"/>
  <c r="F46" i="48"/>
  <c r="K45" i="1"/>
  <c r="L45" i="1" s="1"/>
  <c r="D46" i="1"/>
  <c r="G45" i="1"/>
  <c r="BT121" i="69"/>
  <c r="BV71" i="69"/>
  <c r="BV121" i="69" s="1"/>
  <c r="S45" i="98"/>
  <c r="T45" i="98" s="1"/>
  <c r="F46" i="98"/>
  <c r="I45" i="98"/>
  <c r="Q41" i="85"/>
  <c r="BD38" i="68"/>
  <c r="BD91" i="68" s="1"/>
  <c r="CU40" i="68"/>
  <c r="Y42" i="46"/>
  <c r="J48" i="38"/>
  <c r="B49" i="38"/>
  <c r="N49" i="38"/>
  <c r="R48" i="38"/>
  <c r="I48" i="38"/>
  <c r="G48" i="38"/>
  <c r="O45" i="23"/>
  <c r="P45" i="23" s="1"/>
  <c r="E46" i="23"/>
  <c r="H45" i="23"/>
  <c r="Q39" i="97"/>
  <c r="AI36" i="69"/>
  <c r="AI89" i="69" s="1"/>
  <c r="C49" i="80"/>
  <c r="Q24" i="60"/>
  <c r="AO21" i="68"/>
  <c r="AO74" i="68" s="1"/>
  <c r="AO123" i="68" s="1"/>
  <c r="M24" i="60"/>
  <c r="F21" i="68"/>
  <c r="F74" i="68" s="1"/>
  <c r="F123" i="68" s="1"/>
  <c r="Q39" i="89"/>
  <c r="BJ36" i="68"/>
  <c r="BJ89" i="68" s="1"/>
  <c r="U40" i="80"/>
  <c r="BH37" i="69"/>
  <c r="BH90" i="69" s="1"/>
  <c r="Q39" i="81"/>
  <c r="AL36" i="69"/>
  <c r="AL89" i="69" s="1"/>
  <c r="U40" i="90"/>
  <c r="BG37" i="69"/>
  <c r="BG90" i="69" s="1"/>
  <c r="U24" i="41"/>
  <c r="BW21" i="68"/>
  <c r="BW74" i="68" s="1"/>
  <c r="BW123" i="68" s="1"/>
  <c r="AW73" i="69"/>
  <c r="BL20" i="69"/>
  <c r="B13" i="92" s="1"/>
  <c r="M24" i="40"/>
  <c r="D21" i="68"/>
  <c r="D74" i="68" s="1"/>
  <c r="D123" i="68" s="1"/>
  <c r="M39" i="104"/>
  <c r="Z36" i="68"/>
  <c r="Z89" i="68" s="1"/>
  <c r="S46" i="36"/>
  <c r="T46" i="36" s="1"/>
  <c r="F47" i="36"/>
  <c r="I46" i="36"/>
  <c r="BK120" i="68"/>
  <c r="BQ71" i="68"/>
  <c r="BQ120" i="68" s="1"/>
  <c r="U40" i="81"/>
  <c r="BI37" i="69"/>
  <c r="BI90" i="69" s="1"/>
  <c r="Q24" i="40"/>
  <c r="AM21" i="68"/>
  <c r="M24" i="44"/>
  <c r="T21" i="68"/>
  <c r="T74" i="68" s="1"/>
  <c r="T123" i="68" s="1"/>
  <c r="H12" i="92"/>
  <c r="N12" i="92" s="1"/>
  <c r="V19" i="69"/>
  <c r="M25" i="1"/>
  <c r="B22" i="69"/>
  <c r="O47" i="86"/>
  <c r="P47" i="86" s="1"/>
  <c r="E48" i="86"/>
  <c r="H47" i="86"/>
  <c r="J53" i="85"/>
  <c r="B54" i="85"/>
  <c r="N54" i="85"/>
  <c r="R53" i="85"/>
  <c r="Q38" i="101"/>
  <c r="BB35" i="68"/>
  <c r="BB88" i="68" s="1"/>
  <c r="S45" i="23"/>
  <c r="T45" i="23" s="1"/>
  <c r="F46" i="23"/>
  <c r="I45" i="23"/>
  <c r="Q24" i="7"/>
  <c r="AB21" i="69"/>
  <c r="AB74" i="69" s="1"/>
  <c r="AB124" i="69" s="1"/>
  <c r="BL93" i="68"/>
  <c r="DB70" i="68"/>
  <c r="CZ119" i="68"/>
  <c r="Q40" i="90"/>
  <c r="AJ37" i="69"/>
  <c r="AJ90" i="69" s="1"/>
  <c r="L41" i="46"/>
  <c r="N42" i="46" s="1"/>
  <c r="AC39" i="68"/>
  <c r="M41" i="46"/>
  <c r="O45" i="96"/>
  <c r="P45" i="96" s="1"/>
  <c r="E46" i="96"/>
  <c r="H45" i="96"/>
  <c r="AO20" i="69"/>
  <c r="M39" i="89"/>
  <c r="AA36" i="68"/>
  <c r="AA89" i="68" s="1"/>
  <c r="B12" i="92"/>
  <c r="Q26" i="65"/>
  <c r="AU23" i="68"/>
  <c r="AU76" i="68" s="1"/>
  <c r="AU125" i="68" s="1"/>
  <c r="BN90" i="68"/>
  <c r="BP90" i="68" s="1"/>
  <c r="BP37" i="68"/>
  <c r="C11" i="70"/>
  <c r="D11" i="70"/>
  <c r="CT120" i="68"/>
  <c r="CZ71" i="68"/>
  <c r="J48" i="83"/>
  <c r="L48" i="83" s="1"/>
  <c r="B49" i="83"/>
  <c r="N49" i="83"/>
  <c r="P49" i="83" s="1"/>
  <c r="R48" i="83"/>
  <c r="T48" i="83" s="1"/>
  <c r="I48" i="83"/>
  <c r="H48" i="83"/>
  <c r="G48" i="83"/>
  <c r="J6" i="56"/>
  <c r="S46" i="60"/>
  <c r="T46" i="60" s="1"/>
  <c r="F47" i="60"/>
  <c r="I46" i="60"/>
  <c r="S45" i="64"/>
  <c r="T45" i="64" s="1"/>
  <c r="F46" i="64"/>
  <c r="I45" i="64"/>
  <c r="K46" i="23"/>
  <c r="L46" i="23" s="1"/>
  <c r="D47" i="23"/>
  <c r="G46" i="23"/>
  <c r="O47" i="67"/>
  <c r="P47" i="67" s="1"/>
  <c r="E48" i="67"/>
  <c r="H47" i="67"/>
  <c r="H47" i="80"/>
  <c r="D46" i="98"/>
  <c r="K45" i="98"/>
  <c r="L45" i="98" s="1"/>
  <c r="G45" i="98"/>
  <c r="U23" i="66"/>
  <c r="CE20" i="68"/>
  <c r="CE73" i="68" s="1"/>
  <c r="CE122" i="68" s="1"/>
  <c r="AQ123" i="69"/>
  <c r="AR73" i="69"/>
  <c r="K45" i="86"/>
  <c r="L45" i="86" s="1"/>
  <c r="D46" i="86"/>
  <c r="G45" i="86"/>
  <c r="U24" i="60"/>
  <c r="BX21" i="68"/>
  <c r="BX74" i="68" s="1"/>
  <c r="BX123" i="68" s="1"/>
  <c r="M38" i="101"/>
  <c r="S35" i="68"/>
  <c r="S88" i="68" s="1"/>
  <c r="O45" i="1"/>
  <c r="P45" i="1" s="1"/>
  <c r="E46" i="1"/>
  <c r="H45" i="1"/>
  <c r="B11" i="70"/>
  <c r="BQ71" i="69"/>
  <c r="F52" i="46"/>
  <c r="I51" i="46"/>
  <c r="R51" i="46" s="1"/>
  <c r="K46" i="66"/>
  <c r="L46" i="66" s="1"/>
  <c r="D47" i="66"/>
  <c r="G46" i="66"/>
  <c r="M38" i="86"/>
  <c r="W35" i="68"/>
  <c r="W88" i="68" s="1"/>
  <c r="O47" i="100"/>
  <c r="P47" i="100" s="1"/>
  <c r="E48" i="100"/>
  <c r="H47" i="100"/>
  <c r="U38" i="102"/>
  <c r="CI35" i="68"/>
  <c r="CI88" i="68" s="1"/>
  <c r="E47" i="36"/>
  <c r="O46" i="36"/>
  <c r="P46" i="36" s="1"/>
  <c r="H46" i="36"/>
  <c r="U39" i="98"/>
  <c r="BE36" i="69"/>
  <c r="BE89" i="69" s="1"/>
  <c r="U24" i="59"/>
  <c r="BN21" i="69"/>
  <c r="Q39" i="102"/>
  <c r="AZ36" i="68"/>
  <c r="AZ89" i="68" s="1"/>
  <c r="AY35" i="68"/>
  <c r="AY88" i="68" s="1"/>
  <c r="Q38" i="103"/>
  <c r="Q38" i="98"/>
  <c r="AH35" i="69"/>
  <c r="AH88" i="69" s="1"/>
  <c r="K43" i="46"/>
  <c r="W43" i="46" s="1"/>
  <c r="Z43" i="46" s="1"/>
  <c r="D44" i="46"/>
  <c r="Q44" i="46"/>
  <c r="T44" i="46" s="1"/>
  <c r="G47" i="38"/>
  <c r="S46" i="58"/>
  <c r="T46" i="58" s="1"/>
  <c r="F47" i="58"/>
  <c r="I46" i="58"/>
  <c r="S45" i="1"/>
  <c r="T45" i="1" s="1"/>
  <c r="F46" i="1"/>
  <c r="I45" i="1"/>
  <c r="U40" i="88"/>
  <c r="CQ37" i="68"/>
  <c r="CQ90" i="68" s="1"/>
  <c r="C48" i="83"/>
  <c r="M45" i="74" l="1"/>
  <c r="AB20" i="68"/>
  <c r="AH20" i="68" s="1"/>
  <c r="T123" i="69"/>
  <c r="U73" i="69"/>
  <c r="U24" i="44"/>
  <c r="CL21" i="68"/>
  <c r="CL74" i="68" s="1"/>
  <c r="CL123" i="68" s="1"/>
  <c r="M41" i="87"/>
  <c r="X38" i="68"/>
  <c r="X91" i="68" s="1"/>
  <c r="AN22" i="68"/>
  <c r="AN75" i="68" s="1"/>
  <c r="AN124" i="68" s="1"/>
  <c r="Q25" i="41"/>
  <c r="M38" i="58"/>
  <c r="G35" i="69"/>
  <c r="G88" i="69" s="1"/>
  <c r="M25" i="4"/>
  <c r="C22" i="69"/>
  <c r="C75" i="69" s="1"/>
  <c r="C125" i="69" s="1"/>
  <c r="S42" i="69"/>
  <c r="S95" i="69" s="1"/>
  <c r="M44" i="45"/>
  <c r="H46" i="98"/>
  <c r="E47" i="98"/>
  <c r="O46" i="98"/>
  <c r="P46" i="98" s="1"/>
  <c r="E46" i="74"/>
  <c r="O45" i="74"/>
  <c r="P45" i="74" s="1"/>
  <c r="Q45" i="74" s="1"/>
  <c r="H45" i="74"/>
  <c r="U40" i="101"/>
  <c r="CK37" i="68"/>
  <c r="CK90" i="68" s="1"/>
  <c r="J54" i="36"/>
  <c r="R54" i="36"/>
  <c r="G22" i="68"/>
  <c r="G75" i="68" s="1"/>
  <c r="G124" i="68" s="1"/>
  <c r="M25" i="61"/>
  <c r="T74" i="69"/>
  <c r="U21" i="69"/>
  <c r="K14" i="92" s="1"/>
  <c r="M24" i="64"/>
  <c r="K21" i="68"/>
  <c r="K74" i="68" s="1"/>
  <c r="K123" i="68" s="1"/>
  <c r="U39" i="85"/>
  <c r="CM36" i="68"/>
  <c r="CM89" i="68" s="1"/>
  <c r="R12" i="70"/>
  <c r="U122" i="69"/>
  <c r="K12" i="70"/>
  <c r="K7" i="56" s="1"/>
  <c r="D46" i="45"/>
  <c r="U25" i="35"/>
  <c r="AZ22" i="69"/>
  <c r="AZ75" i="69" s="1"/>
  <c r="AZ125" i="69" s="1"/>
  <c r="Q46" i="63"/>
  <c r="BO43" i="68"/>
  <c r="BO96" i="68" s="1"/>
  <c r="H48" i="47"/>
  <c r="E49" i="47"/>
  <c r="L48" i="47"/>
  <c r="CX74" i="68"/>
  <c r="CY21" i="68"/>
  <c r="AA22" i="69"/>
  <c r="AA75" i="69" s="1"/>
  <c r="AA125" i="69" s="1"/>
  <c r="Q25" i="23"/>
  <c r="M25" i="62"/>
  <c r="J22" i="68"/>
  <c r="J75" i="68" s="1"/>
  <c r="J124" i="68" s="1"/>
  <c r="J51" i="60"/>
  <c r="B52" i="60"/>
  <c r="N52" i="60"/>
  <c r="R51" i="60"/>
  <c r="U40" i="82"/>
  <c r="BJ37" i="69"/>
  <c r="BJ90" i="69" s="1"/>
  <c r="M25" i="59"/>
  <c r="T22" i="69"/>
  <c r="W41" i="47"/>
  <c r="Z41" i="47" s="1"/>
  <c r="N41" i="47"/>
  <c r="Q39" i="88"/>
  <c r="BH36" i="68"/>
  <c r="BH89" i="68" s="1"/>
  <c r="Q25" i="39"/>
  <c r="AL22" i="68"/>
  <c r="AL75" i="68" s="1"/>
  <c r="AL124" i="68" s="1"/>
  <c r="M24" i="65"/>
  <c r="L21" i="68"/>
  <c r="L74" i="68" s="1"/>
  <c r="L123" i="68" s="1"/>
  <c r="U24" i="42"/>
  <c r="CG21" i="68"/>
  <c r="CG74" i="68" s="1"/>
  <c r="CG123" i="68" s="1"/>
  <c r="M40" i="47"/>
  <c r="AD38" i="68"/>
  <c r="AD91" i="68" s="1"/>
  <c r="X24" i="23"/>
  <c r="F48" i="101"/>
  <c r="I47" i="101"/>
  <c r="S47" i="101"/>
  <c r="T47" i="101" s="1"/>
  <c r="Q26" i="1"/>
  <c r="Y23" i="69"/>
  <c r="Y76" i="69" s="1"/>
  <c r="Y126" i="69" s="1"/>
  <c r="U25" i="63"/>
  <c r="CX22" i="68"/>
  <c r="Q26" i="38"/>
  <c r="AK23" i="68"/>
  <c r="AK76" i="68" s="1"/>
  <c r="AK125" i="68" s="1"/>
  <c r="N52" i="86"/>
  <c r="R51" i="86"/>
  <c r="J51" i="86"/>
  <c r="B52" i="86"/>
  <c r="U25" i="1"/>
  <c r="AV22" i="69"/>
  <c r="AV75" i="69" s="1"/>
  <c r="AV125" i="69" s="1"/>
  <c r="J52" i="7"/>
  <c r="B53" i="7"/>
  <c r="N53" i="7"/>
  <c r="R52" i="7"/>
  <c r="H47" i="63"/>
  <c r="E48" i="63"/>
  <c r="O47" i="63"/>
  <c r="P47" i="63" s="1"/>
  <c r="M24" i="41"/>
  <c r="E21" i="68"/>
  <c r="E74" i="68" s="1"/>
  <c r="E123" i="68" s="1"/>
  <c r="Q39" i="99"/>
  <c r="AR36" i="68"/>
  <c r="AR89" i="68" s="1"/>
  <c r="CN36" i="68"/>
  <c r="CN89" i="68" s="1"/>
  <c r="CP36" i="68"/>
  <c r="CP89" i="68" s="1"/>
  <c r="U39" i="87"/>
  <c r="Q41" i="82"/>
  <c r="AM38" i="69"/>
  <c r="AM91" i="69" s="1"/>
  <c r="BK37" i="69"/>
  <c r="BK90" i="69" s="1"/>
  <c r="U40" i="83"/>
  <c r="BM40" i="68"/>
  <c r="BM93" i="68" s="1"/>
  <c r="S42" i="47"/>
  <c r="U24" i="37"/>
  <c r="BC21" i="69"/>
  <c r="BC74" i="69" s="1"/>
  <c r="BC124" i="69" s="1"/>
  <c r="CS37" i="68"/>
  <c r="CS90" i="68" s="1"/>
  <c r="U40" i="89"/>
  <c r="Q45" i="45"/>
  <c r="T45" i="45" s="1"/>
  <c r="U25" i="7"/>
  <c r="AY22" i="69"/>
  <c r="AY75" i="69" s="1"/>
  <c r="AY125" i="69" s="1"/>
  <c r="CV38" i="68"/>
  <c r="CV91" i="68" s="1"/>
  <c r="Y40" i="47"/>
  <c r="U24" i="64"/>
  <c r="CC21" i="68"/>
  <c r="CC74" i="68" s="1"/>
  <c r="CC123" i="68" s="1"/>
  <c r="BM42" i="69"/>
  <c r="BM95" i="69" s="1"/>
  <c r="Y44" i="45"/>
  <c r="I21" i="69"/>
  <c r="I74" i="69" s="1"/>
  <c r="I124" i="69" s="1"/>
  <c r="M24" i="37"/>
  <c r="U25" i="23"/>
  <c r="AX22" i="69"/>
  <c r="AX75" i="69" s="1"/>
  <c r="AX125" i="69" s="1"/>
  <c r="D46" i="74"/>
  <c r="G45" i="74"/>
  <c r="K45" i="74"/>
  <c r="L45" i="74" s="1"/>
  <c r="J50" i="58"/>
  <c r="B51" i="58"/>
  <c r="N51" i="58"/>
  <c r="R50" i="58"/>
  <c r="I47" i="74"/>
  <c r="S47" i="74"/>
  <c r="T47" i="74" s="1"/>
  <c r="U47" i="74" s="1"/>
  <c r="F48" i="74"/>
  <c r="CX122" i="68"/>
  <c r="CY73" i="68"/>
  <c r="CY122" i="68" s="1"/>
  <c r="I42" i="75"/>
  <c r="S42" i="75"/>
  <c r="T42" i="75" s="1"/>
  <c r="U42" i="75" s="1"/>
  <c r="H21" i="69"/>
  <c r="H74" i="69" s="1"/>
  <c r="H124" i="69" s="1"/>
  <c r="M24" i="36"/>
  <c r="D43" i="47"/>
  <c r="K42" i="47"/>
  <c r="Q43" i="47"/>
  <c r="T43" i="47" s="1"/>
  <c r="C50" i="58"/>
  <c r="AC25" i="69"/>
  <c r="AC78" i="69" s="1"/>
  <c r="AC128" i="69" s="1"/>
  <c r="Q28" i="35"/>
  <c r="W45" i="45"/>
  <c r="Z45" i="45" s="1"/>
  <c r="N45" i="45"/>
  <c r="AG38" i="68"/>
  <c r="E50" i="48"/>
  <c r="H49" i="48"/>
  <c r="J46" i="48"/>
  <c r="G47" i="48"/>
  <c r="E48" i="46"/>
  <c r="H47" i="46"/>
  <c r="I48" i="47"/>
  <c r="F49" i="47"/>
  <c r="R48" i="47"/>
  <c r="I46" i="103"/>
  <c r="S46" i="103"/>
  <c r="T46" i="103" s="1"/>
  <c r="F47" i="103"/>
  <c r="M49" i="63"/>
  <c r="AF46" i="68"/>
  <c r="AF99" i="68" s="1"/>
  <c r="O46" i="64"/>
  <c r="P46" i="64" s="1"/>
  <c r="E47" i="64"/>
  <c r="H46" i="64"/>
  <c r="F47" i="100"/>
  <c r="S46" i="100"/>
  <c r="T46" i="100" s="1"/>
  <c r="I46" i="100"/>
  <c r="H46" i="38"/>
  <c r="O46" i="38"/>
  <c r="P46" i="38" s="1"/>
  <c r="E47" i="38"/>
  <c r="I47" i="97"/>
  <c r="S47" i="97"/>
  <c r="T47" i="97" s="1"/>
  <c r="F48" i="97"/>
  <c r="U25" i="60"/>
  <c r="BX22" i="68"/>
  <c r="BX75" i="68" s="1"/>
  <c r="BX124" i="68" s="1"/>
  <c r="AM74" i="68"/>
  <c r="M5" i="56"/>
  <c r="U40" i="103"/>
  <c r="CH37" i="68"/>
  <c r="CH90" i="68" s="1"/>
  <c r="M25" i="7"/>
  <c r="E22" i="69"/>
  <c r="E75" i="69" s="1"/>
  <c r="E125" i="69" s="1"/>
  <c r="M25" i="66"/>
  <c r="M22" i="68"/>
  <c r="M75" i="68" s="1"/>
  <c r="M124" i="68" s="1"/>
  <c r="U26" i="43"/>
  <c r="CJ23" i="68"/>
  <c r="CJ76" i="68" s="1"/>
  <c r="CJ125" i="68" s="1"/>
  <c r="M40" i="84"/>
  <c r="V37" i="68"/>
  <c r="V90" i="68" s="1"/>
  <c r="S46" i="90"/>
  <c r="T46" i="90" s="1"/>
  <c r="F47" i="90"/>
  <c r="I46" i="90"/>
  <c r="J50" i="82"/>
  <c r="L50" i="82" s="1"/>
  <c r="B51" i="82"/>
  <c r="N51" i="82"/>
  <c r="P51" i="82" s="1"/>
  <c r="R50" i="82"/>
  <c r="T50" i="82" s="1"/>
  <c r="I50" i="82"/>
  <c r="G50" i="82"/>
  <c r="H50" i="82"/>
  <c r="O46" i="35"/>
  <c r="P46" i="35" s="1"/>
  <c r="E47" i="35"/>
  <c r="H46" i="35"/>
  <c r="Q27" i="62"/>
  <c r="AS24" i="68"/>
  <c r="AS77" i="68" s="1"/>
  <c r="AS126" i="68" s="1"/>
  <c r="Q24" i="44"/>
  <c r="BC21" i="68"/>
  <c r="BC74" i="68" s="1"/>
  <c r="BC123" i="68" s="1"/>
  <c r="U40" i="98"/>
  <c r="BE37" i="69"/>
  <c r="BE90" i="69" s="1"/>
  <c r="E11" i="70"/>
  <c r="B6" i="56"/>
  <c r="K46" i="86"/>
  <c r="L46" i="86" s="1"/>
  <c r="D47" i="86"/>
  <c r="G46" i="86"/>
  <c r="K46" i="98"/>
  <c r="L46" i="98" s="1"/>
  <c r="D47" i="98"/>
  <c r="G46" i="98"/>
  <c r="S46" i="64"/>
  <c r="T46" i="64" s="1"/>
  <c r="F47" i="64"/>
  <c r="I46" i="64"/>
  <c r="J49" i="83"/>
  <c r="L49" i="83" s="1"/>
  <c r="B50" i="83"/>
  <c r="N50" i="83"/>
  <c r="P50" i="83" s="1"/>
  <c r="R49" i="83"/>
  <c r="T49" i="83" s="1"/>
  <c r="H49" i="83"/>
  <c r="G49" i="83"/>
  <c r="I49" i="83"/>
  <c r="D6" i="56"/>
  <c r="AC92" i="68"/>
  <c r="J54" i="85"/>
  <c r="R54" i="85"/>
  <c r="Q25" i="40"/>
  <c r="AM22" i="68"/>
  <c r="M40" i="104"/>
  <c r="Z37" i="68"/>
  <c r="Z90" i="68" s="1"/>
  <c r="AW123" i="69"/>
  <c r="BT73" i="69"/>
  <c r="BL73" i="69"/>
  <c r="U41" i="90"/>
  <c r="BG38" i="69"/>
  <c r="BG91" i="69" s="1"/>
  <c r="Q40" i="89"/>
  <c r="BJ37" i="68"/>
  <c r="BJ90" i="68" s="1"/>
  <c r="CU93" i="68"/>
  <c r="AO123" i="69"/>
  <c r="AT73" i="69"/>
  <c r="AB73" i="68"/>
  <c r="B122" i="68"/>
  <c r="A37" i="70"/>
  <c r="O46" i="97"/>
  <c r="P46" i="97" s="1"/>
  <c r="E47" i="97"/>
  <c r="H46" i="97"/>
  <c r="C12" i="92"/>
  <c r="D12" i="92"/>
  <c r="CZ19" i="68"/>
  <c r="BU120" i="69"/>
  <c r="BW70" i="69"/>
  <c r="O46" i="101"/>
  <c r="P46" i="101" s="1"/>
  <c r="E47" i="101"/>
  <c r="H46" i="101"/>
  <c r="M39" i="96"/>
  <c r="J36" i="69"/>
  <c r="J89" i="69" s="1"/>
  <c r="U26" i="65"/>
  <c r="CD23" i="68"/>
  <c r="CD76" i="68" s="1"/>
  <c r="CD125" i="68" s="1"/>
  <c r="S49" i="63"/>
  <c r="T49" i="63" s="1"/>
  <c r="F50" i="63"/>
  <c r="I49" i="63"/>
  <c r="M40" i="81"/>
  <c r="O37" i="69"/>
  <c r="O90" i="69" s="1"/>
  <c r="BN91" i="68"/>
  <c r="BP91" i="68" s="1"/>
  <c r="BP38" i="68"/>
  <c r="BE37" i="68"/>
  <c r="BE90" i="68" s="1"/>
  <c r="BG37" i="68"/>
  <c r="BG90" i="68" s="1"/>
  <c r="Q40" i="87"/>
  <c r="Q40" i="80"/>
  <c r="AK37" i="69"/>
  <c r="AK90" i="69" s="1"/>
  <c r="O48" i="80"/>
  <c r="P48" i="80" s="1"/>
  <c r="E49" i="80"/>
  <c r="AG91" i="68"/>
  <c r="C64" i="56"/>
  <c r="AJ5" i="56"/>
  <c r="C94" i="56"/>
  <c r="R74" i="69"/>
  <c r="B124" i="69"/>
  <c r="AM122" i="68"/>
  <c r="BK73" i="68"/>
  <c r="G13" i="70" s="1"/>
  <c r="L41" i="48"/>
  <c r="N42" i="48" s="1"/>
  <c r="AE39" i="68"/>
  <c r="AE92" i="68" s="1"/>
  <c r="M41" i="48"/>
  <c r="S47" i="35"/>
  <c r="T47" i="35" s="1"/>
  <c r="F48" i="35"/>
  <c r="I47" i="35"/>
  <c r="M39" i="88"/>
  <c r="Y36" i="68"/>
  <c r="Y89" i="68" s="1"/>
  <c r="D48" i="7"/>
  <c r="K47" i="7"/>
  <c r="L47" i="7" s="1"/>
  <c r="G47" i="7"/>
  <c r="Z75" i="69"/>
  <c r="G12" i="92"/>
  <c r="M12" i="92" s="1"/>
  <c r="S47" i="86"/>
  <c r="T47" i="86" s="1"/>
  <c r="F48" i="86"/>
  <c r="I47" i="86"/>
  <c r="M40" i="90"/>
  <c r="M37" i="69"/>
  <c r="M90" i="69" s="1"/>
  <c r="S47" i="66"/>
  <c r="T47" i="66" s="1"/>
  <c r="F48" i="66"/>
  <c r="I47" i="66"/>
  <c r="K47" i="35"/>
  <c r="L47" i="35" s="1"/>
  <c r="D48" i="35"/>
  <c r="G47" i="35"/>
  <c r="BU71" i="69"/>
  <c r="BP121" i="69"/>
  <c r="O46" i="90"/>
  <c r="P46" i="90" s="1"/>
  <c r="E47" i="90"/>
  <c r="H46" i="90"/>
  <c r="BK121" i="68"/>
  <c r="BQ72" i="68"/>
  <c r="BQ121" i="68" s="1"/>
  <c r="Q26" i="67"/>
  <c r="AW23" i="68"/>
  <c r="AW76" i="68" s="1"/>
  <c r="AW125" i="68" s="1"/>
  <c r="S46" i="7"/>
  <c r="T46" i="7" s="1"/>
  <c r="F47" i="7"/>
  <c r="I46" i="7"/>
  <c r="K46" i="99"/>
  <c r="L46" i="99" s="1"/>
  <c r="D47" i="99"/>
  <c r="G46" i="99"/>
  <c r="D48" i="58"/>
  <c r="K47" i="58"/>
  <c r="L47" i="58" s="1"/>
  <c r="G47" i="58"/>
  <c r="BY73" i="68"/>
  <c r="CT20" i="68"/>
  <c r="B74" i="68"/>
  <c r="U26" i="62"/>
  <c r="CB23" i="68"/>
  <c r="CB76" i="68" s="1"/>
  <c r="CB125" i="68" s="1"/>
  <c r="M25" i="35"/>
  <c r="F22" i="69"/>
  <c r="F75" i="69" s="1"/>
  <c r="F125" i="69" s="1"/>
  <c r="M40" i="99"/>
  <c r="I37" i="68"/>
  <c r="I90" i="68" s="1"/>
  <c r="M41" i="83"/>
  <c r="Q38" i="69"/>
  <c r="Q91" i="69" s="1"/>
  <c r="N12" i="70"/>
  <c r="H7" i="56"/>
  <c r="AB121" i="68"/>
  <c r="AH72" i="68"/>
  <c r="AH121" i="68" s="1"/>
  <c r="C7" i="56"/>
  <c r="M6" i="56"/>
  <c r="U41" i="88"/>
  <c r="CQ38" i="68"/>
  <c r="CQ91" i="68" s="1"/>
  <c r="M39" i="86"/>
  <c r="W36" i="68"/>
  <c r="W89" i="68" s="1"/>
  <c r="S46" i="23"/>
  <c r="T46" i="23" s="1"/>
  <c r="F47" i="23"/>
  <c r="I46" i="23"/>
  <c r="O48" i="86"/>
  <c r="P48" i="86" s="1"/>
  <c r="E49" i="86"/>
  <c r="H48" i="86"/>
  <c r="S47" i="36"/>
  <c r="T47" i="36" s="1"/>
  <c r="F48" i="36"/>
  <c r="I47" i="36"/>
  <c r="AQ124" i="69"/>
  <c r="AR74" i="69"/>
  <c r="BL94" i="68"/>
  <c r="O46" i="59"/>
  <c r="P46" i="59" s="1"/>
  <c r="E47" i="59"/>
  <c r="H46" i="59"/>
  <c r="CW38" i="68"/>
  <c r="CW91" i="68" s="1"/>
  <c r="X40" i="48"/>
  <c r="Y40" i="48"/>
  <c r="S47" i="59"/>
  <c r="T47" i="59" s="1"/>
  <c r="F48" i="59"/>
  <c r="I47" i="59"/>
  <c r="U25" i="39"/>
  <c r="BU22" i="68"/>
  <c r="O47" i="7"/>
  <c r="P47" i="7" s="1"/>
  <c r="E48" i="7"/>
  <c r="H47" i="7"/>
  <c r="D47" i="60"/>
  <c r="K46" i="60"/>
  <c r="L46" i="60" s="1"/>
  <c r="G46" i="60"/>
  <c r="M26" i="23"/>
  <c r="D23" i="69"/>
  <c r="D76" i="69" s="1"/>
  <c r="D126" i="69" s="1"/>
  <c r="W25" i="23"/>
  <c r="J50" i="89"/>
  <c r="L50" i="89" s="1"/>
  <c r="B51" i="89"/>
  <c r="N51" i="89"/>
  <c r="P51" i="89" s="1"/>
  <c r="R50" i="89"/>
  <c r="T50" i="89" s="1"/>
  <c r="G50" i="89"/>
  <c r="H50" i="89"/>
  <c r="I50" i="89"/>
  <c r="O46" i="43"/>
  <c r="P46" i="43" s="1"/>
  <c r="E47" i="43"/>
  <c r="H46" i="43"/>
  <c r="K47" i="85"/>
  <c r="L47" i="85" s="1"/>
  <c r="D48" i="85"/>
  <c r="G47" i="85"/>
  <c r="Q25" i="37"/>
  <c r="AF22" i="69"/>
  <c r="AF75" i="69" s="1"/>
  <c r="AF125" i="69" s="1"/>
  <c r="Q26" i="59"/>
  <c r="AQ23" i="69"/>
  <c r="O46" i="66"/>
  <c r="P46" i="66" s="1"/>
  <c r="E47" i="66"/>
  <c r="H46" i="66"/>
  <c r="BL42" i="68"/>
  <c r="S44" i="46"/>
  <c r="AZ37" i="68"/>
  <c r="AZ90" i="68" s="1"/>
  <c r="Q40" i="102"/>
  <c r="O48" i="100"/>
  <c r="P48" i="100" s="1"/>
  <c r="E49" i="100"/>
  <c r="H48" i="100"/>
  <c r="C49" i="83"/>
  <c r="C50" i="83" s="1"/>
  <c r="S46" i="1"/>
  <c r="T46" i="1" s="1"/>
  <c r="F47" i="1"/>
  <c r="I46" i="1"/>
  <c r="K44" i="46"/>
  <c r="W44" i="46" s="1"/>
  <c r="Z44" i="46" s="1"/>
  <c r="D45" i="46"/>
  <c r="Q45" i="46"/>
  <c r="T45" i="46" s="1"/>
  <c r="Q39" i="103"/>
  <c r="AY36" i="68"/>
  <c r="AY89" i="68" s="1"/>
  <c r="BN74" i="69"/>
  <c r="BO21" i="69"/>
  <c r="U39" i="102"/>
  <c r="CI36" i="68"/>
  <c r="CI89" i="68" s="1"/>
  <c r="F53" i="46"/>
  <c r="I52" i="46"/>
  <c r="R52" i="46" s="1"/>
  <c r="M39" i="101"/>
  <c r="S36" i="68"/>
  <c r="S89" i="68" s="1"/>
  <c r="U24" i="66"/>
  <c r="CE21" i="68"/>
  <c r="CE74" i="68" s="1"/>
  <c r="CE123" i="68" s="1"/>
  <c r="K47" i="23"/>
  <c r="L47" i="23" s="1"/>
  <c r="D48" i="23"/>
  <c r="G47" i="23"/>
  <c r="J95" i="56"/>
  <c r="J65" i="56"/>
  <c r="C6" i="56"/>
  <c r="Q27" i="65"/>
  <c r="AU24" i="68"/>
  <c r="AU77" i="68" s="1"/>
  <c r="AU126" i="68" s="1"/>
  <c r="M40" i="89"/>
  <c r="AA37" i="68"/>
  <c r="AA90" i="68" s="1"/>
  <c r="O46" i="96"/>
  <c r="P46" i="96" s="1"/>
  <c r="E47" i="96"/>
  <c r="H46" i="96"/>
  <c r="L42" i="46"/>
  <c r="N43" i="46" s="1"/>
  <c r="AC40" i="68"/>
  <c r="M42" i="46"/>
  <c r="Q41" i="90"/>
  <c r="AJ38" i="69"/>
  <c r="AJ91" i="69" s="1"/>
  <c r="Q25" i="7"/>
  <c r="AB22" i="69"/>
  <c r="AB75" i="69" s="1"/>
  <c r="AB125" i="69" s="1"/>
  <c r="B75" i="69"/>
  <c r="Q40" i="97"/>
  <c r="AI37" i="69"/>
  <c r="AI90" i="69" s="1"/>
  <c r="J49" i="38"/>
  <c r="B50" i="38"/>
  <c r="N50" i="38"/>
  <c r="R49" i="38"/>
  <c r="Q42" i="85"/>
  <c r="BD39" i="68"/>
  <c r="BD92" i="68" s="1"/>
  <c r="K46" i="80"/>
  <c r="L46" i="80" s="1"/>
  <c r="D47" i="80"/>
  <c r="G46" i="80"/>
  <c r="CZ121" i="68"/>
  <c r="DB72" i="68"/>
  <c r="Q38" i="58"/>
  <c r="AD35" i="69"/>
  <c r="AD88" i="69" s="1"/>
  <c r="S47" i="43"/>
  <c r="T47" i="43" s="1"/>
  <c r="F48" i="43"/>
  <c r="I47" i="43"/>
  <c r="G94" i="56"/>
  <c r="G64" i="56"/>
  <c r="AW74" i="69"/>
  <c r="BL21" i="69"/>
  <c r="B14" i="92" s="1"/>
  <c r="U25" i="36"/>
  <c r="BB22" i="69"/>
  <c r="BB75" i="69" s="1"/>
  <c r="BB125" i="69" s="1"/>
  <c r="M24" i="67"/>
  <c r="N21" i="68"/>
  <c r="N74" i="68" s="1"/>
  <c r="N123" i="68" s="1"/>
  <c r="BP20" i="69"/>
  <c r="Q25" i="61"/>
  <c r="AP22" i="68"/>
  <c r="AP75" i="68" s="1"/>
  <c r="AP124" i="68" s="1"/>
  <c r="M39" i="100"/>
  <c r="H36" i="68"/>
  <c r="H89" i="68" s="1"/>
  <c r="Q25" i="64"/>
  <c r="AT22" i="68"/>
  <c r="AT75" i="68" s="1"/>
  <c r="AT124" i="68" s="1"/>
  <c r="J7" i="56"/>
  <c r="N5" i="56"/>
  <c r="R41" i="48"/>
  <c r="T42" i="48" s="1"/>
  <c r="BN39" i="68"/>
  <c r="Z41" i="48"/>
  <c r="S41" i="48"/>
  <c r="C50" i="82"/>
  <c r="C51" i="82" s="1"/>
  <c r="O46" i="58"/>
  <c r="P46" i="58" s="1"/>
  <c r="E47" i="58"/>
  <c r="H46" i="58"/>
  <c r="M25" i="39"/>
  <c r="C22" i="68"/>
  <c r="C75" i="68" s="1"/>
  <c r="C124" i="68" s="1"/>
  <c r="O47" i="99"/>
  <c r="P47" i="99" s="1"/>
  <c r="E48" i="99"/>
  <c r="H47" i="99"/>
  <c r="S49" i="85"/>
  <c r="T49" i="85" s="1"/>
  <c r="F50" i="85"/>
  <c r="I49" i="85"/>
  <c r="Q26" i="4"/>
  <c r="Z23" i="69"/>
  <c r="K46" i="36"/>
  <c r="L46" i="36" s="1"/>
  <c r="D47" i="36"/>
  <c r="G46" i="36"/>
  <c r="Q25" i="43"/>
  <c r="BA22" i="68"/>
  <c r="BA75" i="68" s="1"/>
  <c r="BA124" i="68" s="1"/>
  <c r="M39" i="97"/>
  <c r="L36" i="69"/>
  <c r="L89" i="69" s="1"/>
  <c r="K47" i="100"/>
  <c r="L47" i="100" s="1"/>
  <c r="D48" i="100"/>
  <c r="G47" i="100"/>
  <c r="K46" i="59"/>
  <c r="L46" i="59" s="1"/>
  <c r="D47" i="59"/>
  <c r="G46" i="59"/>
  <c r="Q40" i="96"/>
  <c r="AG37" i="69"/>
  <c r="AG90" i="69" s="1"/>
  <c r="S48" i="38"/>
  <c r="T48" i="38" s="1"/>
  <c r="F49" i="38"/>
  <c r="U45" i="86"/>
  <c r="CO42" i="68"/>
  <c r="CO95" i="68" s="1"/>
  <c r="BT124" i="68"/>
  <c r="M25" i="43"/>
  <c r="R22" i="68"/>
  <c r="R75" i="68" s="1"/>
  <c r="R124" i="68" s="1"/>
  <c r="Q25" i="36"/>
  <c r="AE22" i="69"/>
  <c r="AE75" i="69" s="1"/>
  <c r="AE125" i="69" s="1"/>
  <c r="J54" i="96"/>
  <c r="R54" i="96"/>
  <c r="K46" i="103"/>
  <c r="L46" i="103" s="1"/>
  <c r="D47" i="103"/>
  <c r="G46" i="103"/>
  <c r="O46" i="103"/>
  <c r="P46" i="103" s="1"/>
  <c r="E47" i="103"/>
  <c r="H46" i="103"/>
  <c r="Q41" i="104"/>
  <c r="BI38" i="68"/>
  <c r="BI91" i="68" s="1"/>
  <c r="U24" i="61"/>
  <c r="BY21" i="68"/>
  <c r="BY74" i="68" s="1"/>
  <c r="M25" i="38"/>
  <c r="B22" i="68"/>
  <c r="AO21" i="69"/>
  <c r="K47" i="67"/>
  <c r="L47" i="67" s="1"/>
  <c r="D48" i="67"/>
  <c r="G47" i="67"/>
  <c r="O47" i="102"/>
  <c r="P47" i="102" s="1"/>
  <c r="E48" i="102"/>
  <c r="H47" i="102"/>
  <c r="K47" i="90"/>
  <c r="L47" i="90" s="1"/>
  <c r="D48" i="90"/>
  <c r="G47" i="90"/>
  <c r="C49" i="38"/>
  <c r="C50" i="38" s="1"/>
  <c r="D7" i="56"/>
  <c r="E5" i="56"/>
  <c r="J51" i="43"/>
  <c r="B52" i="43"/>
  <c r="N52" i="43"/>
  <c r="R51" i="43"/>
  <c r="N6" i="56"/>
  <c r="O47" i="36"/>
  <c r="P47" i="36" s="1"/>
  <c r="E48" i="36"/>
  <c r="H47" i="36"/>
  <c r="S47" i="60"/>
  <c r="T47" i="60" s="1"/>
  <c r="F48" i="60"/>
  <c r="I47" i="60"/>
  <c r="O46" i="23"/>
  <c r="P46" i="23" s="1"/>
  <c r="E47" i="23"/>
  <c r="H46" i="23"/>
  <c r="K46" i="1"/>
  <c r="L46" i="1" s="1"/>
  <c r="D47" i="1"/>
  <c r="G46" i="1"/>
  <c r="Q26" i="66"/>
  <c r="AV23" i="68"/>
  <c r="AV76" i="68" s="1"/>
  <c r="AV125" i="68" s="1"/>
  <c r="J49" i="80"/>
  <c r="B50" i="80"/>
  <c r="C50" i="80" s="1"/>
  <c r="N50" i="80"/>
  <c r="R49" i="80"/>
  <c r="H49" i="80"/>
  <c r="H94" i="56"/>
  <c r="H64" i="56"/>
  <c r="U25" i="40"/>
  <c r="BV22" i="68"/>
  <c r="BV75" i="68" s="1"/>
  <c r="BV124" i="68" s="1"/>
  <c r="M12" i="70"/>
  <c r="G7" i="56"/>
  <c r="M39" i="103"/>
  <c r="P36" i="68"/>
  <c r="P89" i="68" s="1"/>
  <c r="U26" i="67"/>
  <c r="CF23" i="68"/>
  <c r="CF76" i="68" s="1"/>
  <c r="CF125" i="68" s="1"/>
  <c r="K47" i="97"/>
  <c r="L47" i="97" s="1"/>
  <c r="D48" i="97"/>
  <c r="G47" i="97"/>
  <c r="BT122" i="69"/>
  <c r="BV72" i="69"/>
  <c r="BV122" i="69" s="1"/>
  <c r="S46" i="99"/>
  <c r="T46" i="99" s="1"/>
  <c r="F47" i="99"/>
  <c r="I46" i="99"/>
  <c r="S46" i="80"/>
  <c r="T46" i="80" s="1"/>
  <c r="F47" i="80"/>
  <c r="I46" i="80"/>
  <c r="B64" i="56"/>
  <c r="B94" i="56"/>
  <c r="H95" i="56"/>
  <c r="H65" i="56"/>
  <c r="S47" i="58"/>
  <c r="T47" i="58" s="1"/>
  <c r="F48" i="58"/>
  <c r="I47" i="58"/>
  <c r="Q39" i="98"/>
  <c r="AH36" i="69"/>
  <c r="AH89" i="69" s="1"/>
  <c r="CU41" i="68"/>
  <c r="Y43" i="46"/>
  <c r="U25" i="59"/>
  <c r="BN22" i="69"/>
  <c r="K47" i="66"/>
  <c r="L47" i="66" s="1"/>
  <c r="D48" i="66"/>
  <c r="G47" i="66"/>
  <c r="C50" i="89"/>
  <c r="C51" i="89" s="1"/>
  <c r="O46" i="1"/>
  <c r="P46" i="1" s="1"/>
  <c r="E47" i="1"/>
  <c r="H46" i="1"/>
  <c r="Q13" i="70"/>
  <c r="J13" i="70"/>
  <c r="AS73" i="69"/>
  <c r="AS123" i="69" s="1"/>
  <c r="AR123" i="69"/>
  <c r="O48" i="67"/>
  <c r="P48" i="67" s="1"/>
  <c r="E49" i="67"/>
  <c r="H48" i="67"/>
  <c r="CZ120" i="68"/>
  <c r="DB71" i="68"/>
  <c r="E12" i="92"/>
  <c r="G13" i="92"/>
  <c r="M13" i="92" s="1"/>
  <c r="Q39" i="101"/>
  <c r="BB36" i="68"/>
  <c r="BB89" i="68" s="1"/>
  <c r="M26" i="1"/>
  <c r="B23" i="69"/>
  <c r="M25" i="44"/>
  <c r="T22" i="68"/>
  <c r="T75" i="68" s="1"/>
  <c r="T124" i="68" s="1"/>
  <c r="U41" i="81"/>
  <c r="BI38" i="69"/>
  <c r="BI91" i="69" s="1"/>
  <c r="C54" i="85"/>
  <c r="M25" i="40"/>
  <c r="D22" i="68"/>
  <c r="D75" i="68" s="1"/>
  <c r="D124" i="68" s="1"/>
  <c r="U25" i="41"/>
  <c r="BW22" i="68"/>
  <c r="BW75" i="68" s="1"/>
  <c r="BW124" i="68" s="1"/>
  <c r="Q40" i="81"/>
  <c r="AL37" i="69"/>
  <c r="AL90" i="69" s="1"/>
  <c r="U41" i="80"/>
  <c r="BH38" i="69"/>
  <c r="BH91" i="69" s="1"/>
  <c r="M25" i="60"/>
  <c r="F22" i="68"/>
  <c r="F75" i="68" s="1"/>
  <c r="F124" i="68" s="1"/>
  <c r="Q25" i="60"/>
  <c r="AO22" i="68"/>
  <c r="AO75" i="68" s="1"/>
  <c r="AO124" i="68" s="1"/>
  <c r="S46" i="98"/>
  <c r="T46" i="98" s="1"/>
  <c r="F47" i="98"/>
  <c r="I46" i="98"/>
  <c r="I46" i="48"/>
  <c r="F47" i="48"/>
  <c r="AS21" i="69"/>
  <c r="J14" i="92"/>
  <c r="U25" i="4"/>
  <c r="AW22" i="69"/>
  <c r="Y24" i="23"/>
  <c r="Q40" i="100"/>
  <c r="AQ37" i="68"/>
  <c r="AQ90" i="68" s="1"/>
  <c r="K46" i="101"/>
  <c r="L46" i="101" s="1"/>
  <c r="D47" i="101"/>
  <c r="G46" i="101"/>
  <c r="BN123" i="69"/>
  <c r="BO73" i="69"/>
  <c r="O46" i="85"/>
  <c r="P46" i="85" s="1"/>
  <c r="E47" i="85"/>
  <c r="H46" i="85"/>
  <c r="U40" i="100"/>
  <c r="BZ37" i="68"/>
  <c r="BZ90" i="68" s="1"/>
  <c r="M40" i="85"/>
  <c r="U37" i="68"/>
  <c r="U90" i="68" s="1"/>
  <c r="S46" i="96"/>
  <c r="T46" i="96" s="1"/>
  <c r="F47" i="96"/>
  <c r="I46" i="96"/>
  <c r="AS20" i="69"/>
  <c r="M41" i="80"/>
  <c r="N38" i="69"/>
  <c r="N91" i="69" s="1"/>
  <c r="M39" i="102"/>
  <c r="Q36" i="68"/>
  <c r="Q89" i="68" s="1"/>
  <c r="Q25" i="42"/>
  <c r="AX22" i="68"/>
  <c r="AX75" i="68" s="1"/>
  <c r="AX124" i="68" s="1"/>
  <c r="M40" i="98"/>
  <c r="K37" i="69"/>
  <c r="K90" i="69" s="1"/>
  <c r="S47" i="67"/>
  <c r="T47" i="67" s="1"/>
  <c r="F48" i="67"/>
  <c r="I47" i="67"/>
  <c r="S47" i="102"/>
  <c r="T47" i="102" s="1"/>
  <c r="F48" i="102"/>
  <c r="I47" i="102"/>
  <c r="K47" i="43"/>
  <c r="L47" i="43" s="1"/>
  <c r="D48" i="43"/>
  <c r="G47" i="43"/>
  <c r="U40" i="96"/>
  <c r="BD37" i="69"/>
  <c r="BD90" i="69" s="1"/>
  <c r="B12" i="70"/>
  <c r="BQ72" i="69"/>
  <c r="B51" i="59"/>
  <c r="J50" i="59"/>
  <c r="N51" i="59"/>
  <c r="R50" i="59"/>
  <c r="H13" i="92"/>
  <c r="N13" i="92" s="1"/>
  <c r="V20" i="69"/>
  <c r="U26" i="38"/>
  <c r="BT23" i="68"/>
  <c r="BT76" i="68" s="1"/>
  <c r="U39" i="97"/>
  <c r="BF36" i="69"/>
  <c r="BF89" i="69" s="1"/>
  <c r="K43" i="48"/>
  <c r="W43" i="48" s="1"/>
  <c r="D44" i="48"/>
  <c r="Q44" i="48"/>
  <c r="BO122" i="69"/>
  <c r="BP72" i="69"/>
  <c r="K47" i="64"/>
  <c r="L47" i="64" s="1"/>
  <c r="D48" i="64"/>
  <c r="G47" i="64"/>
  <c r="M26" i="42"/>
  <c r="O23" i="68"/>
  <c r="O76" i="68" s="1"/>
  <c r="O125" i="68" s="1"/>
  <c r="Q39" i="86"/>
  <c r="BF36" i="68"/>
  <c r="BF89" i="68" s="1"/>
  <c r="C52" i="43"/>
  <c r="U39" i="99"/>
  <c r="CA36" i="68"/>
  <c r="CA89" i="68" s="1"/>
  <c r="D94" i="56"/>
  <c r="D64" i="56"/>
  <c r="O46" i="60"/>
  <c r="P46" i="60" s="1"/>
  <c r="E47" i="60"/>
  <c r="H46" i="60"/>
  <c r="AQ75" i="69"/>
  <c r="AR22" i="69"/>
  <c r="H13" i="70"/>
  <c r="R123" i="69"/>
  <c r="W73" i="69"/>
  <c r="V73" i="69"/>
  <c r="V123" i="69" s="1"/>
  <c r="Z124" i="69"/>
  <c r="AO74" i="69"/>
  <c r="Q42" i="83"/>
  <c r="AN39" i="69"/>
  <c r="AN92" i="69" s="1"/>
  <c r="K47" i="96"/>
  <c r="L47" i="96" s="1"/>
  <c r="D48" i="96"/>
  <c r="G47" i="96"/>
  <c r="D48" i="63"/>
  <c r="G47" i="63"/>
  <c r="K47" i="63"/>
  <c r="L47" i="63" s="1"/>
  <c r="U38" i="58"/>
  <c r="BA35" i="69"/>
  <c r="BA88" i="69" s="1"/>
  <c r="U41" i="104"/>
  <c r="CR38" i="68"/>
  <c r="CR91" i="68" s="1"/>
  <c r="M40" i="82"/>
  <c r="P37" i="69"/>
  <c r="P90" i="69" s="1"/>
  <c r="K48" i="38"/>
  <c r="L48" i="38" s="1"/>
  <c r="D49" i="38"/>
  <c r="K47" i="102"/>
  <c r="L47" i="102" s="1"/>
  <c r="D48" i="102"/>
  <c r="G47" i="102"/>
  <c r="G65" i="56"/>
  <c r="G95" i="56"/>
  <c r="AB21" i="68" l="1"/>
  <c r="AH21" i="68" s="1"/>
  <c r="Q29" i="35"/>
  <c r="AC26" i="69"/>
  <c r="AC79" i="69" s="1"/>
  <c r="AC129" i="69" s="1"/>
  <c r="W42" i="47"/>
  <c r="Z42" i="47" s="1"/>
  <c r="N42" i="47"/>
  <c r="I48" i="74"/>
  <c r="S48" i="74"/>
  <c r="T48" i="74" s="1"/>
  <c r="U48" i="74" s="1"/>
  <c r="F49" i="74"/>
  <c r="I22" i="69"/>
  <c r="I75" i="69" s="1"/>
  <c r="I125" i="69" s="1"/>
  <c r="M25" i="37"/>
  <c r="BK38" i="69"/>
  <c r="BK91" i="69" s="1"/>
  <c r="U41" i="83"/>
  <c r="U40" i="87"/>
  <c r="CN37" i="68"/>
  <c r="CN90" i="68" s="1"/>
  <c r="CP37" i="68"/>
  <c r="CP90" i="68" s="1"/>
  <c r="AR37" i="68"/>
  <c r="AR90" i="68" s="1"/>
  <c r="Q40" i="99"/>
  <c r="H48" i="63"/>
  <c r="E49" i="63"/>
  <c r="O48" i="63"/>
  <c r="P48" i="63" s="1"/>
  <c r="B54" i="7"/>
  <c r="J53" i="7"/>
  <c r="N54" i="7"/>
  <c r="R53" i="7"/>
  <c r="J52" i="86"/>
  <c r="N53" i="86"/>
  <c r="R52" i="86"/>
  <c r="B53" i="86"/>
  <c r="F49" i="101"/>
  <c r="I48" i="101"/>
  <c r="S48" i="101"/>
  <c r="T48" i="101" s="1"/>
  <c r="Q40" i="88"/>
  <c r="BH37" i="68"/>
  <c r="BH90" i="68" s="1"/>
  <c r="M26" i="59"/>
  <c r="T23" i="69"/>
  <c r="M26" i="62"/>
  <c r="J23" i="68"/>
  <c r="J76" i="68" s="1"/>
  <c r="J125" i="68" s="1"/>
  <c r="CX123" i="68"/>
  <c r="CY74" i="68"/>
  <c r="CY123" i="68" s="1"/>
  <c r="C53" i="7"/>
  <c r="D47" i="45"/>
  <c r="K47" i="45"/>
  <c r="Q47" i="45"/>
  <c r="T47" i="45" s="1"/>
  <c r="O47" i="98"/>
  <c r="P47" i="98" s="1"/>
  <c r="H47" i="98"/>
  <c r="E48" i="98"/>
  <c r="M39" i="58"/>
  <c r="G36" i="69"/>
  <c r="G89" i="69" s="1"/>
  <c r="M42" i="87"/>
  <c r="X39" i="68"/>
  <c r="X92" i="68" s="1"/>
  <c r="U123" i="69"/>
  <c r="R13" i="70"/>
  <c r="K13" i="70"/>
  <c r="K8" i="56" s="1"/>
  <c r="D44" i="47"/>
  <c r="K43" i="47"/>
  <c r="Q44" i="47"/>
  <c r="T44" i="47" s="1"/>
  <c r="J51" i="58"/>
  <c r="B52" i="58"/>
  <c r="N52" i="58"/>
  <c r="R51" i="58"/>
  <c r="D47" i="74"/>
  <c r="G46" i="74"/>
  <c r="K46" i="74"/>
  <c r="L46" i="74" s="1"/>
  <c r="M46" i="74" s="1"/>
  <c r="AP43" i="69"/>
  <c r="AP96" i="69" s="1"/>
  <c r="S45" i="45"/>
  <c r="U25" i="37"/>
  <c r="BC22" i="69"/>
  <c r="BC75" i="69" s="1"/>
  <c r="BC125" i="69" s="1"/>
  <c r="Q27" i="38"/>
  <c r="AK24" i="68"/>
  <c r="AK77" i="68" s="1"/>
  <c r="AK126" i="68" s="1"/>
  <c r="Y24" i="69"/>
  <c r="Y77" i="69" s="1"/>
  <c r="Y127" i="69" s="1"/>
  <c r="Q27" i="1"/>
  <c r="U25" i="42"/>
  <c r="CG22" i="68"/>
  <c r="CG75" i="68" s="1"/>
  <c r="CG124" i="68" s="1"/>
  <c r="AD39" i="68"/>
  <c r="AD92" i="68" s="1"/>
  <c r="M41" i="47"/>
  <c r="B53" i="60"/>
  <c r="J52" i="60"/>
  <c r="N53" i="60"/>
  <c r="R52" i="60"/>
  <c r="Q26" i="23"/>
  <c r="AA23" i="69"/>
  <c r="AA76" i="69" s="1"/>
  <c r="AA126" i="69" s="1"/>
  <c r="X25" i="23"/>
  <c r="Q47" i="63"/>
  <c r="BO44" i="68"/>
  <c r="BO97" i="68" s="1"/>
  <c r="K66" i="56"/>
  <c r="K96" i="56"/>
  <c r="U40" i="85"/>
  <c r="CM37" i="68"/>
  <c r="CM90" i="68" s="1"/>
  <c r="U74" i="69"/>
  <c r="T124" i="69"/>
  <c r="Q26" i="41"/>
  <c r="AN23" i="68"/>
  <c r="AN76" i="68" s="1"/>
  <c r="AN125" i="68" s="1"/>
  <c r="S43" i="69"/>
  <c r="S96" i="69" s="1"/>
  <c r="M45" i="45"/>
  <c r="C51" i="58"/>
  <c r="C52" i="58" s="1"/>
  <c r="M25" i="36"/>
  <c r="H22" i="69"/>
  <c r="H75" i="69" s="1"/>
  <c r="H125" i="69" s="1"/>
  <c r="U25" i="64"/>
  <c r="CC22" i="68"/>
  <c r="CC75" i="68" s="1"/>
  <c r="CC124" i="68" s="1"/>
  <c r="U26" i="7"/>
  <c r="AY23" i="69"/>
  <c r="AY76" i="69" s="1"/>
  <c r="AY126" i="69" s="1"/>
  <c r="CS38" i="68"/>
  <c r="CS91" i="68" s="1"/>
  <c r="U41" i="89"/>
  <c r="M25" i="41"/>
  <c r="E22" i="68"/>
  <c r="E75" i="68" s="1"/>
  <c r="E124" i="68" s="1"/>
  <c r="CX75" i="68"/>
  <c r="CY22" i="68"/>
  <c r="Q26" i="39"/>
  <c r="AL23" i="68"/>
  <c r="AL76" i="68" s="1"/>
  <c r="AL125" i="68" s="1"/>
  <c r="CV39" i="68"/>
  <c r="CV92" i="68" s="1"/>
  <c r="Y41" i="47"/>
  <c r="U41" i="82"/>
  <c r="BJ38" i="69"/>
  <c r="BJ91" i="69" s="1"/>
  <c r="E50" i="47"/>
  <c r="L49" i="47"/>
  <c r="H49" i="47"/>
  <c r="K46" i="45"/>
  <c r="G23" i="68"/>
  <c r="G76" i="68" s="1"/>
  <c r="G125" i="68" s="1"/>
  <c r="M26" i="61"/>
  <c r="E47" i="74"/>
  <c r="H46" i="74"/>
  <c r="O46" i="74"/>
  <c r="P46" i="74" s="1"/>
  <c r="Q46" i="74" s="1"/>
  <c r="C52" i="60"/>
  <c r="M26" i="4"/>
  <c r="C23" i="69"/>
  <c r="C76" i="69" s="1"/>
  <c r="C126" i="69" s="1"/>
  <c r="DA74" i="68"/>
  <c r="DA123" i="68" s="1"/>
  <c r="C52" i="86"/>
  <c r="C53" i="86" s="1"/>
  <c r="BM43" i="69"/>
  <c r="BM96" i="69" s="1"/>
  <c r="Y45" i="45"/>
  <c r="BM41" i="68"/>
  <c r="BM94" i="68" s="1"/>
  <c r="S43" i="47"/>
  <c r="U26" i="23"/>
  <c r="AX23" i="69"/>
  <c r="AX76" i="69" s="1"/>
  <c r="AX126" i="69" s="1"/>
  <c r="Q42" i="82"/>
  <c r="AM39" i="69"/>
  <c r="AM92" i="69" s="1"/>
  <c r="U26" i="1"/>
  <c r="AV23" i="69"/>
  <c r="AV76" i="69" s="1"/>
  <c r="AV126" i="69" s="1"/>
  <c r="U26" i="63"/>
  <c r="CX23" i="68"/>
  <c r="L22" i="68"/>
  <c r="L75" i="68" s="1"/>
  <c r="L124" i="68" s="1"/>
  <c r="M25" i="65"/>
  <c r="T75" i="69"/>
  <c r="U22" i="69"/>
  <c r="K15" i="92" s="1"/>
  <c r="U26" i="35"/>
  <c r="AZ23" i="69"/>
  <c r="AZ76" i="69" s="1"/>
  <c r="AZ126" i="69" s="1"/>
  <c r="Q46" i="45"/>
  <c r="T46" i="45" s="1"/>
  <c r="M25" i="64"/>
  <c r="K22" i="68"/>
  <c r="K75" i="68" s="1"/>
  <c r="K124" i="68" s="1"/>
  <c r="U41" i="101"/>
  <c r="CK38" i="68"/>
  <c r="CK91" i="68" s="1"/>
  <c r="CL22" i="68"/>
  <c r="CL75" i="68" s="1"/>
  <c r="CL124" i="68" s="1"/>
  <c r="U25" i="44"/>
  <c r="R21" i="69"/>
  <c r="V21" i="69" s="1"/>
  <c r="M13" i="70"/>
  <c r="G48" i="48"/>
  <c r="J47" i="48"/>
  <c r="E51" i="48"/>
  <c r="H50" i="48"/>
  <c r="E49" i="46"/>
  <c r="H48" i="46"/>
  <c r="F50" i="47"/>
  <c r="I49" i="47"/>
  <c r="R49" i="47"/>
  <c r="F48" i="103"/>
  <c r="S47" i="103"/>
  <c r="T47" i="103" s="1"/>
  <c r="I47" i="103"/>
  <c r="M50" i="63"/>
  <c r="AF47" i="68"/>
  <c r="AF100" i="68" s="1"/>
  <c r="O47" i="64"/>
  <c r="P47" i="64" s="1"/>
  <c r="H47" i="64"/>
  <c r="E48" i="64"/>
  <c r="F48" i="100"/>
  <c r="S47" i="100"/>
  <c r="T47" i="100" s="1"/>
  <c r="I47" i="100"/>
  <c r="H47" i="38"/>
  <c r="E48" i="38"/>
  <c r="O47" i="38"/>
  <c r="P47" i="38" s="1"/>
  <c r="I48" i="97"/>
  <c r="S48" i="97"/>
  <c r="T48" i="97" s="1"/>
  <c r="F49" i="97"/>
  <c r="G8" i="56"/>
  <c r="K49" i="38"/>
  <c r="D50" i="38"/>
  <c r="K48" i="96"/>
  <c r="L48" i="96" s="1"/>
  <c r="D49" i="96"/>
  <c r="G48" i="96"/>
  <c r="J15" i="92"/>
  <c r="S48" i="67"/>
  <c r="T48" i="67" s="1"/>
  <c r="F49" i="67"/>
  <c r="I48" i="67"/>
  <c r="K47" i="101"/>
  <c r="L47" i="101" s="1"/>
  <c r="D48" i="101"/>
  <c r="G47" i="101"/>
  <c r="U26" i="41"/>
  <c r="BW23" i="68"/>
  <c r="BW76" i="68" s="1"/>
  <c r="BW125" i="68" s="1"/>
  <c r="U26" i="59"/>
  <c r="BN23" i="69"/>
  <c r="M7" i="56"/>
  <c r="S48" i="60"/>
  <c r="T48" i="60" s="1"/>
  <c r="F49" i="60"/>
  <c r="I48" i="60"/>
  <c r="O47" i="103"/>
  <c r="P47" i="103" s="1"/>
  <c r="E48" i="103"/>
  <c r="H47" i="103"/>
  <c r="Z76" i="69"/>
  <c r="AC93" i="68"/>
  <c r="K45" i="46"/>
  <c r="W45" i="46" s="1"/>
  <c r="Z45" i="46" s="1"/>
  <c r="D46" i="46"/>
  <c r="Q46" i="46"/>
  <c r="T46" i="46" s="1"/>
  <c r="BL95" i="68"/>
  <c r="U26" i="39"/>
  <c r="BU23" i="68"/>
  <c r="Q27" i="67"/>
  <c r="AW24" i="68"/>
  <c r="AW77" i="68" s="1"/>
  <c r="AW126" i="68" s="1"/>
  <c r="M40" i="88"/>
  <c r="Y37" i="68"/>
  <c r="Y90" i="68" s="1"/>
  <c r="AM123" i="68"/>
  <c r="BK74" i="68"/>
  <c r="AQ125" i="69"/>
  <c r="AR75" i="69"/>
  <c r="K44" i="48"/>
  <c r="W44" i="48" s="1"/>
  <c r="D45" i="48"/>
  <c r="Q45" i="48"/>
  <c r="BT125" i="68"/>
  <c r="J51" i="59"/>
  <c r="B52" i="59"/>
  <c r="N52" i="59"/>
  <c r="R51" i="59"/>
  <c r="U41" i="96"/>
  <c r="BD38" i="69"/>
  <c r="BD91" i="69" s="1"/>
  <c r="S48" i="102"/>
  <c r="T48" i="102" s="1"/>
  <c r="F49" i="102"/>
  <c r="I48" i="102"/>
  <c r="Q26" i="42"/>
  <c r="AX23" i="68"/>
  <c r="AX76" i="68" s="1"/>
  <c r="AX125" i="68" s="1"/>
  <c r="C51" i="59"/>
  <c r="C52" i="59" s="1"/>
  <c r="U41" i="100"/>
  <c r="BZ38" i="68"/>
  <c r="BZ91" i="68" s="1"/>
  <c r="BO123" i="69"/>
  <c r="BP73" i="69"/>
  <c r="AW75" i="69"/>
  <c r="BL22" i="69"/>
  <c r="I47" i="48"/>
  <c r="F48" i="48"/>
  <c r="M26" i="44"/>
  <c r="T23" i="68"/>
  <c r="T76" i="68" s="1"/>
  <c r="T125" i="68" s="1"/>
  <c r="O49" i="67"/>
  <c r="P49" i="67" s="1"/>
  <c r="E50" i="67"/>
  <c r="H49" i="67"/>
  <c r="J8" i="56"/>
  <c r="S47" i="99"/>
  <c r="T47" i="99" s="1"/>
  <c r="F48" i="99"/>
  <c r="I47" i="99"/>
  <c r="M40" i="103"/>
  <c r="P37" i="68"/>
  <c r="P90" i="68" s="1"/>
  <c r="N65" i="56"/>
  <c r="N95" i="56"/>
  <c r="O48" i="102"/>
  <c r="P48" i="102" s="1"/>
  <c r="E49" i="102"/>
  <c r="H48" i="102"/>
  <c r="B75" i="68"/>
  <c r="D48" i="103"/>
  <c r="K47" i="103"/>
  <c r="L47" i="103" s="1"/>
  <c r="G47" i="103"/>
  <c r="Q26" i="36"/>
  <c r="AE23" i="69"/>
  <c r="AE76" i="69" s="1"/>
  <c r="AE126" i="69" s="1"/>
  <c r="M26" i="43"/>
  <c r="R23" i="68"/>
  <c r="R76" i="68" s="1"/>
  <c r="R125" i="68" s="1"/>
  <c r="Q27" i="4"/>
  <c r="Z24" i="69"/>
  <c r="N64" i="56"/>
  <c r="N94" i="56"/>
  <c r="M40" i="100"/>
  <c r="H37" i="68"/>
  <c r="H90" i="68" s="1"/>
  <c r="Q39" i="58"/>
  <c r="AD36" i="69"/>
  <c r="AD89" i="69" s="1"/>
  <c r="K47" i="80"/>
  <c r="L47" i="80" s="1"/>
  <c r="D48" i="80"/>
  <c r="G47" i="80"/>
  <c r="Q43" i="85"/>
  <c r="BD40" i="68"/>
  <c r="BD93" i="68" s="1"/>
  <c r="L43" i="46"/>
  <c r="N44" i="46" s="1"/>
  <c r="AC41" i="68"/>
  <c r="M43" i="46"/>
  <c r="M41" i="89"/>
  <c r="AA38" i="68"/>
  <c r="AA91" i="68" s="1"/>
  <c r="K48" i="23"/>
  <c r="L48" i="23" s="1"/>
  <c r="D49" i="23"/>
  <c r="G48" i="23"/>
  <c r="CU42" i="68"/>
  <c r="Y44" i="46"/>
  <c r="Q41" i="102"/>
  <c r="AZ38" i="68"/>
  <c r="AZ91" i="68" s="1"/>
  <c r="O48" i="7"/>
  <c r="P48" i="7" s="1"/>
  <c r="E49" i="7"/>
  <c r="H48" i="7"/>
  <c r="S47" i="23"/>
  <c r="T47" i="23" s="1"/>
  <c r="F48" i="23"/>
  <c r="I47" i="23"/>
  <c r="C66" i="56"/>
  <c r="AJ7" i="56"/>
  <c r="C96" i="56"/>
  <c r="N7" i="56"/>
  <c r="M26" i="35"/>
  <c r="F23" i="69"/>
  <c r="F76" i="69" s="1"/>
  <c r="F126" i="69" s="1"/>
  <c r="AB74" i="68"/>
  <c r="B123" i="68"/>
  <c r="S47" i="7"/>
  <c r="T47" i="7" s="1"/>
  <c r="F48" i="7"/>
  <c r="I47" i="7"/>
  <c r="M41" i="90"/>
  <c r="M38" i="69"/>
  <c r="M91" i="69" s="1"/>
  <c r="S48" i="86"/>
  <c r="T48" i="86" s="1"/>
  <c r="F49" i="86"/>
  <c r="I48" i="86"/>
  <c r="M41" i="81"/>
  <c r="O38" i="69"/>
  <c r="O91" i="69" s="1"/>
  <c r="M40" i="96"/>
  <c r="J37" i="69"/>
  <c r="J90" i="69" s="1"/>
  <c r="E48" i="97"/>
  <c r="O47" i="97"/>
  <c r="P47" i="97" s="1"/>
  <c r="H47" i="97"/>
  <c r="K47" i="98"/>
  <c r="L47" i="98" s="1"/>
  <c r="D48" i="98"/>
  <c r="G47" i="98"/>
  <c r="J51" i="82"/>
  <c r="L51" i="82" s="1"/>
  <c r="B52" i="82"/>
  <c r="N52" i="82"/>
  <c r="P52" i="82" s="1"/>
  <c r="R51" i="82"/>
  <c r="T51" i="82" s="1"/>
  <c r="G51" i="82"/>
  <c r="H51" i="82"/>
  <c r="I51" i="82"/>
  <c r="U27" i="43"/>
  <c r="CJ24" i="68"/>
  <c r="CJ77" i="68" s="1"/>
  <c r="CJ126" i="68" s="1"/>
  <c r="U26" i="60"/>
  <c r="BX23" i="68"/>
  <c r="BX76" i="68" s="1"/>
  <c r="BX125" i="68" s="1"/>
  <c r="G14" i="70"/>
  <c r="AT74" i="69"/>
  <c r="AO124" i="69"/>
  <c r="Q40" i="86"/>
  <c r="BF37" i="68"/>
  <c r="BF90" i="68" s="1"/>
  <c r="Q26" i="60"/>
  <c r="AO23" i="68"/>
  <c r="AO76" i="68" s="1"/>
  <c r="AO125" i="68" s="1"/>
  <c r="U42" i="80"/>
  <c r="BH39" i="69"/>
  <c r="BH92" i="69" s="1"/>
  <c r="Q40" i="98"/>
  <c r="AH37" i="69"/>
  <c r="AH90" i="69" s="1"/>
  <c r="K47" i="1"/>
  <c r="L47" i="1" s="1"/>
  <c r="D48" i="1"/>
  <c r="G47" i="1"/>
  <c r="K48" i="67"/>
  <c r="L48" i="67" s="1"/>
  <c r="D49" i="67"/>
  <c r="G48" i="67"/>
  <c r="U25" i="61"/>
  <c r="BY22" i="68"/>
  <c r="BY75" i="68" s="1"/>
  <c r="BY124" i="68" s="1"/>
  <c r="D48" i="59"/>
  <c r="K47" i="59"/>
  <c r="L47" i="59" s="1"/>
  <c r="G47" i="59"/>
  <c r="C52" i="82"/>
  <c r="U26" i="36"/>
  <c r="BB23" i="69"/>
  <c r="BB76" i="69" s="1"/>
  <c r="BB126" i="69" s="1"/>
  <c r="L49" i="38"/>
  <c r="U25" i="66"/>
  <c r="CE22" i="68"/>
  <c r="CE75" i="68" s="1"/>
  <c r="CE124" i="68" s="1"/>
  <c r="BN124" i="69"/>
  <c r="BO74" i="69"/>
  <c r="Q27" i="59"/>
  <c r="AQ24" i="69"/>
  <c r="K47" i="60"/>
  <c r="L47" i="60" s="1"/>
  <c r="D48" i="60"/>
  <c r="G47" i="60"/>
  <c r="M65" i="56"/>
  <c r="M95" i="56"/>
  <c r="K48" i="58"/>
  <c r="L48" i="58" s="1"/>
  <c r="D49" i="58"/>
  <c r="G48" i="58"/>
  <c r="K48" i="35"/>
  <c r="L48" i="35" s="1"/>
  <c r="D49" i="35"/>
  <c r="G48" i="35"/>
  <c r="BT123" i="69"/>
  <c r="BV73" i="69"/>
  <c r="BV123" i="69" s="1"/>
  <c r="Q26" i="40"/>
  <c r="AM23" i="68"/>
  <c r="D95" i="56"/>
  <c r="D65" i="56"/>
  <c r="K47" i="86"/>
  <c r="L47" i="86" s="1"/>
  <c r="D48" i="86"/>
  <c r="G47" i="86"/>
  <c r="U41" i="98"/>
  <c r="BE38" i="69"/>
  <c r="BE91" i="69" s="1"/>
  <c r="K48" i="102"/>
  <c r="L48" i="102" s="1"/>
  <c r="D49" i="102"/>
  <c r="G48" i="102"/>
  <c r="K48" i="63"/>
  <c r="L48" i="63" s="1"/>
  <c r="D49" i="63"/>
  <c r="G48" i="63"/>
  <c r="U40" i="99"/>
  <c r="CA37" i="68"/>
  <c r="CA90" i="68" s="1"/>
  <c r="M27" i="42"/>
  <c r="O24" i="68"/>
  <c r="O77" i="68" s="1"/>
  <c r="O126" i="68" s="1"/>
  <c r="BU72" i="69"/>
  <c r="BP122" i="69"/>
  <c r="U27" i="38"/>
  <c r="BT24" i="68"/>
  <c r="BT77" i="68" s="1"/>
  <c r="U26" i="4"/>
  <c r="AW23" i="69"/>
  <c r="Y25" i="23"/>
  <c r="S47" i="98"/>
  <c r="T47" i="98" s="1"/>
  <c r="F48" i="98"/>
  <c r="I47" i="98"/>
  <c r="M26" i="60"/>
  <c r="F23" i="68"/>
  <c r="F76" i="68" s="1"/>
  <c r="F125" i="68" s="1"/>
  <c r="Q41" i="81"/>
  <c r="AL38" i="69"/>
  <c r="AL91" i="69" s="1"/>
  <c r="M26" i="40"/>
  <c r="D23" i="68"/>
  <c r="D76" i="68" s="1"/>
  <c r="D125" i="68" s="1"/>
  <c r="B76" i="69"/>
  <c r="Q40" i="101"/>
  <c r="BB37" i="68"/>
  <c r="BB90" i="68" s="1"/>
  <c r="CU94" i="68"/>
  <c r="S48" i="58"/>
  <c r="T48" i="58" s="1"/>
  <c r="F49" i="58"/>
  <c r="I48" i="58"/>
  <c r="S47" i="80"/>
  <c r="T47" i="80" s="1"/>
  <c r="F48" i="80"/>
  <c r="I47" i="80"/>
  <c r="G66" i="56"/>
  <c r="G96" i="56"/>
  <c r="H14" i="92"/>
  <c r="N14" i="92" s="1"/>
  <c r="U26" i="40"/>
  <c r="BV23" i="68"/>
  <c r="BV76" i="68" s="1"/>
  <c r="BV125" i="68" s="1"/>
  <c r="J50" i="80"/>
  <c r="B51" i="80"/>
  <c r="N51" i="80"/>
  <c r="R50" i="80"/>
  <c r="Q27" i="66"/>
  <c r="AV24" i="68"/>
  <c r="AV77" i="68" s="1"/>
  <c r="AV126" i="68" s="1"/>
  <c r="J52" i="43"/>
  <c r="B53" i="43"/>
  <c r="C53" i="43" s="1"/>
  <c r="N53" i="43"/>
  <c r="R52" i="43"/>
  <c r="D66" i="56"/>
  <c r="D96" i="56"/>
  <c r="K48" i="90"/>
  <c r="L48" i="90" s="1"/>
  <c r="D49" i="90"/>
  <c r="G48" i="90"/>
  <c r="M26" i="38"/>
  <c r="B23" i="68"/>
  <c r="Q42" i="104"/>
  <c r="BI39" i="68"/>
  <c r="BI92" i="68" s="1"/>
  <c r="U46" i="86"/>
  <c r="CO43" i="68"/>
  <c r="CO96" i="68" s="1"/>
  <c r="Q41" i="96"/>
  <c r="AG38" i="69"/>
  <c r="AG91" i="69" s="1"/>
  <c r="Q26" i="43"/>
  <c r="BA23" i="68"/>
  <c r="BA76" i="68" s="1"/>
  <c r="BA125" i="68" s="1"/>
  <c r="D48" i="36"/>
  <c r="K47" i="36"/>
  <c r="L47" i="36" s="1"/>
  <c r="G47" i="36"/>
  <c r="O48" i="99"/>
  <c r="P48" i="99" s="1"/>
  <c r="E49" i="99"/>
  <c r="H48" i="99"/>
  <c r="CW39" i="68"/>
  <c r="CW92" i="68" s="1"/>
  <c r="Y41" i="48"/>
  <c r="X41" i="48"/>
  <c r="M25" i="67"/>
  <c r="N22" i="68"/>
  <c r="N75" i="68" s="1"/>
  <c r="N124" i="68" s="1"/>
  <c r="BT74" i="69"/>
  <c r="AW124" i="69"/>
  <c r="BL74" i="69"/>
  <c r="S48" i="43"/>
  <c r="T48" i="43" s="1"/>
  <c r="F49" i="43"/>
  <c r="I48" i="43"/>
  <c r="DB121" i="68"/>
  <c r="Q41" i="97"/>
  <c r="AI38" i="69"/>
  <c r="AI91" i="69" s="1"/>
  <c r="R22" i="69"/>
  <c r="Q26" i="7"/>
  <c r="AB23" i="69"/>
  <c r="AB76" i="69" s="1"/>
  <c r="AB126" i="69" s="1"/>
  <c r="Q42" i="90"/>
  <c r="AJ39" i="69"/>
  <c r="AJ92" i="69" s="1"/>
  <c r="M40" i="101"/>
  <c r="S37" i="68"/>
  <c r="S90" i="68" s="1"/>
  <c r="U40" i="102"/>
  <c r="CI37" i="68"/>
  <c r="CI90" i="68" s="1"/>
  <c r="Q40" i="103"/>
  <c r="AY37" i="68"/>
  <c r="AY90" i="68" s="1"/>
  <c r="Q26" i="37"/>
  <c r="AF23" i="69"/>
  <c r="AF76" i="69" s="1"/>
  <c r="AF126" i="69" s="1"/>
  <c r="S48" i="59"/>
  <c r="T48" i="59" s="1"/>
  <c r="F49" i="59"/>
  <c r="I48" i="59"/>
  <c r="O49" i="86"/>
  <c r="P49" i="86" s="1"/>
  <c r="E50" i="86"/>
  <c r="H49" i="86"/>
  <c r="M40" i="86"/>
  <c r="W37" i="68"/>
  <c r="W90" i="68" s="1"/>
  <c r="C13" i="92"/>
  <c r="D13" i="92"/>
  <c r="CZ20" i="68"/>
  <c r="D48" i="99"/>
  <c r="K47" i="99"/>
  <c r="L47" i="99" s="1"/>
  <c r="G47" i="99"/>
  <c r="BU121" i="69"/>
  <c r="BW71" i="69"/>
  <c r="BW121" i="69" s="1"/>
  <c r="S48" i="66"/>
  <c r="T48" i="66" s="1"/>
  <c r="F49" i="66"/>
  <c r="I48" i="66"/>
  <c r="AO22" i="69"/>
  <c r="AS22" i="69" s="1"/>
  <c r="D49" i="7"/>
  <c r="K48" i="7"/>
  <c r="L48" i="7" s="1"/>
  <c r="G48" i="7"/>
  <c r="S48" i="35"/>
  <c r="T48" i="35" s="1"/>
  <c r="F49" i="35"/>
  <c r="I48" i="35"/>
  <c r="L42" i="48"/>
  <c r="N43" i="48" s="1"/>
  <c r="AE40" i="68"/>
  <c r="AE93" i="68" s="1"/>
  <c r="M42" i="48"/>
  <c r="R124" i="69"/>
  <c r="W74" i="69"/>
  <c r="V74" i="69"/>
  <c r="V124" i="69" s="1"/>
  <c r="Q41" i="80"/>
  <c r="AK38" i="69"/>
  <c r="AK91" i="69" s="1"/>
  <c r="U27" i="65"/>
  <c r="CD24" i="68"/>
  <c r="CD77" i="68" s="1"/>
  <c r="CD126" i="68" s="1"/>
  <c r="AH73" i="68"/>
  <c r="AH122" i="68" s="1"/>
  <c r="AB122" i="68"/>
  <c r="U42" i="90"/>
  <c r="BG39" i="69"/>
  <c r="BG92" i="69" s="1"/>
  <c r="AG39" i="68"/>
  <c r="S47" i="64"/>
  <c r="T47" i="64" s="1"/>
  <c r="F48" i="64"/>
  <c r="I47" i="64"/>
  <c r="E6" i="56"/>
  <c r="Q25" i="44"/>
  <c r="BC22" i="68"/>
  <c r="BC75" i="68" s="1"/>
  <c r="BC124" i="68" s="1"/>
  <c r="O47" i="35"/>
  <c r="P47" i="35" s="1"/>
  <c r="E48" i="35"/>
  <c r="H47" i="35"/>
  <c r="S47" i="90"/>
  <c r="T47" i="90" s="1"/>
  <c r="F48" i="90"/>
  <c r="I47" i="90"/>
  <c r="M26" i="66"/>
  <c r="M23" i="68"/>
  <c r="M76" i="68" s="1"/>
  <c r="M125" i="68" s="1"/>
  <c r="U41" i="103"/>
  <c r="CH38" i="68"/>
  <c r="CH91" i="68" s="1"/>
  <c r="K48" i="64"/>
  <c r="L48" i="64" s="1"/>
  <c r="D49" i="64"/>
  <c r="G48" i="64"/>
  <c r="U40" i="97"/>
  <c r="BF37" i="69"/>
  <c r="BF90" i="69" s="1"/>
  <c r="K48" i="97"/>
  <c r="L48" i="97" s="1"/>
  <c r="D49" i="97"/>
  <c r="G48" i="97"/>
  <c r="E64" i="56"/>
  <c r="E94" i="56"/>
  <c r="K48" i="100"/>
  <c r="L48" i="100" s="1"/>
  <c r="D49" i="100"/>
  <c r="G48" i="100"/>
  <c r="R42" i="48"/>
  <c r="T43" i="48" s="1"/>
  <c r="BN40" i="68"/>
  <c r="Z42" i="48"/>
  <c r="S42" i="48"/>
  <c r="G49" i="38"/>
  <c r="C65" i="56"/>
  <c r="C95" i="56"/>
  <c r="AJ6" i="56"/>
  <c r="F54" i="46"/>
  <c r="I54" i="46" s="1"/>
  <c r="R54" i="46" s="1"/>
  <c r="I53" i="46"/>
  <c r="R53" i="46" s="1"/>
  <c r="O47" i="66"/>
  <c r="P47" i="66" s="1"/>
  <c r="E48" i="66"/>
  <c r="H47" i="66"/>
  <c r="K48" i="85"/>
  <c r="L48" i="85" s="1"/>
  <c r="D49" i="85"/>
  <c r="G48" i="85"/>
  <c r="O47" i="59"/>
  <c r="P47" i="59" s="1"/>
  <c r="E48" i="59"/>
  <c r="H47" i="59"/>
  <c r="Q14" i="70"/>
  <c r="J14" i="70"/>
  <c r="AS74" i="69"/>
  <c r="AS124" i="69" s="1"/>
  <c r="AR124" i="69"/>
  <c r="A38" i="70"/>
  <c r="BJ38" i="68"/>
  <c r="BJ91" i="68" s="1"/>
  <c r="Q41" i="89"/>
  <c r="B65" i="56"/>
  <c r="B95" i="56"/>
  <c r="Q28" i="62"/>
  <c r="AS25" i="68"/>
  <c r="AS78" i="68" s="1"/>
  <c r="AS127" i="68" s="1"/>
  <c r="M26" i="7"/>
  <c r="E23" i="69"/>
  <c r="E76" i="69" s="1"/>
  <c r="E126" i="69" s="1"/>
  <c r="U42" i="104"/>
  <c r="CR39" i="68"/>
  <c r="CR92" i="68" s="1"/>
  <c r="M41" i="82"/>
  <c r="P38" i="69"/>
  <c r="P91" i="69" s="1"/>
  <c r="U39" i="58"/>
  <c r="BA36" i="69"/>
  <c r="BA89" i="69" s="1"/>
  <c r="Q43" i="83"/>
  <c r="AN40" i="69"/>
  <c r="AN93" i="69" s="1"/>
  <c r="N13" i="70"/>
  <c r="H8" i="56"/>
  <c r="E48" i="60"/>
  <c r="O47" i="60"/>
  <c r="P47" i="60" s="1"/>
  <c r="H47" i="60"/>
  <c r="E12" i="70"/>
  <c r="B7" i="56"/>
  <c r="K48" i="43"/>
  <c r="L48" i="43" s="1"/>
  <c r="D49" i="43"/>
  <c r="G48" i="43"/>
  <c r="M41" i="98"/>
  <c r="K38" i="69"/>
  <c r="K91" i="69" s="1"/>
  <c r="M40" i="102"/>
  <c r="Q37" i="68"/>
  <c r="Q90" i="68" s="1"/>
  <c r="M42" i="80"/>
  <c r="N39" i="69"/>
  <c r="N92" i="69" s="1"/>
  <c r="S47" i="96"/>
  <c r="T47" i="96" s="1"/>
  <c r="F48" i="96"/>
  <c r="I47" i="96"/>
  <c r="M41" i="85"/>
  <c r="U38" i="68"/>
  <c r="U91" i="68" s="1"/>
  <c r="E48" i="85"/>
  <c r="O47" i="85"/>
  <c r="P47" i="85" s="1"/>
  <c r="H47" i="85"/>
  <c r="Q41" i="100"/>
  <c r="AQ38" i="68"/>
  <c r="AQ91" i="68" s="1"/>
  <c r="U42" i="81"/>
  <c r="BI39" i="69"/>
  <c r="BI92" i="69" s="1"/>
  <c r="M27" i="1"/>
  <c r="B24" i="69"/>
  <c r="O47" i="1"/>
  <c r="P47" i="1" s="1"/>
  <c r="E48" i="1"/>
  <c r="H47" i="1"/>
  <c r="K48" i="66"/>
  <c r="L48" i="66" s="1"/>
  <c r="D49" i="66"/>
  <c r="G48" i="66"/>
  <c r="BN75" i="69"/>
  <c r="BO22" i="69"/>
  <c r="BP22" i="69" s="1"/>
  <c r="U27" i="67"/>
  <c r="CF24" i="68"/>
  <c r="CF77" i="68" s="1"/>
  <c r="CF126" i="68" s="1"/>
  <c r="O47" i="23"/>
  <c r="P47" i="23" s="1"/>
  <c r="E48" i="23"/>
  <c r="H47" i="23"/>
  <c r="O48" i="36"/>
  <c r="P48" i="36" s="1"/>
  <c r="E49" i="36"/>
  <c r="H48" i="36"/>
  <c r="BY123" i="68"/>
  <c r="CT74" i="68"/>
  <c r="S49" i="38"/>
  <c r="T49" i="38" s="1"/>
  <c r="F50" i="38"/>
  <c r="M40" i="97"/>
  <c r="L37" i="69"/>
  <c r="L90" i="69" s="1"/>
  <c r="S50" i="85"/>
  <c r="T50" i="85" s="1"/>
  <c r="F51" i="85"/>
  <c r="I50" i="85"/>
  <c r="M26" i="39"/>
  <c r="C23" i="68"/>
  <c r="C76" i="68" s="1"/>
  <c r="C125" i="68" s="1"/>
  <c r="O47" i="58"/>
  <c r="P47" i="58" s="1"/>
  <c r="E48" i="58"/>
  <c r="H47" i="58"/>
  <c r="CT21" i="68"/>
  <c r="BN92" i="68"/>
  <c r="BP92" i="68" s="1"/>
  <c r="BP39" i="68"/>
  <c r="J66" i="56"/>
  <c r="J96" i="56"/>
  <c r="Q26" i="64"/>
  <c r="AT23" i="68"/>
  <c r="AT76" i="68" s="1"/>
  <c r="AT125" i="68" s="1"/>
  <c r="Q26" i="61"/>
  <c r="AP23" i="68"/>
  <c r="AP76" i="68" s="1"/>
  <c r="AP125" i="68" s="1"/>
  <c r="I49" i="38"/>
  <c r="J50" i="38"/>
  <c r="B51" i="38"/>
  <c r="C51" i="38" s="1"/>
  <c r="N51" i="38"/>
  <c r="R50" i="38"/>
  <c r="I50" i="38"/>
  <c r="R75" i="69"/>
  <c r="B125" i="69"/>
  <c r="O47" i="96"/>
  <c r="P47" i="96" s="1"/>
  <c r="E48" i="96"/>
  <c r="H47" i="96"/>
  <c r="Q28" i="65"/>
  <c r="AU25" i="68"/>
  <c r="AU78" i="68" s="1"/>
  <c r="AU127" i="68" s="1"/>
  <c r="BP21" i="69"/>
  <c r="BL43" i="68"/>
  <c r="S45" i="46"/>
  <c r="S47" i="1"/>
  <c r="T47" i="1" s="1"/>
  <c r="F48" i="1"/>
  <c r="I47" i="1"/>
  <c r="O49" i="100"/>
  <c r="P49" i="100" s="1"/>
  <c r="E50" i="100"/>
  <c r="H49" i="100"/>
  <c r="AQ76" i="69"/>
  <c r="AR23" i="69"/>
  <c r="O47" i="43"/>
  <c r="P47" i="43" s="1"/>
  <c r="E48" i="43"/>
  <c r="H47" i="43"/>
  <c r="J51" i="89"/>
  <c r="L51" i="89" s="1"/>
  <c r="B52" i="89"/>
  <c r="N52" i="89"/>
  <c r="P52" i="89" s="1"/>
  <c r="R51" i="89"/>
  <c r="T51" i="89" s="1"/>
  <c r="I51" i="89"/>
  <c r="G51" i="89"/>
  <c r="H51" i="89"/>
  <c r="M27" i="23"/>
  <c r="D24" i="69"/>
  <c r="D77" i="69" s="1"/>
  <c r="D127" i="69" s="1"/>
  <c r="W26" i="23"/>
  <c r="BU75" i="68"/>
  <c r="CT22" i="68"/>
  <c r="S48" i="36"/>
  <c r="T48" i="36" s="1"/>
  <c r="F49" i="36"/>
  <c r="I48" i="36"/>
  <c r="U42" i="88"/>
  <c r="CQ39" i="68"/>
  <c r="CQ92" i="68" s="1"/>
  <c r="H66" i="56"/>
  <c r="H96" i="56"/>
  <c r="M42" i="83"/>
  <c r="Q39" i="69"/>
  <c r="Q92" i="69" s="1"/>
  <c r="M41" i="99"/>
  <c r="I38" i="68"/>
  <c r="I91" i="68" s="1"/>
  <c r="U27" i="62"/>
  <c r="CB24" i="68"/>
  <c r="CB77" i="68" s="1"/>
  <c r="CB126" i="68" s="1"/>
  <c r="BY122" i="68"/>
  <c r="CT73" i="68"/>
  <c r="O47" i="90"/>
  <c r="P47" i="90" s="1"/>
  <c r="E48" i="90"/>
  <c r="H47" i="90"/>
  <c r="Z125" i="69"/>
  <c r="AO75" i="69"/>
  <c r="BK122" i="68"/>
  <c r="BQ73" i="68"/>
  <c r="BQ122" i="68" s="1"/>
  <c r="O49" i="80"/>
  <c r="P49" i="80" s="1"/>
  <c r="E50" i="80"/>
  <c r="H50" i="80" s="1"/>
  <c r="BE38" i="68"/>
  <c r="BE91" i="68" s="1"/>
  <c r="BG38" i="68"/>
  <c r="BG91" i="68" s="1"/>
  <c r="Q41" i="87"/>
  <c r="S50" i="63"/>
  <c r="T50" i="63" s="1"/>
  <c r="F51" i="63"/>
  <c r="I50" i="63"/>
  <c r="E48" i="101"/>
  <c r="O47" i="101"/>
  <c r="P47" i="101" s="1"/>
  <c r="H47" i="101"/>
  <c r="B13" i="70"/>
  <c r="BQ73" i="69"/>
  <c r="M41" i="104"/>
  <c r="Z38" i="68"/>
  <c r="Z91" i="68" s="1"/>
  <c r="AM75" i="68"/>
  <c r="BK22" i="68"/>
  <c r="BQ22" i="68" s="1"/>
  <c r="AG92" i="68"/>
  <c r="J50" i="83"/>
  <c r="L50" i="83" s="1"/>
  <c r="B51" i="83"/>
  <c r="N51" i="83"/>
  <c r="P51" i="83" s="1"/>
  <c r="R50" i="83"/>
  <c r="T50" i="83" s="1"/>
  <c r="G50" i="83"/>
  <c r="I50" i="83"/>
  <c r="H50" i="83"/>
  <c r="M41" i="84"/>
  <c r="V38" i="68"/>
  <c r="V91" i="68" s="1"/>
  <c r="M94" i="56"/>
  <c r="M64" i="56"/>
  <c r="BK21" i="68"/>
  <c r="BQ21" i="68" s="1"/>
  <c r="AP44" i="69" l="1"/>
  <c r="AP97" i="69" s="1"/>
  <c r="S46" i="45"/>
  <c r="T125" i="69"/>
  <c r="U75" i="69"/>
  <c r="CX24" i="68"/>
  <c r="U27" i="63"/>
  <c r="AM40" i="69"/>
  <c r="AM93" i="69" s="1"/>
  <c r="Q43" i="82"/>
  <c r="L50" i="47"/>
  <c r="H50" i="47"/>
  <c r="E51" i="47"/>
  <c r="CX124" i="68"/>
  <c r="CY75" i="68"/>
  <c r="CY124" i="68" s="1"/>
  <c r="U26" i="64"/>
  <c r="CC23" i="68"/>
  <c r="CC76" i="68" s="1"/>
  <c r="CC125" i="68" s="1"/>
  <c r="Q27" i="41"/>
  <c r="AN24" i="68"/>
  <c r="AN77" i="68" s="1"/>
  <c r="AN126" i="68" s="1"/>
  <c r="CM38" i="68"/>
  <c r="CM91" i="68" s="1"/>
  <c r="U41" i="85"/>
  <c r="BO45" i="68"/>
  <c r="BO98" i="68" s="1"/>
  <c r="Q48" i="63"/>
  <c r="X26" i="23"/>
  <c r="Q27" i="23"/>
  <c r="AA24" i="69"/>
  <c r="AA77" i="69" s="1"/>
  <c r="AA127" i="69" s="1"/>
  <c r="J53" i="60"/>
  <c r="B54" i="60"/>
  <c r="N54" i="60"/>
  <c r="R53" i="60"/>
  <c r="U26" i="42"/>
  <c r="CG23" i="68"/>
  <c r="CG76" i="68" s="1"/>
  <c r="CG125" i="68" s="1"/>
  <c r="AK25" i="68"/>
  <c r="AK78" i="68" s="1"/>
  <c r="AK127" i="68" s="1"/>
  <c r="Q28" i="38"/>
  <c r="BM42" i="68"/>
  <c r="BM95" i="68" s="1"/>
  <c r="S44" i="47"/>
  <c r="E49" i="98"/>
  <c r="H48" i="98"/>
  <c r="O48" i="98"/>
  <c r="P48" i="98" s="1"/>
  <c r="N47" i="45"/>
  <c r="W47" i="45"/>
  <c r="Z47" i="45" s="1"/>
  <c r="M27" i="59"/>
  <c r="T24" i="69"/>
  <c r="I23" i="69"/>
  <c r="I76" i="69" s="1"/>
  <c r="I126" i="69" s="1"/>
  <c r="M26" i="37"/>
  <c r="Q30" i="35"/>
  <c r="AC27" i="69"/>
  <c r="AC80" i="69" s="1"/>
  <c r="AC130" i="69" s="1"/>
  <c r="U42" i="101"/>
  <c r="CK39" i="68"/>
  <c r="CK92" i="68" s="1"/>
  <c r="M26" i="65"/>
  <c r="L23" i="68"/>
  <c r="L76" i="68" s="1"/>
  <c r="L125" i="68" s="1"/>
  <c r="N46" i="45"/>
  <c r="W46" i="45"/>
  <c r="Z46" i="45" s="1"/>
  <c r="Q28" i="1"/>
  <c r="Y25" i="69"/>
  <c r="Y78" i="69" s="1"/>
  <c r="Y128" i="69" s="1"/>
  <c r="W43" i="47"/>
  <c r="Z43" i="47" s="1"/>
  <c r="N43" i="47"/>
  <c r="K67" i="56"/>
  <c r="K97" i="56"/>
  <c r="M43" i="87"/>
  <c r="X40" i="68"/>
  <c r="X93" i="68" s="1"/>
  <c r="D48" i="45"/>
  <c r="K48" i="45" s="1"/>
  <c r="N48" i="45" s="1"/>
  <c r="S49" i="101"/>
  <c r="T49" i="101" s="1"/>
  <c r="F50" i="101"/>
  <c r="I49" i="101"/>
  <c r="J54" i="7"/>
  <c r="R54" i="7"/>
  <c r="AR38" i="68"/>
  <c r="AR91" i="68" s="1"/>
  <c r="Q41" i="99"/>
  <c r="CN38" i="68"/>
  <c r="CN91" i="68" s="1"/>
  <c r="CP38" i="68"/>
  <c r="CP91" i="68" s="1"/>
  <c r="U41" i="87"/>
  <c r="AD40" i="68"/>
  <c r="AD93" i="68" s="1"/>
  <c r="M42" i="47"/>
  <c r="U26" i="44"/>
  <c r="CL23" i="68"/>
  <c r="CL76" i="68" s="1"/>
  <c r="CL125" i="68" s="1"/>
  <c r="U27" i="35"/>
  <c r="AZ24" i="69"/>
  <c r="AZ77" i="69" s="1"/>
  <c r="AZ127" i="69" s="1"/>
  <c r="U27" i="1"/>
  <c r="AV24" i="69"/>
  <c r="AV77" i="69" s="1"/>
  <c r="AV127" i="69" s="1"/>
  <c r="U27" i="23"/>
  <c r="AX24" i="69"/>
  <c r="AX77" i="69" s="1"/>
  <c r="AX127" i="69" s="1"/>
  <c r="C24" i="69"/>
  <c r="C77" i="69" s="1"/>
  <c r="C127" i="69" s="1"/>
  <c r="M27" i="4"/>
  <c r="O47" i="74"/>
  <c r="P47" i="74" s="1"/>
  <c r="Q47" i="74" s="1"/>
  <c r="H47" i="74"/>
  <c r="E48" i="74"/>
  <c r="U42" i="82"/>
  <c r="BJ39" i="69"/>
  <c r="BJ92" i="69" s="1"/>
  <c r="Q27" i="39"/>
  <c r="AL24" i="68"/>
  <c r="AL77" i="68" s="1"/>
  <c r="AL126" i="68" s="1"/>
  <c r="M26" i="41"/>
  <c r="E23" i="68"/>
  <c r="E76" i="68" s="1"/>
  <c r="E125" i="68" s="1"/>
  <c r="U27" i="7"/>
  <c r="AY24" i="69"/>
  <c r="AY77" i="69" s="1"/>
  <c r="AY127" i="69" s="1"/>
  <c r="M26" i="36"/>
  <c r="H23" i="69"/>
  <c r="H76" i="69" s="1"/>
  <c r="H126" i="69" s="1"/>
  <c r="U124" i="69"/>
  <c r="R14" i="70"/>
  <c r="K14" i="70"/>
  <c r="K9" i="56" s="1"/>
  <c r="U26" i="37"/>
  <c r="BC23" i="69"/>
  <c r="BC76" i="69" s="1"/>
  <c r="BC126" i="69" s="1"/>
  <c r="J52" i="58"/>
  <c r="B53" i="58"/>
  <c r="R52" i="58"/>
  <c r="N53" i="58"/>
  <c r="K44" i="47"/>
  <c r="D45" i="47"/>
  <c r="Q45" i="47"/>
  <c r="T45" i="47" s="1"/>
  <c r="C54" i="7"/>
  <c r="M27" i="62"/>
  <c r="J24" i="68"/>
  <c r="J77" i="68" s="1"/>
  <c r="J126" i="68" s="1"/>
  <c r="Q41" i="88"/>
  <c r="BH38" i="68"/>
  <c r="BH91" i="68" s="1"/>
  <c r="R53" i="86"/>
  <c r="J53" i="86"/>
  <c r="B54" i="86"/>
  <c r="N54" i="86"/>
  <c r="BK39" i="69"/>
  <c r="BK92" i="69" s="1"/>
  <c r="U42" i="83"/>
  <c r="I49" i="74"/>
  <c r="F50" i="74"/>
  <c r="S49" i="74"/>
  <c r="T49" i="74" s="1"/>
  <c r="U49" i="74" s="1"/>
  <c r="CV40" i="68"/>
  <c r="CV93" i="68" s="1"/>
  <c r="Y42" i="47"/>
  <c r="M26" i="64"/>
  <c r="K23" i="68"/>
  <c r="K76" i="68" s="1"/>
  <c r="K125" i="68" s="1"/>
  <c r="CY23" i="68"/>
  <c r="CX76" i="68"/>
  <c r="C54" i="86"/>
  <c r="C53" i="60"/>
  <c r="M27" i="61"/>
  <c r="G24" i="68"/>
  <c r="G77" i="68" s="1"/>
  <c r="G126" i="68" s="1"/>
  <c r="CS39" i="68"/>
  <c r="CS92" i="68" s="1"/>
  <c r="U42" i="89"/>
  <c r="G47" i="74"/>
  <c r="K47" i="74"/>
  <c r="L47" i="74" s="1"/>
  <c r="M47" i="74" s="1"/>
  <c r="D48" i="74"/>
  <c r="G37" i="69"/>
  <c r="G90" i="69" s="1"/>
  <c r="M40" i="58"/>
  <c r="AP45" i="69"/>
  <c r="AP98" i="69" s="1"/>
  <c r="S47" i="45"/>
  <c r="T76" i="69"/>
  <c r="U23" i="69"/>
  <c r="K16" i="92" s="1"/>
  <c r="O49" i="63"/>
  <c r="P49" i="63" s="1"/>
  <c r="E50" i="63"/>
  <c r="H49" i="63"/>
  <c r="AG93" i="68"/>
  <c r="E52" i="48"/>
  <c r="H51" i="48"/>
  <c r="J48" i="48"/>
  <c r="G49" i="48"/>
  <c r="E50" i="46"/>
  <c r="H49" i="46"/>
  <c r="R50" i="47"/>
  <c r="I50" i="47"/>
  <c r="F51" i="47"/>
  <c r="S48" i="103"/>
  <c r="T48" i="103" s="1"/>
  <c r="F49" i="103"/>
  <c r="I48" i="103"/>
  <c r="AF48" i="68"/>
  <c r="AF101" i="68" s="1"/>
  <c r="M51" i="63"/>
  <c r="E49" i="64"/>
  <c r="O48" i="64"/>
  <c r="P48" i="64" s="1"/>
  <c r="H48" i="64"/>
  <c r="S48" i="100"/>
  <c r="T48" i="100" s="1"/>
  <c r="F49" i="100"/>
  <c r="I48" i="100"/>
  <c r="H48" i="38"/>
  <c r="E49" i="38"/>
  <c r="O48" i="38"/>
  <c r="P48" i="38" s="1"/>
  <c r="F50" i="97"/>
  <c r="I49" i="97"/>
  <c r="S49" i="97"/>
  <c r="T49" i="97" s="1"/>
  <c r="U28" i="62"/>
  <c r="CB25" i="68"/>
  <c r="CB78" i="68" s="1"/>
  <c r="CB127" i="68" s="1"/>
  <c r="C15" i="92"/>
  <c r="D15" i="92"/>
  <c r="CZ22" i="68"/>
  <c r="AQ126" i="69"/>
  <c r="AR76" i="69"/>
  <c r="R125" i="69"/>
  <c r="W75" i="69"/>
  <c r="V75" i="69"/>
  <c r="V125" i="69" s="1"/>
  <c r="O48" i="1"/>
  <c r="P48" i="1" s="1"/>
  <c r="E49" i="1"/>
  <c r="H48" i="1"/>
  <c r="S48" i="96"/>
  <c r="T48" i="96" s="1"/>
  <c r="F49" i="96"/>
  <c r="I48" i="96"/>
  <c r="CR40" i="68"/>
  <c r="CR93" i="68" s="1"/>
  <c r="U43" i="104"/>
  <c r="D50" i="7"/>
  <c r="K49" i="7"/>
  <c r="L49" i="7" s="1"/>
  <c r="G49" i="7"/>
  <c r="S49" i="59"/>
  <c r="T49" i="59" s="1"/>
  <c r="F50" i="59"/>
  <c r="I49" i="59"/>
  <c r="Q42" i="81"/>
  <c r="AL39" i="69"/>
  <c r="AL92" i="69" s="1"/>
  <c r="U26" i="61"/>
  <c r="BY23" i="68"/>
  <c r="BY76" i="68" s="1"/>
  <c r="BY125" i="68" s="1"/>
  <c r="S49" i="86"/>
  <c r="T49" i="86" s="1"/>
  <c r="F50" i="86"/>
  <c r="I49" i="86"/>
  <c r="AB123" i="68"/>
  <c r="AH74" i="68"/>
  <c r="AH123" i="68" s="1"/>
  <c r="CU95" i="68"/>
  <c r="K50" i="38"/>
  <c r="D51" i="38"/>
  <c r="BU124" i="68"/>
  <c r="CT75" i="68"/>
  <c r="DA75" i="68"/>
  <c r="DA124" i="68" s="1"/>
  <c r="O48" i="43"/>
  <c r="P48" i="43" s="1"/>
  <c r="E49" i="43"/>
  <c r="H48" i="43"/>
  <c r="S48" i="1"/>
  <c r="T48" i="1" s="1"/>
  <c r="F49" i="1"/>
  <c r="I48" i="1"/>
  <c r="E49" i="96"/>
  <c r="O48" i="96"/>
  <c r="P48" i="96" s="1"/>
  <c r="H48" i="96"/>
  <c r="E49" i="58"/>
  <c r="O48" i="58"/>
  <c r="P48" i="58" s="1"/>
  <c r="H48" i="58"/>
  <c r="M41" i="97"/>
  <c r="L38" i="69"/>
  <c r="L91" i="69" s="1"/>
  <c r="E49" i="23"/>
  <c r="O48" i="23"/>
  <c r="P48" i="23" s="1"/>
  <c r="H48" i="23"/>
  <c r="U28" i="67"/>
  <c r="CF25" i="68"/>
  <c r="CF78" i="68" s="1"/>
  <c r="CF127" i="68" s="1"/>
  <c r="K49" i="66"/>
  <c r="L49" i="66" s="1"/>
  <c r="D50" i="66"/>
  <c r="G49" i="66"/>
  <c r="U43" i="81"/>
  <c r="BI40" i="69"/>
  <c r="BI93" i="69" s="1"/>
  <c r="Q42" i="100"/>
  <c r="AQ39" i="68"/>
  <c r="AQ92" i="68" s="1"/>
  <c r="M41" i="102"/>
  <c r="Q38" i="68"/>
  <c r="Q91" i="68" s="1"/>
  <c r="B66" i="56"/>
  <c r="B96" i="56"/>
  <c r="A39" i="70"/>
  <c r="T14" i="70"/>
  <c r="E49" i="66"/>
  <c r="O48" i="66"/>
  <c r="P48" i="66" s="1"/>
  <c r="H48" i="66"/>
  <c r="BN93" i="68"/>
  <c r="BP93" i="68" s="1"/>
  <c r="BP40" i="68"/>
  <c r="M27" i="66"/>
  <c r="M24" i="68"/>
  <c r="M77" i="68" s="1"/>
  <c r="M126" i="68" s="1"/>
  <c r="Q26" i="44"/>
  <c r="BC23" i="68"/>
  <c r="BC76" i="68" s="1"/>
  <c r="BC125" i="68" s="1"/>
  <c r="S48" i="64"/>
  <c r="T48" i="64" s="1"/>
  <c r="F49" i="64"/>
  <c r="I48" i="64"/>
  <c r="BG40" i="69"/>
  <c r="BG93" i="69" s="1"/>
  <c r="U43" i="90"/>
  <c r="G15" i="92"/>
  <c r="M15" i="92" s="1"/>
  <c r="E51" i="86"/>
  <c r="O50" i="86"/>
  <c r="P50" i="86" s="1"/>
  <c r="H50" i="86"/>
  <c r="Q41" i="103"/>
  <c r="AY38" i="68"/>
  <c r="AY91" i="68" s="1"/>
  <c r="M41" i="101"/>
  <c r="S38" i="68"/>
  <c r="S91" i="68" s="1"/>
  <c r="V22" i="69"/>
  <c r="B14" i="70"/>
  <c r="BQ74" i="69"/>
  <c r="M26" i="67"/>
  <c r="N23" i="68"/>
  <c r="N76" i="68" s="1"/>
  <c r="N125" i="68" s="1"/>
  <c r="Q43" i="104"/>
  <c r="BI40" i="68"/>
  <c r="BI93" i="68" s="1"/>
  <c r="BU122" i="69"/>
  <c r="BW72" i="69"/>
  <c r="BW122" i="69" s="1"/>
  <c r="Q27" i="40"/>
  <c r="AM24" i="68"/>
  <c r="K49" i="35"/>
  <c r="L49" i="35" s="1"/>
  <c r="D50" i="35"/>
  <c r="G49" i="35"/>
  <c r="D50" i="58"/>
  <c r="K49" i="58"/>
  <c r="L49" i="58" s="1"/>
  <c r="G49" i="58"/>
  <c r="Q28" i="59"/>
  <c r="AQ25" i="69"/>
  <c r="U26" i="66"/>
  <c r="CE23" i="68"/>
  <c r="CE76" i="68" s="1"/>
  <c r="CE125" i="68" s="1"/>
  <c r="D49" i="98"/>
  <c r="K48" i="98"/>
  <c r="L48" i="98" s="1"/>
  <c r="G48" i="98"/>
  <c r="N66" i="56"/>
  <c r="N96" i="56"/>
  <c r="Q42" i="102"/>
  <c r="AZ39" i="68"/>
  <c r="AZ92" i="68" s="1"/>
  <c r="M42" i="89"/>
  <c r="AA39" i="68"/>
  <c r="AA92" i="68" s="1"/>
  <c r="Z77" i="69"/>
  <c r="AB75" i="68"/>
  <c r="H15" i="70" s="1"/>
  <c r="B124" i="68"/>
  <c r="O50" i="67"/>
  <c r="P50" i="67" s="1"/>
  <c r="E51" i="67"/>
  <c r="H50" i="67"/>
  <c r="B15" i="92"/>
  <c r="E15" i="92" s="1"/>
  <c r="S49" i="102"/>
  <c r="T49" i="102" s="1"/>
  <c r="F50" i="102"/>
  <c r="I49" i="102"/>
  <c r="BK123" i="68"/>
  <c r="BQ74" i="68"/>
  <c r="BQ123" i="68" s="1"/>
  <c r="U27" i="39"/>
  <c r="BU24" i="68"/>
  <c r="BU77" i="68" s="1"/>
  <c r="K46" i="46"/>
  <c r="W46" i="46" s="1"/>
  <c r="Z46" i="46" s="1"/>
  <c r="D47" i="46"/>
  <c r="Q47" i="46"/>
  <c r="T47" i="46" s="1"/>
  <c r="U27" i="59"/>
  <c r="BN24" i="69"/>
  <c r="D49" i="101"/>
  <c r="K48" i="101"/>
  <c r="L48" i="101" s="1"/>
  <c r="G48" i="101"/>
  <c r="M28" i="23"/>
  <c r="D25" i="69"/>
  <c r="D78" i="69" s="1"/>
  <c r="D128" i="69" s="1"/>
  <c r="W27" i="23"/>
  <c r="BL96" i="68"/>
  <c r="H67" i="56"/>
  <c r="H97" i="56"/>
  <c r="U40" i="58"/>
  <c r="BA37" i="69"/>
  <c r="BA90" i="69" s="1"/>
  <c r="J9" i="56"/>
  <c r="CW40" i="68"/>
  <c r="CW93" i="68" s="1"/>
  <c r="X42" i="48"/>
  <c r="Y42" i="48"/>
  <c r="K49" i="100"/>
  <c r="L49" i="100" s="1"/>
  <c r="D50" i="100"/>
  <c r="G49" i="100"/>
  <c r="U41" i="97"/>
  <c r="BF38" i="69"/>
  <c r="BF91" i="69" s="1"/>
  <c r="S49" i="35"/>
  <c r="T49" i="35" s="1"/>
  <c r="F50" i="35"/>
  <c r="I49" i="35"/>
  <c r="K48" i="99"/>
  <c r="L48" i="99" s="1"/>
  <c r="D49" i="99"/>
  <c r="G48" i="99"/>
  <c r="Q27" i="7"/>
  <c r="AB24" i="69"/>
  <c r="AB77" i="69" s="1"/>
  <c r="AB127" i="69" s="1"/>
  <c r="R76" i="69"/>
  <c r="B126" i="69"/>
  <c r="U27" i="4"/>
  <c r="AW24" i="69"/>
  <c r="Y26" i="23"/>
  <c r="D50" i="63"/>
  <c r="G49" i="63"/>
  <c r="K49" i="63"/>
  <c r="L49" i="63" s="1"/>
  <c r="K48" i="86"/>
  <c r="L48" i="86" s="1"/>
  <c r="D49" i="86"/>
  <c r="G48" i="86"/>
  <c r="AQ77" i="69"/>
  <c r="AR24" i="69"/>
  <c r="U27" i="60"/>
  <c r="BX24" i="68"/>
  <c r="BX77" i="68" s="1"/>
  <c r="BX126" i="68" s="1"/>
  <c r="M41" i="96"/>
  <c r="J38" i="69"/>
  <c r="J91" i="69" s="1"/>
  <c r="L44" i="46"/>
  <c r="N45" i="46" s="1"/>
  <c r="AC42" i="68"/>
  <c r="M44" i="46"/>
  <c r="K48" i="80"/>
  <c r="L48" i="80" s="1"/>
  <c r="D49" i="80"/>
  <c r="G48" i="80"/>
  <c r="S48" i="99"/>
  <c r="T48" i="99" s="1"/>
  <c r="F49" i="99"/>
  <c r="I48" i="99"/>
  <c r="U42" i="96"/>
  <c r="BD39" i="69"/>
  <c r="BD92" i="69" s="1"/>
  <c r="Q28" i="67"/>
  <c r="AW25" i="68"/>
  <c r="AW78" i="68" s="1"/>
  <c r="AW127" i="68" s="1"/>
  <c r="BL44" i="68"/>
  <c r="S46" i="46"/>
  <c r="Z126" i="69"/>
  <c r="AO76" i="69"/>
  <c r="M66" i="56"/>
  <c r="M96" i="56"/>
  <c r="J51" i="83"/>
  <c r="L51" i="83" s="1"/>
  <c r="B52" i="83"/>
  <c r="N52" i="83"/>
  <c r="P52" i="83" s="1"/>
  <c r="R51" i="83"/>
  <c r="T51" i="83" s="1"/>
  <c r="H51" i="83"/>
  <c r="G51" i="83"/>
  <c r="I51" i="83"/>
  <c r="E49" i="101"/>
  <c r="O48" i="101"/>
  <c r="P48" i="101" s="1"/>
  <c r="H48" i="101"/>
  <c r="AO125" i="69"/>
  <c r="AT75" i="69"/>
  <c r="C13" i="70"/>
  <c r="D13" i="70"/>
  <c r="CT122" i="68"/>
  <c r="CZ73" i="68"/>
  <c r="M42" i="84"/>
  <c r="V39" i="68"/>
  <c r="V92" i="68" s="1"/>
  <c r="Q42" i="87"/>
  <c r="BG39" i="68"/>
  <c r="BG92" i="68" s="1"/>
  <c r="BE39" i="68"/>
  <c r="BE92" i="68" s="1"/>
  <c r="M42" i="99"/>
  <c r="I39" i="68"/>
  <c r="I92" i="68" s="1"/>
  <c r="U43" i="88"/>
  <c r="CQ40" i="68"/>
  <c r="CQ93" i="68" s="1"/>
  <c r="S49" i="36"/>
  <c r="T49" i="36" s="1"/>
  <c r="F50" i="36"/>
  <c r="I49" i="36"/>
  <c r="J52" i="89"/>
  <c r="L52" i="89" s="1"/>
  <c r="B53" i="89"/>
  <c r="N53" i="89"/>
  <c r="P53" i="89" s="1"/>
  <c r="R52" i="89"/>
  <c r="T52" i="89" s="1"/>
  <c r="H52" i="89"/>
  <c r="G52" i="89"/>
  <c r="I52" i="89"/>
  <c r="O50" i="100"/>
  <c r="P50" i="100" s="1"/>
  <c r="E51" i="100"/>
  <c r="H50" i="100"/>
  <c r="G50" i="38"/>
  <c r="J51" i="38"/>
  <c r="B52" i="38"/>
  <c r="N52" i="38"/>
  <c r="R51" i="38"/>
  <c r="G51" i="38"/>
  <c r="Q27" i="61"/>
  <c r="AP24" i="68"/>
  <c r="AP77" i="68" s="1"/>
  <c r="AP126" i="68" s="1"/>
  <c r="S51" i="85"/>
  <c r="T51" i="85" s="1"/>
  <c r="F52" i="85"/>
  <c r="I51" i="85"/>
  <c r="S50" i="38"/>
  <c r="F51" i="38"/>
  <c r="O49" i="36"/>
  <c r="P49" i="36" s="1"/>
  <c r="E50" i="36"/>
  <c r="H49" i="36"/>
  <c r="B77" i="69"/>
  <c r="M42" i="85"/>
  <c r="U39" i="68"/>
  <c r="U92" i="68" s="1"/>
  <c r="N8" i="56"/>
  <c r="Q44" i="83"/>
  <c r="AN41" i="69"/>
  <c r="AN94" i="69" s="1"/>
  <c r="M42" i="82"/>
  <c r="P39" i="69"/>
  <c r="P92" i="69" s="1"/>
  <c r="Q29" i="62"/>
  <c r="AS26" i="68"/>
  <c r="AS79" i="68" s="1"/>
  <c r="AS128" i="68" s="1"/>
  <c r="Q42" i="89"/>
  <c r="BJ39" i="68"/>
  <c r="BJ92" i="68" s="1"/>
  <c r="K49" i="85"/>
  <c r="L49" i="85" s="1"/>
  <c r="D50" i="85"/>
  <c r="G49" i="85"/>
  <c r="R43" i="48"/>
  <c r="T44" i="48" s="1"/>
  <c r="BN41" i="68"/>
  <c r="Z43" i="48"/>
  <c r="S43" i="48"/>
  <c r="K49" i="64"/>
  <c r="L49" i="64" s="1"/>
  <c r="D50" i="64"/>
  <c r="G49" i="64"/>
  <c r="O48" i="35"/>
  <c r="P48" i="35" s="1"/>
  <c r="E49" i="35"/>
  <c r="H48" i="35"/>
  <c r="E65" i="56"/>
  <c r="E95" i="56"/>
  <c r="Q42" i="80"/>
  <c r="AK39" i="69"/>
  <c r="AK92" i="69" s="1"/>
  <c r="L43" i="48"/>
  <c r="N44" i="48" s="1"/>
  <c r="AE41" i="68"/>
  <c r="AE94" i="68" s="1"/>
  <c r="M43" i="48"/>
  <c r="Q43" i="90"/>
  <c r="AJ40" i="69"/>
  <c r="AJ93" i="69" s="1"/>
  <c r="O49" i="99"/>
  <c r="P49" i="99" s="1"/>
  <c r="E50" i="99"/>
  <c r="H49" i="99"/>
  <c r="K48" i="36"/>
  <c r="L48" i="36" s="1"/>
  <c r="D49" i="36"/>
  <c r="G48" i="36"/>
  <c r="Q42" i="96"/>
  <c r="AG39" i="69"/>
  <c r="AG92" i="69" s="1"/>
  <c r="B76" i="68"/>
  <c r="AB23" i="68"/>
  <c r="AH23" i="68" s="1"/>
  <c r="K49" i="90"/>
  <c r="L49" i="90" s="1"/>
  <c r="D50" i="90"/>
  <c r="G49" i="90"/>
  <c r="Q28" i="66"/>
  <c r="AV25" i="68"/>
  <c r="AV78" i="68" s="1"/>
  <c r="AV127" i="68" s="1"/>
  <c r="Q41" i="101"/>
  <c r="BB38" i="68"/>
  <c r="BB91" i="68" s="1"/>
  <c r="M27" i="40"/>
  <c r="D24" i="68"/>
  <c r="D77" i="68" s="1"/>
  <c r="D126" i="68" s="1"/>
  <c r="M27" i="60"/>
  <c r="F24" i="68"/>
  <c r="F77" i="68" s="1"/>
  <c r="F126" i="68" s="1"/>
  <c r="BT126" i="68"/>
  <c r="U41" i="99"/>
  <c r="CA38" i="68"/>
  <c r="CA91" i="68" s="1"/>
  <c r="U42" i="98"/>
  <c r="BE39" i="69"/>
  <c r="BE92" i="69" s="1"/>
  <c r="D49" i="60"/>
  <c r="K48" i="60"/>
  <c r="L48" i="60" s="1"/>
  <c r="G48" i="60"/>
  <c r="BP74" i="69"/>
  <c r="BO124" i="69"/>
  <c r="K48" i="59"/>
  <c r="L48" i="59" s="1"/>
  <c r="D49" i="59"/>
  <c r="G48" i="59"/>
  <c r="K49" i="67"/>
  <c r="L49" i="67" s="1"/>
  <c r="D50" i="67"/>
  <c r="G49" i="67"/>
  <c r="D49" i="1"/>
  <c r="K48" i="1"/>
  <c r="L48" i="1" s="1"/>
  <c r="G48" i="1"/>
  <c r="Q41" i="98"/>
  <c r="AH38" i="69"/>
  <c r="AH91" i="69" s="1"/>
  <c r="U43" i="80"/>
  <c r="BH40" i="69"/>
  <c r="BH93" i="69" s="1"/>
  <c r="M14" i="70"/>
  <c r="G9" i="56"/>
  <c r="J52" i="82"/>
  <c r="L52" i="82" s="1"/>
  <c r="B53" i="82"/>
  <c r="C53" i="82" s="1"/>
  <c r="N53" i="82"/>
  <c r="P53" i="82" s="1"/>
  <c r="R52" i="82"/>
  <c r="T52" i="82" s="1"/>
  <c r="I52" i="82"/>
  <c r="G52" i="82"/>
  <c r="H52" i="82"/>
  <c r="O48" i="97"/>
  <c r="P48" i="97" s="1"/>
  <c r="E49" i="97"/>
  <c r="H48" i="97"/>
  <c r="M42" i="81"/>
  <c r="O39" i="69"/>
  <c r="O92" i="69" s="1"/>
  <c r="M27" i="35"/>
  <c r="F24" i="69"/>
  <c r="F77" i="69" s="1"/>
  <c r="F127" i="69" s="1"/>
  <c r="O49" i="7"/>
  <c r="P49" i="7" s="1"/>
  <c r="E50" i="7"/>
  <c r="H49" i="7"/>
  <c r="C51" i="83"/>
  <c r="C52" i="83" s="1"/>
  <c r="K49" i="23"/>
  <c r="L49" i="23" s="1"/>
  <c r="D50" i="23"/>
  <c r="G49" i="23"/>
  <c r="Q44" i="85"/>
  <c r="BD41" i="68"/>
  <c r="BD94" i="68" s="1"/>
  <c r="M41" i="100"/>
  <c r="H38" i="68"/>
  <c r="H91" i="68" s="1"/>
  <c r="Q28" i="4"/>
  <c r="Z25" i="69"/>
  <c r="Q27" i="36"/>
  <c r="AE24" i="69"/>
  <c r="AE77" i="69" s="1"/>
  <c r="AE127" i="69" s="1"/>
  <c r="M41" i="103"/>
  <c r="P38" i="68"/>
  <c r="P91" i="68" s="1"/>
  <c r="C52" i="89"/>
  <c r="J67" i="56"/>
  <c r="J97" i="56"/>
  <c r="BT75" i="69"/>
  <c r="AW125" i="69"/>
  <c r="BL75" i="69"/>
  <c r="U42" i="100"/>
  <c r="BZ39" i="68"/>
  <c r="BZ92" i="68" s="1"/>
  <c r="B53" i="59"/>
  <c r="J52" i="59"/>
  <c r="N53" i="59"/>
  <c r="R52" i="59"/>
  <c r="M41" i="88"/>
  <c r="Y38" i="68"/>
  <c r="Y91" i="68" s="1"/>
  <c r="CU43" i="68"/>
  <c r="Y45" i="46"/>
  <c r="E49" i="103"/>
  <c r="O48" i="103"/>
  <c r="P48" i="103" s="1"/>
  <c r="H48" i="103"/>
  <c r="S49" i="60"/>
  <c r="T49" i="60" s="1"/>
  <c r="F50" i="60"/>
  <c r="I49" i="60"/>
  <c r="K49" i="96"/>
  <c r="L49" i="96" s="1"/>
  <c r="D50" i="96"/>
  <c r="G49" i="96"/>
  <c r="M8" i="56"/>
  <c r="M43" i="83"/>
  <c r="Q40" i="69"/>
  <c r="Q93" i="69" s="1"/>
  <c r="T50" i="38"/>
  <c r="Q27" i="64"/>
  <c r="AT24" i="68"/>
  <c r="AT77" i="68" s="1"/>
  <c r="AT126" i="68" s="1"/>
  <c r="M27" i="39"/>
  <c r="C24" i="68"/>
  <c r="C77" i="68" s="1"/>
  <c r="C126" i="68" s="1"/>
  <c r="C14" i="70"/>
  <c r="D14" i="70"/>
  <c r="CT123" i="68"/>
  <c r="CZ74" i="68"/>
  <c r="E49" i="85"/>
  <c r="O48" i="85"/>
  <c r="P48" i="85" s="1"/>
  <c r="H48" i="85"/>
  <c r="M27" i="7"/>
  <c r="E24" i="69"/>
  <c r="E77" i="69" s="1"/>
  <c r="E127" i="69" s="1"/>
  <c r="Q27" i="43"/>
  <c r="BA24" i="68"/>
  <c r="BA77" i="68" s="1"/>
  <c r="BA126" i="68" s="1"/>
  <c r="U47" i="86"/>
  <c r="CO44" i="68"/>
  <c r="CO97" i="68" s="1"/>
  <c r="G14" i="92"/>
  <c r="M14" i="92" s="1"/>
  <c r="J51" i="80"/>
  <c r="B52" i="80"/>
  <c r="N52" i="80"/>
  <c r="R51" i="80"/>
  <c r="S48" i="80"/>
  <c r="T48" i="80" s="1"/>
  <c r="F49" i="80"/>
  <c r="I48" i="80"/>
  <c r="S48" i="98"/>
  <c r="T48" i="98" s="1"/>
  <c r="F49" i="98"/>
  <c r="I48" i="98"/>
  <c r="AM76" i="68"/>
  <c r="BK23" i="68"/>
  <c r="BQ23" i="68" s="1"/>
  <c r="U27" i="36"/>
  <c r="BB24" i="69"/>
  <c r="BB77" i="69" s="1"/>
  <c r="BB127" i="69" s="1"/>
  <c r="C52" i="38"/>
  <c r="Q27" i="60"/>
  <c r="AO24" i="68"/>
  <c r="AO77" i="68" s="1"/>
  <c r="AO126" i="68" s="1"/>
  <c r="U28" i="43"/>
  <c r="CJ25" i="68"/>
  <c r="CJ78" i="68" s="1"/>
  <c r="CJ127" i="68" s="1"/>
  <c r="M27" i="43"/>
  <c r="R24" i="68"/>
  <c r="R77" i="68" s="1"/>
  <c r="R126" i="68" s="1"/>
  <c r="AB22" i="68"/>
  <c r="AH22" i="68" s="1"/>
  <c r="M27" i="44"/>
  <c r="T24" i="68"/>
  <c r="T77" i="68" s="1"/>
  <c r="T126" i="68" s="1"/>
  <c r="BU76" i="68"/>
  <c r="CT23" i="68"/>
  <c r="BN76" i="69"/>
  <c r="BO23" i="69"/>
  <c r="BP23" i="69" s="1"/>
  <c r="S49" i="67"/>
  <c r="T49" i="67" s="1"/>
  <c r="F50" i="67"/>
  <c r="I49" i="67"/>
  <c r="G97" i="56"/>
  <c r="G67" i="56"/>
  <c r="AM124" i="68"/>
  <c r="BK75" i="68"/>
  <c r="G15" i="70" s="1"/>
  <c r="E13" i="70"/>
  <c r="B8" i="56"/>
  <c r="E51" i="80"/>
  <c r="O50" i="80"/>
  <c r="P50" i="80" s="1"/>
  <c r="M42" i="104"/>
  <c r="Z39" i="68"/>
  <c r="Z92" i="68" s="1"/>
  <c r="S51" i="63"/>
  <c r="T51" i="63" s="1"/>
  <c r="F52" i="63"/>
  <c r="I51" i="63"/>
  <c r="O48" i="90"/>
  <c r="P48" i="90" s="1"/>
  <c r="E49" i="90"/>
  <c r="H48" i="90"/>
  <c r="J16" i="92"/>
  <c r="Q29" i="65"/>
  <c r="AU26" i="68"/>
  <c r="AU79" i="68" s="1"/>
  <c r="AU128" i="68" s="1"/>
  <c r="L50" i="38"/>
  <c r="D14" i="92"/>
  <c r="C14" i="92"/>
  <c r="CZ21" i="68"/>
  <c r="BN125" i="69"/>
  <c r="BO75" i="69"/>
  <c r="M28" i="1"/>
  <c r="B25" i="69"/>
  <c r="M43" i="80"/>
  <c r="N40" i="69"/>
  <c r="N93" i="69" s="1"/>
  <c r="M42" i="98"/>
  <c r="K39" i="69"/>
  <c r="K92" i="69" s="1"/>
  <c r="K49" i="43"/>
  <c r="L49" i="43" s="1"/>
  <c r="D50" i="43"/>
  <c r="G49" i="43"/>
  <c r="E7" i="56"/>
  <c r="O48" i="60"/>
  <c r="P48" i="60" s="1"/>
  <c r="E49" i="60"/>
  <c r="H48" i="60"/>
  <c r="E49" i="59"/>
  <c r="O48" i="59"/>
  <c r="P48" i="59" s="1"/>
  <c r="H48" i="59"/>
  <c r="K49" i="97"/>
  <c r="L49" i="97" s="1"/>
  <c r="D50" i="97"/>
  <c r="G49" i="97"/>
  <c r="U42" i="103"/>
  <c r="CH39" i="68"/>
  <c r="CH92" i="68" s="1"/>
  <c r="S48" i="90"/>
  <c r="T48" i="90" s="1"/>
  <c r="F49" i="90"/>
  <c r="I48" i="90"/>
  <c r="U28" i="65"/>
  <c r="CD25" i="68"/>
  <c r="CD78" i="68" s="1"/>
  <c r="CD127" i="68" s="1"/>
  <c r="H14" i="70"/>
  <c r="S49" i="66"/>
  <c r="T49" i="66" s="1"/>
  <c r="F50" i="66"/>
  <c r="I49" i="66"/>
  <c r="E13" i="92"/>
  <c r="M41" i="86"/>
  <c r="W38" i="68"/>
  <c r="W91" i="68" s="1"/>
  <c r="Q27" i="37"/>
  <c r="AF24" i="69"/>
  <c r="AF77" i="69" s="1"/>
  <c r="AF127" i="69" s="1"/>
  <c r="U41" i="102"/>
  <c r="CI38" i="68"/>
  <c r="CI91" i="68" s="1"/>
  <c r="AI39" i="69"/>
  <c r="AI92" i="69" s="1"/>
  <c r="Q42" i="97"/>
  <c r="S49" i="43"/>
  <c r="T49" i="43" s="1"/>
  <c r="F50" i="43"/>
  <c r="I49" i="43"/>
  <c r="BT124" i="69"/>
  <c r="BV74" i="69"/>
  <c r="BV124" i="69" s="1"/>
  <c r="M27" i="38"/>
  <c r="B24" i="68"/>
  <c r="J53" i="43"/>
  <c r="B54" i="43"/>
  <c r="N54" i="43"/>
  <c r="R53" i="43"/>
  <c r="U27" i="40"/>
  <c r="BV24" i="68"/>
  <c r="BV77" i="68" s="1"/>
  <c r="BV126" i="68" s="1"/>
  <c r="S49" i="58"/>
  <c r="T49" i="58" s="1"/>
  <c r="F50" i="58"/>
  <c r="I49" i="58"/>
  <c r="R23" i="69"/>
  <c r="AW76" i="69"/>
  <c r="BL23" i="69"/>
  <c r="U28" i="38"/>
  <c r="BT25" i="68"/>
  <c r="BT78" i="68" s="1"/>
  <c r="M28" i="42"/>
  <c r="O25" i="68"/>
  <c r="O78" i="68" s="1"/>
  <c r="O127" i="68" s="1"/>
  <c r="K49" i="102"/>
  <c r="L49" i="102" s="1"/>
  <c r="D50" i="102"/>
  <c r="G49" i="102"/>
  <c r="BF38" i="68"/>
  <c r="BF91" i="68" s="1"/>
  <c r="Q41" i="86"/>
  <c r="M42" i="90"/>
  <c r="M39" i="69"/>
  <c r="M92" i="69" s="1"/>
  <c r="S48" i="7"/>
  <c r="T48" i="7" s="1"/>
  <c r="F49" i="7"/>
  <c r="I48" i="7"/>
  <c r="S48" i="23"/>
  <c r="T48" i="23" s="1"/>
  <c r="F49" i="23"/>
  <c r="I48" i="23"/>
  <c r="AC94" i="68"/>
  <c r="Q40" i="58"/>
  <c r="AD37" i="69"/>
  <c r="AD90" i="69" s="1"/>
  <c r="K48" i="103"/>
  <c r="L48" i="103" s="1"/>
  <c r="D49" i="103"/>
  <c r="G48" i="103"/>
  <c r="O49" i="102"/>
  <c r="P49" i="102" s="1"/>
  <c r="E50" i="102"/>
  <c r="H49" i="102"/>
  <c r="X27" i="23"/>
  <c r="I48" i="48"/>
  <c r="F49" i="48"/>
  <c r="BP123" i="69"/>
  <c r="BU73" i="69"/>
  <c r="C53" i="59"/>
  <c r="Q27" i="42"/>
  <c r="AX24" i="68"/>
  <c r="AX77" i="68" s="1"/>
  <c r="AX126" i="68" s="1"/>
  <c r="K45" i="48"/>
  <c r="W45" i="48" s="1"/>
  <c r="D46" i="48"/>
  <c r="Q46" i="48"/>
  <c r="Q15" i="70"/>
  <c r="J15" i="70"/>
  <c r="AS75" i="69"/>
  <c r="AS125" i="69" s="1"/>
  <c r="AR125" i="69"/>
  <c r="AG40" i="68"/>
  <c r="AO23" i="69"/>
  <c r="AS23" i="69" s="1"/>
  <c r="U27" i="41"/>
  <c r="BW24" i="68"/>
  <c r="BW77" i="68" s="1"/>
  <c r="BW126" i="68" s="1"/>
  <c r="C51" i="80"/>
  <c r="C52" i="80" s="1"/>
  <c r="S46" i="69" l="1"/>
  <c r="S99" i="69" s="1"/>
  <c r="M48" i="45"/>
  <c r="C54" i="60"/>
  <c r="J54" i="86"/>
  <c r="R54" i="86"/>
  <c r="Q42" i="88"/>
  <c r="BH39" i="68"/>
  <c r="BH92" i="68" s="1"/>
  <c r="BM43" i="68"/>
  <c r="BM96" i="68" s="1"/>
  <c r="S45" i="47"/>
  <c r="BC24" i="69"/>
  <c r="BC77" i="69" s="1"/>
  <c r="BC127" i="69" s="1"/>
  <c r="U27" i="37"/>
  <c r="AX25" i="69"/>
  <c r="AX78" i="69" s="1"/>
  <c r="AX128" i="69" s="1"/>
  <c r="U28" i="23"/>
  <c r="AZ25" i="69"/>
  <c r="AZ78" i="69" s="1"/>
  <c r="AZ128" i="69" s="1"/>
  <c r="U28" i="35"/>
  <c r="Q42" i="99"/>
  <c r="AR39" i="68"/>
  <c r="AR92" i="68" s="1"/>
  <c r="M27" i="37"/>
  <c r="I24" i="69"/>
  <c r="I77" i="69" s="1"/>
  <c r="I127" i="69" s="1"/>
  <c r="BM45" i="69"/>
  <c r="BM98" i="69" s="1"/>
  <c r="Y47" i="45"/>
  <c r="O49" i="98"/>
  <c r="P49" i="98" s="1"/>
  <c r="H49" i="98"/>
  <c r="E50" i="98"/>
  <c r="AA25" i="69"/>
  <c r="AA78" i="69" s="1"/>
  <c r="AA128" i="69" s="1"/>
  <c r="Q28" i="23"/>
  <c r="CM39" i="68"/>
  <c r="CM92" i="68" s="1"/>
  <c r="U42" i="85"/>
  <c r="E52" i="47"/>
  <c r="L51" i="47"/>
  <c r="H51" i="47"/>
  <c r="M41" i="58"/>
  <c r="G38" i="69"/>
  <c r="G91" i="69" s="1"/>
  <c r="M27" i="64"/>
  <c r="K24" i="68"/>
  <c r="K77" i="68" s="1"/>
  <c r="K126" i="68" s="1"/>
  <c r="BK40" i="69"/>
  <c r="BK93" i="69" s="1"/>
  <c r="U43" i="83"/>
  <c r="Q46" i="47"/>
  <c r="T46" i="47" s="1"/>
  <c r="D46" i="47"/>
  <c r="K45" i="47"/>
  <c r="J53" i="58"/>
  <c r="B54" i="58"/>
  <c r="N54" i="58"/>
  <c r="R53" i="58"/>
  <c r="K68" i="56"/>
  <c r="K98" i="56"/>
  <c r="M27" i="36"/>
  <c r="H24" i="69"/>
  <c r="H77" i="69" s="1"/>
  <c r="H127" i="69" s="1"/>
  <c r="M27" i="41"/>
  <c r="E24" i="68"/>
  <c r="E77" i="68" s="1"/>
  <c r="E126" i="68" s="1"/>
  <c r="BJ40" i="69"/>
  <c r="BJ93" i="69" s="1"/>
  <c r="U43" i="82"/>
  <c r="M28" i="4"/>
  <c r="C25" i="69"/>
  <c r="C78" i="69" s="1"/>
  <c r="C128" i="69" s="1"/>
  <c r="CP39" i="68"/>
  <c r="CP92" i="68" s="1"/>
  <c r="U42" i="87"/>
  <c r="CN39" i="68"/>
  <c r="CN92" i="68" s="1"/>
  <c r="S50" i="101"/>
  <c r="T50" i="101" s="1"/>
  <c r="F51" i="101"/>
  <c r="I50" i="101"/>
  <c r="D49" i="45"/>
  <c r="K49" i="45"/>
  <c r="N49" i="45" s="1"/>
  <c r="Y26" i="69"/>
  <c r="Y79" i="69" s="1"/>
  <c r="Y129" i="69" s="1"/>
  <c r="Q29" i="1"/>
  <c r="M27" i="65"/>
  <c r="L24" i="68"/>
  <c r="L77" i="68" s="1"/>
  <c r="L126" i="68" s="1"/>
  <c r="S45" i="69"/>
  <c r="S98" i="69" s="1"/>
  <c r="M47" i="45"/>
  <c r="J54" i="60"/>
  <c r="R54" i="60"/>
  <c r="U27" i="64"/>
  <c r="CC24" i="68"/>
  <c r="CC77" i="68" s="1"/>
  <c r="CC126" i="68" s="1"/>
  <c r="U28" i="63"/>
  <c r="CX25" i="68"/>
  <c r="T126" i="69"/>
  <c r="U76" i="69"/>
  <c r="C53" i="58"/>
  <c r="C54" i="58" s="1"/>
  <c r="CX125" i="68"/>
  <c r="CY76" i="68"/>
  <c r="CY125" i="68" s="1"/>
  <c r="J25" i="68"/>
  <c r="J78" i="68" s="1"/>
  <c r="J127" i="68" s="1"/>
  <c r="M28" i="62"/>
  <c r="W44" i="47"/>
  <c r="Z44" i="47" s="1"/>
  <c r="CV42" i="68" s="1"/>
  <c r="CV95" i="68" s="1"/>
  <c r="N44" i="47"/>
  <c r="U14" i="70"/>
  <c r="H48" i="74"/>
  <c r="E49" i="74"/>
  <c r="O48" i="74"/>
  <c r="P48" i="74" s="1"/>
  <c r="Q48" i="74" s="1"/>
  <c r="AV25" i="69"/>
  <c r="AV78" i="69" s="1"/>
  <c r="AV128" i="69" s="1"/>
  <c r="U28" i="1"/>
  <c r="U27" i="44"/>
  <c r="CL24" i="68"/>
  <c r="CL77" i="68" s="1"/>
  <c r="CL126" i="68" s="1"/>
  <c r="AD41" i="68"/>
  <c r="M43" i="47"/>
  <c r="BM44" i="69"/>
  <c r="BM97" i="69" s="1"/>
  <c r="Y46" i="45"/>
  <c r="T77" i="69"/>
  <c r="U24" i="69"/>
  <c r="K17" i="92" s="1"/>
  <c r="U27" i="42"/>
  <c r="CG24" i="68"/>
  <c r="CG77" i="68" s="1"/>
  <c r="CG126" i="68" s="1"/>
  <c r="Q49" i="63"/>
  <c r="BO46" i="68"/>
  <c r="BO99" i="68" s="1"/>
  <c r="CX77" i="68"/>
  <c r="CY24" i="68"/>
  <c r="E51" i="63"/>
  <c r="H50" i="63"/>
  <c r="O50" i="63"/>
  <c r="P50" i="63" s="1"/>
  <c r="G48" i="74"/>
  <c r="K48" i="74"/>
  <c r="L48" i="74" s="1"/>
  <c r="M48" i="74" s="1"/>
  <c r="D49" i="74"/>
  <c r="CS40" i="68"/>
  <c r="CS93" i="68" s="1"/>
  <c r="U43" i="89"/>
  <c r="M28" i="61"/>
  <c r="G25" i="68"/>
  <c r="G78" i="68" s="1"/>
  <c r="G127" i="68" s="1"/>
  <c r="S50" i="74"/>
  <c r="T50" i="74" s="1"/>
  <c r="U50" i="74" s="1"/>
  <c r="I50" i="74"/>
  <c r="F51" i="74"/>
  <c r="AY25" i="69"/>
  <c r="AY78" i="69" s="1"/>
  <c r="AY128" i="69" s="1"/>
  <c r="U28" i="7"/>
  <c r="AL25" i="68"/>
  <c r="AL78" i="68" s="1"/>
  <c r="AL127" i="68" s="1"/>
  <c r="Q28" i="39"/>
  <c r="Q48" i="45"/>
  <c r="T48" i="45" s="1"/>
  <c r="M44" i="87"/>
  <c r="X41" i="68"/>
  <c r="X94" i="68" s="1"/>
  <c r="Y44" i="47"/>
  <c r="CV41" i="68"/>
  <c r="CV94" i="68" s="1"/>
  <c r="Y43" i="47"/>
  <c r="S44" i="69"/>
  <c r="S97" i="69" s="1"/>
  <c r="M46" i="45"/>
  <c r="CK40" i="68"/>
  <c r="CK93" i="68" s="1"/>
  <c r="U43" i="101"/>
  <c r="Q31" i="35"/>
  <c r="AC28" i="69"/>
  <c r="AC81" i="69" s="1"/>
  <c r="AC131" i="69" s="1"/>
  <c r="M28" i="59"/>
  <c r="T25" i="69"/>
  <c r="Q29" i="38"/>
  <c r="AK26" i="68"/>
  <c r="AK79" i="68" s="1"/>
  <c r="AK128" i="68" s="1"/>
  <c r="Q28" i="41"/>
  <c r="AN25" i="68"/>
  <c r="AN78" i="68" s="1"/>
  <c r="AN127" i="68" s="1"/>
  <c r="AM41" i="69"/>
  <c r="AM94" i="69" s="1"/>
  <c r="Q44" i="82"/>
  <c r="R15" i="70"/>
  <c r="U15" i="70" s="1"/>
  <c r="K15" i="70"/>
  <c r="K10" i="56" s="1"/>
  <c r="U125" i="69"/>
  <c r="E53" i="48"/>
  <c r="H52" i="48"/>
  <c r="G50" i="48"/>
  <c r="J49" i="48"/>
  <c r="E51" i="46"/>
  <c r="H50" i="46"/>
  <c r="R51" i="47"/>
  <c r="F52" i="47"/>
  <c r="I51" i="47"/>
  <c r="S49" i="103"/>
  <c r="T49" i="103" s="1"/>
  <c r="F50" i="103"/>
  <c r="I49" i="103"/>
  <c r="AF49" i="68"/>
  <c r="AF102" i="68" s="1"/>
  <c r="M52" i="63"/>
  <c r="E50" i="64"/>
  <c r="H49" i="64"/>
  <c r="O49" i="64"/>
  <c r="P49" i="64" s="1"/>
  <c r="S49" i="100"/>
  <c r="T49" i="100" s="1"/>
  <c r="F50" i="100"/>
  <c r="I49" i="100"/>
  <c r="H49" i="38"/>
  <c r="E50" i="38"/>
  <c r="O49" i="38"/>
  <c r="P49" i="38" s="1"/>
  <c r="F51" i="97"/>
  <c r="S50" i="97"/>
  <c r="T50" i="97" s="1"/>
  <c r="I50" i="97"/>
  <c r="N15" i="70"/>
  <c r="H10" i="56"/>
  <c r="M43" i="90"/>
  <c r="M40" i="69"/>
  <c r="M93" i="69" s="1"/>
  <c r="N14" i="70"/>
  <c r="H9" i="56"/>
  <c r="O49" i="59"/>
  <c r="P49" i="59" s="1"/>
  <c r="E50" i="59"/>
  <c r="H49" i="59"/>
  <c r="M43" i="98"/>
  <c r="K40" i="69"/>
  <c r="K93" i="69" s="1"/>
  <c r="Q30" i="65"/>
  <c r="AU27" i="68"/>
  <c r="AU80" i="68" s="1"/>
  <c r="AU129" i="68" s="1"/>
  <c r="E8" i="56"/>
  <c r="M67" i="56"/>
  <c r="M97" i="56"/>
  <c r="U44" i="80"/>
  <c r="BH41" i="69"/>
  <c r="BH94" i="69" s="1"/>
  <c r="S52" i="85"/>
  <c r="T52" i="85" s="1"/>
  <c r="F53" i="85"/>
  <c r="I52" i="85"/>
  <c r="M15" i="70"/>
  <c r="G10" i="56"/>
  <c r="AC95" i="68"/>
  <c r="Q28" i="7"/>
  <c r="AB25" i="69"/>
  <c r="AB78" i="69" s="1"/>
  <c r="AB128" i="69" s="1"/>
  <c r="U41" i="58"/>
  <c r="BA38" i="69"/>
  <c r="BA91" i="69" s="1"/>
  <c r="CU44" i="68"/>
  <c r="Y46" i="46"/>
  <c r="AO24" i="69"/>
  <c r="Q44" i="104"/>
  <c r="BI41" i="68"/>
  <c r="BI94" i="68" s="1"/>
  <c r="M42" i="101"/>
  <c r="S39" i="68"/>
  <c r="S92" i="68" s="1"/>
  <c r="E50" i="66"/>
  <c r="O49" i="66"/>
  <c r="P49" i="66" s="1"/>
  <c r="H49" i="66"/>
  <c r="Q41" i="58"/>
  <c r="AD38" i="69"/>
  <c r="AD91" i="69" s="1"/>
  <c r="Q42" i="86"/>
  <c r="BF39" i="68"/>
  <c r="BF92" i="68" s="1"/>
  <c r="U29" i="38"/>
  <c r="BT26" i="68"/>
  <c r="BT79" i="68" s="1"/>
  <c r="K50" i="43"/>
  <c r="L50" i="43" s="1"/>
  <c r="D51" i="43"/>
  <c r="G50" i="43"/>
  <c r="BP75" i="69"/>
  <c r="BO125" i="69"/>
  <c r="O51" i="80"/>
  <c r="P51" i="80" s="1"/>
  <c r="E52" i="80"/>
  <c r="BK124" i="68"/>
  <c r="BQ75" i="68"/>
  <c r="BQ124" i="68" s="1"/>
  <c r="BN126" i="69"/>
  <c r="BO76" i="69"/>
  <c r="M28" i="44"/>
  <c r="T25" i="68"/>
  <c r="T78" i="68" s="1"/>
  <c r="T127" i="68" s="1"/>
  <c r="AM125" i="68"/>
  <c r="BK76" i="68"/>
  <c r="S49" i="98"/>
  <c r="T49" i="98" s="1"/>
  <c r="F50" i="98"/>
  <c r="I49" i="98"/>
  <c r="H51" i="80"/>
  <c r="J52" i="80"/>
  <c r="B53" i="80"/>
  <c r="C53" i="80" s="1"/>
  <c r="N53" i="80"/>
  <c r="R52" i="80"/>
  <c r="H52" i="80"/>
  <c r="M28" i="39"/>
  <c r="C25" i="68"/>
  <c r="C78" i="68" s="1"/>
  <c r="C127" i="68" s="1"/>
  <c r="BZ40" i="68"/>
  <c r="BZ93" i="68" s="1"/>
  <c r="U43" i="100"/>
  <c r="C53" i="89"/>
  <c r="Q28" i="36"/>
  <c r="AE25" i="69"/>
  <c r="AE78" i="69" s="1"/>
  <c r="AE128" i="69" s="1"/>
  <c r="BD42" i="68"/>
  <c r="BD95" i="68" s="1"/>
  <c r="Q45" i="85"/>
  <c r="C53" i="83"/>
  <c r="E51" i="7"/>
  <c r="O50" i="7"/>
  <c r="P50" i="7" s="1"/>
  <c r="H50" i="7"/>
  <c r="J53" i="82"/>
  <c r="L53" i="82" s="1"/>
  <c r="B54" i="82"/>
  <c r="N54" i="82"/>
  <c r="P54" i="82" s="1"/>
  <c r="R53" i="82"/>
  <c r="T53" i="82" s="1"/>
  <c r="H53" i="82"/>
  <c r="I53" i="82"/>
  <c r="G53" i="82"/>
  <c r="M9" i="56"/>
  <c r="K49" i="1"/>
  <c r="L49" i="1" s="1"/>
  <c r="D50" i="1"/>
  <c r="G49" i="1"/>
  <c r="BU74" i="69"/>
  <c r="BP124" i="69"/>
  <c r="K50" i="90"/>
  <c r="L50" i="90" s="1"/>
  <c r="D51" i="90"/>
  <c r="G50" i="90"/>
  <c r="Q43" i="96"/>
  <c r="AG40" i="69"/>
  <c r="AG93" i="69" s="1"/>
  <c r="Q44" i="90"/>
  <c r="AJ41" i="69"/>
  <c r="AJ94" i="69" s="1"/>
  <c r="BN94" i="68"/>
  <c r="BP94" i="68" s="1"/>
  <c r="BP41" i="68"/>
  <c r="Q30" i="62"/>
  <c r="AS27" i="68"/>
  <c r="AS80" i="68" s="1"/>
  <c r="AS129" i="68" s="1"/>
  <c r="M43" i="82"/>
  <c r="P40" i="69"/>
  <c r="P93" i="69" s="1"/>
  <c r="E51" i="36"/>
  <c r="O50" i="36"/>
  <c r="P50" i="36" s="1"/>
  <c r="H50" i="36"/>
  <c r="S51" i="38"/>
  <c r="F52" i="38"/>
  <c r="I51" i="38"/>
  <c r="J52" i="38"/>
  <c r="B53" i="38"/>
  <c r="N53" i="38"/>
  <c r="R52" i="38"/>
  <c r="E52" i="100"/>
  <c r="O51" i="100"/>
  <c r="P51" i="100" s="1"/>
  <c r="H51" i="100"/>
  <c r="M43" i="84"/>
  <c r="V40" i="68"/>
  <c r="V93" i="68" s="1"/>
  <c r="C8" i="56"/>
  <c r="J52" i="83"/>
  <c r="L52" i="83" s="1"/>
  <c r="B53" i="83"/>
  <c r="N53" i="83"/>
  <c r="P53" i="83" s="1"/>
  <c r="R52" i="83"/>
  <c r="T52" i="83" s="1"/>
  <c r="I52" i="83"/>
  <c r="H52" i="83"/>
  <c r="G52" i="83"/>
  <c r="G16" i="70"/>
  <c r="AT76" i="69"/>
  <c r="AO126" i="69"/>
  <c r="K49" i="80"/>
  <c r="L49" i="80" s="1"/>
  <c r="D50" i="80"/>
  <c r="G49" i="80"/>
  <c r="L45" i="46"/>
  <c r="N46" i="46" s="1"/>
  <c r="AC43" i="68"/>
  <c r="M45" i="46"/>
  <c r="U28" i="60"/>
  <c r="BX25" i="68"/>
  <c r="BX78" i="68" s="1"/>
  <c r="BX127" i="68" s="1"/>
  <c r="K49" i="86"/>
  <c r="L49" i="86" s="1"/>
  <c r="D50" i="86"/>
  <c r="G49" i="86"/>
  <c r="K50" i="63"/>
  <c r="L50" i="63" s="1"/>
  <c r="D51" i="63"/>
  <c r="G50" i="63"/>
  <c r="S50" i="35"/>
  <c r="T50" i="35" s="1"/>
  <c r="F51" i="35"/>
  <c r="I50" i="35"/>
  <c r="U28" i="59"/>
  <c r="BN25" i="69"/>
  <c r="BU126" i="68"/>
  <c r="E52" i="67"/>
  <c r="O51" i="67"/>
  <c r="P51" i="67" s="1"/>
  <c r="H51" i="67"/>
  <c r="Z127" i="69"/>
  <c r="AO77" i="69"/>
  <c r="Q43" i="102"/>
  <c r="AZ40" i="68"/>
  <c r="AZ93" i="68" s="1"/>
  <c r="K49" i="98"/>
  <c r="L49" i="98" s="1"/>
  <c r="D50" i="98"/>
  <c r="G49" i="98"/>
  <c r="K50" i="35"/>
  <c r="L50" i="35" s="1"/>
  <c r="D51" i="35"/>
  <c r="G50" i="35"/>
  <c r="E52" i="86"/>
  <c r="O51" i="86"/>
  <c r="P51" i="86" s="1"/>
  <c r="H51" i="86"/>
  <c r="U44" i="90"/>
  <c r="BG41" i="69"/>
  <c r="BG94" i="69" s="1"/>
  <c r="M28" i="66"/>
  <c r="M25" i="68"/>
  <c r="M78" i="68" s="1"/>
  <c r="M127" i="68" s="1"/>
  <c r="O49" i="58"/>
  <c r="P49" i="58" s="1"/>
  <c r="E50" i="58"/>
  <c r="H49" i="58"/>
  <c r="BT127" i="68"/>
  <c r="K50" i="97"/>
  <c r="L50" i="97" s="1"/>
  <c r="D51" i="97"/>
  <c r="G50" i="97"/>
  <c r="O49" i="60"/>
  <c r="P49" i="60" s="1"/>
  <c r="E50" i="60"/>
  <c r="H49" i="60"/>
  <c r="M29" i="1"/>
  <c r="B26" i="69"/>
  <c r="E50" i="90"/>
  <c r="O49" i="90"/>
  <c r="P49" i="90" s="1"/>
  <c r="H49" i="90"/>
  <c r="BU125" i="68"/>
  <c r="CT76" i="68"/>
  <c r="DA76" i="68"/>
  <c r="DA125" i="68" s="1"/>
  <c r="M28" i="43"/>
  <c r="R25" i="68"/>
  <c r="R78" i="68" s="1"/>
  <c r="R127" i="68" s="1"/>
  <c r="Q28" i="60"/>
  <c r="AO25" i="68"/>
  <c r="AO78" i="68" s="1"/>
  <c r="AO127" i="68" s="1"/>
  <c r="M43" i="81"/>
  <c r="O40" i="69"/>
  <c r="O93" i="69" s="1"/>
  <c r="M28" i="40"/>
  <c r="D25" i="68"/>
  <c r="D78" i="68" s="1"/>
  <c r="D127" i="68" s="1"/>
  <c r="AB76" i="68"/>
  <c r="H16" i="70" s="1"/>
  <c r="B125" i="68"/>
  <c r="K50" i="85"/>
  <c r="L50" i="85" s="1"/>
  <c r="D51" i="85"/>
  <c r="G50" i="85"/>
  <c r="N67" i="56"/>
  <c r="N97" i="56"/>
  <c r="BL97" i="68"/>
  <c r="BN77" i="69"/>
  <c r="BO24" i="69"/>
  <c r="Q29" i="59"/>
  <c r="AQ26" i="69"/>
  <c r="A40" i="70"/>
  <c r="Q43" i="100"/>
  <c r="AQ40" i="68"/>
  <c r="AQ93" i="68" s="1"/>
  <c r="S49" i="1"/>
  <c r="T49" i="1" s="1"/>
  <c r="F50" i="1"/>
  <c r="I49" i="1"/>
  <c r="U29" i="62"/>
  <c r="CB26" i="68"/>
  <c r="CB79" i="68" s="1"/>
  <c r="CB128" i="68" s="1"/>
  <c r="S49" i="7"/>
  <c r="T49" i="7" s="1"/>
  <c r="F50" i="7"/>
  <c r="I49" i="7"/>
  <c r="D50" i="103"/>
  <c r="K49" i="103"/>
  <c r="L49" i="103" s="1"/>
  <c r="G49" i="103"/>
  <c r="S49" i="23"/>
  <c r="T49" i="23" s="1"/>
  <c r="F50" i="23"/>
  <c r="I49" i="23"/>
  <c r="K50" i="102"/>
  <c r="L50" i="102" s="1"/>
  <c r="D51" i="102"/>
  <c r="G50" i="102"/>
  <c r="B16" i="92"/>
  <c r="S50" i="58"/>
  <c r="T50" i="58" s="1"/>
  <c r="F51" i="58"/>
  <c r="I50" i="58"/>
  <c r="B77" i="68"/>
  <c r="Q43" i="97"/>
  <c r="AI40" i="69"/>
  <c r="AI93" i="69" s="1"/>
  <c r="S50" i="66"/>
  <c r="T50" i="66" s="1"/>
  <c r="F51" i="66"/>
  <c r="I50" i="66"/>
  <c r="U29" i="65"/>
  <c r="CD26" i="68"/>
  <c r="CD79" i="68" s="1"/>
  <c r="CD128" i="68" s="1"/>
  <c r="CH40" i="68"/>
  <c r="CH93" i="68" s="1"/>
  <c r="U43" i="103"/>
  <c r="E66" i="56"/>
  <c r="E96" i="56"/>
  <c r="M44" i="80"/>
  <c r="N41" i="69"/>
  <c r="N94" i="69" s="1"/>
  <c r="E14" i="92"/>
  <c r="M43" i="104"/>
  <c r="Z40" i="68"/>
  <c r="Z93" i="68" s="1"/>
  <c r="B67" i="56"/>
  <c r="B97" i="56"/>
  <c r="S50" i="67"/>
  <c r="T50" i="67" s="1"/>
  <c r="F51" i="67"/>
  <c r="I50" i="67"/>
  <c r="U29" i="43"/>
  <c r="CJ26" i="68"/>
  <c r="CJ79" i="68" s="1"/>
  <c r="CJ128" i="68" s="1"/>
  <c r="S49" i="80"/>
  <c r="T49" i="80" s="1"/>
  <c r="F50" i="80"/>
  <c r="I49" i="80"/>
  <c r="CO45" i="68"/>
  <c r="CO98" i="68" s="1"/>
  <c r="U48" i="86"/>
  <c r="M28" i="7"/>
  <c r="E25" i="69"/>
  <c r="E78" i="69" s="1"/>
  <c r="E128" i="69" s="1"/>
  <c r="D9" i="56"/>
  <c r="M44" i="83"/>
  <c r="Q41" i="69"/>
  <c r="Q94" i="69" s="1"/>
  <c r="S50" i="60"/>
  <c r="T50" i="60" s="1"/>
  <c r="F51" i="60"/>
  <c r="I50" i="60"/>
  <c r="E50" i="103"/>
  <c r="O49" i="103"/>
  <c r="P49" i="103" s="1"/>
  <c r="H49" i="103"/>
  <c r="CU96" i="68"/>
  <c r="B15" i="70"/>
  <c r="BQ75" i="69"/>
  <c r="Z78" i="69"/>
  <c r="O49" i="97"/>
  <c r="P49" i="97" s="1"/>
  <c r="E50" i="97"/>
  <c r="H49" i="97"/>
  <c r="Q42" i="98"/>
  <c r="AH39" i="69"/>
  <c r="AH92" i="69" s="1"/>
  <c r="D50" i="59"/>
  <c r="K49" i="59"/>
  <c r="L49" i="59" s="1"/>
  <c r="G49" i="59"/>
  <c r="U43" i="98"/>
  <c r="BE40" i="69"/>
  <c r="BE93" i="69" s="1"/>
  <c r="U42" i="99"/>
  <c r="CA39" i="68"/>
  <c r="CA92" i="68" s="1"/>
  <c r="M28" i="60"/>
  <c r="F25" i="68"/>
  <c r="F78" i="68" s="1"/>
  <c r="F127" i="68" s="1"/>
  <c r="Q42" i="101"/>
  <c r="BB39" i="68"/>
  <c r="BB92" i="68" s="1"/>
  <c r="Q29" i="66"/>
  <c r="AV26" i="68"/>
  <c r="AV79" i="68" s="1"/>
  <c r="AV128" i="68" s="1"/>
  <c r="O50" i="99"/>
  <c r="P50" i="99" s="1"/>
  <c r="E51" i="99"/>
  <c r="H50" i="99"/>
  <c r="Q43" i="80"/>
  <c r="AK40" i="69"/>
  <c r="AK93" i="69" s="1"/>
  <c r="R44" i="48"/>
  <c r="T45" i="48" s="1"/>
  <c r="BN42" i="68"/>
  <c r="Z44" i="48"/>
  <c r="S44" i="48"/>
  <c r="R24" i="69"/>
  <c r="CQ41" i="68"/>
  <c r="CQ94" i="68" s="1"/>
  <c r="U44" i="88"/>
  <c r="CZ122" i="68"/>
  <c r="DB73" i="68"/>
  <c r="DB122" i="68" s="1"/>
  <c r="AW26" i="68"/>
  <c r="AW79" i="68" s="1"/>
  <c r="AW128" i="68" s="1"/>
  <c r="Q29" i="67"/>
  <c r="S49" i="99"/>
  <c r="T49" i="99" s="1"/>
  <c r="F50" i="99"/>
  <c r="I49" i="99"/>
  <c r="J17" i="92"/>
  <c r="AS24" i="69"/>
  <c r="R126" i="69"/>
  <c r="W76" i="69"/>
  <c r="V76" i="69"/>
  <c r="V126" i="69" s="1"/>
  <c r="D50" i="99"/>
  <c r="K49" i="99"/>
  <c r="L49" i="99" s="1"/>
  <c r="G49" i="99"/>
  <c r="K50" i="100"/>
  <c r="L50" i="100" s="1"/>
  <c r="D51" i="100"/>
  <c r="G50" i="100"/>
  <c r="M29" i="23"/>
  <c r="D26" i="69"/>
  <c r="D79" i="69" s="1"/>
  <c r="D129" i="69" s="1"/>
  <c r="W28" i="23"/>
  <c r="BL45" i="68"/>
  <c r="S47" i="46"/>
  <c r="U28" i="39"/>
  <c r="BU25" i="68"/>
  <c r="BU78" i="68" s="1"/>
  <c r="BU127" i="68" s="1"/>
  <c r="U27" i="66"/>
  <c r="CE24" i="68"/>
  <c r="CE77" i="68" s="1"/>
  <c r="CE126" i="68" s="1"/>
  <c r="M27" i="67"/>
  <c r="N24" i="68"/>
  <c r="N77" i="68" s="1"/>
  <c r="N126" i="68" s="1"/>
  <c r="H15" i="92"/>
  <c r="N15" i="92" s="1"/>
  <c r="Q42" i="103"/>
  <c r="AY39" i="68"/>
  <c r="AY92" i="68" s="1"/>
  <c r="M42" i="102"/>
  <c r="Q39" i="68"/>
  <c r="Q92" i="68" s="1"/>
  <c r="U44" i="81"/>
  <c r="BI41" i="69"/>
  <c r="BI94" i="69" s="1"/>
  <c r="O49" i="23"/>
  <c r="P49" i="23" s="1"/>
  <c r="E50" i="23"/>
  <c r="H49" i="23"/>
  <c r="M42" i="97"/>
  <c r="L39" i="69"/>
  <c r="L92" i="69" s="1"/>
  <c r="E50" i="96"/>
  <c r="O49" i="96"/>
  <c r="P49" i="96" s="1"/>
  <c r="H49" i="96"/>
  <c r="C15" i="70"/>
  <c r="D15" i="70"/>
  <c r="CT124" i="68"/>
  <c r="CZ75" i="68"/>
  <c r="U27" i="61"/>
  <c r="BY24" i="68"/>
  <c r="O49" i="1"/>
  <c r="P49" i="1" s="1"/>
  <c r="E50" i="1"/>
  <c r="H49" i="1"/>
  <c r="Q16" i="70"/>
  <c r="J16" i="70"/>
  <c r="AR126" i="69"/>
  <c r="AS76" i="69"/>
  <c r="AS126" i="69" s="1"/>
  <c r="U28" i="41"/>
  <c r="BW25" i="68"/>
  <c r="BW78" i="68" s="1"/>
  <c r="BW127" i="68" s="1"/>
  <c r="J10" i="56"/>
  <c r="H16" i="92"/>
  <c r="N16" i="92" s="1"/>
  <c r="V23" i="69"/>
  <c r="J54" i="43"/>
  <c r="R54" i="43"/>
  <c r="S50" i="43"/>
  <c r="T50" i="43" s="1"/>
  <c r="F51" i="43"/>
  <c r="I50" i="43"/>
  <c r="Q28" i="43"/>
  <c r="BA25" i="68"/>
  <c r="BA78" i="68" s="1"/>
  <c r="BA127" i="68" s="1"/>
  <c r="DB74" i="68"/>
  <c r="CZ123" i="68"/>
  <c r="BT125" i="69"/>
  <c r="BV75" i="69"/>
  <c r="BV125" i="69" s="1"/>
  <c r="M28" i="35"/>
  <c r="F25" i="69"/>
  <c r="F78" i="69" s="1"/>
  <c r="F128" i="69" s="1"/>
  <c r="K49" i="60"/>
  <c r="L49" i="60" s="1"/>
  <c r="D50" i="60"/>
  <c r="G49" i="60"/>
  <c r="L44" i="48"/>
  <c r="N45" i="48" s="1"/>
  <c r="AE42" i="68"/>
  <c r="AE95" i="68" s="1"/>
  <c r="M44" i="48"/>
  <c r="O49" i="35"/>
  <c r="P49" i="35" s="1"/>
  <c r="E50" i="35"/>
  <c r="H49" i="35"/>
  <c r="CW41" i="68"/>
  <c r="CW94" i="68" s="1"/>
  <c r="X43" i="48"/>
  <c r="Y43" i="48"/>
  <c r="J53" i="89"/>
  <c r="L53" i="89" s="1"/>
  <c r="N54" i="89"/>
  <c r="P54" i="89" s="1"/>
  <c r="B54" i="89"/>
  <c r="R53" i="89"/>
  <c r="T53" i="89" s="1"/>
  <c r="H53" i="89"/>
  <c r="G53" i="89"/>
  <c r="I53" i="89"/>
  <c r="M43" i="99"/>
  <c r="I40" i="68"/>
  <c r="I93" i="68" s="1"/>
  <c r="D8" i="56"/>
  <c r="U43" i="96"/>
  <c r="BD40" i="69"/>
  <c r="BD93" i="69" s="1"/>
  <c r="U28" i="4"/>
  <c r="AW25" i="69"/>
  <c r="Y27" i="23"/>
  <c r="U42" i="97"/>
  <c r="BF39" i="69"/>
  <c r="BF92" i="69" s="1"/>
  <c r="C54" i="82"/>
  <c r="Q28" i="40"/>
  <c r="AM25" i="68"/>
  <c r="E14" i="70"/>
  <c r="B9" i="56"/>
  <c r="S49" i="64"/>
  <c r="T49" i="64" s="1"/>
  <c r="F50" i="64"/>
  <c r="I49" i="64"/>
  <c r="K50" i="66"/>
  <c r="L50" i="66" s="1"/>
  <c r="D51" i="66"/>
  <c r="G50" i="66"/>
  <c r="K51" i="38"/>
  <c r="L51" i="38" s="1"/>
  <c r="D52" i="38"/>
  <c r="G52" i="38" s="1"/>
  <c r="Q43" i="81"/>
  <c r="AL40" i="69"/>
  <c r="AL93" i="69" s="1"/>
  <c r="S50" i="59"/>
  <c r="T50" i="59" s="1"/>
  <c r="F51" i="59"/>
  <c r="I50" i="59"/>
  <c r="U44" i="104"/>
  <c r="CR41" i="68"/>
  <c r="CR94" i="68" s="1"/>
  <c r="T15" i="70"/>
  <c r="BU123" i="69"/>
  <c r="BW73" i="69"/>
  <c r="BW123" i="69" s="1"/>
  <c r="U28" i="40"/>
  <c r="BV25" i="68"/>
  <c r="BV78" i="68" s="1"/>
  <c r="BV127" i="68" s="1"/>
  <c r="Q28" i="37"/>
  <c r="AF25" i="69"/>
  <c r="AF78" i="69" s="1"/>
  <c r="AF128" i="69" s="1"/>
  <c r="G16" i="92"/>
  <c r="M16" i="92" s="1"/>
  <c r="K46" i="48"/>
  <c r="W46" i="48" s="1"/>
  <c r="D47" i="48"/>
  <c r="Q47" i="48"/>
  <c r="Q28" i="42"/>
  <c r="AX25" i="68"/>
  <c r="AX78" i="68" s="1"/>
  <c r="AX127" i="68" s="1"/>
  <c r="F50" i="48"/>
  <c r="I49" i="48"/>
  <c r="E51" i="102"/>
  <c r="O50" i="102"/>
  <c r="P50" i="102" s="1"/>
  <c r="H50" i="102"/>
  <c r="M29" i="42"/>
  <c r="O26" i="68"/>
  <c r="O79" i="68" s="1"/>
  <c r="O128" i="68" s="1"/>
  <c r="AW126" i="69"/>
  <c r="BT76" i="69"/>
  <c r="BL76" i="69"/>
  <c r="M28" i="38"/>
  <c r="B25" i="68"/>
  <c r="U42" i="102"/>
  <c r="CI39" i="68"/>
  <c r="CI92" i="68" s="1"/>
  <c r="M42" i="86"/>
  <c r="W39" i="68"/>
  <c r="W92" i="68" s="1"/>
  <c r="S49" i="90"/>
  <c r="T49" i="90" s="1"/>
  <c r="F50" i="90"/>
  <c r="I49" i="90"/>
  <c r="B78" i="69"/>
  <c r="S52" i="63"/>
  <c r="T52" i="63" s="1"/>
  <c r="F53" i="63"/>
  <c r="I52" i="63"/>
  <c r="C16" i="92"/>
  <c r="D16" i="92"/>
  <c r="CZ23" i="68"/>
  <c r="U28" i="36"/>
  <c r="BB25" i="69"/>
  <c r="BB78" i="69" s="1"/>
  <c r="BB128" i="69" s="1"/>
  <c r="O49" i="85"/>
  <c r="P49" i="85" s="1"/>
  <c r="E50" i="85"/>
  <c r="H49" i="85"/>
  <c r="C9" i="56"/>
  <c r="Q28" i="64"/>
  <c r="AT25" i="68"/>
  <c r="AT78" i="68" s="1"/>
  <c r="AT127" i="68" s="1"/>
  <c r="K50" i="96"/>
  <c r="L50" i="96" s="1"/>
  <c r="D51" i="96"/>
  <c r="G50" i="96"/>
  <c r="M42" i="88"/>
  <c r="Y39" i="68"/>
  <c r="Y92" i="68" s="1"/>
  <c r="J53" i="59"/>
  <c r="B54" i="59"/>
  <c r="C54" i="59" s="1"/>
  <c r="N54" i="59"/>
  <c r="R53" i="59"/>
  <c r="M42" i="103"/>
  <c r="P39" i="68"/>
  <c r="P92" i="68" s="1"/>
  <c r="Q29" i="4"/>
  <c r="Z26" i="69"/>
  <c r="M42" i="100"/>
  <c r="H39" i="68"/>
  <c r="H92" i="68" s="1"/>
  <c r="K50" i="23"/>
  <c r="L50" i="23" s="1"/>
  <c r="D51" i="23"/>
  <c r="G50" i="23"/>
  <c r="G68" i="56"/>
  <c r="G98" i="56"/>
  <c r="K50" i="67"/>
  <c r="L50" i="67" s="1"/>
  <c r="D51" i="67"/>
  <c r="G50" i="67"/>
  <c r="DA77" i="68"/>
  <c r="DA126" i="68" s="1"/>
  <c r="D50" i="36"/>
  <c r="K49" i="36"/>
  <c r="L49" i="36" s="1"/>
  <c r="G49" i="36"/>
  <c r="K50" i="64"/>
  <c r="L50" i="64" s="1"/>
  <c r="D51" i="64"/>
  <c r="G50" i="64"/>
  <c r="BJ40" i="68"/>
  <c r="BJ93" i="68" s="1"/>
  <c r="Q43" i="89"/>
  <c r="Q45" i="83"/>
  <c r="AN42" i="69"/>
  <c r="AN95" i="69" s="1"/>
  <c r="M43" i="85"/>
  <c r="U40" i="68"/>
  <c r="U93" i="68" s="1"/>
  <c r="R77" i="69"/>
  <c r="B127" i="69"/>
  <c r="Q28" i="61"/>
  <c r="AP25" i="68"/>
  <c r="AP78" i="68" s="1"/>
  <c r="AP127" i="68" s="1"/>
  <c r="T51" i="38"/>
  <c r="S50" i="36"/>
  <c r="T50" i="36" s="1"/>
  <c r="F51" i="36"/>
  <c r="I50" i="36"/>
  <c r="BE40" i="68"/>
  <c r="BE93" i="68" s="1"/>
  <c r="Q43" i="87"/>
  <c r="BG40" i="68"/>
  <c r="BG93" i="68" s="1"/>
  <c r="O49" i="101"/>
  <c r="P49" i="101" s="1"/>
  <c r="E50" i="101"/>
  <c r="H49" i="101"/>
  <c r="M42" i="96"/>
  <c r="J39" i="69"/>
  <c r="J92" i="69" s="1"/>
  <c r="AQ127" i="69"/>
  <c r="AR77" i="69"/>
  <c r="AW77" i="69"/>
  <c r="BL24" i="69"/>
  <c r="B17" i="92" s="1"/>
  <c r="J98" i="56"/>
  <c r="J68" i="56"/>
  <c r="K49" i="101"/>
  <c r="L49" i="101" s="1"/>
  <c r="D50" i="101"/>
  <c r="G49" i="101"/>
  <c r="K47" i="46"/>
  <c r="W47" i="46" s="1"/>
  <c r="Z47" i="46" s="1"/>
  <c r="D48" i="46"/>
  <c r="Q48" i="46"/>
  <c r="T48" i="46" s="1"/>
  <c r="S50" i="102"/>
  <c r="T50" i="102" s="1"/>
  <c r="F51" i="102"/>
  <c r="I50" i="102"/>
  <c r="X28" i="23"/>
  <c r="AH75" i="68"/>
  <c r="AH124" i="68" s="1"/>
  <c r="AB124" i="68"/>
  <c r="M43" i="89"/>
  <c r="AA40" i="68"/>
  <c r="AA93" i="68" s="1"/>
  <c r="AQ78" i="69"/>
  <c r="AR25" i="69"/>
  <c r="K50" i="58"/>
  <c r="L50" i="58" s="1"/>
  <c r="D51" i="58"/>
  <c r="G50" i="58"/>
  <c r="AM77" i="68"/>
  <c r="Q27" i="44"/>
  <c r="BC24" i="68"/>
  <c r="BC77" i="68" s="1"/>
  <c r="BC126" i="68" s="1"/>
  <c r="U29" i="67"/>
  <c r="CF26" i="68"/>
  <c r="CF79" i="68" s="1"/>
  <c r="CF128" i="68" s="1"/>
  <c r="O49" i="43"/>
  <c r="P49" i="43" s="1"/>
  <c r="E50" i="43"/>
  <c r="H49" i="43"/>
  <c r="S50" i="86"/>
  <c r="T50" i="86" s="1"/>
  <c r="F51" i="86"/>
  <c r="I50" i="86"/>
  <c r="D51" i="7"/>
  <c r="K50" i="7"/>
  <c r="L50" i="7" s="1"/>
  <c r="G50" i="7"/>
  <c r="S49" i="96"/>
  <c r="T49" i="96" s="1"/>
  <c r="F50" i="96"/>
  <c r="I49" i="96"/>
  <c r="C54" i="43"/>
  <c r="DB123" i="68" l="1"/>
  <c r="Q29" i="41"/>
  <c r="AN26" i="68"/>
  <c r="AN79" i="68" s="1"/>
  <c r="AN128" i="68" s="1"/>
  <c r="M29" i="59"/>
  <c r="T26" i="69"/>
  <c r="AP46" i="69"/>
  <c r="AP99" i="69" s="1"/>
  <c r="S48" i="45"/>
  <c r="G49" i="74"/>
  <c r="D50" i="74"/>
  <c r="K49" i="74"/>
  <c r="L49" i="74" s="1"/>
  <c r="M49" i="74" s="1"/>
  <c r="CX126" i="68"/>
  <c r="CY77" i="68"/>
  <c r="CY126" i="68" s="1"/>
  <c r="M44" i="47"/>
  <c r="AD42" i="68"/>
  <c r="AD95" i="68" s="1"/>
  <c r="Q30" i="1"/>
  <c r="Y27" i="69"/>
  <c r="Y80" i="69" s="1"/>
  <c r="Y130" i="69" s="1"/>
  <c r="D50" i="45"/>
  <c r="Q50" i="45"/>
  <c r="T50" i="45" s="1"/>
  <c r="K50" i="45"/>
  <c r="N50" i="45" s="1"/>
  <c r="C26" i="69"/>
  <c r="C79" i="69" s="1"/>
  <c r="C129" i="69" s="1"/>
  <c r="M29" i="4"/>
  <c r="M28" i="41"/>
  <c r="E25" i="68"/>
  <c r="E78" i="68" s="1"/>
  <c r="E127" i="68" s="1"/>
  <c r="BK41" i="69"/>
  <c r="BK94" i="69" s="1"/>
  <c r="U44" i="83"/>
  <c r="Q29" i="23"/>
  <c r="AA26" i="69"/>
  <c r="AA79" i="69" s="1"/>
  <c r="AA129" i="69" s="1"/>
  <c r="M28" i="37"/>
  <c r="I25" i="69"/>
  <c r="I78" i="69" s="1"/>
  <c r="I128" i="69" s="1"/>
  <c r="Q43" i="88"/>
  <c r="BH40" i="68"/>
  <c r="BH93" i="68" s="1"/>
  <c r="C54" i="89"/>
  <c r="AM42" i="69"/>
  <c r="AM95" i="69" s="1"/>
  <c r="Q45" i="82"/>
  <c r="AL26" i="68"/>
  <c r="AL79" i="68" s="1"/>
  <c r="AL128" i="68" s="1"/>
  <c r="Q29" i="39"/>
  <c r="F52" i="74"/>
  <c r="I51" i="74"/>
  <c r="S51" i="74"/>
  <c r="T51" i="74" s="1"/>
  <c r="U51" i="74" s="1"/>
  <c r="M29" i="61"/>
  <c r="G26" i="68"/>
  <c r="G79" i="68" s="1"/>
  <c r="G128" i="68" s="1"/>
  <c r="H51" i="63"/>
  <c r="E52" i="63"/>
  <c r="O51" i="63"/>
  <c r="P51" i="63" s="1"/>
  <c r="U28" i="42"/>
  <c r="CG25" i="68"/>
  <c r="CG78" i="68" s="1"/>
  <c r="CG127" i="68" s="1"/>
  <c r="U28" i="44"/>
  <c r="CL25" i="68"/>
  <c r="CL78" i="68" s="1"/>
  <c r="CL127" i="68" s="1"/>
  <c r="H49" i="74"/>
  <c r="O49" i="74"/>
  <c r="P49" i="74" s="1"/>
  <c r="Q49" i="74" s="1"/>
  <c r="E50" i="74"/>
  <c r="U28" i="64"/>
  <c r="CC25" i="68"/>
  <c r="CC78" i="68" s="1"/>
  <c r="CC127" i="68" s="1"/>
  <c r="U43" i="87"/>
  <c r="CP40" i="68"/>
  <c r="CP93" i="68" s="1"/>
  <c r="CN40" i="68"/>
  <c r="CN93" i="68" s="1"/>
  <c r="U44" i="82"/>
  <c r="BJ41" i="69"/>
  <c r="BJ94" i="69" s="1"/>
  <c r="W45" i="47"/>
  <c r="Z45" i="47" s="1"/>
  <c r="N45" i="47"/>
  <c r="M42" i="58"/>
  <c r="G39" i="69"/>
  <c r="G92" i="69" s="1"/>
  <c r="E53" i="47"/>
  <c r="H52" i="47"/>
  <c r="L52" i="47"/>
  <c r="U29" i="23"/>
  <c r="AX26" i="69"/>
  <c r="AX79" i="69" s="1"/>
  <c r="AX129" i="69" s="1"/>
  <c r="Q30" i="38"/>
  <c r="AK27" i="68"/>
  <c r="AK80" i="68" s="1"/>
  <c r="AK129" i="68" s="1"/>
  <c r="Q32" i="35"/>
  <c r="AC29" i="69"/>
  <c r="AC82" i="69" s="1"/>
  <c r="AC132" i="69" s="1"/>
  <c r="U44" i="89"/>
  <c r="CS41" i="68"/>
  <c r="CS94" i="68" s="1"/>
  <c r="AV26" i="69"/>
  <c r="AV79" i="69" s="1"/>
  <c r="AV129" i="69" s="1"/>
  <c r="U29" i="1"/>
  <c r="M29" i="62"/>
  <c r="J26" i="68"/>
  <c r="J79" i="68" s="1"/>
  <c r="J128" i="68" s="1"/>
  <c r="CY25" i="68"/>
  <c r="CX78" i="68"/>
  <c r="S47" i="69"/>
  <c r="S100" i="69" s="1"/>
  <c r="M49" i="45"/>
  <c r="F52" i="101"/>
  <c r="I51" i="101"/>
  <c r="S51" i="101"/>
  <c r="T51" i="101" s="1"/>
  <c r="M28" i="36"/>
  <c r="H25" i="69"/>
  <c r="H78" i="69" s="1"/>
  <c r="H128" i="69" s="1"/>
  <c r="D47" i="47"/>
  <c r="K46" i="47"/>
  <c r="Q47" i="47"/>
  <c r="T47" i="47" s="1"/>
  <c r="CM40" i="68"/>
  <c r="CM93" i="68" s="1"/>
  <c r="U43" i="85"/>
  <c r="H50" i="98"/>
  <c r="E51" i="98"/>
  <c r="O50" i="98"/>
  <c r="P50" i="98" s="1"/>
  <c r="Q43" i="99"/>
  <c r="AR40" i="68"/>
  <c r="AR93" i="68" s="1"/>
  <c r="K99" i="56"/>
  <c r="K69" i="56"/>
  <c r="T78" i="69"/>
  <c r="U25" i="69"/>
  <c r="K18" i="92" s="1"/>
  <c r="U44" i="101"/>
  <c r="CK41" i="68"/>
  <c r="CK94" i="68" s="1"/>
  <c r="M45" i="87"/>
  <c r="X42" i="68"/>
  <c r="X95" i="68" s="1"/>
  <c r="U29" i="7"/>
  <c r="AY26" i="69"/>
  <c r="AY79" i="69" s="1"/>
  <c r="AY129" i="69" s="1"/>
  <c r="Q50" i="63"/>
  <c r="BO47" i="68"/>
  <c r="BO100" i="68" s="1"/>
  <c r="T127" i="69"/>
  <c r="U77" i="69"/>
  <c r="AD94" i="68"/>
  <c r="AG94" i="68" s="1"/>
  <c r="AG41" i="68"/>
  <c r="R16" i="70"/>
  <c r="K16" i="70"/>
  <c r="K11" i="56" s="1"/>
  <c r="U126" i="69"/>
  <c r="U29" i="63"/>
  <c r="CX26" i="68"/>
  <c r="M28" i="65"/>
  <c r="L25" i="68"/>
  <c r="L78" i="68" s="1"/>
  <c r="L127" i="68" s="1"/>
  <c r="Q49" i="45"/>
  <c r="T49" i="45" s="1"/>
  <c r="J54" i="58"/>
  <c r="R54" i="58"/>
  <c r="BM44" i="68"/>
  <c r="BM97" i="68" s="1"/>
  <c r="S46" i="47"/>
  <c r="M28" i="64"/>
  <c r="K25" i="68"/>
  <c r="K78" i="68" s="1"/>
  <c r="K127" i="68" s="1"/>
  <c r="U29" i="35"/>
  <c r="AZ26" i="69"/>
  <c r="AZ79" i="69" s="1"/>
  <c r="AZ129" i="69" s="1"/>
  <c r="U28" i="37"/>
  <c r="BC25" i="69"/>
  <c r="BC78" i="69" s="1"/>
  <c r="BC128" i="69" s="1"/>
  <c r="G51" i="48"/>
  <c r="J50" i="48"/>
  <c r="E54" i="48"/>
  <c r="H54" i="48" s="1"/>
  <c r="H53" i="48"/>
  <c r="E52" i="46"/>
  <c r="H51" i="46"/>
  <c r="R52" i="47"/>
  <c r="F53" i="47"/>
  <c r="I52" i="47"/>
  <c r="I50" i="103"/>
  <c r="F51" i="103"/>
  <c r="S50" i="103"/>
  <c r="T50" i="103" s="1"/>
  <c r="AF50" i="68"/>
  <c r="AF103" i="68" s="1"/>
  <c r="M53" i="63"/>
  <c r="O50" i="64"/>
  <c r="P50" i="64" s="1"/>
  <c r="E51" i="64"/>
  <c r="H50" i="64"/>
  <c r="S50" i="100"/>
  <c r="T50" i="100" s="1"/>
  <c r="F51" i="100"/>
  <c r="I50" i="100"/>
  <c r="E51" i="38"/>
  <c r="H50" i="38"/>
  <c r="O50" i="38"/>
  <c r="P50" i="38" s="1"/>
  <c r="S51" i="97"/>
  <c r="T51" i="97" s="1"/>
  <c r="F52" i="97"/>
  <c r="I51" i="97"/>
  <c r="S51" i="86"/>
  <c r="T51" i="86" s="1"/>
  <c r="F52" i="86"/>
  <c r="I51" i="86"/>
  <c r="O50" i="43"/>
  <c r="P50" i="43" s="1"/>
  <c r="E51" i="43"/>
  <c r="H50" i="43"/>
  <c r="AM126" i="68"/>
  <c r="BK77" i="68"/>
  <c r="J18" i="92"/>
  <c r="D51" i="101"/>
  <c r="K50" i="101"/>
  <c r="L50" i="101" s="1"/>
  <c r="G50" i="101"/>
  <c r="O50" i="101"/>
  <c r="P50" i="101" s="1"/>
  <c r="E51" i="101"/>
  <c r="H50" i="101"/>
  <c r="Z79" i="69"/>
  <c r="CI40" i="68"/>
  <c r="CI93" i="68" s="1"/>
  <c r="U43" i="102"/>
  <c r="M30" i="42"/>
  <c r="O27" i="68"/>
  <c r="O80" i="68" s="1"/>
  <c r="O129" i="68" s="1"/>
  <c r="F51" i="48"/>
  <c r="I50" i="48"/>
  <c r="BY77" i="68"/>
  <c r="CT24" i="68"/>
  <c r="K50" i="99"/>
  <c r="L50" i="99" s="1"/>
  <c r="D51" i="99"/>
  <c r="G50" i="99"/>
  <c r="CQ42" i="68"/>
  <c r="CQ95" i="68" s="1"/>
  <c r="U45" i="88"/>
  <c r="R45" i="48"/>
  <c r="T46" i="48" s="1"/>
  <c r="BN43" i="68"/>
  <c r="Z45" i="48"/>
  <c r="S45" i="48"/>
  <c r="Q44" i="80"/>
  <c r="AK41" i="69"/>
  <c r="AK94" i="69" s="1"/>
  <c r="K50" i="59"/>
  <c r="L50" i="59" s="1"/>
  <c r="D51" i="59"/>
  <c r="G50" i="59"/>
  <c r="O50" i="97"/>
  <c r="P50" i="97" s="1"/>
  <c r="E51" i="97"/>
  <c r="H50" i="97"/>
  <c r="U30" i="43"/>
  <c r="CJ27" i="68"/>
  <c r="CJ80" i="68" s="1"/>
  <c r="CJ129" i="68" s="1"/>
  <c r="S51" i="66"/>
  <c r="T51" i="66" s="1"/>
  <c r="F52" i="66"/>
  <c r="I51" i="66"/>
  <c r="S51" i="58"/>
  <c r="T51" i="58" s="1"/>
  <c r="F52" i="58"/>
  <c r="I51" i="58"/>
  <c r="K51" i="102"/>
  <c r="L51" i="102" s="1"/>
  <c r="D52" i="102"/>
  <c r="G51" i="102"/>
  <c r="K50" i="103"/>
  <c r="L50" i="103" s="1"/>
  <c r="D51" i="103"/>
  <c r="G50" i="103"/>
  <c r="Q30" i="59"/>
  <c r="AQ27" i="69"/>
  <c r="C16" i="70"/>
  <c r="D16" i="70"/>
  <c r="CT125" i="68"/>
  <c r="CZ76" i="68"/>
  <c r="M30" i="1"/>
  <c r="B27" i="69"/>
  <c r="M29" i="66"/>
  <c r="M26" i="68"/>
  <c r="M79" i="68" s="1"/>
  <c r="M128" i="68" s="1"/>
  <c r="AZ41" i="68"/>
  <c r="AZ94" i="68" s="1"/>
  <c r="Q44" i="102"/>
  <c r="M44" i="82"/>
  <c r="P41" i="69"/>
  <c r="P94" i="69" s="1"/>
  <c r="J54" i="82"/>
  <c r="L54" i="82" s="1"/>
  <c r="R54" i="82"/>
  <c r="T54" i="82" s="1"/>
  <c r="G54" i="82"/>
  <c r="I54" i="82"/>
  <c r="H54" i="82"/>
  <c r="Q45" i="104"/>
  <c r="BI42" i="68"/>
  <c r="BI95" i="68" s="1"/>
  <c r="AG42" i="68"/>
  <c r="E67" i="56"/>
  <c r="E97" i="56"/>
  <c r="AQ128" i="69"/>
  <c r="AR78" i="69"/>
  <c r="R127" i="69"/>
  <c r="W77" i="69"/>
  <c r="V77" i="69"/>
  <c r="V127" i="69" s="1"/>
  <c r="K51" i="64"/>
  <c r="L51" i="64" s="1"/>
  <c r="D52" i="64"/>
  <c r="G51" i="64"/>
  <c r="BT126" i="69"/>
  <c r="BV76" i="69"/>
  <c r="BV126" i="69" s="1"/>
  <c r="S51" i="59"/>
  <c r="T51" i="59" s="1"/>
  <c r="F52" i="59"/>
  <c r="I51" i="59"/>
  <c r="O50" i="35"/>
  <c r="P50" i="35" s="1"/>
  <c r="E51" i="35"/>
  <c r="H50" i="35"/>
  <c r="Q29" i="43"/>
  <c r="BA26" i="68"/>
  <c r="BA79" i="68" s="1"/>
  <c r="BA128" i="68" s="1"/>
  <c r="D10" i="56"/>
  <c r="O50" i="23"/>
  <c r="P50" i="23" s="1"/>
  <c r="E51" i="23"/>
  <c r="H50" i="23"/>
  <c r="M28" i="67"/>
  <c r="N25" i="68"/>
  <c r="N78" i="68" s="1"/>
  <c r="N127" i="68" s="1"/>
  <c r="Q30" i="66"/>
  <c r="AV27" i="68"/>
  <c r="AV80" i="68" s="1"/>
  <c r="AV129" i="68" s="1"/>
  <c r="U44" i="98"/>
  <c r="BE41" i="69"/>
  <c r="BE94" i="69" s="1"/>
  <c r="S50" i="7"/>
  <c r="T50" i="7" s="1"/>
  <c r="F51" i="7"/>
  <c r="I50" i="7"/>
  <c r="A41" i="70"/>
  <c r="M29" i="40"/>
  <c r="D26" i="68"/>
  <c r="D79" i="68" s="1"/>
  <c r="D128" i="68" s="1"/>
  <c r="K51" i="97"/>
  <c r="L51" i="97" s="1"/>
  <c r="D52" i="97"/>
  <c r="G51" i="97"/>
  <c r="O52" i="86"/>
  <c r="P52" i="86" s="1"/>
  <c r="E53" i="86"/>
  <c r="H52" i="86"/>
  <c r="S51" i="35"/>
  <c r="T51" i="35" s="1"/>
  <c r="F52" i="35"/>
  <c r="I51" i="35"/>
  <c r="BU124" i="69"/>
  <c r="BW74" i="69"/>
  <c r="BW124" i="69" s="1"/>
  <c r="U44" i="100"/>
  <c r="BZ41" i="68"/>
  <c r="BZ94" i="68" s="1"/>
  <c r="BK125" i="68"/>
  <c r="BQ76" i="68"/>
  <c r="BQ125" i="68" s="1"/>
  <c r="U30" i="38"/>
  <c r="BT27" i="68"/>
  <c r="BT80" i="68" s="1"/>
  <c r="U42" i="58"/>
  <c r="BA39" i="69"/>
  <c r="BA92" i="69" s="1"/>
  <c r="M44" i="90"/>
  <c r="M41" i="69"/>
  <c r="M94" i="69" s="1"/>
  <c r="H69" i="56"/>
  <c r="H99" i="56"/>
  <c r="D52" i="58"/>
  <c r="K51" i="58"/>
  <c r="L51" i="58" s="1"/>
  <c r="G51" i="58"/>
  <c r="S51" i="102"/>
  <c r="T51" i="102" s="1"/>
  <c r="F52" i="102"/>
  <c r="I51" i="102"/>
  <c r="CU45" i="68"/>
  <c r="Y47" i="46"/>
  <c r="AW127" i="69"/>
  <c r="BT77" i="69"/>
  <c r="BL77" i="69"/>
  <c r="M43" i="96"/>
  <c r="J40" i="69"/>
  <c r="J93" i="69" s="1"/>
  <c r="S51" i="36"/>
  <c r="T51" i="36" s="1"/>
  <c r="F52" i="36"/>
  <c r="I51" i="36"/>
  <c r="AP26" i="68"/>
  <c r="AP79" i="68" s="1"/>
  <c r="AP128" i="68" s="1"/>
  <c r="Q29" i="61"/>
  <c r="Q44" i="89"/>
  <c r="BJ41" i="68"/>
  <c r="BJ94" i="68" s="1"/>
  <c r="K50" i="36"/>
  <c r="L50" i="36" s="1"/>
  <c r="D51" i="36"/>
  <c r="G50" i="36"/>
  <c r="K51" i="96"/>
  <c r="L51" i="96" s="1"/>
  <c r="D52" i="96"/>
  <c r="G51" i="96"/>
  <c r="S53" i="63"/>
  <c r="T53" i="63" s="1"/>
  <c r="F54" i="63"/>
  <c r="I53" i="63"/>
  <c r="R25" i="69"/>
  <c r="M43" i="86"/>
  <c r="W40" i="68"/>
  <c r="W93" i="68" s="1"/>
  <c r="M29" i="38"/>
  <c r="B26" i="68"/>
  <c r="E52" i="102"/>
  <c r="O51" i="102"/>
  <c r="P51" i="102" s="1"/>
  <c r="H51" i="102"/>
  <c r="Q29" i="42"/>
  <c r="AX26" i="68"/>
  <c r="AX79" i="68" s="1"/>
  <c r="AX128" i="68" s="1"/>
  <c r="U29" i="40"/>
  <c r="BV26" i="68"/>
  <c r="BV79" i="68" s="1"/>
  <c r="BV128" i="68" s="1"/>
  <c r="AM78" i="68"/>
  <c r="U44" i="96"/>
  <c r="BD41" i="69"/>
  <c r="BD94" i="69" s="1"/>
  <c r="M44" i="99"/>
  <c r="I41" i="68"/>
  <c r="I94" i="68" s="1"/>
  <c r="M29" i="35"/>
  <c r="F26" i="69"/>
  <c r="F79" i="69" s="1"/>
  <c r="F129" i="69" s="1"/>
  <c r="U29" i="41"/>
  <c r="BW26" i="68"/>
  <c r="BW79" i="68" s="1"/>
  <c r="BW128" i="68" s="1"/>
  <c r="O50" i="1"/>
  <c r="P50" i="1" s="1"/>
  <c r="E51" i="1"/>
  <c r="H50" i="1"/>
  <c r="C10" i="56"/>
  <c r="M43" i="102"/>
  <c r="Q40" i="68"/>
  <c r="Q93" i="68" s="1"/>
  <c r="Q43" i="103"/>
  <c r="AY40" i="68"/>
  <c r="AY93" i="68" s="1"/>
  <c r="S50" i="99"/>
  <c r="T50" i="99" s="1"/>
  <c r="F51" i="99"/>
  <c r="I50" i="99"/>
  <c r="CW42" i="68"/>
  <c r="CW95" i="68" s="1"/>
  <c r="X44" i="48"/>
  <c r="Y44" i="48"/>
  <c r="O51" i="99"/>
  <c r="P51" i="99" s="1"/>
  <c r="E52" i="99"/>
  <c r="H51" i="99"/>
  <c r="Q43" i="98"/>
  <c r="AH40" i="69"/>
  <c r="AH93" i="69" s="1"/>
  <c r="AO25" i="69"/>
  <c r="M45" i="83"/>
  <c r="Q42" i="69"/>
  <c r="Q95" i="69" s="1"/>
  <c r="M29" i="7"/>
  <c r="E26" i="69"/>
  <c r="E79" i="69" s="1"/>
  <c r="E129" i="69" s="1"/>
  <c r="S51" i="67"/>
  <c r="T51" i="67" s="1"/>
  <c r="F52" i="67"/>
  <c r="I51" i="67"/>
  <c r="M45" i="80"/>
  <c r="N42" i="69"/>
  <c r="N95" i="69" s="1"/>
  <c r="U30" i="65"/>
  <c r="CD27" i="68"/>
  <c r="CD80" i="68" s="1"/>
  <c r="CD129" i="68" s="1"/>
  <c r="E16" i="92"/>
  <c r="BN127" i="69"/>
  <c r="BO77" i="69"/>
  <c r="M29" i="43"/>
  <c r="R26" i="68"/>
  <c r="R79" i="68" s="1"/>
  <c r="R128" i="68" s="1"/>
  <c r="O50" i="90"/>
  <c r="P50" i="90" s="1"/>
  <c r="E51" i="90"/>
  <c r="H50" i="90"/>
  <c r="O50" i="60"/>
  <c r="P50" i="60" s="1"/>
  <c r="E51" i="60"/>
  <c r="H50" i="60"/>
  <c r="U45" i="90"/>
  <c r="BG42" i="69"/>
  <c r="BG95" i="69" s="1"/>
  <c r="D51" i="98"/>
  <c r="K50" i="98"/>
  <c r="L50" i="98" s="1"/>
  <c r="G50" i="98"/>
  <c r="BN78" i="69"/>
  <c r="BO25" i="69"/>
  <c r="U29" i="60"/>
  <c r="BX26" i="68"/>
  <c r="BX79" i="68" s="1"/>
  <c r="BX128" i="68" s="1"/>
  <c r="M44" i="84"/>
  <c r="V41" i="68"/>
  <c r="V94" i="68" s="1"/>
  <c r="S52" i="38"/>
  <c r="T52" i="38" s="1"/>
  <c r="F53" i="38"/>
  <c r="O51" i="36"/>
  <c r="P51" i="36" s="1"/>
  <c r="E52" i="36"/>
  <c r="H51" i="36"/>
  <c r="Q31" i="62"/>
  <c r="AS28" i="68"/>
  <c r="AS81" i="68" s="1"/>
  <c r="AS130" i="68" s="1"/>
  <c r="Q45" i="90"/>
  <c r="AJ42" i="69"/>
  <c r="AJ95" i="69" s="1"/>
  <c r="K51" i="90"/>
  <c r="L51" i="90" s="1"/>
  <c r="D52" i="90"/>
  <c r="G51" i="90"/>
  <c r="Q46" i="85"/>
  <c r="BD43" i="68"/>
  <c r="BD96" i="68" s="1"/>
  <c r="BO126" i="69"/>
  <c r="BP76" i="69"/>
  <c r="O52" i="80"/>
  <c r="P52" i="80" s="1"/>
  <c r="E53" i="80"/>
  <c r="M43" i="101"/>
  <c r="S40" i="68"/>
  <c r="S93" i="68" s="1"/>
  <c r="G69" i="56"/>
  <c r="G99" i="56"/>
  <c r="S53" i="85"/>
  <c r="T53" i="85" s="1"/>
  <c r="F54" i="85"/>
  <c r="I53" i="85"/>
  <c r="Q28" i="44"/>
  <c r="BC25" i="68"/>
  <c r="BC78" i="68" s="1"/>
  <c r="BC127" i="68" s="1"/>
  <c r="BL46" i="68"/>
  <c r="S48" i="46"/>
  <c r="K51" i="23"/>
  <c r="L51" i="23" s="1"/>
  <c r="D52" i="23"/>
  <c r="G51" i="23"/>
  <c r="M43" i="88"/>
  <c r="Y40" i="68"/>
  <c r="Y93" i="68" s="1"/>
  <c r="AJ9" i="56"/>
  <c r="C68" i="56"/>
  <c r="C98" i="56"/>
  <c r="B16" i="70"/>
  <c r="BQ76" i="69"/>
  <c r="K47" i="48"/>
  <c r="W47" i="48" s="1"/>
  <c r="D48" i="48"/>
  <c r="Q48" i="48"/>
  <c r="Q29" i="37"/>
  <c r="AF26" i="69"/>
  <c r="AF79" i="69" s="1"/>
  <c r="AF129" i="69" s="1"/>
  <c r="Q44" i="81"/>
  <c r="AL41" i="69"/>
  <c r="AL94" i="69" s="1"/>
  <c r="K51" i="66"/>
  <c r="L51" i="66" s="1"/>
  <c r="D52" i="66"/>
  <c r="G51" i="66"/>
  <c r="U29" i="4"/>
  <c r="AW26" i="69"/>
  <c r="Y28" i="23"/>
  <c r="T16" i="70"/>
  <c r="U45" i="81"/>
  <c r="BI42" i="69"/>
  <c r="BI95" i="69" s="1"/>
  <c r="M30" i="23"/>
  <c r="D27" i="69"/>
  <c r="D80" i="69" s="1"/>
  <c r="D130" i="69" s="1"/>
  <c r="W29" i="23"/>
  <c r="K51" i="100"/>
  <c r="L51" i="100" s="1"/>
  <c r="D52" i="100"/>
  <c r="G51" i="100"/>
  <c r="N16" i="70"/>
  <c r="H11" i="56"/>
  <c r="Q30" i="67"/>
  <c r="AW27" i="68"/>
  <c r="AW80" i="68" s="1"/>
  <c r="AW129" i="68" s="1"/>
  <c r="V24" i="69"/>
  <c r="AB24" i="68"/>
  <c r="AH24" i="68" s="1"/>
  <c r="Q44" i="100"/>
  <c r="AQ41" i="68"/>
  <c r="AQ94" i="68" s="1"/>
  <c r="K51" i="85"/>
  <c r="L51" i="85" s="1"/>
  <c r="D52" i="85"/>
  <c r="G51" i="85"/>
  <c r="Q29" i="60"/>
  <c r="AO26" i="68"/>
  <c r="AO79" i="68" s="1"/>
  <c r="AO128" i="68" s="1"/>
  <c r="O52" i="67"/>
  <c r="P52" i="67" s="1"/>
  <c r="E53" i="67"/>
  <c r="H52" i="67"/>
  <c r="D52" i="63"/>
  <c r="K51" i="63"/>
  <c r="L51" i="63" s="1"/>
  <c r="G51" i="63"/>
  <c r="AC96" i="68"/>
  <c r="Q44" i="96"/>
  <c r="AG41" i="69"/>
  <c r="AG94" i="69" s="1"/>
  <c r="O51" i="7"/>
  <c r="P51" i="7" s="1"/>
  <c r="E52" i="7"/>
  <c r="H51" i="7"/>
  <c r="BT128" i="68"/>
  <c r="O50" i="66"/>
  <c r="P50" i="66" s="1"/>
  <c r="E51" i="66"/>
  <c r="H50" i="66"/>
  <c r="M10" i="56"/>
  <c r="M44" i="89"/>
  <c r="AA41" i="68"/>
  <c r="AA94" i="68" s="1"/>
  <c r="D49" i="46"/>
  <c r="K48" i="46"/>
  <c r="W48" i="46" s="1"/>
  <c r="Z48" i="46" s="1"/>
  <c r="Q49" i="46"/>
  <c r="T49" i="46" s="1"/>
  <c r="Q46" i="83"/>
  <c r="AN43" i="69"/>
  <c r="AN96" i="69" s="1"/>
  <c r="Q30" i="4"/>
  <c r="Z27" i="69"/>
  <c r="J54" i="59"/>
  <c r="R54" i="59"/>
  <c r="S50" i="90"/>
  <c r="T50" i="90" s="1"/>
  <c r="F51" i="90"/>
  <c r="I50" i="90"/>
  <c r="B78" i="68"/>
  <c r="AB25" i="68"/>
  <c r="AH25" i="68" s="1"/>
  <c r="K52" i="38"/>
  <c r="L52" i="38" s="1"/>
  <c r="D53" i="38"/>
  <c r="S50" i="64"/>
  <c r="T50" i="64" s="1"/>
  <c r="F51" i="64"/>
  <c r="I50" i="64"/>
  <c r="E9" i="56"/>
  <c r="U43" i="97"/>
  <c r="BF40" i="69"/>
  <c r="BF93" i="69" s="1"/>
  <c r="L45" i="48"/>
  <c r="N46" i="48" s="1"/>
  <c r="AE43" i="68"/>
  <c r="AE96" i="68" s="1"/>
  <c r="M45" i="48"/>
  <c r="S51" i="43"/>
  <c r="T51" i="43" s="1"/>
  <c r="F52" i="43"/>
  <c r="I51" i="43"/>
  <c r="U28" i="61"/>
  <c r="BY25" i="68"/>
  <c r="BY78" i="68" s="1"/>
  <c r="BY127" i="68" s="1"/>
  <c r="O50" i="96"/>
  <c r="P50" i="96" s="1"/>
  <c r="E51" i="96"/>
  <c r="H50" i="96"/>
  <c r="BL98" i="68"/>
  <c r="M29" i="60"/>
  <c r="F26" i="68"/>
  <c r="F79" i="68" s="1"/>
  <c r="F128" i="68" s="1"/>
  <c r="O50" i="103"/>
  <c r="P50" i="103" s="1"/>
  <c r="E51" i="103"/>
  <c r="H50" i="103"/>
  <c r="AB77" i="68"/>
  <c r="H17" i="70" s="1"/>
  <c r="B126" i="68"/>
  <c r="U30" i="62"/>
  <c r="CB27" i="68"/>
  <c r="CB80" i="68" s="1"/>
  <c r="CB129" i="68" s="1"/>
  <c r="BP24" i="69"/>
  <c r="DA78" i="68"/>
  <c r="DA127" i="68" s="1"/>
  <c r="O50" i="58"/>
  <c r="P50" i="58" s="1"/>
  <c r="E51" i="58"/>
  <c r="H50" i="58"/>
  <c r="G17" i="70"/>
  <c r="AT77" i="69"/>
  <c r="AO127" i="69"/>
  <c r="L46" i="46"/>
  <c r="N47" i="46" s="1"/>
  <c r="AC44" i="68"/>
  <c r="M46" i="46"/>
  <c r="M16" i="70"/>
  <c r="G11" i="56"/>
  <c r="C67" i="56"/>
  <c r="C97" i="56"/>
  <c r="AJ8" i="56"/>
  <c r="O52" i="100"/>
  <c r="P52" i="100" s="1"/>
  <c r="E53" i="100"/>
  <c r="H52" i="100"/>
  <c r="M98" i="56"/>
  <c r="M68" i="56"/>
  <c r="M29" i="39"/>
  <c r="C26" i="68"/>
  <c r="C79" i="68" s="1"/>
  <c r="C128" i="68" s="1"/>
  <c r="M29" i="44"/>
  <c r="T26" i="68"/>
  <c r="T79" i="68" s="1"/>
  <c r="T128" i="68" s="1"/>
  <c r="BP125" i="69"/>
  <c r="BU75" i="69"/>
  <c r="Q42" i="58"/>
  <c r="AD39" i="69"/>
  <c r="AD92" i="69" s="1"/>
  <c r="AG95" i="68"/>
  <c r="M44" i="98"/>
  <c r="K41" i="69"/>
  <c r="K94" i="69" s="1"/>
  <c r="H98" i="56"/>
  <c r="H68" i="56"/>
  <c r="S50" i="96"/>
  <c r="T50" i="96" s="1"/>
  <c r="F51" i="96"/>
  <c r="I50" i="96"/>
  <c r="D52" i="7"/>
  <c r="K51" i="7"/>
  <c r="L51" i="7" s="1"/>
  <c r="G51" i="7"/>
  <c r="U30" i="67"/>
  <c r="CF27" i="68"/>
  <c r="CF80" i="68" s="1"/>
  <c r="CF129" i="68" s="1"/>
  <c r="BK24" i="68"/>
  <c r="BQ24" i="68" s="1"/>
  <c r="Q17" i="70"/>
  <c r="J17" i="70"/>
  <c r="AS77" i="69"/>
  <c r="AS127" i="69" s="1"/>
  <c r="AR127" i="69"/>
  <c r="BG41" i="68"/>
  <c r="BG94" i="68" s="1"/>
  <c r="BE41" i="68"/>
  <c r="BE94" i="68" s="1"/>
  <c r="Q44" i="87"/>
  <c r="M44" i="85"/>
  <c r="U41" i="68"/>
  <c r="U94" i="68" s="1"/>
  <c r="K51" i="67"/>
  <c r="L51" i="67" s="1"/>
  <c r="D52" i="67"/>
  <c r="G51" i="67"/>
  <c r="M43" i="100"/>
  <c r="H40" i="68"/>
  <c r="H93" i="68" s="1"/>
  <c r="M43" i="103"/>
  <c r="P40" i="68"/>
  <c r="P93" i="68" s="1"/>
  <c r="AT26" i="68"/>
  <c r="AT79" i="68" s="1"/>
  <c r="AT128" i="68" s="1"/>
  <c r="Q29" i="64"/>
  <c r="O50" i="85"/>
  <c r="P50" i="85" s="1"/>
  <c r="E51" i="85"/>
  <c r="H50" i="85"/>
  <c r="U29" i="36"/>
  <c r="BB26" i="69"/>
  <c r="BB79" i="69" s="1"/>
  <c r="BB129" i="69" s="1"/>
  <c r="R78" i="69"/>
  <c r="B128" i="69"/>
  <c r="U45" i="104"/>
  <c r="CR42" i="68"/>
  <c r="CR95" i="68" s="1"/>
  <c r="B98" i="56"/>
  <c r="B68" i="56"/>
  <c r="Q29" i="40"/>
  <c r="AM26" i="68"/>
  <c r="AW78" i="69"/>
  <c r="BL25" i="69"/>
  <c r="B18" i="92" s="1"/>
  <c r="D67" i="56"/>
  <c r="D97" i="56"/>
  <c r="J54" i="89"/>
  <c r="L54" i="89" s="1"/>
  <c r="R54" i="89"/>
  <c r="T54" i="89" s="1"/>
  <c r="H54" i="89"/>
  <c r="I54" i="89"/>
  <c r="G54" i="89"/>
  <c r="D51" i="60"/>
  <c r="K50" i="60"/>
  <c r="L50" i="60" s="1"/>
  <c r="G50" i="60"/>
  <c r="J69" i="56"/>
  <c r="J99" i="56"/>
  <c r="J11" i="56"/>
  <c r="DB75" i="68"/>
  <c r="DB124" i="68" s="1"/>
  <c r="CZ124" i="68"/>
  <c r="M43" i="97"/>
  <c r="L40" i="69"/>
  <c r="L93" i="69" s="1"/>
  <c r="U28" i="66"/>
  <c r="CE25" i="68"/>
  <c r="CE78" i="68" s="1"/>
  <c r="CE127" i="68" s="1"/>
  <c r="U29" i="39"/>
  <c r="BU26" i="68"/>
  <c r="BU79" i="68" s="1"/>
  <c r="BU128" i="68" s="1"/>
  <c r="BN95" i="68"/>
  <c r="BP95" i="68" s="1"/>
  <c r="BP42" i="68"/>
  <c r="Q43" i="101"/>
  <c r="BB40" i="68"/>
  <c r="BB93" i="68" s="1"/>
  <c r="CA40" i="68"/>
  <c r="CA93" i="68" s="1"/>
  <c r="U43" i="99"/>
  <c r="Z128" i="69"/>
  <c r="AO78" i="69"/>
  <c r="E15" i="70"/>
  <c r="B10" i="56"/>
  <c r="S51" i="60"/>
  <c r="T51" i="60" s="1"/>
  <c r="F52" i="60"/>
  <c r="I51" i="60"/>
  <c r="D68" i="56"/>
  <c r="D98" i="56"/>
  <c r="U49" i="86"/>
  <c r="CO46" i="68"/>
  <c r="CO99" i="68" s="1"/>
  <c r="S50" i="80"/>
  <c r="T50" i="80" s="1"/>
  <c r="F51" i="80"/>
  <c r="I50" i="80"/>
  <c r="M44" i="104"/>
  <c r="Z41" i="68"/>
  <c r="Z94" i="68" s="1"/>
  <c r="U44" i="103"/>
  <c r="CH41" i="68"/>
  <c r="CH94" i="68" s="1"/>
  <c r="Q44" i="97"/>
  <c r="AI41" i="69"/>
  <c r="AI94" i="69" s="1"/>
  <c r="S50" i="23"/>
  <c r="T50" i="23" s="1"/>
  <c r="F51" i="23"/>
  <c r="I50" i="23"/>
  <c r="S50" i="1"/>
  <c r="T50" i="1" s="1"/>
  <c r="F51" i="1"/>
  <c r="I50" i="1"/>
  <c r="AQ79" i="69"/>
  <c r="AR26" i="69"/>
  <c r="AB125" i="68"/>
  <c r="AH76" i="68"/>
  <c r="AH125" i="68" s="1"/>
  <c r="M44" i="81"/>
  <c r="O41" i="69"/>
  <c r="O94" i="69" s="1"/>
  <c r="B79" i="69"/>
  <c r="K51" i="35"/>
  <c r="L51" i="35" s="1"/>
  <c r="D52" i="35"/>
  <c r="G51" i="35"/>
  <c r="U29" i="59"/>
  <c r="BN26" i="69"/>
  <c r="K50" i="86"/>
  <c r="L50" i="86" s="1"/>
  <c r="D51" i="86"/>
  <c r="G50" i="86"/>
  <c r="K50" i="80"/>
  <c r="L50" i="80" s="1"/>
  <c r="D51" i="80"/>
  <c r="G50" i="80"/>
  <c r="J53" i="83"/>
  <c r="L53" i="83" s="1"/>
  <c r="B54" i="83"/>
  <c r="N54" i="83"/>
  <c r="P54" i="83" s="1"/>
  <c r="R53" i="83"/>
  <c r="T53" i="83" s="1"/>
  <c r="I53" i="83"/>
  <c r="H53" i="83"/>
  <c r="G53" i="83"/>
  <c r="I52" i="38"/>
  <c r="J53" i="38"/>
  <c r="B54" i="38"/>
  <c r="N54" i="38"/>
  <c r="R53" i="38"/>
  <c r="G53" i="38"/>
  <c r="D51" i="1"/>
  <c r="K50" i="1"/>
  <c r="L50" i="1" s="1"/>
  <c r="G50" i="1"/>
  <c r="Q29" i="36"/>
  <c r="AE26" i="69"/>
  <c r="AE79" i="69" s="1"/>
  <c r="AE129" i="69" s="1"/>
  <c r="J53" i="80"/>
  <c r="B54" i="80"/>
  <c r="C54" i="80" s="1"/>
  <c r="N54" i="80"/>
  <c r="R53" i="80"/>
  <c r="H53" i="80"/>
  <c r="S50" i="98"/>
  <c r="T50" i="98" s="1"/>
  <c r="F51" i="98"/>
  <c r="I50" i="98"/>
  <c r="C53" i="38"/>
  <c r="K51" i="43"/>
  <c r="L51" i="43" s="1"/>
  <c r="D52" i="43"/>
  <c r="G51" i="43"/>
  <c r="Q43" i="86"/>
  <c r="BF40" i="68"/>
  <c r="BF93" i="68" s="1"/>
  <c r="CU97" i="68"/>
  <c r="Q29" i="7"/>
  <c r="AB26" i="69"/>
  <c r="AB79" i="69" s="1"/>
  <c r="AB129" i="69" s="1"/>
  <c r="BH42" i="69"/>
  <c r="BH95" i="69" s="1"/>
  <c r="U45" i="80"/>
  <c r="Q31" i="65"/>
  <c r="AU28" i="68"/>
  <c r="AU81" i="68" s="1"/>
  <c r="AU130" i="68" s="1"/>
  <c r="O50" i="59"/>
  <c r="P50" i="59" s="1"/>
  <c r="E51" i="59"/>
  <c r="H50" i="59"/>
  <c r="N9" i="56"/>
  <c r="N10" i="56"/>
  <c r="AP47" i="69" l="1"/>
  <c r="AP100" i="69" s="1"/>
  <c r="S49" i="45"/>
  <c r="M29" i="36"/>
  <c r="H26" i="69"/>
  <c r="S52" i="74"/>
  <c r="T52" i="74" s="1"/>
  <c r="U52" i="74" s="1"/>
  <c r="I52" i="74"/>
  <c r="F53" i="74"/>
  <c r="Q44" i="88"/>
  <c r="BH41" i="68"/>
  <c r="BH94" i="68" s="1"/>
  <c r="Q30" i="23"/>
  <c r="AA27" i="69"/>
  <c r="AA80" i="69" s="1"/>
  <c r="AA130" i="69" s="1"/>
  <c r="S48" i="69"/>
  <c r="S101" i="69" s="1"/>
  <c r="M50" i="45"/>
  <c r="Q31" i="1"/>
  <c r="Y28" i="69"/>
  <c r="Y81" i="69" s="1"/>
  <c r="Y131" i="69" s="1"/>
  <c r="AZ27" i="69"/>
  <c r="AZ80" i="69" s="1"/>
  <c r="AZ130" i="69" s="1"/>
  <c r="U30" i="35"/>
  <c r="Q51" i="63"/>
  <c r="BO48" i="68"/>
  <c r="BO101" i="68" s="1"/>
  <c r="M46" i="87"/>
  <c r="X43" i="68"/>
  <c r="X96" i="68" s="1"/>
  <c r="T128" i="69"/>
  <c r="U78" i="69"/>
  <c r="W46" i="47"/>
  <c r="Z46" i="47" s="1"/>
  <c r="N46" i="47"/>
  <c r="M30" i="62"/>
  <c r="J27" i="68"/>
  <c r="J80" i="68" s="1"/>
  <c r="J129" i="68" s="1"/>
  <c r="U45" i="89"/>
  <c r="CS42" i="68"/>
  <c r="CS95" i="68" s="1"/>
  <c r="AK28" i="68"/>
  <c r="AK81" i="68" s="1"/>
  <c r="AK130" i="68" s="1"/>
  <c r="Q31" i="38"/>
  <c r="M45" i="47"/>
  <c r="AD43" i="68"/>
  <c r="AD96" i="68" s="1"/>
  <c r="CC26" i="68"/>
  <c r="CC79" i="68" s="1"/>
  <c r="CC128" i="68" s="1"/>
  <c r="U29" i="64"/>
  <c r="M30" i="61"/>
  <c r="G27" i="68"/>
  <c r="G80" i="68" s="1"/>
  <c r="G129" i="68" s="1"/>
  <c r="Q30" i="39"/>
  <c r="AL27" i="68"/>
  <c r="AL80" i="68" s="1"/>
  <c r="AL129" i="68" s="1"/>
  <c r="M29" i="41"/>
  <c r="E26" i="68"/>
  <c r="E79" i="68" s="1"/>
  <c r="E128" i="68" s="1"/>
  <c r="AP48" i="69"/>
  <c r="AP101" i="69" s="1"/>
  <c r="S50" i="45"/>
  <c r="Q30" i="41"/>
  <c r="AN27" i="68"/>
  <c r="AN80" i="68" s="1"/>
  <c r="AN129" i="68" s="1"/>
  <c r="H51" i="98"/>
  <c r="E52" i="98"/>
  <c r="O51" i="98"/>
  <c r="P51" i="98" s="1"/>
  <c r="M29" i="65"/>
  <c r="L26" i="68"/>
  <c r="L79" i="68" s="1"/>
  <c r="L128" i="68" s="1"/>
  <c r="K70" i="56"/>
  <c r="K100" i="56"/>
  <c r="R17" i="70"/>
  <c r="U17" i="70" s="1"/>
  <c r="K17" i="70"/>
  <c r="K12" i="56" s="1"/>
  <c r="U127" i="69"/>
  <c r="Q44" i="99"/>
  <c r="AR41" i="68"/>
  <c r="AR94" i="68" s="1"/>
  <c r="CM41" i="68"/>
  <c r="CM94" i="68" s="1"/>
  <c r="U44" i="85"/>
  <c r="D48" i="47"/>
  <c r="K47" i="47"/>
  <c r="Q48" i="47"/>
  <c r="T48" i="47" s="1"/>
  <c r="CX127" i="68"/>
  <c r="CY78" i="68"/>
  <c r="CY127" i="68" s="1"/>
  <c r="AV27" i="69"/>
  <c r="AV80" i="69" s="1"/>
  <c r="AV130" i="69" s="1"/>
  <c r="U30" i="1"/>
  <c r="H53" i="47"/>
  <c r="E54" i="47"/>
  <c r="L53" i="47"/>
  <c r="CV43" i="68"/>
  <c r="CV96" i="68" s="1"/>
  <c r="Y45" i="47"/>
  <c r="E51" i="74"/>
  <c r="O50" i="74"/>
  <c r="P50" i="74" s="1"/>
  <c r="Q50" i="74" s="1"/>
  <c r="H50" i="74"/>
  <c r="U29" i="44"/>
  <c r="CL26" i="68"/>
  <c r="CL79" i="68" s="1"/>
  <c r="CL128" i="68" s="1"/>
  <c r="O52" i="63"/>
  <c r="P52" i="63" s="1"/>
  <c r="H52" i="63"/>
  <c r="E53" i="63"/>
  <c r="M29" i="37"/>
  <c r="I26" i="69"/>
  <c r="I79" i="69" s="1"/>
  <c r="I129" i="69" s="1"/>
  <c r="BK42" i="69"/>
  <c r="BK95" i="69" s="1"/>
  <c r="U45" i="83"/>
  <c r="M30" i="4"/>
  <c r="C27" i="69"/>
  <c r="C80" i="69" s="1"/>
  <c r="C130" i="69" s="1"/>
  <c r="D51" i="45"/>
  <c r="K51" i="45"/>
  <c r="N51" i="45" s="1"/>
  <c r="Q51" i="45"/>
  <c r="T51" i="45" s="1"/>
  <c r="D51" i="74"/>
  <c r="K50" i="74"/>
  <c r="L50" i="74" s="1"/>
  <c r="M50" i="74" s="1"/>
  <c r="G50" i="74"/>
  <c r="U26" i="69"/>
  <c r="K19" i="92" s="1"/>
  <c r="T79" i="69"/>
  <c r="CX27" i="68"/>
  <c r="U30" i="63"/>
  <c r="BM45" i="68"/>
  <c r="BM98" i="68" s="1"/>
  <c r="S47" i="47"/>
  <c r="M43" i="58"/>
  <c r="G40" i="69"/>
  <c r="G93" i="69" s="1"/>
  <c r="U45" i="82"/>
  <c r="BJ42" i="69"/>
  <c r="BJ95" i="69" s="1"/>
  <c r="U29" i="42"/>
  <c r="CG26" i="68"/>
  <c r="CG79" i="68" s="1"/>
  <c r="CG128" i="68" s="1"/>
  <c r="X29" i="23"/>
  <c r="U29" i="37"/>
  <c r="BC26" i="69"/>
  <c r="BC79" i="69" s="1"/>
  <c r="BC129" i="69" s="1"/>
  <c r="M29" i="64"/>
  <c r="K26" i="68"/>
  <c r="K79" i="68" s="1"/>
  <c r="K128" i="68" s="1"/>
  <c r="CY26" i="68"/>
  <c r="CX79" i="68"/>
  <c r="U16" i="70"/>
  <c r="U30" i="7"/>
  <c r="AY27" i="69"/>
  <c r="AY80" i="69" s="1"/>
  <c r="AY130" i="69" s="1"/>
  <c r="U45" i="101"/>
  <c r="CK42" i="68"/>
  <c r="CK95" i="68" s="1"/>
  <c r="F53" i="101"/>
  <c r="I52" i="101"/>
  <c r="S52" i="101"/>
  <c r="T52" i="101" s="1"/>
  <c r="Q33" i="35"/>
  <c r="AC30" i="69"/>
  <c r="AC83" i="69" s="1"/>
  <c r="AC133" i="69" s="1"/>
  <c r="AX27" i="69"/>
  <c r="AX80" i="69" s="1"/>
  <c r="AX130" i="69" s="1"/>
  <c r="U30" i="23"/>
  <c r="U44" i="87"/>
  <c r="CN41" i="68"/>
  <c r="CN94" i="68" s="1"/>
  <c r="CP41" i="68"/>
  <c r="CP94" i="68" s="1"/>
  <c r="Q46" i="82"/>
  <c r="AM43" i="69"/>
  <c r="AM96" i="69" s="1"/>
  <c r="M30" i="59"/>
  <c r="T27" i="69"/>
  <c r="DA79" i="68"/>
  <c r="M17" i="70"/>
  <c r="AG43" i="68"/>
  <c r="AG96" i="68"/>
  <c r="G52" i="48"/>
  <c r="J51" i="48"/>
  <c r="E53" i="46"/>
  <c r="H52" i="46"/>
  <c r="R53" i="47"/>
  <c r="F54" i="47"/>
  <c r="I53" i="47"/>
  <c r="S51" i="103"/>
  <c r="T51" i="103" s="1"/>
  <c r="F52" i="103"/>
  <c r="I51" i="103"/>
  <c r="M54" i="63"/>
  <c r="AF52" i="68" s="1"/>
  <c r="AF105" i="68" s="1"/>
  <c r="AF51" i="68"/>
  <c r="AF104" i="68" s="1"/>
  <c r="E52" i="64"/>
  <c r="O51" i="64"/>
  <c r="P51" i="64" s="1"/>
  <c r="H51" i="64"/>
  <c r="S51" i="100"/>
  <c r="T51" i="100" s="1"/>
  <c r="F52" i="100"/>
  <c r="I51" i="100"/>
  <c r="H51" i="38"/>
  <c r="O51" i="38"/>
  <c r="P51" i="38" s="1"/>
  <c r="E52" i="38"/>
  <c r="I52" i="97"/>
  <c r="S52" i="97"/>
  <c r="T52" i="97" s="1"/>
  <c r="F53" i="97"/>
  <c r="K52" i="35"/>
  <c r="L52" i="35" s="1"/>
  <c r="D53" i="35"/>
  <c r="G52" i="35"/>
  <c r="J19" i="92"/>
  <c r="S51" i="80"/>
  <c r="T51" i="80" s="1"/>
  <c r="F52" i="80"/>
  <c r="I51" i="80"/>
  <c r="S51" i="90"/>
  <c r="T51" i="90" s="1"/>
  <c r="F52" i="90"/>
  <c r="I51" i="90"/>
  <c r="DA128" i="68"/>
  <c r="M44" i="88"/>
  <c r="Y41" i="68"/>
  <c r="Y94" i="68" s="1"/>
  <c r="M45" i="84"/>
  <c r="V42" i="68"/>
  <c r="V95" i="68" s="1"/>
  <c r="O51" i="23"/>
  <c r="P51" i="23" s="1"/>
  <c r="E52" i="23"/>
  <c r="H51" i="23"/>
  <c r="N17" i="70"/>
  <c r="H12" i="56"/>
  <c r="M45" i="82"/>
  <c r="P42" i="69"/>
  <c r="P95" i="69" s="1"/>
  <c r="K51" i="1"/>
  <c r="L51" i="1" s="1"/>
  <c r="D52" i="1"/>
  <c r="G51" i="1"/>
  <c r="W78" i="69"/>
  <c r="R128" i="69"/>
  <c r="O51" i="85"/>
  <c r="P51" i="85" s="1"/>
  <c r="E52" i="85"/>
  <c r="H51" i="85"/>
  <c r="M44" i="100"/>
  <c r="H41" i="68"/>
  <c r="H94" i="68" s="1"/>
  <c r="CT25" i="68"/>
  <c r="J12" i="56"/>
  <c r="Q43" i="58"/>
  <c r="AD40" i="69"/>
  <c r="AD93" i="69" s="1"/>
  <c r="M30" i="44"/>
  <c r="T27" i="68"/>
  <c r="T80" i="68" s="1"/>
  <c r="T129" i="68" s="1"/>
  <c r="L47" i="46"/>
  <c r="N48" i="46" s="1"/>
  <c r="AC45" i="68"/>
  <c r="M47" i="46"/>
  <c r="U31" i="62"/>
  <c r="CB28" i="68"/>
  <c r="CB81" i="68" s="1"/>
  <c r="CB130" i="68" s="1"/>
  <c r="O51" i="103"/>
  <c r="P51" i="103" s="1"/>
  <c r="E52" i="103"/>
  <c r="H51" i="103"/>
  <c r="U29" i="61"/>
  <c r="BY26" i="68"/>
  <c r="BY79" i="68" s="1"/>
  <c r="U44" i="97"/>
  <c r="BF41" i="69"/>
  <c r="BF94" i="69" s="1"/>
  <c r="S51" i="64"/>
  <c r="T51" i="64" s="1"/>
  <c r="F52" i="64"/>
  <c r="I51" i="64"/>
  <c r="K49" i="46"/>
  <c r="W49" i="46" s="1"/>
  <c r="Z49" i="46" s="1"/>
  <c r="D50" i="46"/>
  <c r="Q50" i="46"/>
  <c r="T50" i="46" s="1"/>
  <c r="K52" i="85"/>
  <c r="L52" i="85" s="1"/>
  <c r="D53" i="85"/>
  <c r="G52" i="85"/>
  <c r="Q45" i="100"/>
  <c r="AQ42" i="68"/>
  <c r="AQ95" i="68" s="1"/>
  <c r="H70" i="56"/>
  <c r="H100" i="56"/>
  <c r="K52" i="100"/>
  <c r="L52" i="100" s="1"/>
  <c r="D53" i="100"/>
  <c r="G52" i="100"/>
  <c r="M31" i="23"/>
  <c r="D28" i="69"/>
  <c r="D81" i="69" s="1"/>
  <c r="D131" i="69" s="1"/>
  <c r="Q45" i="81"/>
  <c r="AL42" i="69"/>
  <c r="AL95" i="69" s="1"/>
  <c r="Q30" i="37"/>
  <c r="AF27" i="69"/>
  <c r="AF80" i="69" s="1"/>
  <c r="AF130" i="69" s="1"/>
  <c r="Q29" i="44"/>
  <c r="BC26" i="68"/>
  <c r="BC79" i="68" s="1"/>
  <c r="BC128" i="68" s="1"/>
  <c r="S54" i="85"/>
  <c r="T54" i="85" s="1"/>
  <c r="I54" i="85"/>
  <c r="BP126" i="69"/>
  <c r="BU76" i="69"/>
  <c r="Q47" i="85"/>
  <c r="BD44" i="68"/>
  <c r="BD97" i="68" s="1"/>
  <c r="BP25" i="69"/>
  <c r="K51" i="98"/>
  <c r="L51" i="98" s="1"/>
  <c r="D52" i="98"/>
  <c r="G51" i="98"/>
  <c r="M30" i="43"/>
  <c r="R27" i="68"/>
  <c r="R80" i="68" s="1"/>
  <c r="R129" i="68" s="1"/>
  <c r="M44" i="102"/>
  <c r="Q41" i="68"/>
  <c r="Q94" i="68" s="1"/>
  <c r="O51" i="1"/>
  <c r="P51" i="1" s="1"/>
  <c r="E52" i="1"/>
  <c r="H51" i="1"/>
  <c r="M45" i="99"/>
  <c r="I42" i="68"/>
  <c r="I95" i="68" s="1"/>
  <c r="U30" i="40"/>
  <c r="BV27" i="68"/>
  <c r="BV80" i="68" s="1"/>
  <c r="BV129" i="68" s="1"/>
  <c r="S54" i="63"/>
  <c r="T54" i="63" s="1"/>
  <c r="I54" i="63"/>
  <c r="BJ42" i="68"/>
  <c r="BJ95" i="68" s="1"/>
  <c r="Q45" i="89"/>
  <c r="S52" i="36"/>
  <c r="T52" i="36" s="1"/>
  <c r="F53" i="36"/>
  <c r="I52" i="36"/>
  <c r="B17" i="70"/>
  <c r="BQ77" i="69"/>
  <c r="CU98" i="68"/>
  <c r="M45" i="90"/>
  <c r="M42" i="69"/>
  <c r="M95" i="69" s="1"/>
  <c r="U31" i="38"/>
  <c r="BT28" i="68"/>
  <c r="BT81" i="68" s="1"/>
  <c r="O53" i="86"/>
  <c r="P53" i="86" s="1"/>
  <c r="E54" i="86"/>
  <c r="H53" i="86"/>
  <c r="A42" i="70"/>
  <c r="S51" i="7"/>
  <c r="T51" i="7" s="1"/>
  <c r="F52" i="7"/>
  <c r="I51" i="7"/>
  <c r="Q30" i="43"/>
  <c r="BA27" i="68"/>
  <c r="BA80" i="68" s="1"/>
  <c r="BA129" i="68" s="1"/>
  <c r="M30" i="66"/>
  <c r="M27" i="68"/>
  <c r="M80" i="68" s="1"/>
  <c r="M129" i="68" s="1"/>
  <c r="Q31" i="59"/>
  <c r="AQ28" i="69"/>
  <c r="S52" i="58"/>
  <c r="T52" i="58" s="1"/>
  <c r="F53" i="58"/>
  <c r="I52" i="58"/>
  <c r="O51" i="97"/>
  <c r="P51" i="97" s="1"/>
  <c r="E52" i="97"/>
  <c r="H51" i="97"/>
  <c r="CW43" i="68"/>
  <c r="CW96" i="68" s="1"/>
  <c r="Y45" i="48"/>
  <c r="X45" i="48"/>
  <c r="D52" i="99"/>
  <c r="K51" i="99"/>
  <c r="L51" i="99" s="1"/>
  <c r="G51" i="99"/>
  <c r="U44" i="102"/>
  <c r="CI41" i="68"/>
  <c r="CI94" i="68" s="1"/>
  <c r="AS25" i="69"/>
  <c r="E52" i="43"/>
  <c r="O51" i="43"/>
  <c r="P51" i="43" s="1"/>
  <c r="H51" i="43"/>
  <c r="N98" i="56"/>
  <c r="N68" i="56"/>
  <c r="S51" i="98"/>
  <c r="T51" i="98" s="1"/>
  <c r="F52" i="98"/>
  <c r="I51" i="98"/>
  <c r="BN79" i="69"/>
  <c r="BO26" i="69"/>
  <c r="CH42" i="68"/>
  <c r="CH95" i="68" s="1"/>
  <c r="U45" i="103"/>
  <c r="BG42" i="68"/>
  <c r="BG95" i="68" s="1"/>
  <c r="Q45" i="87"/>
  <c r="BE42" i="68"/>
  <c r="BE95" i="68" s="1"/>
  <c r="G70" i="56"/>
  <c r="G100" i="56"/>
  <c r="AC97" i="68"/>
  <c r="G12" i="56"/>
  <c r="Q31" i="4"/>
  <c r="Z28" i="69"/>
  <c r="K52" i="63"/>
  <c r="L52" i="63" s="1"/>
  <c r="D53" i="63"/>
  <c r="G52" i="63"/>
  <c r="Q31" i="67"/>
  <c r="AW28" i="68"/>
  <c r="AW81" i="68" s="1"/>
  <c r="AW130" i="68" s="1"/>
  <c r="U30" i="4"/>
  <c r="AW27" i="69"/>
  <c r="Y29" i="23"/>
  <c r="Q32" i="62"/>
  <c r="AS29" i="68"/>
  <c r="AS82" i="68" s="1"/>
  <c r="AS131" i="68" s="1"/>
  <c r="U30" i="60"/>
  <c r="BX27" i="68"/>
  <c r="BX80" i="68" s="1"/>
  <c r="BX129" i="68" s="1"/>
  <c r="BP77" i="69"/>
  <c r="BO127" i="69"/>
  <c r="M46" i="80"/>
  <c r="N43" i="69"/>
  <c r="N96" i="69" s="1"/>
  <c r="M30" i="7"/>
  <c r="E27" i="69"/>
  <c r="E80" i="69" s="1"/>
  <c r="E130" i="69" s="1"/>
  <c r="O52" i="99"/>
  <c r="P52" i="99" s="1"/>
  <c r="E53" i="99"/>
  <c r="H52" i="99"/>
  <c r="U30" i="41"/>
  <c r="BW27" i="68"/>
  <c r="BW80" i="68" s="1"/>
  <c r="BW129" i="68" s="1"/>
  <c r="S52" i="35"/>
  <c r="T52" i="35" s="1"/>
  <c r="F53" i="35"/>
  <c r="I52" i="35"/>
  <c r="K52" i="97"/>
  <c r="L52" i="97" s="1"/>
  <c r="D53" i="97"/>
  <c r="G52" i="97"/>
  <c r="Q31" i="66"/>
  <c r="AV28" i="68"/>
  <c r="AV81" i="68" s="1"/>
  <c r="AV130" i="68" s="1"/>
  <c r="DB76" i="68"/>
  <c r="DB125" i="68" s="1"/>
  <c r="CZ125" i="68"/>
  <c r="S52" i="66"/>
  <c r="T52" i="66" s="1"/>
  <c r="F53" i="66"/>
  <c r="I52" i="66"/>
  <c r="BY126" i="68"/>
  <c r="CT77" i="68"/>
  <c r="M31" i="42"/>
  <c r="O28" i="68"/>
  <c r="O81" i="68" s="1"/>
  <c r="O130" i="68" s="1"/>
  <c r="U30" i="59"/>
  <c r="BN27" i="69"/>
  <c r="M45" i="81"/>
  <c r="O42" i="69"/>
  <c r="O95" i="69" s="1"/>
  <c r="AQ129" i="69"/>
  <c r="AR79" i="69"/>
  <c r="B69" i="56"/>
  <c r="B99" i="56"/>
  <c r="N69" i="56"/>
  <c r="N99" i="56"/>
  <c r="Q32" i="65"/>
  <c r="AU29" i="68"/>
  <c r="AU82" i="68" s="1"/>
  <c r="AU131" i="68" s="1"/>
  <c r="Q30" i="7"/>
  <c r="AB27" i="69"/>
  <c r="AB80" i="69" s="1"/>
  <c r="AB130" i="69" s="1"/>
  <c r="Q44" i="86"/>
  <c r="BF41" i="68"/>
  <c r="BF94" i="68" s="1"/>
  <c r="C54" i="38"/>
  <c r="Q30" i="36"/>
  <c r="AE27" i="69"/>
  <c r="AE80" i="69" s="1"/>
  <c r="AE130" i="69" s="1"/>
  <c r="K51" i="86"/>
  <c r="L51" i="86" s="1"/>
  <c r="D52" i="86"/>
  <c r="G51" i="86"/>
  <c r="Q45" i="97"/>
  <c r="AI42" i="69"/>
  <c r="AI95" i="69" s="1"/>
  <c r="M45" i="104"/>
  <c r="Z42" i="68"/>
  <c r="Z95" i="68" s="1"/>
  <c r="J70" i="56"/>
  <c r="J100" i="56"/>
  <c r="AW128" i="69"/>
  <c r="BT78" i="69"/>
  <c r="BL78" i="69"/>
  <c r="U46" i="104"/>
  <c r="CR43" i="68"/>
  <c r="CR96" i="68" s="1"/>
  <c r="T17" i="70"/>
  <c r="D53" i="7"/>
  <c r="K52" i="7"/>
  <c r="L52" i="7" s="1"/>
  <c r="G52" i="7"/>
  <c r="CT78" i="68"/>
  <c r="BU125" i="69"/>
  <c r="BW75" i="69"/>
  <c r="BW125" i="69" s="1"/>
  <c r="M11" i="56"/>
  <c r="O51" i="58"/>
  <c r="P51" i="58" s="1"/>
  <c r="E52" i="58"/>
  <c r="H51" i="58"/>
  <c r="O51" i="96"/>
  <c r="P51" i="96" s="1"/>
  <c r="E52" i="96"/>
  <c r="H51" i="96"/>
  <c r="E98" i="56"/>
  <c r="E68" i="56"/>
  <c r="AB78" i="68"/>
  <c r="H18" i="70" s="1"/>
  <c r="B127" i="68"/>
  <c r="Q47" i="83"/>
  <c r="AN44" i="69"/>
  <c r="AN97" i="69" s="1"/>
  <c r="O51" i="66"/>
  <c r="P51" i="66" s="1"/>
  <c r="E52" i="66"/>
  <c r="H51" i="66"/>
  <c r="Q45" i="96"/>
  <c r="AG42" i="69"/>
  <c r="AG95" i="69" s="1"/>
  <c r="O53" i="67"/>
  <c r="P53" i="67" s="1"/>
  <c r="E54" i="67"/>
  <c r="H53" i="67"/>
  <c r="H17" i="92"/>
  <c r="N17" i="92" s="1"/>
  <c r="K52" i="66"/>
  <c r="L52" i="66" s="1"/>
  <c r="D53" i="66"/>
  <c r="G52" i="66"/>
  <c r="E16" i="70"/>
  <c r="B11" i="56"/>
  <c r="K52" i="23"/>
  <c r="L52" i="23" s="1"/>
  <c r="D53" i="23"/>
  <c r="G52" i="23"/>
  <c r="M44" i="101"/>
  <c r="S41" i="68"/>
  <c r="S94" i="68" s="1"/>
  <c r="Q46" i="90"/>
  <c r="AJ43" i="69"/>
  <c r="AJ96" i="69" s="1"/>
  <c r="O52" i="36"/>
  <c r="P52" i="36" s="1"/>
  <c r="E53" i="36"/>
  <c r="H52" i="36"/>
  <c r="BN128" i="69"/>
  <c r="BO78" i="69"/>
  <c r="O51" i="90"/>
  <c r="P51" i="90" s="1"/>
  <c r="E52" i="90"/>
  <c r="H51" i="90"/>
  <c r="U31" i="65"/>
  <c r="CD28" i="68"/>
  <c r="CD81" i="68" s="1"/>
  <c r="CD130" i="68" s="1"/>
  <c r="S52" i="67"/>
  <c r="T52" i="67" s="1"/>
  <c r="F53" i="67"/>
  <c r="I52" i="67"/>
  <c r="M46" i="83"/>
  <c r="Q43" i="69"/>
  <c r="Q96" i="69" s="1"/>
  <c r="Q44" i="98"/>
  <c r="AH41" i="69"/>
  <c r="AH94" i="69" s="1"/>
  <c r="S51" i="99"/>
  <c r="T51" i="99" s="1"/>
  <c r="F52" i="99"/>
  <c r="I51" i="99"/>
  <c r="C69" i="56"/>
  <c r="AJ10" i="56"/>
  <c r="C99" i="56"/>
  <c r="BK25" i="68"/>
  <c r="BQ25" i="68" s="1"/>
  <c r="O52" i="102"/>
  <c r="P52" i="102" s="1"/>
  <c r="E53" i="102"/>
  <c r="H52" i="102"/>
  <c r="M44" i="86"/>
  <c r="W41" i="68"/>
  <c r="W94" i="68" s="1"/>
  <c r="K52" i="96"/>
  <c r="L52" i="96" s="1"/>
  <c r="D53" i="96"/>
  <c r="G52" i="96"/>
  <c r="D52" i="36"/>
  <c r="K51" i="36"/>
  <c r="L51" i="36" s="1"/>
  <c r="G51" i="36"/>
  <c r="AP27" i="68"/>
  <c r="AP80" i="68" s="1"/>
  <c r="AP129" i="68" s="1"/>
  <c r="Q30" i="61"/>
  <c r="BT127" i="69"/>
  <c r="BV77" i="69"/>
  <c r="BV127" i="69" s="1"/>
  <c r="U43" i="58"/>
  <c r="BA40" i="69"/>
  <c r="BA93" i="69" s="1"/>
  <c r="BZ42" i="68"/>
  <c r="BZ95" i="68" s="1"/>
  <c r="U45" i="100"/>
  <c r="X30" i="23"/>
  <c r="U45" i="98"/>
  <c r="BE42" i="69"/>
  <c r="BE95" i="69" s="1"/>
  <c r="M29" i="67"/>
  <c r="N26" i="68"/>
  <c r="N79" i="68" s="1"/>
  <c r="N128" i="68" s="1"/>
  <c r="D99" i="56"/>
  <c r="D69" i="56"/>
  <c r="S52" i="59"/>
  <c r="T52" i="59" s="1"/>
  <c r="F53" i="59"/>
  <c r="I52" i="59"/>
  <c r="Q18" i="70"/>
  <c r="J18" i="70"/>
  <c r="AR128" i="69"/>
  <c r="AS78" i="69"/>
  <c r="AS128" i="69" s="1"/>
  <c r="Q46" i="104"/>
  <c r="BI43" i="68"/>
  <c r="BI96" i="68" s="1"/>
  <c r="Q45" i="102"/>
  <c r="AZ42" i="68"/>
  <c r="AZ95" i="68" s="1"/>
  <c r="B80" i="69"/>
  <c r="D11" i="56"/>
  <c r="K52" i="102"/>
  <c r="L52" i="102" s="1"/>
  <c r="D53" i="102"/>
  <c r="G52" i="102"/>
  <c r="BN96" i="68"/>
  <c r="BP96" i="68" s="1"/>
  <c r="BP43" i="68"/>
  <c r="F52" i="48"/>
  <c r="I51" i="48"/>
  <c r="AO26" i="69"/>
  <c r="AS26" i="69" s="1"/>
  <c r="BK126" i="68"/>
  <c r="BQ77" i="68"/>
  <c r="BQ126" i="68" s="1"/>
  <c r="K52" i="43"/>
  <c r="L52" i="43" s="1"/>
  <c r="D53" i="43"/>
  <c r="G52" i="43"/>
  <c r="J54" i="38"/>
  <c r="R54" i="38"/>
  <c r="J54" i="83"/>
  <c r="L54" i="83" s="1"/>
  <c r="R54" i="83"/>
  <c r="T54" i="83" s="1"/>
  <c r="I54" i="83"/>
  <c r="G54" i="83"/>
  <c r="H54" i="83"/>
  <c r="G18" i="70"/>
  <c r="AT78" i="69"/>
  <c r="AO128" i="69"/>
  <c r="U44" i="99"/>
  <c r="CA41" i="68"/>
  <c r="CA94" i="68" s="1"/>
  <c r="Q30" i="40"/>
  <c r="AM27" i="68"/>
  <c r="S51" i="96"/>
  <c r="T51" i="96" s="1"/>
  <c r="F52" i="96"/>
  <c r="I51" i="96"/>
  <c r="M30" i="60"/>
  <c r="F27" i="68"/>
  <c r="F80" i="68" s="1"/>
  <c r="F129" i="68" s="1"/>
  <c r="CU46" i="68"/>
  <c r="Y48" i="46"/>
  <c r="S53" i="38"/>
  <c r="T53" i="38" s="1"/>
  <c r="F54" i="38"/>
  <c r="S54" i="38" s="1"/>
  <c r="M30" i="38"/>
  <c r="B27" i="68"/>
  <c r="M44" i="96"/>
  <c r="J41" i="69"/>
  <c r="J94" i="69" s="1"/>
  <c r="BT129" i="68"/>
  <c r="AQ80" i="69"/>
  <c r="AR27" i="69"/>
  <c r="D52" i="59"/>
  <c r="K51" i="59"/>
  <c r="L51" i="59" s="1"/>
  <c r="G51" i="59"/>
  <c r="U46" i="88"/>
  <c r="CQ43" i="68"/>
  <c r="CQ96" i="68" s="1"/>
  <c r="S52" i="86"/>
  <c r="T52" i="86" s="1"/>
  <c r="F53" i="86"/>
  <c r="I52" i="86"/>
  <c r="I53" i="38"/>
  <c r="B129" i="69"/>
  <c r="U29" i="66"/>
  <c r="CE26" i="68"/>
  <c r="CE79" i="68" s="1"/>
  <c r="CE128" i="68" s="1"/>
  <c r="E52" i="59"/>
  <c r="O51" i="59"/>
  <c r="P51" i="59" s="1"/>
  <c r="H51" i="59"/>
  <c r="U46" i="80"/>
  <c r="BH43" i="69"/>
  <c r="BH96" i="69" s="1"/>
  <c r="J54" i="80"/>
  <c r="R54" i="80"/>
  <c r="K51" i="80"/>
  <c r="L51" i="80" s="1"/>
  <c r="D52" i="80"/>
  <c r="G51" i="80"/>
  <c r="S51" i="1"/>
  <c r="T51" i="1" s="1"/>
  <c r="F52" i="1"/>
  <c r="I51" i="1"/>
  <c r="S51" i="23"/>
  <c r="T51" i="23" s="1"/>
  <c r="F52" i="23"/>
  <c r="I51" i="23"/>
  <c r="U50" i="86"/>
  <c r="CO47" i="68"/>
  <c r="CO100" i="68" s="1"/>
  <c r="S52" i="60"/>
  <c r="T52" i="60" s="1"/>
  <c r="F53" i="60"/>
  <c r="I52" i="60"/>
  <c r="E10" i="56"/>
  <c r="Q44" i="101"/>
  <c r="BB41" i="68"/>
  <c r="BB94" i="68" s="1"/>
  <c r="U30" i="39"/>
  <c r="BU27" i="68"/>
  <c r="BU80" i="68" s="1"/>
  <c r="BU129" i="68" s="1"/>
  <c r="M44" i="97"/>
  <c r="L41" i="69"/>
  <c r="L94" i="69" s="1"/>
  <c r="K51" i="60"/>
  <c r="L51" i="60" s="1"/>
  <c r="D52" i="60"/>
  <c r="G51" i="60"/>
  <c r="AM79" i="68"/>
  <c r="U30" i="36"/>
  <c r="BB27" i="69"/>
  <c r="BB80" i="69" s="1"/>
  <c r="BB130" i="69" s="1"/>
  <c r="Q30" i="64"/>
  <c r="AT27" i="68"/>
  <c r="AT80" i="68" s="1"/>
  <c r="AT129" i="68" s="1"/>
  <c r="M44" i="103"/>
  <c r="P41" i="68"/>
  <c r="P94" i="68" s="1"/>
  <c r="K52" i="67"/>
  <c r="L52" i="67" s="1"/>
  <c r="D53" i="67"/>
  <c r="G52" i="67"/>
  <c r="M45" i="85"/>
  <c r="U42" i="68"/>
  <c r="U95" i="68" s="1"/>
  <c r="U31" i="67"/>
  <c r="CF28" i="68"/>
  <c r="CF81" i="68" s="1"/>
  <c r="CF130" i="68" s="1"/>
  <c r="M45" i="98"/>
  <c r="K42" i="69"/>
  <c r="K95" i="69" s="1"/>
  <c r="M30" i="39"/>
  <c r="C27" i="68"/>
  <c r="C80" i="68" s="1"/>
  <c r="C129" i="68" s="1"/>
  <c r="O53" i="100"/>
  <c r="P53" i="100" s="1"/>
  <c r="E54" i="100"/>
  <c r="H53" i="100"/>
  <c r="AB126" i="68"/>
  <c r="AH77" i="68"/>
  <c r="AH126" i="68" s="1"/>
  <c r="S52" i="43"/>
  <c r="T52" i="43" s="1"/>
  <c r="F53" i="43"/>
  <c r="I52" i="43"/>
  <c r="L46" i="48"/>
  <c r="N47" i="48" s="1"/>
  <c r="AE44" i="68"/>
  <c r="AE97" i="68" s="1"/>
  <c r="M46" i="48"/>
  <c r="K53" i="38"/>
  <c r="L53" i="38" s="1"/>
  <c r="D54" i="38"/>
  <c r="K54" i="38" s="1"/>
  <c r="Z80" i="69"/>
  <c r="BL47" i="68"/>
  <c r="S49" i="46"/>
  <c r="M45" i="89"/>
  <c r="AA42" i="68"/>
  <c r="AA95" i="68" s="1"/>
  <c r="M99" i="56"/>
  <c r="M69" i="56"/>
  <c r="O52" i="7"/>
  <c r="P52" i="7" s="1"/>
  <c r="E53" i="7"/>
  <c r="H52" i="7"/>
  <c r="Q30" i="60"/>
  <c r="AO27" i="68"/>
  <c r="AO80" i="68" s="1"/>
  <c r="AO129" i="68" s="1"/>
  <c r="N11" i="56"/>
  <c r="U46" i="81"/>
  <c r="BI43" i="69"/>
  <c r="BI96" i="69" s="1"/>
  <c r="AW79" i="69"/>
  <c r="K48" i="48"/>
  <c r="W48" i="48" s="1"/>
  <c r="D49" i="48"/>
  <c r="Q49" i="48"/>
  <c r="BL99" i="68"/>
  <c r="O53" i="80"/>
  <c r="P53" i="80" s="1"/>
  <c r="E54" i="80"/>
  <c r="O54" i="80" s="1"/>
  <c r="P54" i="80" s="1"/>
  <c r="K52" i="90"/>
  <c r="L52" i="90" s="1"/>
  <c r="D53" i="90"/>
  <c r="G52" i="90"/>
  <c r="U46" i="90"/>
  <c r="BG43" i="69"/>
  <c r="BG96" i="69" s="1"/>
  <c r="E52" i="60"/>
  <c r="O51" i="60"/>
  <c r="P51" i="60" s="1"/>
  <c r="H51" i="60"/>
  <c r="Q44" i="103"/>
  <c r="AY41" i="68"/>
  <c r="AY94" i="68" s="1"/>
  <c r="M30" i="35"/>
  <c r="F27" i="69"/>
  <c r="F80" i="69" s="1"/>
  <c r="F130" i="69" s="1"/>
  <c r="U45" i="96"/>
  <c r="BD42" i="69"/>
  <c r="BD95" i="69" s="1"/>
  <c r="AM127" i="68"/>
  <c r="BK78" i="68"/>
  <c r="Q30" i="42"/>
  <c r="AX27" i="68"/>
  <c r="AX80" i="68" s="1"/>
  <c r="AX129" i="68" s="1"/>
  <c r="B79" i="68"/>
  <c r="H18" i="92"/>
  <c r="N18" i="92" s="1"/>
  <c r="V25" i="69"/>
  <c r="S52" i="102"/>
  <c r="T52" i="102" s="1"/>
  <c r="F53" i="102"/>
  <c r="I52" i="102"/>
  <c r="K52" i="58"/>
  <c r="L52" i="58" s="1"/>
  <c r="D53" i="58"/>
  <c r="G52" i="58"/>
  <c r="G17" i="92"/>
  <c r="M17" i="92" s="1"/>
  <c r="C54" i="83"/>
  <c r="M30" i="40"/>
  <c r="D27" i="68"/>
  <c r="D80" i="68" s="1"/>
  <c r="D129" i="68" s="1"/>
  <c r="O51" i="35"/>
  <c r="P51" i="35" s="1"/>
  <c r="E52" i="35"/>
  <c r="H51" i="35"/>
  <c r="K52" i="64"/>
  <c r="L52" i="64" s="1"/>
  <c r="D53" i="64"/>
  <c r="G52" i="64"/>
  <c r="M31" i="1"/>
  <c r="B28" i="69"/>
  <c r="C11" i="56"/>
  <c r="D52" i="103"/>
  <c r="K51" i="103"/>
  <c r="L51" i="103" s="1"/>
  <c r="G51" i="103"/>
  <c r="U31" i="43"/>
  <c r="CJ28" i="68"/>
  <c r="CJ81" i="68" s="1"/>
  <c r="CJ130" i="68" s="1"/>
  <c r="AK42" i="69"/>
  <c r="AK95" i="69" s="1"/>
  <c r="Q45" i="80"/>
  <c r="R46" i="48"/>
  <c r="T47" i="48" s="1"/>
  <c r="BN44" i="68"/>
  <c r="Z46" i="48"/>
  <c r="S46" i="48"/>
  <c r="D17" i="92"/>
  <c r="C17" i="92"/>
  <c r="E17" i="92" s="1"/>
  <c r="CZ24" i="68"/>
  <c r="Z129" i="69"/>
  <c r="AO79" i="69"/>
  <c r="E52" i="101"/>
  <c r="O51" i="101"/>
  <c r="P51" i="101" s="1"/>
  <c r="H51" i="101"/>
  <c r="K51" i="101"/>
  <c r="L51" i="101" s="1"/>
  <c r="D52" i="101"/>
  <c r="G51" i="101"/>
  <c r="K27" i="68" l="1"/>
  <c r="K80" i="68" s="1"/>
  <c r="K129" i="68" s="1"/>
  <c r="M30" i="64"/>
  <c r="G51" i="74"/>
  <c r="K51" i="74"/>
  <c r="L51" i="74" s="1"/>
  <c r="M51" i="74" s="1"/>
  <c r="D52" i="74"/>
  <c r="W47" i="47"/>
  <c r="Z47" i="47" s="1"/>
  <c r="N47" i="47"/>
  <c r="AK29" i="68"/>
  <c r="AK82" i="68" s="1"/>
  <c r="AK131" i="68" s="1"/>
  <c r="Q32" i="38"/>
  <c r="F54" i="74"/>
  <c r="I53" i="74"/>
  <c r="S53" i="74"/>
  <c r="T53" i="74" s="1"/>
  <c r="U53" i="74" s="1"/>
  <c r="CX128" i="68"/>
  <c r="CY79" i="68"/>
  <c r="CY128" i="68" s="1"/>
  <c r="AP49" i="69"/>
  <c r="AP102" i="69" s="1"/>
  <c r="S51" i="45"/>
  <c r="Q31" i="39"/>
  <c r="AL28" i="68"/>
  <c r="AL81" i="68" s="1"/>
  <c r="AL130" i="68" s="1"/>
  <c r="BO49" i="68"/>
  <c r="BO102" i="68" s="1"/>
  <c r="Q52" i="63"/>
  <c r="Q32" i="1"/>
  <c r="Y29" i="69"/>
  <c r="Y82" i="69" s="1"/>
  <c r="Y132" i="69" s="1"/>
  <c r="AA28" i="69"/>
  <c r="AA81" i="69" s="1"/>
  <c r="AA131" i="69" s="1"/>
  <c r="Q31" i="23"/>
  <c r="BL26" i="69"/>
  <c r="B19" i="92" s="1"/>
  <c r="AO27" i="69"/>
  <c r="BK26" i="68"/>
  <c r="BQ26" i="68" s="1"/>
  <c r="T80" i="69"/>
  <c r="U27" i="69"/>
  <c r="K20" i="92" s="1"/>
  <c r="BC27" i="69"/>
  <c r="BC80" i="69" s="1"/>
  <c r="BC130" i="69" s="1"/>
  <c r="U30" i="37"/>
  <c r="U31" i="63"/>
  <c r="CX28" i="68"/>
  <c r="S49" i="69"/>
  <c r="S102" i="69" s="1"/>
  <c r="M51" i="45"/>
  <c r="BK43" i="69"/>
  <c r="BK96" i="69" s="1"/>
  <c r="U46" i="83"/>
  <c r="O53" i="63"/>
  <c r="P53" i="63" s="1"/>
  <c r="E54" i="63"/>
  <c r="H53" i="63"/>
  <c r="CL27" i="68"/>
  <c r="CL80" i="68" s="1"/>
  <c r="CL129" i="68" s="1"/>
  <c r="U30" i="44"/>
  <c r="CM42" i="68"/>
  <c r="CM95" i="68" s="1"/>
  <c r="U45" i="85"/>
  <c r="AD44" i="68"/>
  <c r="AD97" i="68" s="1"/>
  <c r="AG97" i="68" s="1"/>
  <c r="M46" i="47"/>
  <c r="AZ28" i="69"/>
  <c r="AZ81" i="69" s="1"/>
  <c r="AZ131" i="69" s="1"/>
  <c r="U31" i="35"/>
  <c r="X31" i="23"/>
  <c r="CP42" i="68"/>
  <c r="CP95" i="68" s="1"/>
  <c r="U45" i="87"/>
  <c r="CN42" i="68"/>
  <c r="CN95" i="68" s="1"/>
  <c r="Q34" i="35"/>
  <c r="AC31" i="69"/>
  <c r="AC84" i="69" s="1"/>
  <c r="AC134" i="69" s="1"/>
  <c r="T129" i="69"/>
  <c r="U79" i="69"/>
  <c r="M30" i="65"/>
  <c r="L27" i="68"/>
  <c r="L80" i="68" s="1"/>
  <c r="L129" i="68" s="1"/>
  <c r="O52" i="98"/>
  <c r="P52" i="98" s="1"/>
  <c r="H52" i="98"/>
  <c r="E53" i="98"/>
  <c r="U30" i="64"/>
  <c r="CC27" i="68"/>
  <c r="CC80" i="68" s="1"/>
  <c r="CC129" i="68" s="1"/>
  <c r="R18" i="70"/>
  <c r="K18" i="70"/>
  <c r="K13" i="56" s="1"/>
  <c r="U128" i="69"/>
  <c r="M30" i="36"/>
  <c r="H27" i="69"/>
  <c r="H80" i="69" s="1"/>
  <c r="Q47" i="82"/>
  <c r="AM44" i="69"/>
  <c r="AM97" i="69" s="1"/>
  <c r="U31" i="23"/>
  <c r="AX28" i="69"/>
  <c r="AX81" i="69" s="1"/>
  <c r="AX131" i="69" s="1"/>
  <c r="CK43" i="68"/>
  <c r="CK96" i="68" s="1"/>
  <c r="U46" i="101"/>
  <c r="U46" i="82"/>
  <c r="BJ43" i="69"/>
  <c r="BJ96" i="69" s="1"/>
  <c r="M31" i="4"/>
  <c r="W31" i="23" s="1"/>
  <c r="C28" i="69"/>
  <c r="C81" i="69" s="1"/>
  <c r="C131" i="69" s="1"/>
  <c r="M30" i="37"/>
  <c r="I27" i="69"/>
  <c r="I80" i="69" s="1"/>
  <c r="I130" i="69" s="1"/>
  <c r="H51" i="74"/>
  <c r="O51" i="74"/>
  <c r="P51" i="74" s="1"/>
  <c r="Q51" i="74" s="1"/>
  <c r="E52" i="74"/>
  <c r="H54" i="47"/>
  <c r="L54" i="47"/>
  <c r="K48" i="47"/>
  <c r="Q49" i="47"/>
  <c r="T49" i="47" s="1"/>
  <c r="D49" i="47"/>
  <c r="AR42" i="68"/>
  <c r="AR95" i="68" s="1"/>
  <c r="Q45" i="99"/>
  <c r="M31" i="62"/>
  <c r="J28" i="68"/>
  <c r="J81" i="68" s="1"/>
  <c r="J130" i="68" s="1"/>
  <c r="W30" i="23"/>
  <c r="V78" i="69"/>
  <c r="V128" i="69" s="1"/>
  <c r="G18" i="92"/>
  <c r="M18" i="92" s="1"/>
  <c r="M31" i="59"/>
  <c r="T28" i="69"/>
  <c r="S53" i="101"/>
  <c r="T53" i="101" s="1"/>
  <c r="F54" i="101"/>
  <c r="I53" i="101"/>
  <c r="AY28" i="69"/>
  <c r="AY81" i="69" s="1"/>
  <c r="AY131" i="69" s="1"/>
  <c r="U31" i="7"/>
  <c r="CG27" i="68"/>
  <c r="CG80" i="68" s="1"/>
  <c r="CG129" i="68" s="1"/>
  <c r="U30" i="42"/>
  <c r="G41" i="69"/>
  <c r="G94" i="69" s="1"/>
  <c r="M44" i="58"/>
  <c r="CY27" i="68"/>
  <c r="DB27" i="68" s="1"/>
  <c r="CX80" i="68"/>
  <c r="D52" i="45"/>
  <c r="K52" i="45"/>
  <c r="N52" i="45" s="1"/>
  <c r="AV28" i="69"/>
  <c r="AV81" i="69" s="1"/>
  <c r="AV131" i="69" s="1"/>
  <c r="U31" i="1"/>
  <c r="S48" i="47"/>
  <c r="BM46" i="68"/>
  <c r="BM99" i="68" s="1"/>
  <c r="K101" i="56"/>
  <c r="K71" i="56"/>
  <c r="AN28" i="68"/>
  <c r="AN81" i="68" s="1"/>
  <c r="AN130" i="68" s="1"/>
  <c r="Q31" i="41"/>
  <c r="E27" i="68"/>
  <c r="E80" i="68" s="1"/>
  <c r="E129" i="68" s="1"/>
  <c r="M30" i="41"/>
  <c r="M31" i="61"/>
  <c r="G28" i="68"/>
  <c r="G81" i="68" s="1"/>
  <c r="G130" i="68" s="1"/>
  <c r="CS43" i="68"/>
  <c r="CS96" i="68" s="1"/>
  <c r="U46" i="89"/>
  <c r="CV44" i="68"/>
  <c r="CV97" i="68" s="1"/>
  <c r="Y46" i="47"/>
  <c r="X44" i="68"/>
  <c r="X97" i="68" s="1"/>
  <c r="M47" i="87"/>
  <c r="Q45" i="88"/>
  <c r="BH42" i="68"/>
  <c r="BH95" i="68" s="1"/>
  <c r="H79" i="69"/>
  <c r="R26" i="69"/>
  <c r="V26" i="69" s="1"/>
  <c r="G53" i="48"/>
  <c r="J52" i="48"/>
  <c r="E54" i="46"/>
  <c r="H54" i="46" s="1"/>
  <c r="H53" i="46"/>
  <c r="R54" i="47"/>
  <c r="I54" i="47"/>
  <c r="I52" i="103"/>
  <c r="F53" i="103"/>
  <c r="S52" i="103"/>
  <c r="T52" i="103" s="1"/>
  <c r="H52" i="64"/>
  <c r="O52" i="64"/>
  <c r="P52" i="64" s="1"/>
  <c r="E53" i="64"/>
  <c r="I52" i="100"/>
  <c r="F53" i="100"/>
  <c r="S52" i="100"/>
  <c r="T52" i="100" s="1"/>
  <c r="DA80" i="68"/>
  <c r="DA129" i="68" s="1"/>
  <c r="T54" i="38"/>
  <c r="H52" i="38"/>
  <c r="E53" i="38"/>
  <c r="O52" i="38"/>
  <c r="P52" i="38" s="1"/>
  <c r="G54" i="38"/>
  <c r="I53" i="97"/>
  <c r="F54" i="97"/>
  <c r="S53" i="97"/>
  <c r="T53" i="97" s="1"/>
  <c r="M45" i="103"/>
  <c r="P42" i="68"/>
  <c r="P95" i="68" s="1"/>
  <c r="U31" i="39"/>
  <c r="BU28" i="68"/>
  <c r="R80" i="69"/>
  <c r="B130" i="69"/>
  <c r="Q47" i="104"/>
  <c r="BI44" i="68"/>
  <c r="BI97" i="68" s="1"/>
  <c r="S53" i="59"/>
  <c r="T53" i="59" s="1"/>
  <c r="F54" i="59"/>
  <c r="I53" i="59"/>
  <c r="K52" i="36"/>
  <c r="L52" i="36" s="1"/>
  <c r="D53" i="36"/>
  <c r="G52" i="36"/>
  <c r="S52" i="98"/>
  <c r="T52" i="98" s="1"/>
  <c r="F53" i="98"/>
  <c r="I52" i="98"/>
  <c r="M31" i="44"/>
  <c r="T28" i="68"/>
  <c r="T81" i="68" s="1"/>
  <c r="T130" i="68" s="1"/>
  <c r="M45" i="101"/>
  <c r="S42" i="68"/>
  <c r="S95" i="68" s="1"/>
  <c r="K53" i="23"/>
  <c r="L53" i="23" s="1"/>
  <c r="D54" i="23"/>
  <c r="G53" i="23"/>
  <c r="E11" i="56"/>
  <c r="Q48" i="83"/>
  <c r="AN45" i="69"/>
  <c r="AN98" i="69" s="1"/>
  <c r="M46" i="104"/>
  <c r="Z43" i="68"/>
  <c r="Z96" i="68" s="1"/>
  <c r="C17" i="70"/>
  <c r="E17" i="70" s="1"/>
  <c r="D17" i="70"/>
  <c r="CT126" i="68"/>
  <c r="CZ77" i="68"/>
  <c r="K53" i="97"/>
  <c r="L53" i="97" s="1"/>
  <c r="D54" i="97"/>
  <c r="G53" i="97"/>
  <c r="O53" i="99"/>
  <c r="P53" i="99" s="1"/>
  <c r="E54" i="99"/>
  <c r="H53" i="99"/>
  <c r="Q32" i="67"/>
  <c r="AW29" i="68"/>
  <c r="AW82" i="68" s="1"/>
  <c r="AW131" i="68" s="1"/>
  <c r="G53" i="63"/>
  <c r="K53" i="63"/>
  <c r="L53" i="63" s="1"/>
  <c r="D54" i="63"/>
  <c r="Q32" i="4"/>
  <c r="Z29" i="69"/>
  <c r="U46" i="103"/>
  <c r="CH43" i="68"/>
  <c r="CH96" i="68" s="1"/>
  <c r="Q32" i="59"/>
  <c r="AQ29" i="69"/>
  <c r="M31" i="66"/>
  <c r="M28" i="68"/>
  <c r="M81" i="68" s="1"/>
  <c r="M130" i="68" s="1"/>
  <c r="O54" i="86"/>
  <c r="P54" i="86" s="1"/>
  <c r="H54" i="86"/>
  <c r="O52" i="1"/>
  <c r="P52" i="1" s="1"/>
  <c r="E53" i="1"/>
  <c r="H52" i="1"/>
  <c r="K53" i="85"/>
  <c r="L53" i="85" s="1"/>
  <c r="D54" i="85"/>
  <c r="G53" i="85"/>
  <c r="U32" i="62"/>
  <c r="CB29" i="68"/>
  <c r="CB82" i="68" s="1"/>
  <c r="CB131" i="68" s="1"/>
  <c r="J71" i="56"/>
  <c r="J101" i="56"/>
  <c r="M45" i="100"/>
  <c r="H42" i="68"/>
  <c r="H95" i="68" s="1"/>
  <c r="CW44" i="68"/>
  <c r="CW97" i="68" s="1"/>
  <c r="X46" i="48"/>
  <c r="Y46" i="48"/>
  <c r="BL100" i="68"/>
  <c r="U31" i="36"/>
  <c r="BB28" i="69"/>
  <c r="BB81" i="69" s="1"/>
  <c r="BB131" i="69" s="1"/>
  <c r="S53" i="60"/>
  <c r="T53" i="60" s="1"/>
  <c r="F54" i="60"/>
  <c r="I53" i="60"/>
  <c r="U47" i="80"/>
  <c r="BH44" i="69"/>
  <c r="BH97" i="69" s="1"/>
  <c r="AQ130" i="69"/>
  <c r="AR80" i="69"/>
  <c r="M45" i="96"/>
  <c r="J42" i="69"/>
  <c r="J95" i="69" s="1"/>
  <c r="M31" i="60"/>
  <c r="F28" i="68"/>
  <c r="F81" i="68" s="1"/>
  <c r="F130" i="68" s="1"/>
  <c r="M47" i="83"/>
  <c r="Q44" i="69"/>
  <c r="Q97" i="69" s="1"/>
  <c r="C18" i="70"/>
  <c r="D18" i="70"/>
  <c r="CT127" i="68"/>
  <c r="CZ78" i="68"/>
  <c r="BT128" i="69"/>
  <c r="BV78" i="69"/>
  <c r="BV128" i="69" s="1"/>
  <c r="U31" i="59"/>
  <c r="BN28" i="69"/>
  <c r="M32" i="42"/>
  <c r="O29" i="68"/>
  <c r="O82" i="68" s="1"/>
  <c r="O131" i="68" s="1"/>
  <c r="S53" i="66"/>
  <c r="T53" i="66" s="1"/>
  <c r="F54" i="66"/>
  <c r="I53" i="66"/>
  <c r="Z81" i="69"/>
  <c r="AQ81" i="69"/>
  <c r="AR28" i="69"/>
  <c r="S52" i="7"/>
  <c r="T52" i="7" s="1"/>
  <c r="F53" i="7"/>
  <c r="I52" i="7"/>
  <c r="S53" i="36"/>
  <c r="T53" i="36" s="1"/>
  <c r="F54" i="36"/>
  <c r="I53" i="36"/>
  <c r="M45" i="102"/>
  <c r="Q42" i="68"/>
  <c r="Q95" i="68" s="1"/>
  <c r="Q30" i="44"/>
  <c r="BC27" i="68"/>
  <c r="BC80" i="68" s="1"/>
  <c r="BC129" i="68" s="1"/>
  <c r="Q46" i="81"/>
  <c r="AL43" i="69"/>
  <c r="AL96" i="69" s="1"/>
  <c r="L48" i="46"/>
  <c r="N49" i="46" s="1"/>
  <c r="AC46" i="68"/>
  <c r="M48" i="46"/>
  <c r="D53" i="1"/>
  <c r="K52" i="1"/>
  <c r="L52" i="1" s="1"/>
  <c r="G52" i="1"/>
  <c r="O52" i="23"/>
  <c r="P52" i="23" s="1"/>
  <c r="E53" i="23"/>
  <c r="H52" i="23"/>
  <c r="M45" i="88"/>
  <c r="Y42" i="68"/>
  <c r="Y95" i="68" s="1"/>
  <c r="D53" i="101"/>
  <c r="K52" i="101"/>
  <c r="L52" i="101" s="1"/>
  <c r="G52" i="101"/>
  <c r="E53" i="101"/>
  <c r="O52" i="101"/>
  <c r="P52" i="101" s="1"/>
  <c r="H52" i="101"/>
  <c r="K52" i="103"/>
  <c r="L52" i="103" s="1"/>
  <c r="D53" i="103"/>
  <c r="G52" i="103"/>
  <c r="K53" i="64"/>
  <c r="L53" i="64" s="1"/>
  <c r="D54" i="64"/>
  <c r="G53" i="64"/>
  <c r="Q31" i="42"/>
  <c r="AX28" i="68"/>
  <c r="AX81" i="68" s="1"/>
  <c r="AX130" i="68" s="1"/>
  <c r="M46" i="98"/>
  <c r="K43" i="69"/>
  <c r="K96" i="69" s="1"/>
  <c r="D53" i="60"/>
  <c r="K52" i="60"/>
  <c r="L52" i="60" s="1"/>
  <c r="G52" i="60"/>
  <c r="E69" i="56"/>
  <c r="E99" i="56"/>
  <c r="S52" i="23"/>
  <c r="T52" i="23" s="1"/>
  <c r="F53" i="23"/>
  <c r="I52" i="23"/>
  <c r="U30" i="66"/>
  <c r="CE27" i="68"/>
  <c r="CE80" i="68" s="1"/>
  <c r="CE129" i="68" s="1"/>
  <c r="B80" i="68"/>
  <c r="U45" i="99"/>
  <c r="CA42" i="68"/>
  <c r="CA95" i="68" s="1"/>
  <c r="K53" i="43"/>
  <c r="L53" i="43" s="1"/>
  <c r="D54" i="43"/>
  <c r="G53" i="43"/>
  <c r="D100" i="56"/>
  <c r="D70" i="56"/>
  <c r="M30" i="67"/>
  <c r="N27" i="68"/>
  <c r="N80" i="68" s="1"/>
  <c r="N129" i="68" s="1"/>
  <c r="U44" i="58"/>
  <c r="BA41" i="69"/>
  <c r="BA94" i="69" s="1"/>
  <c r="E53" i="90"/>
  <c r="O52" i="90"/>
  <c r="P52" i="90" s="1"/>
  <c r="H52" i="90"/>
  <c r="AT79" i="69"/>
  <c r="AO129" i="69"/>
  <c r="R47" i="48"/>
  <c r="T48" i="48" s="1"/>
  <c r="BN45" i="68"/>
  <c r="Z47" i="48"/>
  <c r="S47" i="48"/>
  <c r="U32" i="43"/>
  <c r="CJ29" i="68"/>
  <c r="CJ82" i="68" s="1"/>
  <c r="CJ131" i="68" s="1"/>
  <c r="C70" i="56"/>
  <c r="AJ11" i="56"/>
  <c r="C100" i="56"/>
  <c r="O52" i="35"/>
  <c r="P52" i="35" s="1"/>
  <c r="E53" i="35"/>
  <c r="H52" i="35"/>
  <c r="S53" i="102"/>
  <c r="T53" i="102" s="1"/>
  <c r="F54" i="102"/>
  <c r="I53" i="102"/>
  <c r="AB26" i="68"/>
  <c r="BK127" i="68"/>
  <c r="BQ78" i="68"/>
  <c r="BQ127" i="68" s="1"/>
  <c r="BG44" i="69"/>
  <c r="BG97" i="69" s="1"/>
  <c r="U47" i="90"/>
  <c r="K49" i="48"/>
  <c r="W49" i="48" s="1"/>
  <c r="D50" i="48"/>
  <c r="Q50" i="48"/>
  <c r="M46" i="89"/>
  <c r="AA43" i="68"/>
  <c r="AA96" i="68" s="1"/>
  <c r="Z130" i="69"/>
  <c r="AO80" i="69"/>
  <c r="AT80" i="69" s="1"/>
  <c r="M31" i="39"/>
  <c r="C28" i="68"/>
  <c r="C81" i="68" s="1"/>
  <c r="C130" i="68" s="1"/>
  <c r="Q31" i="64"/>
  <c r="AT28" i="68"/>
  <c r="AT81" i="68" s="1"/>
  <c r="AT130" i="68" s="1"/>
  <c r="M45" i="97"/>
  <c r="L42" i="69"/>
  <c r="L95" i="69" s="1"/>
  <c r="Q45" i="101"/>
  <c r="BB42" i="68"/>
  <c r="BB95" i="68" s="1"/>
  <c r="S53" i="86"/>
  <c r="T53" i="86" s="1"/>
  <c r="F54" i="86"/>
  <c r="I53" i="86"/>
  <c r="K52" i="59"/>
  <c r="L52" i="59" s="1"/>
  <c r="D53" i="59"/>
  <c r="G52" i="59"/>
  <c r="M31" i="38"/>
  <c r="B28" i="68"/>
  <c r="CU99" i="68"/>
  <c r="S52" i="96"/>
  <c r="T52" i="96" s="1"/>
  <c r="F53" i="96"/>
  <c r="I52" i="96"/>
  <c r="AM80" i="68"/>
  <c r="BK27" i="68"/>
  <c r="BQ27" i="68" s="1"/>
  <c r="L54" i="38"/>
  <c r="Q46" i="102"/>
  <c r="AZ43" i="68"/>
  <c r="AZ96" i="68" s="1"/>
  <c r="U46" i="100"/>
  <c r="BZ43" i="68"/>
  <c r="BZ96" i="68" s="1"/>
  <c r="K53" i="96"/>
  <c r="L53" i="96" s="1"/>
  <c r="D54" i="96"/>
  <c r="G53" i="96"/>
  <c r="Q45" i="98"/>
  <c r="AH42" i="69"/>
  <c r="AH95" i="69" s="1"/>
  <c r="S53" i="67"/>
  <c r="T53" i="67" s="1"/>
  <c r="F54" i="67"/>
  <c r="I53" i="67"/>
  <c r="AG43" i="69"/>
  <c r="AG96" i="69" s="1"/>
  <c r="Q46" i="96"/>
  <c r="AB127" i="68"/>
  <c r="AH78" i="68"/>
  <c r="AH127" i="68" s="1"/>
  <c r="O52" i="96"/>
  <c r="P52" i="96" s="1"/>
  <c r="E53" i="96"/>
  <c r="H52" i="96"/>
  <c r="E53" i="58"/>
  <c r="O52" i="58"/>
  <c r="P52" i="58" s="1"/>
  <c r="H52" i="58"/>
  <c r="CR44" i="68"/>
  <c r="CR97" i="68" s="1"/>
  <c r="U47" i="104"/>
  <c r="K52" i="86"/>
  <c r="L52" i="86" s="1"/>
  <c r="D53" i="86"/>
  <c r="G52" i="86"/>
  <c r="Q31" i="36"/>
  <c r="AE28" i="69"/>
  <c r="AE81" i="69" s="1"/>
  <c r="AE131" i="69" s="1"/>
  <c r="BF42" i="68"/>
  <c r="BF95" i="68" s="1"/>
  <c r="Q45" i="86"/>
  <c r="Q33" i="65"/>
  <c r="AU30" i="68"/>
  <c r="AU83" i="68" s="1"/>
  <c r="AU132" i="68" s="1"/>
  <c r="M46" i="81"/>
  <c r="O43" i="69"/>
  <c r="O96" i="69" s="1"/>
  <c r="M47" i="80"/>
  <c r="N44" i="69"/>
  <c r="N97" i="69" s="1"/>
  <c r="BP127" i="69"/>
  <c r="BU77" i="69"/>
  <c r="Q33" i="62"/>
  <c r="AS30" i="68"/>
  <c r="AS83" i="68" s="1"/>
  <c r="AS132" i="68" s="1"/>
  <c r="AW80" i="69"/>
  <c r="BL27" i="69"/>
  <c r="B20" i="92" s="1"/>
  <c r="G101" i="56"/>
  <c r="G71" i="56"/>
  <c r="Q46" i="87"/>
  <c r="BG43" i="68"/>
  <c r="BG96" i="68" s="1"/>
  <c r="BE43" i="68"/>
  <c r="BE96" i="68" s="1"/>
  <c r="BN129" i="69"/>
  <c r="BO79" i="69"/>
  <c r="E53" i="43"/>
  <c r="O52" i="43"/>
  <c r="P52" i="43" s="1"/>
  <c r="H52" i="43"/>
  <c r="K52" i="99"/>
  <c r="L52" i="99" s="1"/>
  <c r="D53" i="99"/>
  <c r="G52" i="99"/>
  <c r="S53" i="58"/>
  <c r="T53" i="58" s="1"/>
  <c r="F54" i="58"/>
  <c r="I53" i="58"/>
  <c r="M46" i="90"/>
  <c r="M43" i="69"/>
  <c r="M96" i="69" s="1"/>
  <c r="B12" i="56"/>
  <c r="Q46" i="89"/>
  <c r="BJ43" i="68"/>
  <c r="BJ96" i="68" s="1"/>
  <c r="M31" i="43"/>
  <c r="R28" i="68"/>
  <c r="R81" i="68" s="1"/>
  <c r="R130" i="68" s="1"/>
  <c r="D53" i="98"/>
  <c r="K52" i="98"/>
  <c r="L52" i="98" s="1"/>
  <c r="G52" i="98"/>
  <c r="Q48" i="85"/>
  <c r="BD45" i="68"/>
  <c r="BD98" i="68" s="1"/>
  <c r="Q31" i="37"/>
  <c r="AF28" i="69"/>
  <c r="AF81" i="69" s="1"/>
  <c r="AF131" i="69" s="1"/>
  <c r="K53" i="100"/>
  <c r="L53" i="100" s="1"/>
  <c r="D54" i="100"/>
  <c r="G53" i="100"/>
  <c r="BL48" i="68"/>
  <c r="S50" i="46"/>
  <c r="U45" i="97"/>
  <c r="BF42" i="69"/>
  <c r="BF95" i="69" s="1"/>
  <c r="E53" i="103"/>
  <c r="O52" i="103"/>
  <c r="P52" i="103" s="1"/>
  <c r="H52" i="103"/>
  <c r="Q44" i="58"/>
  <c r="AD41" i="69"/>
  <c r="AD94" i="69" s="1"/>
  <c r="N12" i="56"/>
  <c r="M46" i="84"/>
  <c r="V43" i="68"/>
  <c r="V96" i="68" s="1"/>
  <c r="S52" i="80"/>
  <c r="T52" i="80" s="1"/>
  <c r="F53" i="80"/>
  <c r="I52" i="80"/>
  <c r="B81" i="69"/>
  <c r="O52" i="60"/>
  <c r="P52" i="60" s="1"/>
  <c r="E53" i="60"/>
  <c r="H52" i="60"/>
  <c r="K53" i="90"/>
  <c r="L53" i="90" s="1"/>
  <c r="D54" i="90"/>
  <c r="G53" i="90"/>
  <c r="N100" i="56"/>
  <c r="N70" i="56"/>
  <c r="S52" i="1"/>
  <c r="T52" i="1" s="1"/>
  <c r="F53" i="1"/>
  <c r="I52" i="1"/>
  <c r="M18" i="70"/>
  <c r="G13" i="56"/>
  <c r="T18" i="70"/>
  <c r="Q31" i="61"/>
  <c r="AP28" i="68"/>
  <c r="AP81" i="68" s="1"/>
  <c r="AP130" i="68" s="1"/>
  <c r="O53" i="36"/>
  <c r="P53" i="36" s="1"/>
  <c r="E54" i="36"/>
  <c r="H53" i="36"/>
  <c r="O52" i="66"/>
  <c r="P52" i="66" s="1"/>
  <c r="E53" i="66"/>
  <c r="H52" i="66"/>
  <c r="M70" i="56"/>
  <c r="M100" i="56"/>
  <c r="Q31" i="7"/>
  <c r="AB28" i="69"/>
  <c r="AB81" i="69" s="1"/>
  <c r="AB131" i="69" s="1"/>
  <c r="S53" i="35"/>
  <c r="T53" i="35" s="1"/>
  <c r="F54" i="35"/>
  <c r="I53" i="35"/>
  <c r="M31" i="7"/>
  <c r="E28" i="69"/>
  <c r="E81" i="69" s="1"/>
  <c r="E131" i="69" s="1"/>
  <c r="U31" i="60"/>
  <c r="BX28" i="68"/>
  <c r="BX81" i="68" s="1"/>
  <c r="BX130" i="68" s="1"/>
  <c r="M12" i="56"/>
  <c r="Q31" i="43"/>
  <c r="BA28" i="68"/>
  <c r="BA81" i="68" s="1"/>
  <c r="BA130" i="68" s="1"/>
  <c r="U32" i="38"/>
  <c r="BT29" i="68"/>
  <c r="BT82" i="68" s="1"/>
  <c r="M32" i="23"/>
  <c r="D29" i="69"/>
  <c r="D82" i="69" s="1"/>
  <c r="D132" i="69" s="1"/>
  <c r="CU47" i="68"/>
  <c r="Y49" i="46"/>
  <c r="U30" i="61"/>
  <c r="BY27" i="68"/>
  <c r="N18" i="70"/>
  <c r="H13" i="56"/>
  <c r="H101" i="56"/>
  <c r="H71" i="56"/>
  <c r="BN97" i="68"/>
  <c r="BP97" i="68" s="1"/>
  <c r="BP44" i="68"/>
  <c r="M32" i="1"/>
  <c r="B29" i="69"/>
  <c r="U46" i="96"/>
  <c r="BD43" i="69"/>
  <c r="BD96" i="69" s="1"/>
  <c r="BT79" i="69"/>
  <c r="AW129" i="69"/>
  <c r="BL79" i="69"/>
  <c r="O53" i="7"/>
  <c r="P53" i="7" s="1"/>
  <c r="E54" i="7"/>
  <c r="H53" i="7"/>
  <c r="S53" i="43"/>
  <c r="T53" i="43" s="1"/>
  <c r="F54" i="43"/>
  <c r="I53" i="43"/>
  <c r="U32" i="67"/>
  <c r="CF29" i="68"/>
  <c r="CF82" i="68" s="1"/>
  <c r="CF131" i="68" s="1"/>
  <c r="K53" i="67"/>
  <c r="L53" i="67" s="1"/>
  <c r="D54" i="67"/>
  <c r="G53" i="67"/>
  <c r="CT26" i="68"/>
  <c r="F53" i="48"/>
  <c r="I52" i="48"/>
  <c r="M45" i="86"/>
  <c r="W42" i="68"/>
  <c r="W95" i="68" s="1"/>
  <c r="U32" i="65"/>
  <c r="CD29" i="68"/>
  <c r="CD82" i="68" s="1"/>
  <c r="CD131" i="68" s="1"/>
  <c r="Q46" i="80"/>
  <c r="AK43" i="69"/>
  <c r="AK96" i="69" s="1"/>
  <c r="M31" i="40"/>
  <c r="D28" i="68"/>
  <c r="D81" i="68" s="1"/>
  <c r="D130" i="68" s="1"/>
  <c r="D54" i="58"/>
  <c r="K53" i="58"/>
  <c r="L53" i="58" s="1"/>
  <c r="G53" i="58"/>
  <c r="AB79" i="68"/>
  <c r="B128" i="68"/>
  <c r="M31" i="35"/>
  <c r="F28" i="69"/>
  <c r="F81" i="69" s="1"/>
  <c r="F131" i="69" s="1"/>
  <c r="Q45" i="103"/>
  <c r="AY42" i="68"/>
  <c r="AY95" i="68" s="1"/>
  <c r="U47" i="81"/>
  <c r="BI44" i="69"/>
  <c r="BI97" i="69" s="1"/>
  <c r="Q31" i="60"/>
  <c r="AO28" i="68"/>
  <c r="AO81" i="68" s="1"/>
  <c r="AO130" i="68" s="1"/>
  <c r="AE45" i="68"/>
  <c r="AE98" i="68" s="1"/>
  <c r="L47" i="48"/>
  <c r="N48" i="48" s="1"/>
  <c r="M47" i="48"/>
  <c r="O54" i="100"/>
  <c r="P54" i="100" s="1"/>
  <c r="H54" i="100"/>
  <c r="M46" i="85"/>
  <c r="U43" i="68"/>
  <c r="U96" i="68" s="1"/>
  <c r="AM128" i="68"/>
  <c r="BK79" i="68"/>
  <c r="CO48" i="68"/>
  <c r="CO101" i="68" s="1"/>
  <c r="U51" i="86"/>
  <c r="K52" i="80"/>
  <c r="L52" i="80" s="1"/>
  <c r="D53" i="80"/>
  <c r="G52" i="80"/>
  <c r="H54" i="80"/>
  <c r="O52" i="59"/>
  <c r="P52" i="59" s="1"/>
  <c r="E53" i="59"/>
  <c r="H52" i="59"/>
  <c r="U47" i="88"/>
  <c r="CQ44" i="68"/>
  <c r="CQ97" i="68" s="1"/>
  <c r="J20" i="92"/>
  <c r="AS27" i="69"/>
  <c r="Q31" i="40"/>
  <c r="AM28" i="68"/>
  <c r="I54" i="38"/>
  <c r="G19" i="92"/>
  <c r="M19" i="92" s="1"/>
  <c r="K53" i="102"/>
  <c r="L53" i="102" s="1"/>
  <c r="D54" i="102"/>
  <c r="G53" i="102"/>
  <c r="R27" i="69"/>
  <c r="J13" i="56"/>
  <c r="U46" i="98"/>
  <c r="BE43" i="69"/>
  <c r="BE96" i="69" s="1"/>
  <c r="O53" i="102"/>
  <c r="P53" i="102" s="1"/>
  <c r="E54" i="102"/>
  <c r="H53" i="102"/>
  <c r="S52" i="99"/>
  <c r="T52" i="99" s="1"/>
  <c r="F53" i="99"/>
  <c r="I52" i="99"/>
  <c r="BP78" i="69"/>
  <c r="BO128" i="69"/>
  <c r="Q47" i="90"/>
  <c r="AJ44" i="69"/>
  <c r="AJ97" i="69" s="1"/>
  <c r="B100" i="56"/>
  <c r="B70" i="56"/>
  <c r="K53" i="66"/>
  <c r="L53" i="66" s="1"/>
  <c r="D54" i="66"/>
  <c r="G53" i="66"/>
  <c r="O54" i="67"/>
  <c r="P54" i="67" s="1"/>
  <c r="H54" i="67"/>
  <c r="D54" i="7"/>
  <c r="K53" i="7"/>
  <c r="L53" i="7" s="1"/>
  <c r="G53" i="7"/>
  <c r="B18" i="70"/>
  <c r="BQ78" i="69"/>
  <c r="AI43" i="69"/>
  <c r="AI96" i="69" s="1"/>
  <c r="Q46" i="97"/>
  <c r="Q19" i="70"/>
  <c r="J19" i="70"/>
  <c r="AR129" i="69"/>
  <c r="AS79" i="69"/>
  <c r="AS129" i="69" s="1"/>
  <c r="BN80" i="69"/>
  <c r="BO27" i="69"/>
  <c r="Q32" i="66"/>
  <c r="AV29" i="68"/>
  <c r="AV82" i="68" s="1"/>
  <c r="AV131" i="68" s="1"/>
  <c r="U31" i="41"/>
  <c r="BW28" i="68"/>
  <c r="BW81" i="68" s="1"/>
  <c r="BW130" i="68" s="1"/>
  <c r="U31" i="4"/>
  <c r="AW28" i="69"/>
  <c r="Y30" i="23"/>
  <c r="CI42" i="68"/>
  <c r="CI95" i="68" s="1"/>
  <c r="U45" i="102"/>
  <c r="E53" i="97"/>
  <c r="O52" i="97"/>
  <c r="P52" i="97" s="1"/>
  <c r="H52" i="97"/>
  <c r="A43" i="70"/>
  <c r="BT130" i="68"/>
  <c r="U31" i="40"/>
  <c r="BV28" i="68"/>
  <c r="BV81" i="68" s="1"/>
  <c r="BV130" i="68" s="1"/>
  <c r="M46" i="99"/>
  <c r="I43" i="68"/>
  <c r="I96" i="68" s="1"/>
  <c r="BU126" i="69"/>
  <c r="BW76" i="69"/>
  <c r="BW126" i="69" s="1"/>
  <c r="Q46" i="100"/>
  <c r="AQ43" i="68"/>
  <c r="AQ96" i="68" s="1"/>
  <c r="D51" i="46"/>
  <c r="K50" i="46"/>
  <c r="W50" i="46" s="1"/>
  <c r="Z50" i="46" s="1"/>
  <c r="Q51" i="46"/>
  <c r="T51" i="46" s="1"/>
  <c r="S52" i="64"/>
  <c r="T52" i="64" s="1"/>
  <c r="F53" i="64"/>
  <c r="I52" i="64"/>
  <c r="BY128" i="68"/>
  <c r="CT79" i="68"/>
  <c r="AC98" i="68"/>
  <c r="D18" i="92"/>
  <c r="C18" i="92"/>
  <c r="E18" i="92" s="1"/>
  <c r="CZ25" i="68"/>
  <c r="O52" i="85"/>
  <c r="P52" i="85" s="1"/>
  <c r="E53" i="85"/>
  <c r="H52" i="85"/>
  <c r="M46" i="82"/>
  <c r="P43" i="69"/>
  <c r="P96" i="69" s="1"/>
  <c r="S52" i="90"/>
  <c r="T52" i="90" s="1"/>
  <c r="F53" i="90"/>
  <c r="I52" i="90"/>
  <c r="K53" i="35"/>
  <c r="L53" i="35" s="1"/>
  <c r="D54" i="35"/>
  <c r="G53" i="35"/>
  <c r="S50" i="69" l="1"/>
  <c r="S103" i="69" s="1"/>
  <c r="M52" i="45"/>
  <c r="U32" i="7"/>
  <c r="AY29" i="69"/>
  <c r="AY82" i="69" s="1"/>
  <c r="AY132" i="69" s="1"/>
  <c r="AR43" i="68"/>
  <c r="AR96" i="68" s="1"/>
  <c r="Q46" i="99"/>
  <c r="CK44" i="68"/>
  <c r="CK97" i="68" s="1"/>
  <c r="U47" i="101"/>
  <c r="BK44" i="69"/>
  <c r="BK97" i="69" s="1"/>
  <c r="U47" i="83"/>
  <c r="CY28" i="68"/>
  <c r="CX81" i="68"/>
  <c r="Y47" i="47"/>
  <c r="CV45" i="68"/>
  <c r="CV98" i="68" s="1"/>
  <c r="CS44" i="68"/>
  <c r="CS97" i="68" s="1"/>
  <c r="U47" i="89"/>
  <c r="D53" i="45"/>
  <c r="Q53" i="45"/>
  <c r="T53" i="45" s="1"/>
  <c r="K53" i="45"/>
  <c r="N53" i="45" s="1"/>
  <c r="Q48" i="82"/>
  <c r="AM45" i="69"/>
  <c r="AM98" i="69" s="1"/>
  <c r="U31" i="64"/>
  <c r="CC28" i="68"/>
  <c r="CC81" i="68" s="1"/>
  <c r="CC130" i="68" s="1"/>
  <c r="U32" i="35"/>
  <c r="AZ29" i="69"/>
  <c r="AZ82" i="69" s="1"/>
  <c r="AZ132" i="69" s="1"/>
  <c r="CM43" i="68"/>
  <c r="CM96" i="68" s="1"/>
  <c r="U46" i="85"/>
  <c r="U32" i="63"/>
  <c r="CX29" i="68"/>
  <c r="U80" i="69"/>
  <c r="T130" i="69"/>
  <c r="Q33" i="1"/>
  <c r="Y30" i="69"/>
  <c r="Y83" i="69" s="1"/>
  <c r="Y133" i="69" s="1"/>
  <c r="AL29" i="68"/>
  <c r="AL82" i="68" s="1"/>
  <c r="AL131" i="68" s="1"/>
  <c r="Q32" i="39"/>
  <c r="AK30" i="68"/>
  <c r="AK83" i="68" s="1"/>
  <c r="AK132" i="68" s="1"/>
  <c r="Q33" i="38"/>
  <c r="BP26" i="69"/>
  <c r="H129" i="69"/>
  <c r="R79" i="69"/>
  <c r="CX129" i="68"/>
  <c r="CY80" i="68"/>
  <c r="CY129" i="68" s="1"/>
  <c r="CG28" i="68"/>
  <c r="CG81" i="68" s="1"/>
  <c r="CG130" i="68" s="1"/>
  <c r="U31" i="42"/>
  <c r="M32" i="59"/>
  <c r="T29" i="69"/>
  <c r="D50" i="47"/>
  <c r="K49" i="47"/>
  <c r="Q50" i="47"/>
  <c r="T50" i="47" s="1"/>
  <c r="K102" i="56"/>
  <c r="K72" i="56"/>
  <c r="O53" i="98"/>
  <c r="P53" i="98" s="1"/>
  <c r="H53" i="98"/>
  <c r="E54" i="98"/>
  <c r="M31" i="65"/>
  <c r="L28" i="68"/>
  <c r="L81" i="68" s="1"/>
  <c r="L130" i="68" s="1"/>
  <c r="Q35" i="35"/>
  <c r="AC32" i="69"/>
  <c r="AC85" i="69" s="1"/>
  <c r="AC135" i="69" s="1"/>
  <c r="O54" i="63"/>
  <c r="P54" i="63" s="1"/>
  <c r="H54" i="63"/>
  <c r="U31" i="37"/>
  <c r="BC28" i="69"/>
  <c r="BC81" i="69" s="1"/>
  <c r="BC131" i="69" s="1"/>
  <c r="Q32" i="23"/>
  <c r="AA29" i="69"/>
  <c r="AA82" i="69" s="1"/>
  <c r="AA132" i="69" s="1"/>
  <c r="Q53" i="63"/>
  <c r="BO50" i="68"/>
  <c r="BO103" i="68" s="1"/>
  <c r="G52" i="74"/>
  <c r="D53" i="74"/>
  <c r="K52" i="74"/>
  <c r="L52" i="74" s="1"/>
  <c r="M52" i="74" s="1"/>
  <c r="BH43" i="68"/>
  <c r="BH96" i="68" s="1"/>
  <c r="Q46" i="88"/>
  <c r="G29" i="68"/>
  <c r="G82" i="68" s="1"/>
  <c r="G131" i="68" s="1"/>
  <c r="M32" i="61"/>
  <c r="M45" i="58"/>
  <c r="G42" i="69"/>
  <c r="G95" i="69" s="1"/>
  <c r="W48" i="47"/>
  <c r="Z48" i="47" s="1"/>
  <c r="N48" i="47"/>
  <c r="M31" i="36"/>
  <c r="H28" i="69"/>
  <c r="H81" i="69" s="1"/>
  <c r="H131" i="69" s="1"/>
  <c r="CP43" i="68"/>
  <c r="CP96" i="68" s="1"/>
  <c r="U46" i="87"/>
  <c r="CN43" i="68"/>
  <c r="CN96" i="68" s="1"/>
  <c r="I54" i="74"/>
  <c r="S54" i="74"/>
  <c r="T54" i="74" s="1"/>
  <c r="U54" i="74" s="1"/>
  <c r="X45" i="68"/>
  <c r="X98" i="68" s="1"/>
  <c r="M48" i="87"/>
  <c r="M31" i="41"/>
  <c r="E28" i="68"/>
  <c r="E81" i="68" s="1"/>
  <c r="E130" i="68" s="1"/>
  <c r="U32" i="1"/>
  <c r="AV29" i="69"/>
  <c r="AV82" i="69" s="1"/>
  <c r="AV132" i="69" s="1"/>
  <c r="U28" i="69"/>
  <c r="K21" i="92" s="1"/>
  <c r="T81" i="69"/>
  <c r="M32" i="4"/>
  <c r="C29" i="69"/>
  <c r="C82" i="69" s="1"/>
  <c r="C132" i="69" s="1"/>
  <c r="K28" i="68"/>
  <c r="K81" i="68" s="1"/>
  <c r="K130" i="68" s="1"/>
  <c r="M31" i="64"/>
  <c r="AG44" i="68"/>
  <c r="W80" i="69"/>
  <c r="AN29" i="68"/>
  <c r="AN82" i="68" s="1"/>
  <c r="AN131" i="68" s="1"/>
  <c r="Q32" i="41"/>
  <c r="Q52" i="45"/>
  <c r="T52" i="45" s="1"/>
  <c r="I54" i="101"/>
  <c r="S54" i="101"/>
  <c r="T54" i="101" s="1"/>
  <c r="M32" i="62"/>
  <c r="J29" i="68"/>
  <c r="J82" i="68" s="1"/>
  <c r="J131" i="68" s="1"/>
  <c r="BM47" i="68"/>
  <c r="BM100" i="68" s="1"/>
  <c r="S49" i="47"/>
  <c r="O52" i="74"/>
  <c r="P52" i="74" s="1"/>
  <c r="Q52" i="74" s="1"/>
  <c r="H52" i="74"/>
  <c r="E53" i="74"/>
  <c r="M31" i="37"/>
  <c r="I28" i="69"/>
  <c r="I81" i="69" s="1"/>
  <c r="I131" i="69" s="1"/>
  <c r="U47" i="82"/>
  <c r="BJ44" i="69"/>
  <c r="BJ97" i="69" s="1"/>
  <c r="AX29" i="69"/>
  <c r="AX82" i="69" s="1"/>
  <c r="AX132" i="69" s="1"/>
  <c r="U32" i="23"/>
  <c r="H130" i="69"/>
  <c r="U18" i="70"/>
  <c r="U129" i="69"/>
  <c r="K19" i="70"/>
  <c r="K14" i="56" s="1"/>
  <c r="R19" i="70"/>
  <c r="U19" i="70" s="1"/>
  <c r="U31" i="44"/>
  <c r="CL28" i="68"/>
  <c r="CL81" i="68" s="1"/>
  <c r="CL130" i="68" s="1"/>
  <c r="AD45" i="68"/>
  <c r="M47" i="47"/>
  <c r="G54" i="48"/>
  <c r="J54" i="48" s="1"/>
  <c r="J53" i="48"/>
  <c r="G20" i="92"/>
  <c r="M20" i="92" s="1"/>
  <c r="S53" i="103"/>
  <c r="T53" i="103" s="1"/>
  <c r="F54" i="103"/>
  <c r="I53" i="103"/>
  <c r="E54" i="64"/>
  <c r="O53" i="64"/>
  <c r="P53" i="64" s="1"/>
  <c r="H53" i="64"/>
  <c r="S53" i="100"/>
  <c r="T53" i="100" s="1"/>
  <c r="I53" i="100"/>
  <c r="F54" i="100"/>
  <c r="H53" i="38"/>
  <c r="O53" i="38"/>
  <c r="P53" i="38" s="1"/>
  <c r="E54" i="38"/>
  <c r="S54" i="97"/>
  <c r="T54" i="97" s="1"/>
  <c r="I54" i="97"/>
  <c r="BP27" i="69"/>
  <c r="CU48" i="68"/>
  <c r="Y50" i="46"/>
  <c r="Q47" i="97"/>
  <c r="AI44" i="69"/>
  <c r="AI97" i="69" s="1"/>
  <c r="K53" i="80"/>
  <c r="L53" i="80" s="1"/>
  <c r="D54" i="80"/>
  <c r="G53" i="80"/>
  <c r="L48" i="48"/>
  <c r="N49" i="48" s="1"/>
  <c r="AE46" i="68"/>
  <c r="AE99" i="68" s="1"/>
  <c r="M48" i="48"/>
  <c r="C19" i="92"/>
  <c r="D19" i="92"/>
  <c r="CZ26" i="68"/>
  <c r="H72" i="56"/>
  <c r="H102" i="56"/>
  <c r="U31" i="61"/>
  <c r="BY28" i="68"/>
  <c r="BY81" i="68" s="1"/>
  <c r="U32" i="60"/>
  <c r="BX29" i="68"/>
  <c r="BX82" i="68" s="1"/>
  <c r="BX131" i="68" s="1"/>
  <c r="M13" i="56"/>
  <c r="O53" i="60"/>
  <c r="P53" i="60" s="1"/>
  <c r="E54" i="60"/>
  <c r="H53" i="60"/>
  <c r="Q45" i="58"/>
  <c r="AD42" i="69"/>
  <c r="AD95" i="69" s="1"/>
  <c r="E12" i="56"/>
  <c r="S54" i="58"/>
  <c r="T54" i="58" s="1"/>
  <c r="I54" i="58"/>
  <c r="BP79" i="69"/>
  <c r="BO129" i="69"/>
  <c r="S53" i="96"/>
  <c r="T53" i="96" s="1"/>
  <c r="F54" i="96"/>
  <c r="I53" i="96"/>
  <c r="S54" i="86"/>
  <c r="T54" i="86" s="1"/>
  <c r="I54" i="86"/>
  <c r="M32" i="39"/>
  <c r="C29" i="68"/>
  <c r="C82" i="68" s="1"/>
  <c r="C131" i="68" s="1"/>
  <c r="U48" i="90"/>
  <c r="BG45" i="69"/>
  <c r="BG98" i="69" s="1"/>
  <c r="Z131" i="69"/>
  <c r="AO81" i="69"/>
  <c r="K54" i="85"/>
  <c r="L54" i="85" s="1"/>
  <c r="G54" i="85"/>
  <c r="Q33" i="4"/>
  <c r="Z30" i="69"/>
  <c r="CZ126" i="68"/>
  <c r="DB77" i="68"/>
  <c r="DB126" i="68" s="1"/>
  <c r="E100" i="56"/>
  <c r="E70" i="56"/>
  <c r="M32" i="44"/>
  <c r="T29" i="68"/>
  <c r="T82" i="68" s="1"/>
  <c r="T131" i="68" s="1"/>
  <c r="D54" i="36"/>
  <c r="K53" i="36"/>
  <c r="L53" i="36" s="1"/>
  <c r="G53" i="36"/>
  <c r="R130" i="69"/>
  <c r="V80" i="69"/>
  <c r="K54" i="35"/>
  <c r="L54" i="35" s="1"/>
  <c r="G54" i="35"/>
  <c r="M47" i="82"/>
  <c r="P44" i="69"/>
  <c r="P97" i="69" s="1"/>
  <c r="S53" i="64"/>
  <c r="T53" i="64" s="1"/>
  <c r="F54" i="64"/>
  <c r="I53" i="64"/>
  <c r="K51" i="46"/>
  <c r="W51" i="46" s="1"/>
  <c r="Z51" i="46" s="1"/>
  <c r="D52" i="46"/>
  <c r="Q52" i="46"/>
  <c r="T52" i="46" s="1"/>
  <c r="U32" i="40"/>
  <c r="BV29" i="68"/>
  <c r="BV82" i="68" s="1"/>
  <c r="BV131" i="68" s="1"/>
  <c r="U46" i="102"/>
  <c r="CI43" i="68"/>
  <c r="CI96" i="68" s="1"/>
  <c r="U32" i="4"/>
  <c r="AW29" i="69"/>
  <c r="Y31" i="23"/>
  <c r="Q33" i="66"/>
  <c r="AV30" i="68"/>
  <c r="AV83" i="68" s="1"/>
  <c r="AV132" i="68" s="1"/>
  <c r="Q48" i="90"/>
  <c r="AJ45" i="69"/>
  <c r="AJ98" i="69" s="1"/>
  <c r="O54" i="102"/>
  <c r="P54" i="102" s="1"/>
  <c r="H54" i="102"/>
  <c r="V27" i="69"/>
  <c r="AM81" i="68"/>
  <c r="BK128" i="68"/>
  <c r="BQ79" i="68"/>
  <c r="BQ128" i="68" s="1"/>
  <c r="U48" i="81"/>
  <c r="BI45" i="69"/>
  <c r="BI98" i="69" s="1"/>
  <c r="U33" i="67"/>
  <c r="CF30" i="68"/>
  <c r="CF83" i="68" s="1"/>
  <c r="CF132" i="68" s="1"/>
  <c r="B19" i="70"/>
  <c r="BQ79" i="69"/>
  <c r="U47" i="96"/>
  <c r="BD44" i="69"/>
  <c r="BD97" i="69" s="1"/>
  <c r="M33" i="23"/>
  <c r="D30" i="69"/>
  <c r="D83" i="69" s="1"/>
  <c r="D133" i="69" s="1"/>
  <c r="W32" i="23"/>
  <c r="BT131" i="68"/>
  <c r="M71" i="56"/>
  <c r="M101" i="56"/>
  <c r="Q32" i="61"/>
  <c r="AP29" i="68"/>
  <c r="AP82" i="68" s="1"/>
  <c r="AP131" i="68" s="1"/>
  <c r="K54" i="90"/>
  <c r="L54" i="90" s="1"/>
  <c r="G54" i="90"/>
  <c r="N71" i="56"/>
  <c r="N101" i="56"/>
  <c r="E54" i="103"/>
  <c r="O53" i="103"/>
  <c r="P53" i="103" s="1"/>
  <c r="H53" i="103"/>
  <c r="BL101" i="68"/>
  <c r="M32" i="43"/>
  <c r="R29" i="68"/>
  <c r="R82" i="68" s="1"/>
  <c r="R131" i="68" s="1"/>
  <c r="BJ44" i="68"/>
  <c r="BJ97" i="68" s="1"/>
  <c r="Q47" i="89"/>
  <c r="Q34" i="62"/>
  <c r="AS31" i="68"/>
  <c r="AS84" i="68" s="1"/>
  <c r="AS133" i="68" s="1"/>
  <c r="M48" i="80"/>
  <c r="N45" i="69"/>
  <c r="N98" i="69" s="1"/>
  <c r="Q34" i="65"/>
  <c r="AU31" i="68"/>
  <c r="AU84" i="68" s="1"/>
  <c r="AU133" i="68" s="1"/>
  <c r="Q32" i="36"/>
  <c r="AE29" i="69"/>
  <c r="AE82" i="69" s="1"/>
  <c r="AE132" i="69" s="1"/>
  <c r="U48" i="104"/>
  <c r="CR45" i="68"/>
  <c r="CR98" i="68" s="1"/>
  <c r="O53" i="58"/>
  <c r="P53" i="58" s="1"/>
  <c r="E54" i="58"/>
  <c r="H53" i="58"/>
  <c r="AG44" i="69"/>
  <c r="AG97" i="69" s="1"/>
  <c r="Q47" i="96"/>
  <c r="K54" i="96"/>
  <c r="L54" i="96" s="1"/>
  <c r="G54" i="96"/>
  <c r="M32" i="38"/>
  <c r="B29" i="68"/>
  <c r="D54" i="59"/>
  <c r="K53" i="59"/>
  <c r="L53" i="59" s="1"/>
  <c r="G53" i="59"/>
  <c r="AO130" i="69"/>
  <c r="E54" i="35"/>
  <c r="O53" i="35"/>
  <c r="P53" i="35" s="1"/>
  <c r="H53" i="35"/>
  <c r="CW45" i="68"/>
  <c r="CW98" i="68" s="1"/>
  <c r="Y47" i="48"/>
  <c r="X47" i="48"/>
  <c r="O53" i="90"/>
  <c r="P53" i="90" s="1"/>
  <c r="E54" i="90"/>
  <c r="H53" i="90"/>
  <c r="M31" i="67"/>
  <c r="N28" i="68"/>
  <c r="N81" i="68" s="1"/>
  <c r="N130" i="68" s="1"/>
  <c r="CA43" i="68"/>
  <c r="CA96" i="68" s="1"/>
  <c r="U46" i="99"/>
  <c r="S53" i="23"/>
  <c r="T53" i="23" s="1"/>
  <c r="F54" i="23"/>
  <c r="I53" i="23"/>
  <c r="M47" i="98"/>
  <c r="K44" i="69"/>
  <c r="K97" i="69" s="1"/>
  <c r="Q32" i="42"/>
  <c r="AX29" i="68"/>
  <c r="AX82" i="68" s="1"/>
  <c r="AX131" i="68" s="1"/>
  <c r="K53" i="101"/>
  <c r="L53" i="101" s="1"/>
  <c r="D54" i="101"/>
  <c r="G53" i="101"/>
  <c r="O53" i="23"/>
  <c r="P53" i="23" s="1"/>
  <c r="E54" i="23"/>
  <c r="H53" i="23"/>
  <c r="K53" i="1"/>
  <c r="L53" i="1" s="1"/>
  <c r="D54" i="1"/>
  <c r="G53" i="1"/>
  <c r="J21" i="92"/>
  <c r="M33" i="42"/>
  <c r="O30" i="68"/>
  <c r="O83" i="68" s="1"/>
  <c r="O132" i="68" s="1"/>
  <c r="C13" i="56"/>
  <c r="M32" i="60"/>
  <c r="F29" i="68"/>
  <c r="F82" i="68" s="1"/>
  <c r="F131" i="68" s="1"/>
  <c r="S54" i="60"/>
  <c r="T54" i="60" s="1"/>
  <c r="I54" i="60"/>
  <c r="AQ82" i="69"/>
  <c r="AR29" i="69"/>
  <c r="G54" i="63"/>
  <c r="K54" i="63"/>
  <c r="L54" i="63" s="1"/>
  <c r="AW30" i="68"/>
  <c r="AW83" i="68" s="1"/>
  <c r="AW132" i="68" s="1"/>
  <c r="Q33" i="67"/>
  <c r="M47" i="104"/>
  <c r="Z44" i="68"/>
  <c r="Z97" i="68" s="1"/>
  <c r="X32" i="23"/>
  <c r="U32" i="39"/>
  <c r="BU29" i="68"/>
  <c r="BU82" i="68" s="1"/>
  <c r="Q49" i="85"/>
  <c r="BD46" i="68"/>
  <c r="BD99" i="68" s="1"/>
  <c r="M47" i="90"/>
  <c r="M44" i="69"/>
  <c r="M97" i="69" s="1"/>
  <c r="S54" i="67"/>
  <c r="T54" i="67" s="1"/>
  <c r="I54" i="67"/>
  <c r="M47" i="89"/>
  <c r="AA44" i="68"/>
  <c r="AA97" i="68" s="1"/>
  <c r="L49" i="46"/>
  <c r="N50" i="46" s="1"/>
  <c r="AC47" i="68"/>
  <c r="M49" i="46"/>
  <c r="J14" i="56"/>
  <c r="K54" i="7"/>
  <c r="L54" i="7" s="1"/>
  <c r="G54" i="7"/>
  <c r="K54" i="66"/>
  <c r="L54" i="66" s="1"/>
  <c r="G54" i="66"/>
  <c r="S53" i="99"/>
  <c r="T53" i="99" s="1"/>
  <c r="F54" i="99"/>
  <c r="I53" i="99"/>
  <c r="U47" i="98"/>
  <c r="BE44" i="69"/>
  <c r="BE97" i="69" s="1"/>
  <c r="Q32" i="40"/>
  <c r="AM29" i="68"/>
  <c r="CQ45" i="68"/>
  <c r="CQ98" i="68" s="1"/>
  <c r="U48" i="88"/>
  <c r="CO49" i="68"/>
  <c r="CO102" i="68" s="1"/>
  <c r="U52" i="86"/>
  <c r="Q46" i="103"/>
  <c r="AY43" i="68"/>
  <c r="AY96" i="68" s="1"/>
  <c r="AB128" i="68"/>
  <c r="AH79" i="68"/>
  <c r="AH128" i="68" s="1"/>
  <c r="M32" i="40"/>
  <c r="D29" i="68"/>
  <c r="D82" i="68" s="1"/>
  <c r="D131" i="68" s="1"/>
  <c r="U33" i="65"/>
  <c r="CD30" i="68"/>
  <c r="CD83" i="68" s="1"/>
  <c r="CD132" i="68" s="1"/>
  <c r="F54" i="48"/>
  <c r="I54" i="48" s="1"/>
  <c r="I53" i="48"/>
  <c r="K54" i="67"/>
  <c r="L54" i="67" s="1"/>
  <c r="G54" i="67"/>
  <c r="B82" i="69"/>
  <c r="N13" i="56"/>
  <c r="CU100" i="68"/>
  <c r="U33" i="38"/>
  <c r="BT30" i="68"/>
  <c r="BT83" i="68" s="1"/>
  <c r="M32" i="7"/>
  <c r="E29" i="69"/>
  <c r="E82" i="69" s="1"/>
  <c r="E132" i="69" s="1"/>
  <c r="O54" i="36"/>
  <c r="P54" i="36" s="1"/>
  <c r="H54" i="36"/>
  <c r="G72" i="56"/>
  <c r="G102" i="56"/>
  <c r="S53" i="1"/>
  <c r="T53" i="1" s="1"/>
  <c r="F54" i="1"/>
  <c r="I53" i="1"/>
  <c r="Q32" i="37"/>
  <c r="AF29" i="69"/>
  <c r="AF82" i="69" s="1"/>
  <c r="AF132" i="69" s="1"/>
  <c r="B71" i="56"/>
  <c r="B101" i="56"/>
  <c r="BE44" i="68"/>
  <c r="BE97" i="68" s="1"/>
  <c r="Q47" i="87"/>
  <c r="BG44" i="68"/>
  <c r="BG97" i="68" s="1"/>
  <c r="BU127" i="69"/>
  <c r="Q46" i="86"/>
  <c r="BF43" i="68"/>
  <c r="BF96" i="68" s="1"/>
  <c r="AM129" i="68"/>
  <c r="BK80" i="68"/>
  <c r="Q46" i="101"/>
  <c r="BB43" i="68"/>
  <c r="BB96" i="68" s="1"/>
  <c r="Q32" i="64"/>
  <c r="AT29" i="68"/>
  <c r="AT82" i="68" s="1"/>
  <c r="AT131" i="68" s="1"/>
  <c r="K50" i="48"/>
  <c r="W50" i="48" s="1"/>
  <c r="D51" i="48"/>
  <c r="Q51" i="48"/>
  <c r="AH26" i="68"/>
  <c r="H19" i="92"/>
  <c r="N19" i="92" s="1"/>
  <c r="S54" i="102"/>
  <c r="T54" i="102" s="1"/>
  <c r="I54" i="102"/>
  <c r="BN98" i="68"/>
  <c r="BP98" i="68" s="1"/>
  <c r="BP45" i="68"/>
  <c r="G19" i="70"/>
  <c r="K54" i="43"/>
  <c r="L54" i="43" s="1"/>
  <c r="G54" i="43"/>
  <c r="AB27" i="68"/>
  <c r="AH27" i="68" s="1"/>
  <c r="D54" i="103"/>
  <c r="K53" i="103"/>
  <c r="L53" i="103" s="1"/>
  <c r="G53" i="103"/>
  <c r="O53" i="101"/>
  <c r="P53" i="101" s="1"/>
  <c r="E54" i="101"/>
  <c r="H53" i="101"/>
  <c r="Q31" i="44"/>
  <c r="BC28" i="68"/>
  <c r="BC81" i="68" s="1"/>
  <c r="BC130" i="68" s="1"/>
  <c r="M46" i="102"/>
  <c r="Q43" i="68"/>
  <c r="Q96" i="68" s="1"/>
  <c r="AQ131" i="69"/>
  <c r="AR81" i="69"/>
  <c r="S54" i="66"/>
  <c r="T54" i="66" s="1"/>
  <c r="I54" i="66"/>
  <c r="BN81" i="69"/>
  <c r="BO28" i="69"/>
  <c r="DB78" i="68"/>
  <c r="DB127" i="68" s="1"/>
  <c r="CZ127" i="68"/>
  <c r="M48" i="83"/>
  <c r="Q45" i="69"/>
  <c r="Q98" i="69" s="1"/>
  <c r="U32" i="36"/>
  <c r="BB29" i="69"/>
  <c r="BB82" i="69" s="1"/>
  <c r="BB132" i="69" s="1"/>
  <c r="M46" i="100"/>
  <c r="H43" i="68"/>
  <c r="H96" i="68" s="1"/>
  <c r="U33" i="62"/>
  <c r="CB30" i="68"/>
  <c r="CB83" i="68" s="1"/>
  <c r="CB132" i="68" s="1"/>
  <c r="Q33" i="59"/>
  <c r="AQ30" i="69"/>
  <c r="K54" i="97"/>
  <c r="L54" i="97" s="1"/>
  <c r="G54" i="97"/>
  <c r="D12" i="56"/>
  <c r="M46" i="101"/>
  <c r="S43" i="68"/>
  <c r="S96" i="68" s="1"/>
  <c r="S53" i="98"/>
  <c r="T53" i="98" s="1"/>
  <c r="F54" i="98"/>
  <c r="I53" i="98"/>
  <c r="Q48" i="104"/>
  <c r="BI45" i="68"/>
  <c r="BI98" i="68" s="1"/>
  <c r="S53" i="90"/>
  <c r="T53" i="90" s="1"/>
  <c r="F54" i="90"/>
  <c r="I53" i="90"/>
  <c r="O53" i="97"/>
  <c r="P53" i="97" s="1"/>
  <c r="E54" i="97"/>
  <c r="H53" i="97"/>
  <c r="AW81" i="69"/>
  <c r="O53" i="59"/>
  <c r="P53" i="59" s="1"/>
  <c r="E54" i="59"/>
  <c r="H53" i="59"/>
  <c r="M47" i="85"/>
  <c r="U44" i="68"/>
  <c r="U97" i="68" s="1"/>
  <c r="M32" i="35"/>
  <c r="F29" i="69"/>
  <c r="F82" i="69" s="1"/>
  <c r="F132" i="69" s="1"/>
  <c r="K54" i="58"/>
  <c r="L54" i="58" s="1"/>
  <c r="G54" i="58"/>
  <c r="Q47" i="80"/>
  <c r="AK44" i="69"/>
  <c r="AK97" i="69" s="1"/>
  <c r="M46" i="86"/>
  <c r="W43" i="68"/>
  <c r="W96" i="68" s="1"/>
  <c r="Q32" i="43"/>
  <c r="BA29" i="68"/>
  <c r="BA82" i="68" s="1"/>
  <c r="BA131" i="68" s="1"/>
  <c r="S54" i="35"/>
  <c r="T54" i="35" s="1"/>
  <c r="I54" i="35"/>
  <c r="M47" i="84"/>
  <c r="V44" i="68"/>
  <c r="V97" i="68" s="1"/>
  <c r="BZ44" i="68"/>
  <c r="BZ97" i="68" s="1"/>
  <c r="U47" i="100"/>
  <c r="B81" i="68"/>
  <c r="M46" i="97"/>
  <c r="L43" i="69"/>
  <c r="L96" i="69" s="1"/>
  <c r="Q47" i="81"/>
  <c r="AL44" i="69"/>
  <c r="AL97" i="69" s="1"/>
  <c r="S54" i="36"/>
  <c r="T54" i="36" s="1"/>
  <c r="I54" i="36"/>
  <c r="D13" i="56"/>
  <c r="Q20" i="70"/>
  <c r="J20" i="70"/>
  <c r="AS80" i="69"/>
  <c r="AS130" i="69" s="1"/>
  <c r="AR130" i="69"/>
  <c r="M32" i="66"/>
  <c r="M29" i="68"/>
  <c r="M82" i="68" s="1"/>
  <c r="M131" i="68" s="1"/>
  <c r="BU81" i="68"/>
  <c r="D19" i="70"/>
  <c r="C19" i="70"/>
  <c r="CT128" i="68"/>
  <c r="CZ79" i="68"/>
  <c r="A44" i="70"/>
  <c r="O53" i="85"/>
  <c r="P53" i="85" s="1"/>
  <c r="E54" i="85"/>
  <c r="H53" i="85"/>
  <c r="BL49" i="68"/>
  <c r="S51" i="46"/>
  <c r="Q47" i="100"/>
  <c r="AQ44" i="68"/>
  <c r="AQ97" i="68" s="1"/>
  <c r="M47" i="99"/>
  <c r="I44" i="68"/>
  <c r="I97" i="68" s="1"/>
  <c r="U32" i="41"/>
  <c r="BW29" i="68"/>
  <c r="BW82" i="68" s="1"/>
  <c r="BW131" i="68" s="1"/>
  <c r="BN130" i="69"/>
  <c r="BO80" i="69"/>
  <c r="T19" i="70"/>
  <c r="E18" i="70"/>
  <c r="B13" i="56"/>
  <c r="BP128" i="69"/>
  <c r="BU78" i="69"/>
  <c r="J72" i="56"/>
  <c r="J102" i="56"/>
  <c r="K54" i="102"/>
  <c r="L54" i="102" s="1"/>
  <c r="G54" i="102"/>
  <c r="Q32" i="60"/>
  <c r="AO29" i="68"/>
  <c r="AO82" i="68" s="1"/>
  <c r="AO131" i="68" s="1"/>
  <c r="S54" i="43"/>
  <c r="T54" i="43" s="1"/>
  <c r="I54" i="43"/>
  <c r="O54" i="7"/>
  <c r="P54" i="7" s="1"/>
  <c r="H54" i="7"/>
  <c r="BT129" i="69"/>
  <c r="BV79" i="69"/>
  <c r="BV129" i="69" s="1"/>
  <c r="M33" i="1"/>
  <c r="B30" i="69"/>
  <c r="BY80" i="68"/>
  <c r="CT27" i="68"/>
  <c r="Q32" i="7"/>
  <c r="AB29" i="69"/>
  <c r="AB82" i="69" s="1"/>
  <c r="AB132" i="69" s="1"/>
  <c r="O53" i="66"/>
  <c r="P53" i="66" s="1"/>
  <c r="E54" i="66"/>
  <c r="H53" i="66"/>
  <c r="R81" i="69"/>
  <c r="B131" i="69"/>
  <c r="S53" i="80"/>
  <c r="T53" i="80" s="1"/>
  <c r="F54" i="80"/>
  <c r="I53" i="80"/>
  <c r="U46" i="97"/>
  <c r="BF43" i="69"/>
  <c r="BF96" i="69" s="1"/>
  <c r="K54" i="100"/>
  <c r="L54" i="100" s="1"/>
  <c r="G54" i="100"/>
  <c r="K53" i="98"/>
  <c r="L53" i="98" s="1"/>
  <c r="D54" i="98"/>
  <c r="G53" i="98"/>
  <c r="D54" i="99"/>
  <c r="K53" i="99"/>
  <c r="L53" i="99" s="1"/>
  <c r="G53" i="99"/>
  <c r="O53" i="43"/>
  <c r="P53" i="43" s="1"/>
  <c r="E54" i="43"/>
  <c r="H53" i="43"/>
  <c r="BT80" i="69"/>
  <c r="AW130" i="69"/>
  <c r="BL80" i="69"/>
  <c r="BQ80" i="69" s="1"/>
  <c r="M47" i="81"/>
  <c r="O44" i="69"/>
  <c r="O97" i="69" s="1"/>
  <c r="K53" i="86"/>
  <c r="L53" i="86" s="1"/>
  <c r="D54" i="86"/>
  <c r="G53" i="86"/>
  <c r="O53" i="96"/>
  <c r="P53" i="96" s="1"/>
  <c r="E54" i="96"/>
  <c r="H53" i="96"/>
  <c r="Q46" i="98"/>
  <c r="AH43" i="69"/>
  <c r="AH96" i="69" s="1"/>
  <c r="Q47" i="102"/>
  <c r="AZ44" i="68"/>
  <c r="AZ97" i="68" s="1"/>
  <c r="U33" i="43"/>
  <c r="CJ30" i="68"/>
  <c r="CJ83" i="68" s="1"/>
  <c r="CJ132" i="68" s="1"/>
  <c r="BN46" i="68"/>
  <c r="R48" i="48"/>
  <c r="T49" i="48" s="1"/>
  <c r="Z48" i="48"/>
  <c r="S48" i="48"/>
  <c r="U45" i="58"/>
  <c r="BA42" i="69"/>
  <c r="BA95" i="69" s="1"/>
  <c r="AB80" i="68"/>
  <c r="H20" i="70" s="1"/>
  <c r="B129" i="68"/>
  <c r="U31" i="66"/>
  <c r="CE28" i="68"/>
  <c r="CE81" i="68" s="1"/>
  <c r="CE130" i="68" s="1"/>
  <c r="K53" i="60"/>
  <c r="L53" i="60" s="1"/>
  <c r="D54" i="60"/>
  <c r="G53" i="60"/>
  <c r="K54" i="64"/>
  <c r="L54" i="64" s="1"/>
  <c r="G54" i="64"/>
  <c r="M46" i="88"/>
  <c r="Y43" i="68"/>
  <c r="Y96" i="68" s="1"/>
  <c r="AC99" i="68"/>
  <c r="S53" i="7"/>
  <c r="T53" i="7" s="1"/>
  <c r="F54" i="7"/>
  <c r="I53" i="7"/>
  <c r="AO28" i="69"/>
  <c r="U32" i="59"/>
  <c r="BN29" i="69"/>
  <c r="M46" i="96"/>
  <c r="J43" i="69"/>
  <c r="J96" i="69" s="1"/>
  <c r="U48" i="80"/>
  <c r="BH45" i="69"/>
  <c r="BH98" i="69" s="1"/>
  <c r="O53" i="1"/>
  <c r="P53" i="1" s="1"/>
  <c r="E54" i="1"/>
  <c r="H53" i="1"/>
  <c r="CH44" i="68"/>
  <c r="CH97" i="68" s="1"/>
  <c r="U47" i="103"/>
  <c r="Z82" i="69"/>
  <c r="O54" i="99"/>
  <c r="P54" i="99" s="1"/>
  <c r="H54" i="99"/>
  <c r="C12" i="56"/>
  <c r="Q49" i="83"/>
  <c r="AN46" i="69"/>
  <c r="AN99" i="69" s="1"/>
  <c r="K54" i="23"/>
  <c r="L54" i="23" s="1"/>
  <c r="G54" i="23"/>
  <c r="S54" i="59"/>
  <c r="T54" i="59" s="1"/>
  <c r="I54" i="59"/>
  <c r="M46" i="103"/>
  <c r="P43" i="68"/>
  <c r="P96" i="68" s="1"/>
  <c r="I29" i="69" l="1"/>
  <c r="I82" i="69" s="1"/>
  <c r="I132" i="69" s="1"/>
  <c r="M32" i="37"/>
  <c r="K29" i="68"/>
  <c r="K82" i="68" s="1"/>
  <c r="K131" i="68" s="1"/>
  <c r="M32" i="64"/>
  <c r="T131" i="69"/>
  <c r="U81" i="69"/>
  <c r="K20" i="70"/>
  <c r="K15" i="56" s="1"/>
  <c r="U130" i="69"/>
  <c r="R20" i="70"/>
  <c r="U20" i="70" s="1"/>
  <c r="S51" i="69"/>
  <c r="S104" i="69" s="1"/>
  <c r="M53" i="45"/>
  <c r="U32" i="44"/>
  <c r="CL29" i="68"/>
  <c r="CL82" i="68" s="1"/>
  <c r="CL131" i="68" s="1"/>
  <c r="BC29" i="69"/>
  <c r="BC82" i="69" s="1"/>
  <c r="BC132" i="69" s="1"/>
  <c r="U32" i="37"/>
  <c r="BM48" i="68"/>
  <c r="BM101" i="68" s="1"/>
  <c r="S50" i="47"/>
  <c r="Q34" i="38"/>
  <c r="AK31" i="68"/>
  <c r="AK84" i="68" s="1"/>
  <c r="AK133" i="68" s="1"/>
  <c r="AP51" i="69"/>
  <c r="AP104" i="69" s="1"/>
  <c r="S53" i="45"/>
  <c r="BK45" i="69"/>
  <c r="BK98" i="69" s="1"/>
  <c r="U48" i="83"/>
  <c r="Q47" i="99"/>
  <c r="AR44" i="68"/>
  <c r="AR97" i="68" s="1"/>
  <c r="BL28" i="69"/>
  <c r="B21" i="92" s="1"/>
  <c r="BW77" i="69"/>
  <c r="BW127" i="69" s="1"/>
  <c r="R28" i="69"/>
  <c r="V28" i="69" s="1"/>
  <c r="U48" i="82"/>
  <c r="BJ45" i="69"/>
  <c r="BJ98" i="69" s="1"/>
  <c r="AP50" i="69"/>
  <c r="AP103" i="69" s="1"/>
  <c r="S52" i="45"/>
  <c r="X46" i="68"/>
  <c r="X99" i="68" s="1"/>
  <c r="M49" i="87"/>
  <c r="H29" i="69"/>
  <c r="H82" i="69" s="1"/>
  <c r="H132" i="69" s="1"/>
  <c r="M32" i="36"/>
  <c r="M46" i="58"/>
  <c r="G43" i="69"/>
  <c r="G96" i="69" s="1"/>
  <c r="D54" i="74"/>
  <c r="G53" i="74"/>
  <c r="K53" i="74"/>
  <c r="L53" i="74" s="1"/>
  <c r="M53" i="74" s="1"/>
  <c r="W49" i="47"/>
  <c r="Z49" i="47" s="1"/>
  <c r="N49" i="47"/>
  <c r="U32" i="42"/>
  <c r="CG29" i="68"/>
  <c r="CG82" i="68" s="1"/>
  <c r="CG131" i="68" s="1"/>
  <c r="W79" i="69"/>
  <c r="R129" i="69"/>
  <c r="V79" i="69"/>
  <c r="V129" i="69" s="1"/>
  <c r="Q34" i="1"/>
  <c r="Y31" i="69"/>
  <c r="Y84" i="69" s="1"/>
  <c r="Y134" i="69" s="1"/>
  <c r="U33" i="63"/>
  <c r="CX30" i="68"/>
  <c r="U33" i="35"/>
  <c r="AZ30" i="69"/>
  <c r="AZ83" i="69" s="1"/>
  <c r="AZ133" i="69" s="1"/>
  <c r="Q49" i="82"/>
  <c r="AM46" i="69"/>
  <c r="AM99" i="69" s="1"/>
  <c r="D54" i="45"/>
  <c r="K54" i="45" s="1"/>
  <c r="N54" i="45" s="1"/>
  <c r="Q54" i="45"/>
  <c r="T54" i="45" s="1"/>
  <c r="CV46" i="68"/>
  <c r="CV99" i="68" s="1"/>
  <c r="Y48" i="47"/>
  <c r="H54" i="98"/>
  <c r="O54" i="98"/>
  <c r="P54" i="98" s="1"/>
  <c r="U29" i="69"/>
  <c r="K22" i="92" s="1"/>
  <c r="T82" i="69"/>
  <c r="U32" i="64"/>
  <c r="CC29" i="68"/>
  <c r="CC82" i="68" s="1"/>
  <c r="CC131" i="68" s="1"/>
  <c r="U33" i="7"/>
  <c r="AY30" i="69"/>
  <c r="AY83" i="69" s="1"/>
  <c r="AY133" i="69" s="1"/>
  <c r="E54" i="74"/>
  <c r="H53" i="74"/>
  <c r="O53" i="74"/>
  <c r="P53" i="74" s="1"/>
  <c r="Q53" i="74" s="1"/>
  <c r="M32" i="41"/>
  <c r="E29" i="68"/>
  <c r="E82" i="68" s="1"/>
  <c r="E131" i="68" s="1"/>
  <c r="Q47" i="88"/>
  <c r="BH44" i="68"/>
  <c r="BH97" i="68" s="1"/>
  <c r="BO51" i="68"/>
  <c r="BO104" i="68" s="1"/>
  <c r="Q54" i="63"/>
  <c r="BO52" i="68" s="1"/>
  <c r="BO105" i="68" s="1"/>
  <c r="Q36" i="35"/>
  <c r="AC33" i="69"/>
  <c r="AC86" i="69" s="1"/>
  <c r="AC136" i="69" s="1"/>
  <c r="T30" i="69"/>
  <c r="M33" i="59"/>
  <c r="CX82" i="68"/>
  <c r="CY29" i="68"/>
  <c r="AO29" i="69"/>
  <c r="AS29" i="69" s="1"/>
  <c r="AB28" i="68"/>
  <c r="AH28" i="68" s="1"/>
  <c r="AD98" i="68"/>
  <c r="AG98" i="68" s="1"/>
  <c r="AG45" i="68"/>
  <c r="K73" i="56"/>
  <c r="K103" i="56"/>
  <c r="U33" i="23"/>
  <c r="AX30" i="69"/>
  <c r="AX83" i="69" s="1"/>
  <c r="AX133" i="69" s="1"/>
  <c r="J30" i="68"/>
  <c r="J83" i="68" s="1"/>
  <c r="J132" i="68" s="1"/>
  <c r="M33" i="62"/>
  <c r="AN30" i="68"/>
  <c r="AN83" i="68" s="1"/>
  <c r="AN132" i="68" s="1"/>
  <c r="Q33" i="41"/>
  <c r="H19" i="70"/>
  <c r="C30" i="69"/>
  <c r="C83" i="69" s="1"/>
  <c r="C133" i="69" s="1"/>
  <c r="M33" i="4"/>
  <c r="AV30" i="69"/>
  <c r="AV83" i="69" s="1"/>
  <c r="AV133" i="69" s="1"/>
  <c r="U33" i="1"/>
  <c r="CP44" i="68"/>
  <c r="CP97" i="68" s="1"/>
  <c r="U47" i="87"/>
  <c r="CN44" i="68"/>
  <c r="CN97" i="68" s="1"/>
  <c r="AD46" i="68"/>
  <c r="AD99" i="68" s="1"/>
  <c r="AG99" i="68" s="1"/>
  <c r="M48" i="47"/>
  <c r="M33" i="61"/>
  <c r="G30" i="68"/>
  <c r="G83" i="68" s="1"/>
  <c r="G132" i="68" s="1"/>
  <c r="Q33" i="23"/>
  <c r="AA30" i="69"/>
  <c r="AA83" i="69" s="1"/>
  <c r="AA133" i="69" s="1"/>
  <c r="M32" i="65"/>
  <c r="L29" i="68"/>
  <c r="L82" i="68" s="1"/>
  <c r="L131" i="68" s="1"/>
  <c r="K50" i="47"/>
  <c r="Q51" i="47"/>
  <c r="T51" i="47" s="1"/>
  <c r="D51" i="47"/>
  <c r="Q33" i="39"/>
  <c r="AL30" i="68"/>
  <c r="AL83" i="68" s="1"/>
  <c r="AL132" i="68" s="1"/>
  <c r="CM44" i="68"/>
  <c r="CM97" i="68" s="1"/>
  <c r="U47" i="85"/>
  <c r="CS45" i="68"/>
  <c r="CS98" i="68" s="1"/>
  <c r="U48" i="89"/>
  <c r="CY81" i="68"/>
  <c r="CY130" i="68" s="1"/>
  <c r="CX130" i="68"/>
  <c r="U48" i="101"/>
  <c r="CK45" i="68"/>
  <c r="CK98" i="68" s="1"/>
  <c r="E19" i="92"/>
  <c r="B20" i="70"/>
  <c r="B15" i="56" s="1"/>
  <c r="S54" i="103"/>
  <c r="T54" i="103" s="1"/>
  <c r="I54" i="103"/>
  <c r="H54" i="64"/>
  <c r="O54" i="64"/>
  <c r="P54" i="64" s="1"/>
  <c r="I54" i="100"/>
  <c r="S54" i="100"/>
  <c r="T54" i="100" s="1"/>
  <c r="O54" i="38"/>
  <c r="P54" i="38" s="1"/>
  <c r="H54" i="38"/>
  <c r="N20" i="70"/>
  <c r="H15" i="56"/>
  <c r="Q50" i="83"/>
  <c r="AN47" i="69"/>
  <c r="AN100" i="69" s="1"/>
  <c r="U32" i="66"/>
  <c r="CE29" i="68"/>
  <c r="CE82" i="68" s="1"/>
  <c r="CE131" i="68" s="1"/>
  <c r="U46" i="58"/>
  <c r="BA43" i="69"/>
  <c r="BA96" i="69" s="1"/>
  <c r="BN99" i="68"/>
  <c r="BP99" i="68" s="1"/>
  <c r="BP46" i="68"/>
  <c r="Q47" i="98"/>
  <c r="AH44" i="69"/>
  <c r="AH97" i="69" s="1"/>
  <c r="M48" i="81"/>
  <c r="O45" i="69"/>
  <c r="O98" i="69" s="1"/>
  <c r="O54" i="43"/>
  <c r="P54" i="43" s="1"/>
  <c r="H54" i="43"/>
  <c r="K54" i="99"/>
  <c r="L54" i="99" s="1"/>
  <c r="G54" i="99"/>
  <c r="K54" i="98"/>
  <c r="L54" i="98" s="1"/>
  <c r="G54" i="98"/>
  <c r="Q33" i="7"/>
  <c r="AB30" i="69"/>
  <c r="AB83" i="69" s="1"/>
  <c r="AB133" i="69" s="1"/>
  <c r="BY129" i="68"/>
  <c r="CT80" i="68"/>
  <c r="Q33" i="60"/>
  <c r="AO30" i="68"/>
  <c r="AO83" i="68" s="1"/>
  <c r="AO132" i="68" s="1"/>
  <c r="BO130" i="69"/>
  <c r="BP80" i="69"/>
  <c r="C14" i="56"/>
  <c r="CT28" i="68"/>
  <c r="T20" i="70"/>
  <c r="D102" i="56"/>
  <c r="D72" i="56"/>
  <c r="AW131" i="69"/>
  <c r="BL81" i="69"/>
  <c r="BT81" i="69"/>
  <c r="AQ83" i="69"/>
  <c r="AR30" i="69"/>
  <c r="Q47" i="101"/>
  <c r="BB44" i="68"/>
  <c r="BB97" i="68" s="1"/>
  <c r="S54" i="1"/>
  <c r="T54" i="1" s="1"/>
  <c r="I54" i="1"/>
  <c r="BT132" i="68"/>
  <c r="N102" i="56"/>
  <c r="N72" i="56"/>
  <c r="U53" i="86"/>
  <c r="CO50" i="68"/>
  <c r="CO103" i="68" s="1"/>
  <c r="AM30" i="68"/>
  <c r="Q33" i="40"/>
  <c r="S54" i="99"/>
  <c r="T54" i="99" s="1"/>
  <c r="I54" i="99"/>
  <c r="M48" i="89"/>
  <c r="AA45" i="68"/>
  <c r="AA98" i="68" s="1"/>
  <c r="M48" i="90"/>
  <c r="M45" i="69"/>
  <c r="M98" i="69" s="1"/>
  <c r="BU131" i="68"/>
  <c r="M48" i="104"/>
  <c r="Z45" i="68"/>
  <c r="Z98" i="68" s="1"/>
  <c r="AQ132" i="69"/>
  <c r="AR82" i="69"/>
  <c r="AS28" i="69"/>
  <c r="K54" i="101"/>
  <c r="L54" i="101" s="1"/>
  <c r="G54" i="101"/>
  <c r="O54" i="90"/>
  <c r="P54" i="90" s="1"/>
  <c r="H54" i="90"/>
  <c r="K54" i="59"/>
  <c r="L54" i="59" s="1"/>
  <c r="G54" i="59"/>
  <c r="O54" i="58"/>
  <c r="P54" i="58" s="1"/>
  <c r="H54" i="58"/>
  <c r="M33" i="43"/>
  <c r="R30" i="68"/>
  <c r="R83" i="68" s="1"/>
  <c r="R132" i="68" s="1"/>
  <c r="Q34" i="66"/>
  <c r="AV31" i="68"/>
  <c r="AV84" i="68" s="1"/>
  <c r="AV133" i="68" s="1"/>
  <c r="CU49" i="68"/>
  <c r="Y51" i="46"/>
  <c r="K54" i="36"/>
  <c r="L54" i="36" s="1"/>
  <c r="G54" i="36"/>
  <c r="Q34" i="4"/>
  <c r="Z31" i="69"/>
  <c r="U49" i="90"/>
  <c r="BG46" i="69"/>
  <c r="BG99" i="69" s="1"/>
  <c r="E101" i="56"/>
  <c r="E71" i="56"/>
  <c r="U32" i="61"/>
  <c r="BY29" i="68"/>
  <c r="BY82" i="68" s="1"/>
  <c r="BY131" i="68" s="1"/>
  <c r="L49" i="48"/>
  <c r="N50" i="48" s="1"/>
  <c r="AE47" i="68"/>
  <c r="AE100" i="68" s="1"/>
  <c r="M49" i="48"/>
  <c r="C101" i="56"/>
  <c r="AJ12" i="56"/>
  <c r="C71" i="56"/>
  <c r="M47" i="96"/>
  <c r="J44" i="69"/>
  <c r="J97" i="69" s="1"/>
  <c r="K54" i="60"/>
  <c r="L54" i="60" s="1"/>
  <c r="G54" i="60"/>
  <c r="K54" i="86"/>
  <c r="L54" i="86" s="1"/>
  <c r="G54" i="86"/>
  <c r="U47" i="97"/>
  <c r="BF44" i="69"/>
  <c r="BF97" i="69" s="1"/>
  <c r="O54" i="66"/>
  <c r="P54" i="66" s="1"/>
  <c r="H54" i="66"/>
  <c r="B83" i="69"/>
  <c r="BU128" i="69"/>
  <c r="BW78" i="69"/>
  <c r="BW128" i="69" s="1"/>
  <c r="E13" i="56"/>
  <c r="M48" i="99"/>
  <c r="I45" i="68"/>
  <c r="I98" i="68" s="1"/>
  <c r="BL102" i="68"/>
  <c r="A45" i="70"/>
  <c r="D14" i="56"/>
  <c r="BU130" i="68"/>
  <c r="CT81" i="68"/>
  <c r="DA81" i="68"/>
  <c r="DA130" i="68" s="1"/>
  <c r="Q48" i="81"/>
  <c r="AL45" i="69"/>
  <c r="AL98" i="69" s="1"/>
  <c r="AB81" i="68"/>
  <c r="H21" i="70" s="1"/>
  <c r="B130" i="68"/>
  <c r="M48" i="84"/>
  <c r="V45" i="68"/>
  <c r="V98" i="68" s="1"/>
  <c r="BA30" i="68"/>
  <c r="BA83" i="68" s="1"/>
  <c r="BA132" i="68" s="1"/>
  <c r="Q33" i="43"/>
  <c r="AK45" i="69"/>
  <c r="AK98" i="69" s="1"/>
  <c r="Q48" i="80"/>
  <c r="M33" i="35"/>
  <c r="F30" i="69"/>
  <c r="F83" i="69" s="1"/>
  <c r="F133" i="69" s="1"/>
  <c r="O54" i="59"/>
  <c r="P54" i="59" s="1"/>
  <c r="H54" i="59"/>
  <c r="S54" i="90"/>
  <c r="T54" i="90" s="1"/>
  <c r="I54" i="90"/>
  <c r="Q34" i="59"/>
  <c r="AQ31" i="69"/>
  <c r="U34" i="62"/>
  <c r="CB31" i="68"/>
  <c r="CB84" i="68" s="1"/>
  <c r="CB133" i="68" s="1"/>
  <c r="U33" i="36"/>
  <c r="BB30" i="69"/>
  <c r="BB83" i="69" s="1"/>
  <c r="BB133" i="69" s="1"/>
  <c r="M47" i="102"/>
  <c r="Q44" i="68"/>
  <c r="Q97" i="68" s="1"/>
  <c r="BK129" i="68"/>
  <c r="BQ80" i="68"/>
  <c r="BQ129" i="68" s="1"/>
  <c r="Q33" i="37"/>
  <c r="AF30" i="69"/>
  <c r="AF83" i="69" s="1"/>
  <c r="AF133" i="69" s="1"/>
  <c r="U34" i="38"/>
  <c r="BT31" i="68"/>
  <c r="BT84" i="68" s="1"/>
  <c r="CQ46" i="68"/>
  <c r="CQ99" i="68" s="1"/>
  <c r="U49" i="88"/>
  <c r="AC100" i="68"/>
  <c r="U33" i="39"/>
  <c r="BU30" i="68"/>
  <c r="BU83" i="68" s="1"/>
  <c r="BU132" i="68" s="1"/>
  <c r="Q34" i="67"/>
  <c r="AW31" i="68"/>
  <c r="AW84" i="68" s="1"/>
  <c r="AW133" i="68" s="1"/>
  <c r="O54" i="23"/>
  <c r="P54" i="23" s="1"/>
  <c r="H54" i="23"/>
  <c r="M48" i="98"/>
  <c r="K45" i="69"/>
  <c r="K98" i="69" s="1"/>
  <c r="G20" i="70"/>
  <c r="B82" i="68"/>
  <c r="Q48" i="96"/>
  <c r="AG45" i="69"/>
  <c r="AG98" i="69" s="1"/>
  <c r="Q33" i="36"/>
  <c r="AE30" i="69"/>
  <c r="AE83" i="69" s="1"/>
  <c r="AE133" i="69" s="1"/>
  <c r="M49" i="80"/>
  <c r="N46" i="69"/>
  <c r="N99" i="69" s="1"/>
  <c r="Q48" i="89"/>
  <c r="BJ45" i="68"/>
  <c r="BJ98" i="68" s="1"/>
  <c r="O54" i="103"/>
  <c r="P54" i="103" s="1"/>
  <c r="H54" i="103"/>
  <c r="BK28" i="68"/>
  <c r="BQ28" i="68" s="1"/>
  <c r="CI44" i="68"/>
  <c r="CI97" i="68" s="1"/>
  <c r="U47" i="102"/>
  <c r="U33" i="40"/>
  <c r="BV30" i="68"/>
  <c r="BV83" i="68" s="1"/>
  <c r="BV132" i="68" s="1"/>
  <c r="BP129" i="69"/>
  <c r="BU79" i="69"/>
  <c r="O54" i="60"/>
  <c r="P54" i="60" s="1"/>
  <c r="H54" i="60"/>
  <c r="Q48" i="97"/>
  <c r="AI45" i="69"/>
  <c r="AI98" i="69" s="1"/>
  <c r="CU101" i="68"/>
  <c r="Z132" i="69"/>
  <c r="AO82" i="69"/>
  <c r="O54" i="1"/>
  <c r="P54" i="1" s="1"/>
  <c r="H54" i="1"/>
  <c r="BN82" i="69"/>
  <c r="BO29" i="69"/>
  <c r="S54" i="7"/>
  <c r="T54" i="7" s="1"/>
  <c r="I54" i="7"/>
  <c r="AB129" i="68"/>
  <c r="AH80" i="68"/>
  <c r="AH129" i="68" s="1"/>
  <c r="CW46" i="68"/>
  <c r="CW99" i="68" s="1"/>
  <c r="Y48" i="48"/>
  <c r="X48" i="48"/>
  <c r="U34" i="43"/>
  <c r="CJ31" i="68"/>
  <c r="CJ84" i="68" s="1"/>
  <c r="CJ133" i="68" s="1"/>
  <c r="AZ45" i="68"/>
  <c r="AZ98" i="68" s="1"/>
  <c r="Q48" i="102"/>
  <c r="O54" i="96"/>
  <c r="P54" i="96" s="1"/>
  <c r="H54" i="96"/>
  <c r="R131" i="69"/>
  <c r="M34" i="1"/>
  <c r="B31" i="69"/>
  <c r="O54" i="85"/>
  <c r="P54" i="85" s="1"/>
  <c r="H54" i="85"/>
  <c r="DB79" i="68"/>
  <c r="DB128" i="68" s="1"/>
  <c r="CZ128" i="68"/>
  <c r="U48" i="100"/>
  <c r="BZ45" i="68"/>
  <c r="BZ98" i="68" s="1"/>
  <c r="O54" i="97"/>
  <c r="P54" i="97" s="1"/>
  <c r="H54" i="97"/>
  <c r="Q49" i="104"/>
  <c r="BI46" i="68"/>
  <c r="BI99" i="68" s="1"/>
  <c r="S44" i="68"/>
  <c r="S97" i="68" s="1"/>
  <c r="M47" i="101"/>
  <c r="Q21" i="70"/>
  <c r="J21" i="70"/>
  <c r="AS81" i="69"/>
  <c r="AS131" i="69" s="1"/>
  <c r="AR131" i="69"/>
  <c r="AT30" i="68"/>
  <c r="AT83" i="68" s="1"/>
  <c r="AT132" i="68" s="1"/>
  <c r="Q33" i="64"/>
  <c r="Q47" i="86"/>
  <c r="BF44" i="68"/>
  <c r="BF97" i="68" s="1"/>
  <c r="H21" i="92"/>
  <c r="N21" i="92" s="1"/>
  <c r="U48" i="98"/>
  <c r="BE45" i="69"/>
  <c r="BE98" i="69" s="1"/>
  <c r="J73" i="56"/>
  <c r="J103" i="56"/>
  <c r="L50" i="46"/>
  <c r="N51" i="46" s="1"/>
  <c r="AC48" i="68"/>
  <c r="M50" i="46"/>
  <c r="Q50" i="85"/>
  <c r="BD47" i="68"/>
  <c r="BD100" i="68" s="1"/>
  <c r="M33" i="60"/>
  <c r="F30" i="68"/>
  <c r="F83" i="68" s="1"/>
  <c r="F132" i="68" s="1"/>
  <c r="M34" i="42"/>
  <c r="O31" i="68"/>
  <c r="O84" i="68" s="1"/>
  <c r="O133" i="68" s="1"/>
  <c r="K54" i="1"/>
  <c r="L54" i="1" s="1"/>
  <c r="G54" i="1"/>
  <c r="M32" i="67"/>
  <c r="N29" i="68"/>
  <c r="N82" i="68" s="1"/>
  <c r="N131" i="68" s="1"/>
  <c r="M33" i="38"/>
  <c r="B30" i="68"/>
  <c r="M34" i="23"/>
  <c r="D31" i="69"/>
  <c r="D84" i="69" s="1"/>
  <c r="D134" i="69" s="1"/>
  <c r="W33" i="23"/>
  <c r="U34" i="67"/>
  <c r="CF31" i="68"/>
  <c r="CF84" i="68" s="1"/>
  <c r="CF133" i="68" s="1"/>
  <c r="U49" i="81"/>
  <c r="BI46" i="69"/>
  <c r="BI99" i="69" s="1"/>
  <c r="AM130" i="68"/>
  <c r="BK81" i="68"/>
  <c r="G21" i="70" s="1"/>
  <c r="H20" i="92"/>
  <c r="N20" i="92" s="1"/>
  <c r="Q49" i="90"/>
  <c r="AJ46" i="69"/>
  <c r="AJ99" i="69" s="1"/>
  <c r="AW82" i="69"/>
  <c r="BL50" i="68"/>
  <c r="S52" i="46"/>
  <c r="S54" i="64"/>
  <c r="T54" i="64" s="1"/>
  <c r="I54" i="64"/>
  <c r="M48" i="82"/>
  <c r="P45" i="69"/>
  <c r="P98" i="69" s="1"/>
  <c r="M33" i="44"/>
  <c r="T30" i="68"/>
  <c r="T83" i="68" s="1"/>
  <c r="T132" i="68" s="1"/>
  <c r="M33" i="39"/>
  <c r="C30" i="68"/>
  <c r="C83" i="68" s="1"/>
  <c r="C132" i="68" s="1"/>
  <c r="S54" i="96"/>
  <c r="T54" i="96" s="1"/>
  <c r="I54" i="96"/>
  <c r="U33" i="60"/>
  <c r="BX30" i="68"/>
  <c r="BX83" i="68" s="1"/>
  <c r="BX132" i="68" s="1"/>
  <c r="K54" i="80"/>
  <c r="L54" i="80" s="1"/>
  <c r="G54" i="80"/>
  <c r="M47" i="103"/>
  <c r="P44" i="68"/>
  <c r="P97" i="68" s="1"/>
  <c r="U48" i="103"/>
  <c r="CH45" i="68"/>
  <c r="CH98" i="68" s="1"/>
  <c r="U49" i="80"/>
  <c r="BH46" i="69"/>
  <c r="BH99" i="69" s="1"/>
  <c r="U33" i="59"/>
  <c r="BN30" i="69"/>
  <c r="M47" i="88"/>
  <c r="Y44" i="68"/>
  <c r="Y97" i="68" s="1"/>
  <c r="R49" i="48"/>
  <c r="T50" i="48" s="1"/>
  <c r="BN47" i="68"/>
  <c r="Z49" i="48"/>
  <c r="S49" i="48"/>
  <c r="BT130" i="69"/>
  <c r="BV80" i="69"/>
  <c r="BV130" i="69" s="1"/>
  <c r="S54" i="80"/>
  <c r="T54" i="80" s="1"/>
  <c r="I54" i="80"/>
  <c r="C20" i="92"/>
  <c r="D20" i="92"/>
  <c r="CZ27" i="68"/>
  <c r="B102" i="56"/>
  <c r="B72" i="56"/>
  <c r="U33" i="41"/>
  <c r="BW30" i="68"/>
  <c r="BW83" i="68" s="1"/>
  <c r="BW132" i="68" s="1"/>
  <c r="Q48" i="100"/>
  <c r="AQ45" i="68"/>
  <c r="AQ98" i="68" s="1"/>
  <c r="M33" i="66"/>
  <c r="M30" i="68"/>
  <c r="M83" i="68" s="1"/>
  <c r="M132" i="68" s="1"/>
  <c r="J15" i="56"/>
  <c r="M47" i="97"/>
  <c r="L44" i="69"/>
  <c r="L97" i="69" s="1"/>
  <c r="M47" i="86"/>
  <c r="W44" i="68"/>
  <c r="W97" i="68" s="1"/>
  <c r="M48" i="85"/>
  <c r="U45" i="68"/>
  <c r="U98" i="68" s="1"/>
  <c r="S54" i="98"/>
  <c r="T54" i="98" s="1"/>
  <c r="I54" i="98"/>
  <c r="D71" i="56"/>
  <c r="D101" i="56"/>
  <c r="M47" i="100"/>
  <c r="H44" i="68"/>
  <c r="H97" i="68" s="1"/>
  <c r="M49" i="83"/>
  <c r="Q46" i="69"/>
  <c r="Q99" i="69" s="1"/>
  <c r="BN131" i="69"/>
  <c r="BO81" i="69"/>
  <c r="Q32" i="44"/>
  <c r="BC29" i="68"/>
  <c r="BC82" i="68" s="1"/>
  <c r="BC131" i="68" s="1"/>
  <c r="O54" i="101"/>
  <c r="P54" i="101" s="1"/>
  <c r="H54" i="101"/>
  <c r="K54" i="103"/>
  <c r="L54" i="103" s="1"/>
  <c r="G54" i="103"/>
  <c r="M19" i="70"/>
  <c r="G14" i="56"/>
  <c r="K51" i="48"/>
  <c r="W51" i="48" s="1"/>
  <c r="D52" i="48"/>
  <c r="Q52" i="48"/>
  <c r="BG45" i="68"/>
  <c r="BG98" i="68" s="1"/>
  <c r="BE45" i="68"/>
  <c r="BE98" i="68" s="1"/>
  <c r="Q48" i="87"/>
  <c r="M33" i="7"/>
  <c r="E30" i="69"/>
  <c r="E83" i="69" s="1"/>
  <c r="E133" i="69" s="1"/>
  <c r="R82" i="69"/>
  <c r="B132" i="69"/>
  <c r="U34" i="65"/>
  <c r="CD31" i="68"/>
  <c r="CD84" i="68" s="1"/>
  <c r="CD133" i="68" s="1"/>
  <c r="M33" i="40"/>
  <c r="D30" i="68"/>
  <c r="D83" i="68" s="1"/>
  <c r="D132" i="68" s="1"/>
  <c r="Q47" i="103"/>
  <c r="AY44" i="68"/>
  <c r="AY97" i="68" s="1"/>
  <c r="AM82" i="68"/>
  <c r="BK29" i="68"/>
  <c r="BQ29" i="68" s="1"/>
  <c r="J22" i="92"/>
  <c r="C72" i="56"/>
  <c r="C102" i="56"/>
  <c r="AJ13" i="56"/>
  <c r="Q33" i="42"/>
  <c r="AX30" i="68"/>
  <c r="AX83" i="68" s="1"/>
  <c r="AX132" i="68" s="1"/>
  <c r="S54" i="23"/>
  <c r="T54" i="23" s="1"/>
  <c r="I54" i="23"/>
  <c r="CA44" i="68"/>
  <c r="CA97" i="68" s="1"/>
  <c r="U47" i="99"/>
  <c r="O54" i="35"/>
  <c r="P54" i="35" s="1"/>
  <c r="H54" i="35"/>
  <c r="U49" i="104"/>
  <c r="CR46" i="68"/>
  <c r="CR99" i="68" s="1"/>
  <c r="Q35" i="65"/>
  <c r="AU32" i="68"/>
  <c r="AU85" i="68" s="1"/>
  <c r="AU134" i="68" s="1"/>
  <c r="Q35" i="62"/>
  <c r="AS32" i="68"/>
  <c r="AS85" i="68" s="1"/>
  <c r="AS134" i="68" s="1"/>
  <c r="Q33" i="61"/>
  <c r="AP30" i="68"/>
  <c r="AP83" i="68" s="1"/>
  <c r="AP132" i="68" s="1"/>
  <c r="U48" i="96"/>
  <c r="BD45" i="69"/>
  <c r="BD98" i="69" s="1"/>
  <c r="E19" i="70"/>
  <c r="B14" i="56"/>
  <c r="U33" i="4"/>
  <c r="AW30" i="69"/>
  <c r="Y32" i="23"/>
  <c r="D53" i="46"/>
  <c r="K52" i="46"/>
  <c r="W52" i="46" s="1"/>
  <c r="Z52" i="46" s="1"/>
  <c r="Q53" i="46"/>
  <c r="T53" i="46" s="1"/>
  <c r="Z83" i="69"/>
  <c r="AO131" i="69"/>
  <c r="AD43" i="69"/>
  <c r="AD96" i="69" s="1"/>
  <c r="Q46" i="58"/>
  <c r="M102" i="56"/>
  <c r="M72" i="56"/>
  <c r="BY130" i="68"/>
  <c r="AA31" i="69" l="1"/>
  <c r="AA84" i="69" s="1"/>
  <c r="AA134" i="69" s="1"/>
  <c r="Q34" i="23"/>
  <c r="X34" i="23" s="1"/>
  <c r="T83" i="69"/>
  <c r="U30" i="69"/>
  <c r="K23" i="92" s="1"/>
  <c r="E30" i="68"/>
  <c r="E83" i="68" s="1"/>
  <c r="E132" i="68" s="1"/>
  <c r="M33" i="41"/>
  <c r="CV47" i="68"/>
  <c r="CV100" i="68" s="1"/>
  <c r="Y49" i="47"/>
  <c r="X47" i="68"/>
  <c r="X100" i="68" s="1"/>
  <c r="M50" i="87"/>
  <c r="Q35" i="38"/>
  <c r="AK32" i="68"/>
  <c r="AK85" i="68" s="1"/>
  <c r="AK134" i="68" s="1"/>
  <c r="I30" i="69"/>
  <c r="I83" i="69" s="1"/>
  <c r="I133" i="69" s="1"/>
  <c r="M33" i="37"/>
  <c r="CS46" i="68"/>
  <c r="CS99" i="68" s="1"/>
  <c r="U49" i="89"/>
  <c r="W50" i="47"/>
  <c r="Z50" i="47" s="1"/>
  <c r="N50" i="47"/>
  <c r="AV31" i="69"/>
  <c r="AV84" i="69" s="1"/>
  <c r="AV134" i="69" s="1"/>
  <c r="U34" i="1"/>
  <c r="H14" i="56"/>
  <c r="N19" i="70"/>
  <c r="N14" i="56" s="1"/>
  <c r="U33" i="64"/>
  <c r="CC30" i="68"/>
  <c r="CC83" i="68" s="1"/>
  <c r="CC132" i="68" s="1"/>
  <c r="S54" i="45"/>
  <c r="AP52" i="69"/>
  <c r="AP105" i="69" s="1"/>
  <c r="K21" i="70"/>
  <c r="K16" i="56" s="1"/>
  <c r="R21" i="70"/>
  <c r="U21" i="70" s="1"/>
  <c r="U131" i="69"/>
  <c r="CT82" i="68"/>
  <c r="BL29" i="69"/>
  <c r="B22" i="92" s="1"/>
  <c r="V81" i="69"/>
  <c r="V131" i="69" s="1"/>
  <c r="CK46" i="68"/>
  <c r="CK99" i="68" s="1"/>
  <c r="U49" i="101"/>
  <c r="Q34" i="39"/>
  <c r="AL31" i="68"/>
  <c r="AL84" i="68" s="1"/>
  <c r="AL133" i="68" s="1"/>
  <c r="AN31" i="68"/>
  <c r="AN84" i="68" s="1"/>
  <c r="AN133" i="68" s="1"/>
  <c r="Q34" i="41"/>
  <c r="U82" i="69"/>
  <c r="V82" i="69" s="1"/>
  <c r="V132" i="69" s="1"/>
  <c r="T132" i="69"/>
  <c r="S52" i="69"/>
  <c r="S105" i="69" s="1"/>
  <c r="M54" i="45"/>
  <c r="U34" i="35"/>
  <c r="AZ31" i="69"/>
  <c r="AZ84" i="69" s="1"/>
  <c r="AZ134" i="69" s="1"/>
  <c r="Q35" i="1"/>
  <c r="Y32" i="69"/>
  <c r="Y85" i="69" s="1"/>
  <c r="Y135" i="69" s="1"/>
  <c r="G44" i="69"/>
  <c r="G97" i="69" s="1"/>
  <c r="M47" i="58"/>
  <c r="U49" i="82"/>
  <c r="BJ46" i="69"/>
  <c r="BJ99" i="69" s="1"/>
  <c r="R29" i="69"/>
  <c r="CM45" i="68"/>
  <c r="CM98" i="68" s="1"/>
  <c r="U48" i="85"/>
  <c r="Q52" i="47"/>
  <c r="T52" i="47" s="1"/>
  <c r="D52" i="47"/>
  <c r="K51" i="47"/>
  <c r="M33" i="65"/>
  <c r="L30" i="68"/>
  <c r="L83" i="68" s="1"/>
  <c r="L132" i="68" s="1"/>
  <c r="M34" i="61"/>
  <c r="G31" i="68"/>
  <c r="G84" i="68" s="1"/>
  <c r="G133" i="68" s="1"/>
  <c r="U48" i="87"/>
  <c r="CN45" i="68"/>
  <c r="CN98" i="68" s="1"/>
  <c r="CP45" i="68"/>
  <c r="CP98" i="68" s="1"/>
  <c r="M34" i="4"/>
  <c r="W34" i="23" s="1"/>
  <c r="C31" i="69"/>
  <c r="C84" i="69" s="1"/>
  <c r="C134" i="69" s="1"/>
  <c r="U34" i="23"/>
  <c r="AX31" i="69"/>
  <c r="AX84" i="69" s="1"/>
  <c r="AX134" i="69" s="1"/>
  <c r="CY82" i="68"/>
  <c r="CY131" i="68" s="1"/>
  <c r="CX131" i="68"/>
  <c r="Q37" i="35"/>
  <c r="AC34" i="69"/>
  <c r="AC87" i="69" s="1"/>
  <c r="BH45" i="68"/>
  <c r="BH98" i="68" s="1"/>
  <c r="Q48" i="88"/>
  <c r="U34" i="7"/>
  <c r="AY31" i="69"/>
  <c r="AY84" i="69" s="1"/>
  <c r="AY134" i="69" s="1"/>
  <c r="CX83" i="68"/>
  <c r="CY30" i="68"/>
  <c r="U33" i="42"/>
  <c r="CG30" i="68"/>
  <c r="CG83" i="68" s="1"/>
  <c r="CG132" i="68" s="1"/>
  <c r="M33" i="36"/>
  <c r="H30" i="69"/>
  <c r="H83" i="69" s="1"/>
  <c r="H133" i="69" s="1"/>
  <c r="Q48" i="99"/>
  <c r="AR45" i="68"/>
  <c r="AR98" i="68" s="1"/>
  <c r="U33" i="44"/>
  <c r="CL30" i="68"/>
  <c r="CL83" i="68" s="1"/>
  <c r="CL132" i="68" s="1"/>
  <c r="K30" i="68"/>
  <c r="K83" i="68" s="1"/>
  <c r="K132" i="68" s="1"/>
  <c r="M33" i="64"/>
  <c r="X33" i="23"/>
  <c r="DA82" i="68"/>
  <c r="BP28" i="69"/>
  <c r="AG46" i="68"/>
  <c r="BM49" i="68"/>
  <c r="BM102" i="68" s="1"/>
  <c r="S51" i="47"/>
  <c r="M34" i="62"/>
  <c r="J31" i="68"/>
  <c r="J84" i="68" s="1"/>
  <c r="J133" i="68" s="1"/>
  <c r="M34" i="59"/>
  <c r="T31" i="69"/>
  <c r="H54" i="74"/>
  <c r="O54" i="74"/>
  <c r="P54" i="74" s="1"/>
  <c r="Q54" i="74" s="1"/>
  <c r="V130" i="69"/>
  <c r="Q50" i="82"/>
  <c r="AM47" i="69"/>
  <c r="AM100" i="69" s="1"/>
  <c r="U34" i="63"/>
  <c r="CX31" i="68"/>
  <c r="M49" i="47"/>
  <c r="AD47" i="68"/>
  <c r="AD100" i="68" s="1"/>
  <c r="AG100" i="68" s="1"/>
  <c r="K54" i="74"/>
  <c r="L54" i="74" s="1"/>
  <c r="M54" i="74" s="1"/>
  <c r="G54" i="74"/>
  <c r="BK46" i="69"/>
  <c r="BK99" i="69" s="1"/>
  <c r="U49" i="83"/>
  <c r="U33" i="37"/>
  <c r="BC30" i="69"/>
  <c r="BC83" i="69" s="1"/>
  <c r="BC133" i="69" s="1"/>
  <c r="K104" i="56"/>
  <c r="K74" i="56"/>
  <c r="AG47" i="68"/>
  <c r="AO30" i="69"/>
  <c r="AS30" i="69" s="1"/>
  <c r="DA131" i="68"/>
  <c r="Z133" i="69"/>
  <c r="AO83" i="69"/>
  <c r="U34" i="4"/>
  <c r="AW31" i="69"/>
  <c r="Y33" i="23"/>
  <c r="U48" i="99"/>
  <c r="CA45" i="68"/>
  <c r="CA98" i="68" s="1"/>
  <c r="Q48" i="103"/>
  <c r="AY45" i="68"/>
  <c r="AY98" i="68" s="1"/>
  <c r="U35" i="65"/>
  <c r="CD32" i="68"/>
  <c r="CD85" i="68" s="1"/>
  <c r="CD134" i="68" s="1"/>
  <c r="R132" i="69"/>
  <c r="M49" i="85"/>
  <c r="U46" i="68"/>
  <c r="U99" i="68" s="1"/>
  <c r="E20" i="92"/>
  <c r="CW47" i="68"/>
  <c r="CW100" i="68" s="1"/>
  <c r="X49" i="48"/>
  <c r="Y49" i="48"/>
  <c r="U34" i="59"/>
  <c r="BN31" i="69"/>
  <c r="CH46" i="68"/>
  <c r="CH99" i="68" s="1"/>
  <c r="U49" i="103"/>
  <c r="U34" i="60"/>
  <c r="BX31" i="68"/>
  <c r="BX84" i="68" s="1"/>
  <c r="BX133" i="68" s="1"/>
  <c r="M34" i="39"/>
  <c r="C31" i="68"/>
  <c r="C84" i="68" s="1"/>
  <c r="C133" i="68" s="1"/>
  <c r="U50" i="81"/>
  <c r="BI47" i="69"/>
  <c r="BI100" i="69" s="1"/>
  <c r="B83" i="68"/>
  <c r="L51" i="46"/>
  <c r="N52" i="46" s="1"/>
  <c r="AC49" i="68"/>
  <c r="M51" i="46"/>
  <c r="U49" i="98"/>
  <c r="BE46" i="69"/>
  <c r="BE99" i="69" s="1"/>
  <c r="Q34" i="64"/>
  <c r="AT31" i="68"/>
  <c r="AT84" i="68" s="1"/>
  <c r="AT133" i="68" s="1"/>
  <c r="J16" i="56"/>
  <c r="B84" i="69"/>
  <c r="BU129" i="69"/>
  <c r="BW79" i="69"/>
  <c r="BW129" i="69" s="1"/>
  <c r="U48" i="102"/>
  <c r="CI45" i="68"/>
  <c r="CI98" i="68" s="1"/>
  <c r="BJ46" i="68"/>
  <c r="BJ99" i="68" s="1"/>
  <c r="Q49" i="89"/>
  <c r="Q34" i="36"/>
  <c r="AE31" i="69"/>
  <c r="AE84" i="69" s="1"/>
  <c r="AE134" i="69" s="1"/>
  <c r="AB82" i="68"/>
  <c r="B131" i="68"/>
  <c r="AQ84" i="69"/>
  <c r="AR31" i="69"/>
  <c r="AB130" i="68"/>
  <c r="AH81" i="68"/>
  <c r="AH130" i="68" s="1"/>
  <c r="C21" i="70"/>
  <c r="D21" i="70"/>
  <c r="CT130" i="68"/>
  <c r="CZ81" i="68"/>
  <c r="G22" i="92"/>
  <c r="M22" i="92" s="1"/>
  <c r="Q35" i="4"/>
  <c r="Z32" i="69"/>
  <c r="CU102" i="68"/>
  <c r="M34" i="43"/>
  <c r="R31" i="68"/>
  <c r="R84" i="68" s="1"/>
  <c r="R133" i="68" s="1"/>
  <c r="N73" i="56"/>
  <c r="N103" i="56"/>
  <c r="AQ133" i="69"/>
  <c r="AR83" i="69"/>
  <c r="B21" i="70"/>
  <c r="AJ14" i="56"/>
  <c r="C73" i="56"/>
  <c r="C103" i="56"/>
  <c r="Q34" i="60"/>
  <c r="AO31" i="68"/>
  <c r="AO84" i="68" s="1"/>
  <c r="AO133" i="68" s="1"/>
  <c r="Q48" i="98"/>
  <c r="AH45" i="69"/>
  <c r="AH98" i="69" s="1"/>
  <c r="U47" i="58"/>
  <c r="BA44" i="69"/>
  <c r="BA97" i="69" s="1"/>
  <c r="G21" i="92"/>
  <c r="M21" i="92" s="1"/>
  <c r="BL51" i="68"/>
  <c r="S53" i="46"/>
  <c r="B73" i="56"/>
  <c r="B103" i="56"/>
  <c r="U49" i="96"/>
  <c r="BD46" i="69"/>
  <c r="BD99" i="69" s="1"/>
  <c r="Q36" i="62"/>
  <c r="AS33" i="68"/>
  <c r="AS86" i="68" s="1"/>
  <c r="AS135" i="68" s="1"/>
  <c r="CR47" i="68"/>
  <c r="CR100" i="68" s="1"/>
  <c r="U50" i="104"/>
  <c r="Q34" i="42"/>
  <c r="AX31" i="68"/>
  <c r="AX84" i="68" s="1"/>
  <c r="AX133" i="68" s="1"/>
  <c r="G73" i="56"/>
  <c r="G103" i="56"/>
  <c r="Q33" i="44"/>
  <c r="BC30" i="68"/>
  <c r="BC83" i="68" s="1"/>
  <c r="BC132" i="68" s="1"/>
  <c r="M50" i="83"/>
  <c r="Q47" i="69"/>
  <c r="Q100" i="69" s="1"/>
  <c r="M34" i="66"/>
  <c r="M31" i="68"/>
  <c r="M84" i="68" s="1"/>
  <c r="M133" i="68" s="1"/>
  <c r="Q49" i="100"/>
  <c r="AQ46" i="68"/>
  <c r="AQ99" i="68" s="1"/>
  <c r="BN100" i="68"/>
  <c r="BP100" i="68" s="1"/>
  <c r="BP47" i="68"/>
  <c r="M49" i="82"/>
  <c r="P46" i="69"/>
  <c r="P99" i="69" s="1"/>
  <c r="BL103" i="68"/>
  <c r="AW132" i="69"/>
  <c r="BL82" i="69"/>
  <c r="BT82" i="69"/>
  <c r="BK130" i="68"/>
  <c r="BQ81" i="68"/>
  <c r="BQ130" i="68" s="1"/>
  <c r="M35" i="23"/>
  <c r="D32" i="69"/>
  <c r="D85" i="69" s="1"/>
  <c r="D135" i="69" s="1"/>
  <c r="M34" i="38"/>
  <c r="B31" i="68"/>
  <c r="M35" i="42"/>
  <c r="O32" i="68"/>
  <c r="O85" i="68" s="1"/>
  <c r="O134" i="68" s="1"/>
  <c r="Q51" i="85"/>
  <c r="BD48" i="68"/>
  <c r="BD101" i="68" s="1"/>
  <c r="T21" i="70"/>
  <c r="Q50" i="104"/>
  <c r="BI47" i="68"/>
  <c r="BI100" i="68" s="1"/>
  <c r="M35" i="1"/>
  <c r="B32" i="69"/>
  <c r="M20" i="70"/>
  <c r="G15" i="56"/>
  <c r="Q35" i="67"/>
  <c r="AW32" i="68"/>
  <c r="AW85" i="68" s="1"/>
  <c r="AW134" i="68" s="1"/>
  <c r="U50" i="88"/>
  <c r="CQ47" i="68"/>
  <c r="CQ100" i="68" s="1"/>
  <c r="BT133" i="68"/>
  <c r="U34" i="36"/>
  <c r="BB31" i="69"/>
  <c r="BB84" i="69" s="1"/>
  <c r="BB134" i="69" s="1"/>
  <c r="Q35" i="59"/>
  <c r="AQ32" i="69"/>
  <c r="CT29" i="68"/>
  <c r="M49" i="89"/>
  <c r="AA46" i="68"/>
  <c r="AA99" i="68" s="1"/>
  <c r="Q48" i="101"/>
  <c r="BB45" i="68"/>
  <c r="BB98" i="68" s="1"/>
  <c r="BP130" i="69"/>
  <c r="BU80" i="69"/>
  <c r="H74" i="56"/>
  <c r="H104" i="56"/>
  <c r="M21" i="70"/>
  <c r="G16" i="56"/>
  <c r="CU50" i="68"/>
  <c r="Y52" i="46"/>
  <c r="AM131" i="68"/>
  <c r="BK82" i="68"/>
  <c r="G22" i="70" s="1"/>
  <c r="M34" i="40"/>
  <c r="D31" i="68"/>
  <c r="D84" i="68" s="1"/>
  <c r="D133" i="68" s="1"/>
  <c r="CT131" i="68"/>
  <c r="BP81" i="69"/>
  <c r="BO131" i="69"/>
  <c r="M48" i="86"/>
  <c r="W45" i="68"/>
  <c r="W98" i="68" s="1"/>
  <c r="M48" i="97"/>
  <c r="L45" i="69"/>
  <c r="L98" i="69" s="1"/>
  <c r="J104" i="56"/>
  <c r="J74" i="56"/>
  <c r="BN48" i="68"/>
  <c r="R50" i="48"/>
  <c r="T51" i="48" s="1"/>
  <c r="Z50" i="48"/>
  <c r="S50" i="48"/>
  <c r="M48" i="88"/>
  <c r="Y45" i="68"/>
  <c r="Y98" i="68" s="1"/>
  <c r="BH47" i="69"/>
  <c r="BH100" i="69" s="1"/>
  <c r="U50" i="80"/>
  <c r="M48" i="103"/>
  <c r="P45" i="68"/>
  <c r="P98" i="68" s="1"/>
  <c r="U35" i="67"/>
  <c r="CF32" i="68"/>
  <c r="CF85" i="68" s="1"/>
  <c r="CF134" i="68" s="1"/>
  <c r="M48" i="101"/>
  <c r="S45" i="68"/>
  <c r="S98" i="68" s="1"/>
  <c r="N21" i="70"/>
  <c r="H16" i="56"/>
  <c r="U35" i="43"/>
  <c r="CJ32" i="68"/>
  <c r="CJ85" i="68" s="1"/>
  <c r="CJ134" i="68" s="1"/>
  <c r="BP29" i="69"/>
  <c r="AO132" i="69"/>
  <c r="M50" i="80"/>
  <c r="N47" i="69"/>
  <c r="N100" i="69" s="1"/>
  <c r="Q49" i="96"/>
  <c r="AG46" i="69"/>
  <c r="AG99" i="69" s="1"/>
  <c r="U35" i="38"/>
  <c r="BT32" i="68"/>
  <c r="BT85" i="68" s="1"/>
  <c r="Q34" i="37"/>
  <c r="AF31" i="69"/>
  <c r="AF84" i="69" s="1"/>
  <c r="AF134" i="69" s="1"/>
  <c r="M34" i="35"/>
  <c r="F31" i="69"/>
  <c r="F84" i="69" s="1"/>
  <c r="F134" i="69" s="1"/>
  <c r="M49" i="84"/>
  <c r="V46" i="68"/>
  <c r="V99" i="68" s="1"/>
  <c r="Q49" i="81"/>
  <c r="AL46" i="69"/>
  <c r="AL99" i="69" s="1"/>
  <c r="D103" i="56"/>
  <c r="D73" i="56"/>
  <c r="E102" i="56"/>
  <c r="E72" i="56"/>
  <c r="R30" i="69"/>
  <c r="B74" i="56"/>
  <c r="B104" i="56"/>
  <c r="L50" i="48"/>
  <c r="N51" i="48" s="1"/>
  <c r="AE48" i="68"/>
  <c r="AE101" i="68" s="1"/>
  <c r="M50" i="48"/>
  <c r="U33" i="61"/>
  <c r="BY30" i="68"/>
  <c r="BY83" i="68" s="1"/>
  <c r="U50" i="90"/>
  <c r="BG47" i="69"/>
  <c r="BG100" i="69" s="1"/>
  <c r="Q35" i="66"/>
  <c r="AV32" i="68"/>
  <c r="AV85" i="68" s="1"/>
  <c r="AV134" i="68" s="1"/>
  <c r="M49" i="104"/>
  <c r="Z46" i="68"/>
  <c r="Z99" i="68" s="1"/>
  <c r="Q34" i="40"/>
  <c r="AM31" i="68"/>
  <c r="DA83" i="68"/>
  <c r="DA132" i="68" s="1"/>
  <c r="Q34" i="7"/>
  <c r="AB31" i="69"/>
  <c r="AB84" i="69" s="1"/>
  <c r="AB134" i="69" s="1"/>
  <c r="M49" i="81"/>
  <c r="O46" i="69"/>
  <c r="O99" i="69" s="1"/>
  <c r="U33" i="66"/>
  <c r="CE30" i="68"/>
  <c r="CE83" i="68" s="1"/>
  <c r="CE132" i="68" s="1"/>
  <c r="Q51" i="83"/>
  <c r="AN48" i="69"/>
  <c r="AN101" i="69" s="1"/>
  <c r="Q47" i="58"/>
  <c r="AD44" i="69"/>
  <c r="AD97" i="69" s="1"/>
  <c r="K53" i="46"/>
  <c r="W53" i="46" s="1"/>
  <c r="Z53" i="46" s="1"/>
  <c r="D54" i="46"/>
  <c r="K54" i="46" s="1"/>
  <c r="W54" i="46" s="1"/>
  <c r="Z54" i="46" s="1"/>
  <c r="Q54" i="46"/>
  <c r="T54" i="46" s="1"/>
  <c r="AW83" i="69"/>
  <c r="BL30" i="69"/>
  <c r="B23" i="92" s="1"/>
  <c r="E14" i="56"/>
  <c r="AP31" i="68"/>
  <c r="AP84" i="68" s="1"/>
  <c r="AP133" i="68" s="1"/>
  <c r="Q34" i="61"/>
  <c r="Q36" i="65"/>
  <c r="AU33" i="68"/>
  <c r="AU86" i="68" s="1"/>
  <c r="AU135" i="68" s="1"/>
  <c r="M34" i="7"/>
  <c r="E31" i="69"/>
  <c r="E84" i="69" s="1"/>
  <c r="E134" i="69" s="1"/>
  <c r="BG46" i="68"/>
  <c r="BG99" i="68" s="1"/>
  <c r="Q49" i="87"/>
  <c r="BE46" i="68"/>
  <c r="BE99" i="68" s="1"/>
  <c r="K52" i="48"/>
  <c r="W52" i="48" s="1"/>
  <c r="D53" i="48"/>
  <c r="Q53" i="48"/>
  <c r="M14" i="56"/>
  <c r="M48" i="100"/>
  <c r="H45" i="68"/>
  <c r="H98" i="68" s="1"/>
  <c r="U34" i="41"/>
  <c r="BW31" i="68"/>
  <c r="BW84" i="68" s="1"/>
  <c r="BW133" i="68" s="1"/>
  <c r="BN83" i="69"/>
  <c r="BO30" i="69"/>
  <c r="M34" i="44"/>
  <c r="T31" i="68"/>
  <c r="T84" i="68" s="1"/>
  <c r="T133" i="68" s="1"/>
  <c r="Q50" i="90"/>
  <c r="AJ47" i="69"/>
  <c r="AJ100" i="69" s="1"/>
  <c r="M33" i="67"/>
  <c r="N30" i="68"/>
  <c r="N83" i="68" s="1"/>
  <c r="N132" i="68" s="1"/>
  <c r="M34" i="60"/>
  <c r="F31" i="68"/>
  <c r="F84" i="68" s="1"/>
  <c r="F133" i="68" s="1"/>
  <c r="AC101" i="68"/>
  <c r="V29" i="69"/>
  <c r="Q48" i="86"/>
  <c r="BF45" i="68"/>
  <c r="BF98" i="68" s="1"/>
  <c r="BZ46" i="68"/>
  <c r="BZ99" i="68" s="1"/>
  <c r="U49" i="100"/>
  <c r="Q49" i="102"/>
  <c r="AZ46" i="68"/>
  <c r="AZ99" i="68" s="1"/>
  <c r="BN132" i="69"/>
  <c r="BO82" i="69"/>
  <c r="Q49" i="97"/>
  <c r="AI46" i="69"/>
  <c r="AI99" i="69" s="1"/>
  <c r="U34" i="40"/>
  <c r="BV31" i="68"/>
  <c r="BV84" i="68" s="1"/>
  <c r="BV133" i="68" s="1"/>
  <c r="AB29" i="68"/>
  <c r="AH29" i="68" s="1"/>
  <c r="M49" i="98"/>
  <c r="K46" i="69"/>
  <c r="K99" i="69" s="1"/>
  <c r="U34" i="39"/>
  <c r="BU31" i="68"/>
  <c r="M48" i="102"/>
  <c r="Q45" i="68"/>
  <c r="Q98" i="68" s="1"/>
  <c r="U35" i="62"/>
  <c r="CB32" i="68"/>
  <c r="CB85" i="68" s="1"/>
  <c r="CB134" i="68" s="1"/>
  <c r="Q49" i="80"/>
  <c r="AK46" i="69"/>
  <c r="AK99" i="69" s="1"/>
  <c r="Q34" i="43"/>
  <c r="BA31" i="68"/>
  <c r="BA84" i="68" s="1"/>
  <c r="BA133" i="68" s="1"/>
  <c r="M49" i="99"/>
  <c r="I46" i="68"/>
  <c r="I99" i="68" s="1"/>
  <c r="B133" i="69"/>
  <c r="U48" i="97"/>
  <c r="BF45" i="69"/>
  <c r="BF98" i="69" s="1"/>
  <c r="M48" i="96"/>
  <c r="J45" i="69"/>
  <c r="J98" i="69" s="1"/>
  <c r="Z84" i="69"/>
  <c r="Q22" i="70"/>
  <c r="J22" i="70"/>
  <c r="AR132" i="69"/>
  <c r="AS82" i="69"/>
  <c r="AS132" i="69" s="1"/>
  <c r="M49" i="90"/>
  <c r="M46" i="69"/>
  <c r="M99" i="69" s="1"/>
  <c r="AM83" i="68"/>
  <c r="BK30" i="68"/>
  <c r="BQ30" i="68" s="1"/>
  <c r="U54" i="86"/>
  <c r="CO52" i="68" s="1"/>
  <c r="CO105" i="68" s="1"/>
  <c r="CO51" i="68"/>
  <c r="CO104" i="68" s="1"/>
  <c r="J23" i="92"/>
  <c r="BT131" i="69"/>
  <c r="BV81" i="69"/>
  <c r="BV131" i="69" s="1"/>
  <c r="D21" i="92"/>
  <c r="C21" i="92"/>
  <c r="CZ28" i="68"/>
  <c r="C20" i="70"/>
  <c r="D20" i="70"/>
  <c r="CT129" i="68"/>
  <c r="CZ80" i="68"/>
  <c r="N15" i="56"/>
  <c r="CY31" i="68" l="1"/>
  <c r="CX84" i="68"/>
  <c r="H31" i="69"/>
  <c r="H84" i="69" s="1"/>
  <c r="H134" i="69" s="1"/>
  <c r="M34" i="36"/>
  <c r="W51" i="47"/>
  <c r="Z51" i="47" s="1"/>
  <c r="N51" i="47"/>
  <c r="M51" i="87"/>
  <c r="X48" i="68"/>
  <c r="X101" i="68" s="1"/>
  <c r="M35" i="4"/>
  <c r="C32" i="69"/>
  <c r="C85" i="69" s="1"/>
  <c r="C135" i="69" s="1"/>
  <c r="G45" i="69"/>
  <c r="G98" i="69" s="1"/>
  <c r="M48" i="58"/>
  <c r="H73" i="56"/>
  <c r="H103" i="56"/>
  <c r="M34" i="37"/>
  <c r="I31" i="69"/>
  <c r="I84" i="69" s="1"/>
  <c r="I134" i="69" s="1"/>
  <c r="M34" i="41"/>
  <c r="E31" i="68"/>
  <c r="E84" i="68" s="1"/>
  <c r="E133" i="68" s="1"/>
  <c r="AO31" i="69"/>
  <c r="U34" i="37"/>
  <c r="BC31" i="69"/>
  <c r="BC84" i="69" s="1"/>
  <c r="BC134" i="69" s="1"/>
  <c r="G32" i="68"/>
  <c r="G85" i="68" s="1"/>
  <c r="G134" i="68" s="1"/>
  <c r="M35" i="61"/>
  <c r="AV32" i="69"/>
  <c r="AV85" i="69" s="1"/>
  <c r="AV135" i="69" s="1"/>
  <c r="U35" i="1"/>
  <c r="R83" i="69"/>
  <c r="D22" i="70"/>
  <c r="D17" i="56" s="1"/>
  <c r="BK47" i="69"/>
  <c r="BK100" i="69" s="1"/>
  <c r="U50" i="83"/>
  <c r="M35" i="62"/>
  <c r="J32" i="68"/>
  <c r="J85" i="68" s="1"/>
  <c r="J134" i="68" s="1"/>
  <c r="Q49" i="99"/>
  <c r="AR46" i="68"/>
  <c r="AR99" i="68" s="1"/>
  <c r="U34" i="42"/>
  <c r="CG31" i="68"/>
  <c r="CG84" i="68" s="1"/>
  <c r="CG133" i="68" s="1"/>
  <c r="U35" i="7"/>
  <c r="AY32" i="69"/>
  <c r="AY85" i="69" s="1"/>
  <c r="AY135" i="69" s="1"/>
  <c r="AC35" i="69"/>
  <c r="AC88" i="69" s="1"/>
  <c r="Q38" i="35"/>
  <c r="U35" i="23"/>
  <c r="AX32" i="69"/>
  <c r="AX85" i="69" s="1"/>
  <c r="AX135" i="69" s="1"/>
  <c r="S52" i="47"/>
  <c r="BM50" i="68"/>
  <c r="BM103" i="68" s="1"/>
  <c r="Q35" i="41"/>
  <c r="AN32" i="68"/>
  <c r="AN85" i="68" s="1"/>
  <c r="AN134" i="68" s="1"/>
  <c r="U50" i="101"/>
  <c r="CK47" i="68"/>
  <c r="CK100" i="68" s="1"/>
  <c r="AB6" i="56"/>
  <c r="K105" i="56"/>
  <c r="K75" i="56"/>
  <c r="CC31" i="68"/>
  <c r="CC84" i="68" s="1"/>
  <c r="CC133" i="68" s="1"/>
  <c r="U34" i="64"/>
  <c r="T32" i="69"/>
  <c r="M35" i="59"/>
  <c r="CL31" i="68"/>
  <c r="CL84" i="68" s="1"/>
  <c r="CL133" i="68" s="1"/>
  <c r="U34" i="44"/>
  <c r="CX132" i="68"/>
  <c r="CY83" i="68"/>
  <c r="CY132" i="68" s="1"/>
  <c r="CV48" i="68"/>
  <c r="CV101" i="68" s="1"/>
  <c r="Y50" i="47"/>
  <c r="Q35" i="23"/>
  <c r="AA32" i="69"/>
  <c r="AA85" i="69" s="1"/>
  <c r="AA135" i="69" s="1"/>
  <c r="CX32" i="68"/>
  <c r="U35" i="63"/>
  <c r="M34" i="64"/>
  <c r="K31" i="68"/>
  <c r="K84" i="68" s="1"/>
  <c r="K133" i="68" s="1"/>
  <c r="K52" i="47"/>
  <c r="Q53" i="47"/>
  <c r="T53" i="47" s="1"/>
  <c r="D53" i="47"/>
  <c r="AZ32" i="69"/>
  <c r="AZ85" i="69" s="1"/>
  <c r="AZ135" i="69" s="1"/>
  <c r="U35" i="35"/>
  <c r="K22" i="70"/>
  <c r="K17" i="56" s="1"/>
  <c r="U132" i="69"/>
  <c r="R22" i="70"/>
  <c r="Q35" i="39"/>
  <c r="AL32" i="68"/>
  <c r="AL85" i="68" s="1"/>
  <c r="AL134" i="68" s="1"/>
  <c r="CS47" i="68"/>
  <c r="CS100" i="68" s="1"/>
  <c r="U50" i="89"/>
  <c r="C22" i="70"/>
  <c r="CZ131" i="68"/>
  <c r="Q51" i="82"/>
  <c r="AM48" i="69"/>
  <c r="AM101" i="69" s="1"/>
  <c r="T84" i="69"/>
  <c r="U31" i="69"/>
  <c r="K24" i="92" s="1"/>
  <c r="Q49" i="88"/>
  <c r="BH46" i="68"/>
  <c r="BH99" i="68" s="1"/>
  <c r="U49" i="87"/>
  <c r="CN46" i="68"/>
  <c r="CN99" i="68" s="1"/>
  <c r="CP46" i="68"/>
  <c r="CP99" i="68" s="1"/>
  <c r="M34" i="65"/>
  <c r="L31" i="68"/>
  <c r="L84" i="68" s="1"/>
  <c r="L133" i="68" s="1"/>
  <c r="U49" i="85"/>
  <c r="CM46" i="68"/>
  <c r="CM99" i="68" s="1"/>
  <c r="U50" i="82"/>
  <c r="BJ47" i="69"/>
  <c r="BJ100" i="69" s="1"/>
  <c r="Q36" i="1"/>
  <c r="Y33" i="69"/>
  <c r="Y86" i="69" s="1"/>
  <c r="Y136" i="69" s="1"/>
  <c r="CZ82" i="68"/>
  <c r="DB82" i="68" s="1"/>
  <c r="AD48" i="68"/>
  <c r="M50" i="47"/>
  <c r="Q36" i="38"/>
  <c r="AK33" i="68"/>
  <c r="AK86" i="68" s="1"/>
  <c r="AK135" i="68" s="1"/>
  <c r="U83" i="69"/>
  <c r="T133" i="69"/>
  <c r="E21" i="92"/>
  <c r="BP30" i="69"/>
  <c r="M50" i="90"/>
  <c r="M47" i="69"/>
  <c r="M100" i="69" s="1"/>
  <c r="T22" i="70"/>
  <c r="Z134" i="69"/>
  <c r="AO84" i="69"/>
  <c r="M49" i="96"/>
  <c r="J46" i="69"/>
  <c r="J99" i="69" s="1"/>
  <c r="R133" i="69"/>
  <c r="V83" i="69"/>
  <c r="V133" i="69" s="1"/>
  <c r="Q35" i="43"/>
  <c r="BA32" i="68"/>
  <c r="BA85" i="68" s="1"/>
  <c r="BA134" i="68" s="1"/>
  <c r="U36" i="62"/>
  <c r="CB33" i="68"/>
  <c r="CB86" i="68" s="1"/>
  <c r="CB135" i="68" s="1"/>
  <c r="U35" i="39"/>
  <c r="BU32" i="68"/>
  <c r="BU85" i="68" s="1"/>
  <c r="U35" i="40"/>
  <c r="BV32" i="68"/>
  <c r="BV85" i="68" s="1"/>
  <c r="BV134" i="68" s="1"/>
  <c r="H22" i="92"/>
  <c r="N22" i="92" s="1"/>
  <c r="M103" i="56"/>
  <c r="M73" i="56"/>
  <c r="Q37" i="65"/>
  <c r="AU34" i="68"/>
  <c r="AU87" i="68" s="1"/>
  <c r="CU52" i="68"/>
  <c r="Y54" i="46"/>
  <c r="Q48" i="58"/>
  <c r="AD45" i="69"/>
  <c r="AD98" i="69" s="1"/>
  <c r="U34" i="66"/>
  <c r="CE31" i="68"/>
  <c r="CE84" i="68" s="1"/>
  <c r="CE133" i="68" s="1"/>
  <c r="Q35" i="40"/>
  <c r="AM32" i="68"/>
  <c r="M50" i="104"/>
  <c r="Z47" i="68"/>
  <c r="Z100" i="68" s="1"/>
  <c r="Q36" i="66"/>
  <c r="AV33" i="68"/>
  <c r="AV86" i="68" s="1"/>
  <c r="AV135" i="68" s="1"/>
  <c r="U34" i="61"/>
  <c r="BY31" i="68"/>
  <c r="BY84" i="68" s="1"/>
  <c r="BY133" i="68" s="1"/>
  <c r="M50" i="84"/>
  <c r="V47" i="68"/>
  <c r="V100" i="68" s="1"/>
  <c r="M35" i="35"/>
  <c r="F32" i="69"/>
  <c r="F85" i="69" s="1"/>
  <c r="F135" i="69" s="1"/>
  <c r="U36" i="38"/>
  <c r="BT33" i="68"/>
  <c r="BT86" i="68" s="1"/>
  <c r="M51" i="80"/>
  <c r="N48" i="69"/>
  <c r="N101" i="69" s="1"/>
  <c r="M22" i="70"/>
  <c r="G17" i="56"/>
  <c r="H105" i="56"/>
  <c r="Y6" i="56"/>
  <c r="H75" i="56"/>
  <c r="M49" i="101"/>
  <c r="S46" i="68"/>
  <c r="S99" i="68" s="1"/>
  <c r="U36" i="67"/>
  <c r="CF33" i="68"/>
  <c r="CF86" i="68" s="1"/>
  <c r="CF135" i="68" s="1"/>
  <c r="M49" i="103"/>
  <c r="P46" i="68"/>
  <c r="P99" i="68" s="1"/>
  <c r="M49" i="88"/>
  <c r="Y46" i="68"/>
  <c r="Y99" i="68" s="1"/>
  <c r="BN101" i="68"/>
  <c r="BP101" i="68" s="1"/>
  <c r="BP48" i="68"/>
  <c r="M49" i="97"/>
  <c r="L46" i="69"/>
  <c r="L99" i="69" s="1"/>
  <c r="BU81" i="69"/>
  <c r="BP131" i="69"/>
  <c r="BK131" i="68"/>
  <c r="BQ82" i="68"/>
  <c r="BQ131" i="68" s="1"/>
  <c r="G105" i="56"/>
  <c r="X6" i="56"/>
  <c r="G75" i="56"/>
  <c r="BU130" i="69"/>
  <c r="C22" i="92"/>
  <c r="D22" i="92"/>
  <c r="CZ29" i="68"/>
  <c r="AQ85" i="69"/>
  <c r="AR32" i="69"/>
  <c r="Q36" i="67"/>
  <c r="AW33" i="68"/>
  <c r="AW86" i="68" s="1"/>
  <c r="AW135" i="68" s="1"/>
  <c r="BD49" i="68"/>
  <c r="BD102" i="68" s="1"/>
  <c r="Q52" i="85"/>
  <c r="M36" i="42"/>
  <c r="O33" i="68"/>
  <c r="O86" i="68" s="1"/>
  <c r="O135" i="68" s="1"/>
  <c r="M35" i="38"/>
  <c r="B32" i="68"/>
  <c r="M50" i="82"/>
  <c r="P47" i="69"/>
  <c r="P100" i="69" s="1"/>
  <c r="Q34" i="44"/>
  <c r="BC31" i="68"/>
  <c r="BC84" i="68" s="1"/>
  <c r="BC133" i="68" s="1"/>
  <c r="U50" i="96"/>
  <c r="BD47" i="69"/>
  <c r="BD100" i="69" s="1"/>
  <c r="Z85" i="69"/>
  <c r="AS31" i="69"/>
  <c r="J24" i="92"/>
  <c r="AB131" i="68"/>
  <c r="AH82" i="68"/>
  <c r="AH131" i="68" s="1"/>
  <c r="B134" i="69"/>
  <c r="U50" i="98"/>
  <c r="BE47" i="69"/>
  <c r="BE100" i="69" s="1"/>
  <c r="M35" i="39"/>
  <c r="C32" i="68"/>
  <c r="C85" i="68" s="1"/>
  <c r="C134" i="68" s="1"/>
  <c r="U50" i="103"/>
  <c r="CH47" i="68"/>
  <c r="CH100" i="68" s="1"/>
  <c r="U36" i="65"/>
  <c r="CD33" i="68"/>
  <c r="CD86" i="68" s="1"/>
  <c r="CD135" i="68" s="1"/>
  <c r="AW84" i="69"/>
  <c r="BL31" i="69"/>
  <c r="B24" i="92" s="1"/>
  <c r="C15" i="56"/>
  <c r="E20" i="70"/>
  <c r="M35" i="60"/>
  <c r="F32" i="68"/>
  <c r="F85" i="68" s="1"/>
  <c r="F134" i="68" s="1"/>
  <c r="Q51" i="90"/>
  <c r="AJ48" i="69"/>
  <c r="AJ101" i="69" s="1"/>
  <c r="M35" i="44"/>
  <c r="T32" i="68"/>
  <c r="T85" i="68" s="1"/>
  <c r="T134" i="68" s="1"/>
  <c r="BN133" i="69"/>
  <c r="BO83" i="69"/>
  <c r="M35" i="7"/>
  <c r="E32" i="69"/>
  <c r="E85" i="69" s="1"/>
  <c r="E135" i="69" s="1"/>
  <c r="Q35" i="61"/>
  <c r="AP32" i="68"/>
  <c r="AP85" i="68" s="1"/>
  <c r="AP134" i="68" s="1"/>
  <c r="CU51" i="68"/>
  <c r="Y53" i="46"/>
  <c r="Q35" i="7"/>
  <c r="AB32" i="69"/>
  <c r="AB85" i="69" s="1"/>
  <c r="AB135" i="69" s="1"/>
  <c r="U51" i="80"/>
  <c r="BH48" i="69"/>
  <c r="BH101" i="69" s="1"/>
  <c r="M50" i="89"/>
  <c r="AA47" i="68"/>
  <c r="AA100" i="68" s="1"/>
  <c r="Q36" i="59"/>
  <c r="AQ33" i="69"/>
  <c r="CQ48" i="68"/>
  <c r="CQ101" i="68" s="1"/>
  <c r="U51" i="88"/>
  <c r="G74" i="56"/>
  <c r="G104" i="56"/>
  <c r="Q50" i="100"/>
  <c r="AQ47" i="68"/>
  <c r="AQ100" i="68" s="1"/>
  <c r="U48" i="58"/>
  <c r="BA45" i="69"/>
  <c r="BA98" i="69" s="1"/>
  <c r="Q35" i="60"/>
  <c r="AO32" i="68"/>
  <c r="AO85" i="68" s="1"/>
  <c r="AO134" i="68" s="1"/>
  <c r="E21" i="70"/>
  <c r="B16" i="56"/>
  <c r="M35" i="43"/>
  <c r="R32" i="68"/>
  <c r="R85" i="68" s="1"/>
  <c r="R134" i="68" s="1"/>
  <c r="Q36" i="4"/>
  <c r="Z33" i="69"/>
  <c r="D16" i="56"/>
  <c r="AQ134" i="69"/>
  <c r="AR84" i="69"/>
  <c r="U51" i="81"/>
  <c r="BI48" i="69"/>
  <c r="BI101" i="69" s="1"/>
  <c r="U35" i="4"/>
  <c r="AW32" i="69"/>
  <c r="Y34" i="23"/>
  <c r="D15" i="56"/>
  <c r="N74" i="56"/>
  <c r="N104" i="56"/>
  <c r="CZ129" i="68"/>
  <c r="DB80" i="68"/>
  <c r="DB129" i="68" s="1"/>
  <c r="AM132" i="68"/>
  <c r="BK83" i="68"/>
  <c r="G23" i="70" s="1"/>
  <c r="U49" i="97"/>
  <c r="BF46" i="69"/>
  <c r="BF99" i="69" s="1"/>
  <c r="M50" i="99"/>
  <c r="I47" i="68"/>
  <c r="I100" i="68" s="1"/>
  <c r="Q50" i="80"/>
  <c r="AK47" i="69"/>
  <c r="AK100" i="69" s="1"/>
  <c r="M49" i="102"/>
  <c r="Q46" i="68"/>
  <c r="Q99" i="68" s="1"/>
  <c r="AI47" i="69"/>
  <c r="AI100" i="69" s="1"/>
  <c r="Q50" i="97"/>
  <c r="Q50" i="102"/>
  <c r="AZ47" i="68"/>
  <c r="AZ100" i="68" s="1"/>
  <c r="BF46" i="68"/>
  <c r="BF99" i="68" s="1"/>
  <c r="Q49" i="86"/>
  <c r="Q50" i="87"/>
  <c r="BG47" i="68"/>
  <c r="BG100" i="68" s="1"/>
  <c r="BE47" i="68"/>
  <c r="BE100" i="68" s="1"/>
  <c r="AW133" i="69"/>
  <c r="BL83" i="69"/>
  <c r="BT83" i="69"/>
  <c r="G23" i="92"/>
  <c r="M23" i="92" s="1"/>
  <c r="Q52" i="83"/>
  <c r="AN49" i="69"/>
  <c r="AN102" i="69" s="1"/>
  <c r="BG48" i="69"/>
  <c r="BG101" i="69" s="1"/>
  <c r="U51" i="90"/>
  <c r="V30" i="69"/>
  <c r="Q50" i="81"/>
  <c r="AL47" i="69"/>
  <c r="AL100" i="69" s="1"/>
  <c r="Q35" i="37"/>
  <c r="AF32" i="69"/>
  <c r="AF85" i="69" s="1"/>
  <c r="AF135" i="69" s="1"/>
  <c r="Q50" i="96"/>
  <c r="AG47" i="69"/>
  <c r="AG100" i="69" s="1"/>
  <c r="N16" i="56"/>
  <c r="CW48" i="68"/>
  <c r="CW101" i="68" s="1"/>
  <c r="X50" i="48"/>
  <c r="Y50" i="48"/>
  <c r="M49" i="86"/>
  <c r="W46" i="68"/>
  <c r="W99" i="68" s="1"/>
  <c r="M16" i="56"/>
  <c r="B85" i="69"/>
  <c r="BT132" i="69"/>
  <c r="BV82" i="69"/>
  <c r="BV132" i="69" s="1"/>
  <c r="M51" i="83"/>
  <c r="Q48" i="69"/>
  <c r="Q101" i="69" s="1"/>
  <c r="Q35" i="42"/>
  <c r="AX32" i="68"/>
  <c r="AX85" i="68" s="1"/>
  <c r="AX134" i="68" s="1"/>
  <c r="Q37" i="62"/>
  <c r="AS34" i="68"/>
  <c r="AS87" i="68" s="1"/>
  <c r="BL104" i="68"/>
  <c r="Q23" i="70"/>
  <c r="J23" i="70"/>
  <c r="AR133" i="69"/>
  <c r="AS83" i="69"/>
  <c r="AS133" i="69" s="1"/>
  <c r="C16" i="56"/>
  <c r="Q35" i="36"/>
  <c r="AE32" i="69"/>
  <c r="AE85" i="69" s="1"/>
  <c r="AE135" i="69" s="1"/>
  <c r="CI46" i="68"/>
  <c r="CI99" i="68" s="1"/>
  <c r="U49" i="102"/>
  <c r="Q35" i="64"/>
  <c r="AT32" i="68"/>
  <c r="AT85" i="68" s="1"/>
  <c r="AT134" i="68" s="1"/>
  <c r="AC102" i="68"/>
  <c r="AB30" i="68"/>
  <c r="AH30" i="68" s="1"/>
  <c r="U35" i="60"/>
  <c r="BX32" i="68"/>
  <c r="BX85" i="68" s="1"/>
  <c r="BX134" i="68" s="1"/>
  <c r="BN84" i="69"/>
  <c r="BO31" i="69"/>
  <c r="H22" i="70"/>
  <c r="Q49" i="103"/>
  <c r="AY46" i="68"/>
  <c r="AY99" i="68" s="1"/>
  <c r="U49" i="99"/>
  <c r="CA46" i="68"/>
  <c r="CA99" i="68" s="1"/>
  <c r="AO133" i="69"/>
  <c r="J17" i="56"/>
  <c r="BU84" i="68"/>
  <c r="M50" i="98"/>
  <c r="K47" i="69"/>
  <c r="K100" i="69" s="1"/>
  <c r="BO132" i="69"/>
  <c r="BP82" i="69"/>
  <c r="U50" i="100"/>
  <c r="BZ47" i="68"/>
  <c r="BZ100" i="68" s="1"/>
  <c r="M34" i="67"/>
  <c r="N31" i="68"/>
  <c r="N84" i="68" s="1"/>
  <c r="N133" i="68" s="1"/>
  <c r="U35" i="41"/>
  <c r="BW32" i="68"/>
  <c r="BW85" i="68" s="1"/>
  <c r="BW134" i="68" s="1"/>
  <c r="M49" i="100"/>
  <c r="H46" i="68"/>
  <c r="H99" i="68" s="1"/>
  <c r="K53" i="48"/>
  <c r="W53" i="48" s="1"/>
  <c r="D54" i="48"/>
  <c r="K54" i="48" s="1"/>
  <c r="W54" i="48" s="1"/>
  <c r="Q54" i="48"/>
  <c r="E103" i="56"/>
  <c r="E73" i="56"/>
  <c r="BL52" i="68"/>
  <c r="S54" i="46"/>
  <c r="M50" i="81"/>
  <c r="O47" i="69"/>
  <c r="O100" i="69" s="1"/>
  <c r="AM84" i="68"/>
  <c r="BK31" i="68"/>
  <c r="BQ31" i="68" s="1"/>
  <c r="BY132" i="68"/>
  <c r="CT83" i="68"/>
  <c r="L51" i="48"/>
  <c r="N52" i="48" s="1"/>
  <c r="AE49" i="68"/>
  <c r="AE102" i="68" s="1"/>
  <c r="M51" i="48"/>
  <c r="BT134" i="68"/>
  <c r="U36" i="43"/>
  <c r="CJ33" i="68"/>
  <c r="CJ86" i="68" s="1"/>
  <c r="CJ135" i="68" s="1"/>
  <c r="R51" i="48"/>
  <c r="T52" i="48" s="1"/>
  <c r="BN49" i="68"/>
  <c r="Z51" i="48"/>
  <c r="S51" i="48"/>
  <c r="C17" i="56"/>
  <c r="M35" i="40"/>
  <c r="D32" i="68"/>
  <c r="D85" i="68" s="1"/>
  <c r="D134" i="68" s="1"/>
  <c r="CU103" i="68"/>
  <c r="Q49" i="101"/>
  <c r="BB46" i="68"/>
  <c r="BB99" i="68" s="1"/>
  <c r="U35" i="36"/>
  <c r="BB32" i="69"/>
  <c r="BB85" i="69" s="1"/>
  <c r="BB135" i="69" s="1"/>
  <c r="M15" i="56"/>
  <c r="M36" i="1"/>
  <c r="B33" i="69"/>
  <c r="Q51" i="104"/>
  <c r="BI48" i="68"/>
  <c r="BI101" i="68" s="1"/>
  <c r="B84" i="68"/>
  <c r="M36" i="23"/>
  <c r="D33" i="69"/>
  <c r="D86" i="69" s="1"/>
  <c r="D136" i="69" s="1"/>
  <c r="W35" i="23"/>
  <c r="B22" i="70"/>
  <c r="M35" i="66"/>
  <c r="M32" i="68"/>
  <c r="M85" i="68" s="1"/>
  <c r="M134" i="68" s="1"/>
  <c r="U51" i="104"/>
  <c r="CR48" i="68"/>
  <c r="CR101" i="68" s="1"/>
  <c r="Q49" i="98"/>
  <c r="AH46" i="69"/>
  <c r="AH99" i="69" s="1"/>
  <c r="DB81" i="68"/>
  <c r="CZ130" i="68"/>
  <c r="Q50" i="89"/>
  <c r="BJ47" i="68"/>
  <c r="BJ100" i="68" s="1"/>
  <c r="J75" i="56"/>
  <c r="AA6" i="56"/>
  <c r="J105" i="56"/>
  <c r="L52" i="46"/>
  <c r="N53" i="46" s="1"/>
  <c r="AC50" i="68"/>
  <c r="M52" i="46"/>
  <c r="AB83" i="68"/>
  <c r="B132" i="68"/>
  <c r="CT30" i="68"/>
  <c r="U35" i="59"/>
  <c r="BN32" i="69"/>
  <c r="M50" i="85"/>
  <c r="U47" i="68"/>
  <c r="U100" i="68" s="1"/>
  <c r="K106" i="56" l="1"/>
  <c r="K76" i="56"/>
  <c r="Q36" i="41"/>
  <c r="AN33" i="68"/>
  <c r="AN86" i="68" s="1"/>
  <c r="AN135" i="68" s="1"/>
  <c r="U35" i="37"/>
  <c r="BC32" i="69"/>
  <c r="BC85" i="69" s="1"/>
  <c r="BC135" i="69" s="1"/>
  <c r="M49" i="58"/>
  <c r="G46" i="69"/>
  <c r="G99" i="69" s="1"/>
  <c r="Q37" i="1"/>
  <c r="Y34" i="69"/>
  <c r="Y87" i="69" s="1"/>
  <c r="CM47" i="68"/>
  <c r="CM100" i="68" s="1"/>
  <c r="U50" i="85"/>
  <c r="CX33" i="68"/>
  <c r="U36" i="63"/>
  <c r="U35" i="64"/>
  <c r="CC32" i="68"/>
  <c r="CC85" i="68" s="1"/>
  <c r="CC134" i="68" s="1"/>
  <c r="AB14" i="56"/>
  <c r="AB18" i="56"/>
  <c r="AX33" i="69"/>
  <c r="AX86" i="69" s="1"/>
  <c r="AX136" i="69" s="1"/>
  <c r="U36" i="23"/>
  <c r="Q50" i="99"/>
  <c r="AR47" i="68"/>
  <c r="AR100" i="68" s="1"/>
  <c r="H32" i="69"/>
  <c r="M35" i="36"/>
  <c r="R23" i="70"/>
  <c r="K23" i="70"/>
  <c r="K18" i="56" s="1"/>
  <c r="U133" i="69"/>
  <c r="CP47" i="68"/>
  <c r="CP100" i="68" s="1"/>
  <c r="CN47" i="68"/>
  <c r="CN100" i="68" s="1"/>
  <c r="U50" i="87"/>
  <c r="U84" i="69"/>
  <c r="T134" i="69"/>
  <c r="U36" i="35"/>
  <c r="AZ33" i="69"/>
  <c r="AZ86" i="69" s="1"/>
  <c r="AZ136" i="69" s="1"/>
  <c r="Q39" i="35"/>
  <c r="AC36" i="69"/>
  <c r="AC89" i="69" s="1"/>
  <c r="M36" i="61"/>
  <c r="G33" i="68"/>
  <c r="G86" i="68" s="1"/>
  <c r="G135" i="68" s="1"/>
  <c r="M52" i="87"/>
  <c r="X49" i="68"/>
  <c r="X102" i="68" s="1"/>
  <c r="BJ48" i="69"/>
  <c r="BJ101" i="69" s="1"/>
  <c r="U51" i="82"/>
  <c r="M35" i="65"/>
  <c r="L32" i="68"/>
  <c r="L85" i="68" s="1"/>
  <c r="L134" i="68" s="1"/>
  <c r="CS48" i="68"/>
  <c r="CS101" i="68" s="1"/>
  <c r="U51" i="89"/>
  <c r="U22" i="70"/>
  <c r="M36" i="59"/>
  <c r="T33" i="69"/>
  <c r="CK48" i="68"/>
  <c r="CK101" i="68" s="1"/>
  <c r="U51" i="101"/>
  <c r="CG32" i="68"/>
  <c r="CG85" i="68" s="1"/>
  <c r="CG134" i="68" s="1"/>
  <c r="U35" i="42"/>
  <c r="M36" i="62"/>
  <c r="J33" i="68"/>
  <c r="J86" i="68" s="1"/>
  <c r="J135" i="68" s="1"/>
  <c r="AD49" i="68"/>
  <c r="AD102" i="68" s="1"/>
  <c r="AG102" i="68" s="1"/>
  <c r="M51" i="47"/>
  <c r="CX133" i="68"/>
  <c r="CY84" i="68"/>
  <c r="CY133" i="68" s="1"/>
  <c r="S53" i="47"/>
  <c r="BM51" i="68"/>
  <c r="BM104" i="68" s="1"/>
  <c r="U35" i="44"/>
  <c r="CL32" i="68"/>
  <c r="CL85" i="68" s="1"/>
  <c r="CL134" i="68" s="1"/>
  <c r="AY33" i="69"/>
  <c r="AY86" i="69" s="1"/>
  <c r="AY136" i="69" s="1"/>
  <c r="U36" i="7"/>
  <c r="AD101" i="68"/>
  <c r="AG101" i="68" s="1"/>
  <c r="AG48" i="68"/>
  <c r="Q36" i="39"/>
  <c r="AL33" i="68"/>
  <c r="AL86" i="68" s="1"/>
  <c r="AL135" i="68" s="1"/>
  <c r="W52" i="47"/>
  <c r="Z52" i="47" s="1"/>
  <c r="N52" i="47"/>
  <c r="CX85" i="68"/>
  <c r="CY32" i="68"/>
  <c r="M35" i="37"/>
  <c r="I32" i="69"/>
  <c r="I85" i="69" s="1"/>
  <c r="I135" i="69" s="1"/>
  <c r="R31" i="69"/>
  <c r="H24" i="92" s="1"/>
  <c r="N24" i="92" s="1"/>
  <c r="R84" i="69"/>
  <c r="Q37" i="38"/>
  <c r="AK34" i="68"/>
  <c r="AK87" i="68" s="1"/>
  <c r="Q50" i="88"/>
  <c r="BH47" i="68"/>
  <c r="BH100" i="68" s="1"/>
  <c r="AM49" i="69"/>
  <c r="AM102" i="69" s="1"/>
  <c r="Q52" i="82"/>
  <c r="D54" i="47"/>
  <c r="K54" i="47" s="1"/>
  <c r="K53" i="47"/>
  <c r="Q54" i="47"/>
  <c r="T54" i="47" s="1"/>
  <c r="K32" i="68"/>
  <c r="K85" i="68" s="1"/>
  <c r="K134" i="68" s="1"/>
  <c r="M35" i="64"/>
  <c r="AA33" i="69"/>
  <c r="AA86" i="69" s="1"/>
  <c r="AA136" i="69" s="1"/>
  <c r="X35" i="23"/>
  <c r="Q36" i="23"/>
  <c r="T85" i="69"/>
  <c r="U32" i="69"/>
  <c r="K25" i="92" s="1"/>
  <c r="BK48" i="69"/>
  <c r="BK101" i="69" s="1"/>
  <c r="U51" i="83"/>
  <c r="AV33" i="69"/>
  <c r="AV86" i="69" s="1"/>
  <c r="AV136" i="69" s="1"/>
  <c r="U36" i="1"/>
  <c r="M35" i="41"/>
  <c r="E32" i="68"/>
  <c r="E85" i="68" s="1"/>
  <c r="E134" i="68" s="1"/>
  <c r="M36" i="4"/>
  <c r="C33" i="69"/>
  <c r="C86" i="69" s="1"/>
  <c r="C136" i="69" s="1"/>
  <c r="CV49" i="68"/>
  <c r="CV102" i="68" s="1"/>
  <c r="Y51" i="47"/>
  <c r="B23" i="70"/>
  <c r="BP31" i="69"/>
  <c r="AB31" i="68"/>
  <c r="AH31" i="68" s="1"/>
  <c r="CT31" i="68"/>
  <c r="D24" i="92" s="1"/>
  <c r="DA85" i="68"/>
  <c r="DB130" i="68"/>
  <c r="DB131" i="68"/>
  <c r="E22" i="92"/>
  <c r="AC103" i="68"/>
  <c r="Q50" i="98"/>
  <c r="AH47" i="69"/>
  <c r="AH100" i="69" s="1"/>
  <c r="CR49" i="68"/>
  <c r="CR102" i="68" s="1"/>
  <c r="U52" i="104"/>
  <c r="E22" i="70"/>
  <c r="B17" i="56"/>
  <c r="B86" i="69"/>
  <c r="BN50" i="68"/>
  <c r="R52" i="48"/>
  <c r="T53" i="48" s="1"/>
  <c r="Z52" i="48"/>
  <c r="S52" i="48"/>
  <c r="D23" i="70"/>
  <c r="C23" i="70"/>
  <c r="CT132" i="68"/>
  <c r="CZ83" i="68"/>
  <c r="U36" i="41"/>
  <c r="BW33" i="68"/>
  <c r="BW86" i="68" s="1"/>
  <c r="BW135" i="68" s="1"/>
  <c r="BU133" i="68"/>
  <c r="CT84" i="68"/>
  <c r="DA84" i="68"/>
  <c r="DA133" i="68" s="1"/>
  <c r="BN134" i="69"/>
  <c r="BO84" i="69"/>
  <c r="T6" i="56"/>
  <c r="C105" i="56"/>
  <c r="AJ16" i="56"/>
  <c r="C75" i="56"/>
  <c r="Q36" i="42"/>
  <c r="AX33" i="68"/>
  <c r="AX86" i="68" s="1"/>
  <c r="AX135" i="68" s="1"/>
  <c r="D76" i="56"/>
  <c r="D106" i="56"/>
  <c r="Q36" i="37"/>
  <c r="AF33" i="69"/>
  <c r="AF86" i="69" s="1"/>
  <c r="AF136" i="69" s="1"/>
  <c r="Q51" i="81"/>
  <c r="AL48" i="69"/>
  <c r="AL101" i="69" s="1"/>
  <c r="H23" i="92"/>
  <c r="N23" i="92" s="1"/>
  <c r="Q53" i="83"/>
  <c r="AN50" i="69"/>
  <c r="AN103" i="69" s="1"/>
  <c r="M50" i="102"/>
  <c r="Q47" i="68"/>
  <c r="Q100" i="68" s="1"/>
  <c r="M51" i="99"/>
  <c r="I48" i="68"/>
  <c r="I101" i="68" s="1"/>
  <c r="M36" i="43"/>
  <c r="R33" i="68"/>
  <c r="R86" i="68" s="1"/>
  <c r="R135" i="68" s="1"/>
  <c r="M51" i="89"/>
  <c r="AA48" i="68"/>
  <c r="AA101" i="68" s="1"/>
  <c r="U52" i="80"/>
  <c r="BH49" i="69"/>
  <c r="BH102" i="69" s="1"/>
  <c r="Q36" i="7"/>
  <c r="AB33" i="69"/>
  <c r="AB86" i="69" s="1"/>
  <c r="AB136" i="69" s="1"/>
  <c r="M36" i="44"/>
  <c r="T33" i="68"/>
  <c r="T86" i="68" s="1"/>
  <c r="T135" i="68" s="1"/>
  <c r="M36" i="60"/>
  <c r="F33" i="68"/>
  <c r="F86" i="68" s="1"/>
  <c r="F135" i="68" s="1"/>
  <c r="E15" i="56"/>
  <c r="AW134" i="69"/>
  <c r="BL84" i="69"/>
  <c r="BT84" i="69"/>
  <c r="U51" i="103"/>
  <c r="CH48" i="68"/>
  <c r="CH101" i="68" s="1"/>
  <c r="U51" i="98"/>
  <c r="BE48" i="69"/>
  <c r="BE101" i="69" s="1"/>
  <c r="M36" i="38"/>
  <c r="B33" i="68"/>
  <c r="AQ135" i="69"/>
  <c r="AR85" i="69"/>
  <c r="BW80" i="69"/>
  <c r="BW130" i="69" s="1"/>
  <c r="M50" i="97"/>
  <c r="L47" i="69"/>
  <c r="L100" i="69" s="1"/>
  <c r="M50" i="88"/>
  <c r="Y47" i="68"/>
  <c r="Y100" i="68" s="1"/>
  <c r="U37" i="67"/>
  <c r="CF34" i="68"/>
  <c r="CF87" i="68" s="1"/>
  <c r="Y14" i="56"/>
  <c r="Y18" i="56"/>
  <c r="M17" i="56"/>
  <c r="U37" i="38"/>
  <c r="BT34" i="68"/>
  <c r="BT87" i="68" s="1"/>
  <c r="M51" i="84"/>
  <c r="V48" i="68"/>
  <c r="V101" i="68" s="1"/>
  <c r="Q37" i="66"/>
  <c r="AV34" i="68"/>
  <c r="AV87" i="68" s="1"/>
  <c r="Q36" i="40"/>
  <c r="AM33" i="68"/>
  <c r="Q49" i="58"/>
  <c r="AD46" i="69"/>
  <c r="AD99" i="69" s="1"/>
  <c r="Q38" i="65"/>
  <c r="AU35" i="68"/>
  <c r="AU88" i="68" s="1"/>
  <c r="M50" i="96"/>
  <c r="J47" i="69"/>
  <c r="J100" i="69" s="1"/>
  <c r="U36" i="59"/>
  <c r="BN33" i="69"/>
  <c r="M51" i="85"/>
  <c r="U48" i="68"/>
  <c r="U101" i="68" s="1"/>
  <c r="V31" i="69"/>
  <c r="BJ48" i="68"/>
  <c r="BJ101" i="68" s="1"/>
  <c r="Q51" i="89"/>
  <c r="AB84" i="68"/>
  <c r="B133" i="68"/>
  <c r="M37" i="1"/>
  <c r="B34" i="69"/>
  <c r="U36" i="36"/>
  <c r="BB33" i="69"/>
  <c r="BB86" i="69" s="1"/>
  <c r="BB136" i="69" s="1"/>
  <c r="Q50" i="101"/>
  <c r="BB47" i="68"/>
  <c r="BB100" i="68" s="1"/>
  <c r="M51" i="81"/>
  <c r="O48" i="69"/>
  <c r="O101" i="69" s="1"/>
  <c r="G24" i="92"/>
  <c r="M24" i="92" s="1"/>
  <c r="M23" i="70"/>
  <c r="G18" i="56"/>
  <c r="Q50" i="103"/>
  <c r="AY47" i="68"/>
  <c r="AY100" i="68" s="1"/>
  <c r="J18" i="56"/>
  <c r="AE6" i="56"/>
  <c r="N105" i="56"/>
  <c r="N75" i="56"/>
  <c r="U52" i="90"/>
  <c r="BG49" i="69"/>
  <c r="BG102" i="69" s="1"/>
  <c r="Q50" i="86"/>
  <c r="BF47" i="68"/>
  <c r="BF100" i="68" s="1"/>
  <c r="D74" i="56"/>
  <c r="D104" i="56"/>
  <c r="Q24" i="70"/>
  <c r="J24" i="70"/>
  <c r="AS84" i="69"/>
  <c r="AS134" i="69" s="1"/>
  <c r="AR134" i="69"/>
  <c r="Z86" i="69"/>
  <c r="S6" i="56"/>
  <c r="B75" i="56"/>
  <c r="B105" i="56"/>
  <c r="Q36" i="60"/>
  <c r="AO33" i="68"/>
  <c r="AO86" i="68" s="1"/>
  <c r="AO135" i="68" s="1"/>
  <c r="Q51" i="100"/>
  <c r="AQ48" i="68"/>
  <c r="AQ101" i="68" s="1"/>
  <c r="U52" i="88"/>
  <c r="CQ49" i="68"/>
  <c r="CQ102" i="68" s="1"/>
  <c r="AQ86" i="69"/>
  <c r="AR33" i="69"/>
  <c r="Q36" i="61"/>
  <c r="AP33" i="68"/>
  <c r="AP86" i="68" s="1"/>
  <c r="AP135" i="68" s="1"/>
  <c r="BO133" i="69"/>
  <c r="BP83" i="69"/>
  <c r="C74" i="56"/>
  <c r="AJ15" i="56"/>
  <c r="C104" i="56"/>
  <c r="AO32" i="69"/>
  <c r="AS32" i="69" s="1"/>
  <c r="X14" i="56"/>
  <c r="X18" i="56"/>
  <c r="U36" i="40"/>
  <c r="BV33" i="68"/>
  <c r="BV86" i="68" s="1"/>
  <c r="BV135" i="68" s="1"/>
  <c r="U37" i="62"/>
  <c r="CB34" i="68"/>
  <c r="CB87" i="68" s="1"/>
  <c r="AO134" i="69"/>
  <c r="AA18" i="56"/>
  <c r="AA14" i="56"/>
  <c r="D23" i="92"/>
  <c r="C23" i="92"/>
  <c r="CZ30" i="68"/>
  <c r="L53" i="46"/>
  <c r="N54" i="46" s="1"/>
  <c r="AC51" i="68"/>
  <c r="M53" i="46"/>
  <c r="BN85" i="69"/>
  <c r="BO32" i="69"/>
  <c r="AB132" i="68"/>
  <c r="AH83" i="68"/>
  <c r="AH132" i="68" s="1"/>
  <c r="M36" i="66"/>
  <c r="M33" i="68"/>
  <c r="M86" i="68" s="1"/>
  <c r="M135" i="68" s="1"/>
  <c r="M74" i="56"/>
  <c r="M104" i="56"/>
  <c r="M36" i="40"/>
  <c r="D33" i="68"/>
  <c r="D86" i="68" s="1"/>
  <c r="D135" i="68" s="1"/>
  <c r="CW49" i="68"/>
  <c r="CW102" i="68" s="1"/>
  <c r="X51" i="48"/>
  <c r="Y51" i="48"/>
  <c r="U37" i="43"/>
  <c r="CJ34" i="68"/>
  <c r="CJ87" i="68" s="1"/>
  <c r="M50" i="100"/>
  <c r="H47" i="68"/>
  <c r="H100" i="68" s="1"/>
  <c r="M35" i="67"/>
  <c r="N32" i="68"/>
  <c r="N85" i="68" s="1"/>
  <c r="N134" i="68" s="1"/>
  <c r="BZ48" i="68"/>
  <c r="BZ101" i="68" s="1"/>
  <c r="U51" i="100"/>
  <c r="M51" i="98"/>
  <c r="K48" i="69"/>
  <c r="K101" i="69" s="1"/>
  <c r="J106" i="56"/>
  <c r="J76" i="56"/>
  <c r="N22" i="70"/>
  <c r="H17" i="56"/>
  <c r="U36" i="60"/>
  <c r="BX33" i="68"/>
  <c r="BX86" i="68" s="1"/>
  <c r="BX135" i="68" s="1"/>
  <c r="U50" i="102"/>
  <c r="CI47" i="68"/>
  <c r="CI100" i="68" s="1"/>
  <c r="T23" i="70"/>
  <c r="Q38" i="62"/>
  <c r="AS35" i="68"/>
  <c r="AS88" i="68" s="1"/>
  <c r="M52" i="83"/>
  <c r="Q49" i="69"/>
  <c r="Q102" i="69" s="1"/>
  <c r="M105" i="56"/>
  <c r="M75" i="56"/>
  <c r="AD6" i="56"/>
  <c r="Q51" i="96"/>
  <c r="AG48" i="69"/>
  <c r="AG101" i="69" s="1"/>
  <c r="BT133" i="69"/>
  <c r="BV83" i="69"/>
  <c r="BV133" i="69" s="1"/>
  <c r="Q51" i="102"/>
  <c r="AZ48" i="68"/>
  <c r="AZ101" i="68" s="1"/>
  <c r="Q51" i="80"/>
  <c r="AK48" i="69"/>
  <c r="AK101" i="69" s="1"/>
  <c r="BF47" i="69"/>
  <c r="BF100" i="69" s="1"/>
  <c r="U50" i="97"/>
  <c r="AW85" i="69"/>
  <c r="BL32" i="69"/>
  <c r="B25" i="92" s="1"/>
  <c r="Q37" i="4"/>
  <c r="Z34" i="69"/>
  <c r="X36" i="23"/>
  <c r="Q37" i="59"/>
  <c r="AQ34" i="69"/>
  <c r="CU104" i="68"/>
  <c r="Q52" i="90"/>
  <c r="AJ49" i="69"/>
  <c r="AJ102" i="69" s="1"/>
  <c r="U37" i="65"/>
  <c r="CD34" i="68"/>
  <c r="CD87" i="68" s="1"/>
  <c r="M36" i="39"/>
  <c r="C33" i="68"/>
  <c r="C86" i="68" s="1"/>
  <c r="C135" i="68" s="1"/>
  <c r="H24" i="70"/>
  <c r="R134" i="69"/>
  <c r="V84" i="69"/>
  <c r="V134" i="69" s="1"/>
  <c r="Z135" i="69"/>
  <c r="AO85" i="69"/>
  <c r="U51" i="96"/>
  <c r="BD48" i="69"/>
  <c r="BD101" i="69" s="1"/>
  <c r="Q35" i="44"/>
  <c r="BC32" i="68"/>
  <c r="BC85" i="68" s="1"/>
  <c r="BC134" i="68" s="1"/>
  <c r="M51" i="82"/>
  <c r="P48" i="69"/>
  <c r="P101" i="69" s="1"/>
  <c r="M37" i="42"/>
  <c r="O34" i="68"/>
  <c r="O87" i="68" s="1"/>
  <c r="AW34" i="68"/>
  <c r="AW87" i="68" s="1"/>
  <c r="Q37" i="67"/>
  <c r="BU131" i="69"/>
  <c r="BW81" i="69"/>
  <c r="M50" i="103"/>
  <c r="P47" i="68"/>
  <c r="P100" i="68" s="1"/>
  <c r="M50" i="101"/>
  <c r="S47" i="68"/>
  <c r="S100" i="68" s="1"/>
  <c r="G106" i="56"/>
  <c r="G76" i="56"/>
  <c r="M52" i="80"/>
  <c r="N49" i="69"/>
  <c r="N102" i="69" s="1"/>
  <c r="M36" i="35"/>
  <c r="F33" i="69"/>
  <c r="F86" i="69" s="1"/>
  <c r="F136" i="69" s="1"/>
  <c r="U35" i="61"/>
  <c r="BY32" i="68"/>
  <c r="BY85" i="68" s="1"/>
  <c r="BY134" i="68" s="1"/>
  <c r="M51" i="104"/>
  <c r="Z48" i="68"/>
  <c r="Z101" i="68" s="1"/>
  <c r="U35" i="66"/>
  <c r="CE32" i="68"/>
  <c r="CE85" i="68" s="1"/>
  <c r="CE134" i="68" s="1"/>
  <c r="CU105" i="68"/>
  <c r="BU134" i="68"/>
  <c r="H23" i="70"/>
  <c r="M37" i="23"/>
  <c r="D34" i="69"/>
  <c r="D87" i="69" s="1"/>
  <c r="W36" i="23"/>
  <c r="Q52" i="104"/>
  <c r="BI49" i="68"/>
  <c r="BI102" i="68" s="1"/>
  <c r="C76" i="56"/>
  <c r="AJ17" i="56"/>
  <c r="C106" i="56"/>
  <c r="BN102" i="68"/>
  <c r="BP102" i="68" s="1"/>
  <c r="BP49" i="68"/>
  <c r="L52" i="48"/>
  <c r="N53" i="48" s="1"/>
  <c r="AE50" i="68"/>
  <c r="AE103" i="68" s="1"/>
  <c r="M52" i="48"/>
  <c r="AM133" i="68"/>
  <c r="BK84" i="68"/>
  <c r="G24" i="70" s="1"/>
  <c r="BL105" i="68"/>
  <c r="BU82" i="69"/>
  <c r="BP132" i="69"/>
  <c r="CA47" i="68"/>
  <c r="CA100" i="68" s="1"/>
  <c r="U50" i="99"/>
  <c r="Q36" i="64"/>
  <c r="AT33" i="68"/>
  <c r="AT86" i="68" s="1"/>
  <c r="AT135" i="68" s="1"/>
  <c r="Q36" i="36"/>
  <c r="AE33" i="69"/>
  <c r="AE86" i="69" s="1"/>
  <c r="AE136" i="69" s="1"/>
  <c r="B135" i="69"/>
  <c r="M50" i="86"/>
  <c r="W47" i="68"/>
  <c r="W100" i="68" s="1"/>
  <c r="B18" i="56"/>
  <c r="BE48" i="68"/>
  <c r="BE101" i="68" s="1"/>
  <c r="Q51" i="87"/>
  <c r="BG48" i="68"/>
  <c r="BG101" i="68" s="1"/>
  <c r="Q51" i="97"/>
  <c r="AI48" i="69"/>
  <c r="AI101" i="69" s="1"/>
  <c r="BK132" i="68"/>
  <c r="BQ83" i="68"/>
  <c r="BQ132" i="68" s="1"/>
  <c r="U36" i="4"/>
  <c r="AW33" i="69"/>
  <c r="Y35" i="23"/>
  <c r="U52" i="81"/>
  <c r="BI49" i="69"/>
  <c r="BI102" i="69" s="1"/>
  <c r="D75" i="56"/>
  <c r="D105" i="56"/>
  <c r="U6" i="56"/>
  <c r="E16" i="56"/>
  <c r="U49" i="58"/>
  <c r="BA46" i="69"/>
  <c r="BA99" i="69" s="1"/>
  <c r="M36" i="7"/>
  <c r="E33" i="69"/>
  <c r="E86" i="69" s="1"/>
  <c r="E136" i="69" s="1"/>
  <c r="B85" i="68"/>
  <c r="BD50" i="68"/>
  <c r="BD103" i="68" s="1"/>
  <c r="Q53" i="85"/>
  <c r="J25" i="92"/>
  <c r="BT135" i="68"/>
  <c r="AM85" i="68"/>
  <c r="BK32" i="68"/>
  <c r="BQ32" i="68" s="1"/>
  <c r="U36" i="39"/>
  <c r="BU33" i="68"/>
  <c r="Q36" i="43"/>
  <c r="BA33" i="68"/>
  <c r="BA86" i="68" s="1"/>
  <c r="BA135" i="68" s="1"/>
  <c r="M51" i="90"/>
  <c r="M48" i="69"/>
  <c r="M101" i="69" s="1"/>
  <c r="C34" i="69" l="1"/>
  <c r="C87" i="69" s="1"/>
  <c r="M37" i="4"/>
  <c r="T135" i="69"/>
  <c r="U85" i="69"/>
  <c r="M36" i="64"/>
  <c r="K33" i="68"/>
  <c r="K86" i="68" s="1"/>
  <c r="K135" i="68" s="1"/>
  <c r="W54" i="47"/>
  <c r="Z54" i="47" s="1"/>
  <c r="N54" i="47"/>
  <c r="BH48" i="68"/>
  <c r="BH101" i="68" s="1"/>
  <c r="Q51" i="88"/>
  <c r="CX134" i="68"/>
  <c r="CY85" i="68"/>
  <c r="CY134" i="68" s="1"/>
  <c r="Q37" i="39"/>
  <c r="AL34" i="68"/>
  <c r="AL87" i="68" s="1"/>
  <c r="T34" i="69"/>
  <c r="M37" i="59"/>
  <c r="M36" i="36"/>
  <c r="H33" i="69"/>
  <c r="H86" i="69" s="1"/>
  <c r="AX34" i="69"/>
  <c r="AX87" i="69" s="1"/>
  <c r="U37" i="23"/>
  <c r="CM48" i="68"/>
  <c r="CM101" i="68" s="1"/>
  <c r="U51" i="85"/>
  <c r="AG49" i="68"/>
  <c r="U52" i="83"/>
  <c r="BK49" i="69"/>
  <c r="BK102" i="69" s="1"/>
  <c r="AA34" i="69"/>
  <c r="AA87" i="69" s="1"/>
  <c r="Q37" i="23"/>
  <c r="Q53" i="82"/>
  <c r="AM50" i="69"/>
  <c r="AM103" i="69" s="1"/>
  <c r="AD50" i="68"/>
  <c r="AD103" i="68" s="1"/>
  <c r="M52" i="47"/>
  <c r="U52" i="101"/>
  <c r="CK49" i="68"/>
  <c r="CK102" i="68" s="1"/>
  <c r="L33" i="68"/>
  <c r="L86" i="68" s="1"/>
  <c r="L135" i="68" s="1"/>
  <c r="M36" i="65"/>
  <c r="M53" i="87"/>
  <c r="X50" i="68"/>
  <c r="X103" i="68" s="1"/>
  <c r="Q40" i="35"/>
  <c r="AC37" i="69"/>
  <c r="AC90" i="69" s="1"/>
  <c r="R24" i="70"/>
  <c r="U24" i="70" s="1"/>
  <c r="K24" i="70"/>
  <c r="K19" i="56" s="1"/>
  <c r="U134" i="69"/>
  <c r="H85" i="69"/>
  <c r="R32" i="69"/>
  <c r="V32" i="69" s="1"/>
  <c r="U36" i="64"/>
  <c r="CC33" i="68"/>
  <c r="CC86" i="68" s="1"/>
  <c r="CC135" i="68" s="1"/>
  <c r="G47" i="69"/>
  <c r="G100" i="69" s="1"/>
  <c r="M50" i="58"/>
  <c r="Q37" i="41"/>
  <c r="AN34" i="68"/>
  <c r="AN87" i="68" s="1"/>
  <c r="M36" i="41"/>
  <c r="E33" i="68"/>
  <c r="E86" i="68" s="1"/>
  <c r="E135" i="68" s="1"/>
  <c r="S54" i="47"/>
  <c r="BM52" i="68"/>
  <c r="BM105" i="68" s="1"/>
  <c r="Q38" i="38"/>
  <c r="AK35" i="68"/>
  <c r="AK88" i="68" s="1"/>
  <c r="I33" i="69"/>
  <c r="I86" i="69" s="1"/>
  <c r="I136" i="69" s="1"/>
  <c r="M36" i="37"/>
  <c r="CV50" i="68"/>
  <c r="CV103" i="68" s="1"/>
  <c r="Y52" i="47"/>
  <c r="U36" i="44"/>
  <c r="CL33" i="68"/>
  <c r="CL86" i="68" s="1"/>
  <c r="CL135" i="68" s="1"/>
  <c r="M37" i="62"/>
  <c r="J34" i="68"/>
  <c r="J87" i="68" s="1"/>
  <c r="CS49" i="68"/>
  <c r="CS102" i="68" s="1"/>
  <c r="U52" i="89"/>
  <c r="U52" i="82"/>
  <c r="BJ49" i="69"/>
  <c r="BJ102" i="69" s="1"/>
  <c r="CN48" i="68"/>
  <c r="CN101" i="68" s="1"/>
  <c r="CP48" i="68"/>
  <c r="CP101" i="68" s="1"/>
  <c r="U51" i="87"/>
  <c r="K77" i="56"/>
  <c r="K107" i="56"/>
  <c r="U37" i="63"/>
  <c r="CX34" i="68"/>
  <c r="AV34" i="69"/>
  <c r="AV87" i="69" s="1"/>
  <c r="U37" i="1"/>
  <c r="W53" i="47"/>
  <c r="Z53" i="47" s="1"/>
  <c r="N53" i="47"/>
  <c r="U37" i="7"/>
  <c r="AY34" i="69"/>
  <c r="AY87" i="69" s="1"/>
  <c r="U36" i="42"/>
  <c r="CG33" i="68"/>
  <c r="CG86" i="68" s="1"/>
  <c r="CG135" i="68" s="1"/>
  <c r="T86" i="69"/>
  <c r="U33" i="69"/>
  <c r="K26" i="92" s="1"/>
  <c r="G34" i="68"/>
  <c r="G87" i="68" s="1"/>
  <c r="M37" i="61"/>
  <c r="AZ34" i="69"/>
  <c r="AZ87" i="69" s="1"/>
  <c r="U37" i="35"/>
  <c r="U23" i="70"/>
  <c r="Q51" i="99"/>
  <c r="AR48" i="68"/>
  <c r="AR101" i="68" s="1"/>
  <c r="CY33" i="68"/>
  <c r="CX86" i="68"/>
  <c r="Q38" i="1"/>
  <c r="Y35" i="69"/>
  <c r="Y88" i="69" s="1"/>
  <c r="BC33" i="69"/>
  <c r="BC86" i="69" s="1"/>
  <c r="BC136" i="69" s="1"/>
  <c r="U36" i="37"/>
  <c r="AB32" i="68"/>
  <c r="AH32" i="68" s="1"/>
  <c r="C24" i="92"/>
  <c r="E24" i="92" s="1"/>
  <c r="DA134" i="68"/>
  <c r="CZ31" i="68"/>
  <c r="BW131" i="69"/>
  <c r="CT85" i="68"/>
  <c r="CZ85" i="68" s="1"/>
  <c r="DB85" i="68" s="1"/>
  <c r="E23" i="70"/>
  <c r="E18" i="56" s="1"/>
  <c r="E23" i="92"/>
  <c r="B24" i="70"/>
  <c r="B19" i="56" s="1"/>
  <c r="M24" i="70"/>
  <c r="G19" i="56"/>
  <c r="BU86" i="68"/>
  <c r="AB85" i="68"/>
  <c r="B134" i="68"/>
  <c r="M37" i="7"/>
  <c r="E34" i="69"/>
  <c r="E87" i="69" s="1"/>
  <c r="U37" i="4"/>
  <c r="AW34" i="69"/>
  <c r="Y36" i="23"/>
  <c r="Q52" i="97"/>
  <c r="AI49" i="69"/>
  <c r="AI102" i="69" s="1"/>
  <c r="B107" i="56"/>
  <c r="B77" i="56"/>
  <c r="M51" i="86"/>
  <c r="W48" i="68"/>
  <c r="W101" i="68" s="1"/>
  <c r="AT34" i="68"/>
  <c r="AT87" i="68" s="1"/>
  <c r="Q37" i="64"/>
  <c r="Q53" i="104"/>
  <c r="BI50" i="68"/>
  <c r="BI103" i="68" s="1"/>
  <c r="N23" i="70"/>
  <c r="H18" i="56"/>
  <c r="M52" i="82"/>
  <c r="P49" i="69"/>
  <c r="P102" i="69" s="1"/>
  <c r="U52" i="96"/>
  <c r="BD49" i="69"/>
  <c r="BD102" i="69" s="1"/>
  <c r="Q52" i="80"/>
  <c r="AK49" i="69"/>
  <c r="AK102" i="69" s="1"/>
  <c r="U37" i="60"/>
  <c r="BX34" i="68"/>
  <c r="BX87" i="68" s="1"/>
  <c r="U52" i="100"/>
  <c r="BZ49" i="68"/>
  <c r="BZ102" i="68" s="1"/>
  <c r="M37" i="40"/>
  <c r="D34" i="68"/>
  <c r="D87" i="68" s="1"/>
  <c r="BP32" i="69"/>
  <c r="AC52" i="68"/>
  <c r="L54" i="46"/>
  <c r="M54" i="46"/>
  <c r="AP34" i="68"/>
  <c r="AP87" i="68" s="1"/>
  <c r="Q37" i="61"/>
  <c r="AQ136" i="69"/>
  <c r="AR86" i="69"/>
  <c r="AQ49" i="68"/>
  <c r="AQ102" i="68" s="1"/>
  <c r="Q52" i="100"/>
  <c r="AE14" i="56"/>
  <c r="AE18" i="56"/>
  <c r="J77" i="56"/>
  <c r="J107" i="56"/>
  <c r="M52" i="81"/>
  <c r="O49" i="69"/>
  <c r="O102" i="69" s="1"/>
  <c r="U37" i="36"/>
  <c r="BB34" i="69"/>
  <c r="BB87" i="69" s="1"/>
  <c r="AB133" i="68"/>
  <c r="AH84" i="68"/>
  <c r="AH133" i="68" s="1"/>
  <c r="U37" i="59"/>
  <c r="BN34" i="69"/>
  <c r="Q39" i="65"/>
  <c r="AU36" i="68"/>
  <c r="AU89" i="68" s="1"/>
  <c r="Q37" i="40"/>
  <c r="AM34" i="68"/>
  <c r="M52" i="84"/>
  <c r="V49" i="68"/>
  <c r="V102" i="68" s="1"/>
  <c r="U38" i="67"/>
  <c r="CF35" i="68"/>
  <c r="CF88" i="68" s="1"/>
  <c r="M51" i="97"/>
  <c r="L48" i="69"/>
  <c r="L101" i="69" s="1"/>
  <c r="B86" i="68"/>
  <c r="BT134" i="69"/>
  <c r="BV84" i="69"/>
  <c r="BV134" i="69" s="1"/>
  <c r="M37" i="44"/>
  <c r="T34" i="68"/>
  <c r="T87" i="68" s="1"/>
  <c r="Q37" i="7"/>
  <c r="AB34" i="69"/>
  <c r="AB87" i="69" s="1"/>
  <c r="M52" i="89"/>
  <c r="AA49" i="68"/>
  <c r="AA102" i="68" s="1"/>
  <c r="M52" i="99"/>
  <c r="I49" i="68"/>
  <c r="I102" i="68" s="1"/>
  <c r="Q37" i="42"/>
  <c r="AX34" i="68"/>
  <c r="AX87" i="68" s="1"/>
  <c r="C18" i="56"/>
  <c r="R53" i="48"/>
  <c r="T54" i="48" s="1"/>
  <c r="BN51" i="68"/>
  <c r="Z53" i="48"/>
  <c r="S53" i="48"/>
  <c r="R86" i="69"/>
  <c r="B136" i="69"/>
  <c r="U53" i="104"/>
  <c r="CR50" i="68"/>
  <c r="CR103" i="68" s="1"/>
  <c r="AG103" i="68"/>
  <c r="M52" i="90"/>
  <c r="M49" i="69"/>
  <c r="M102" i="69" s="1"/>
  <c r="U37" i="39"/>
  <c r="BU34" i="68"/>
  <c r="BD51" i="68"/>
  <c r="BD104" i="68" s="1"/>
  <c r="Q54" i="85"/>
  <c r="BD52" i="68" s="1"/>
  <c r="BD105" i="68" s="1"/>
  <c r="U14" i="56"/>
  <c r="U18" i="56"/>
  <c r="U53" i="81"/>
  <c r="BI50" i="69"/>
  <c r="BI103" i="69" s="1"/>
  <c r="CA48" i="68"/>
  <c r="CA101" i="68" s="1"/>
  <c r="U51" i="99"/>
  <c r="U36" i="66"/>
  <c r="CE33" i="68"/>
  <c r="CE86" i="68" s="1"/>
  <c r="CE135" i="68" s="1"/>
  <c r="U36" i="61"/>
  <c r="BY33" i="68"/>
  <c r="BY86" i="68" s="1"/>
  <c r="BY135" i="68" s="1"/>
  <c r="M53" i="80"/>
  <c r="N50" i="69"/>
  <c r="N103" i="69" s="1"/>
  <c r="S48" i="68"/>
  <c r="S101" i="68" s="1"/>
  <c r="M51" i="101"/>
  <c r="AO135" i="69"/>
  <c r="N24" i="70"/>
  <c r="H19" i="56"/>
  <c r="U38" i="65"/>
  <c r="CD35" i="68"/>
  <c r="CD88" i="68" s="1"/>
  <c r="AQ87" i="69"/>
  <c r="AR87" i="69" s="1"/>
  <c r="AR34" i="69"/>
  <c r="Z87" i="69"/>
  <c r="U51" i="97"/>
  <c r="BF48" i="69"/>
  <c r="BF101" i="69" s="1"/>
  <c r="Q39" i="62"/>
  <c r="AS36" i="68"/>
  <c r="AS89" i="68" s="1"/>
  <c r="H76" i="56"/>
  <c r="H106" i="56"/>
  <c r="M51" i="100"/>
  <c r="H48" i="68"/>
  <c r="H101" i="68" s="1"/>
  <c r="CT32" i="68"/>
  <c r="BN135" i="69"/>
  <c r="BO85" i="69"/>
  <c r="U37" i="40"/>
  <c r="BV34" i="68"/>
  <c r="BV87" i="68" s="1"/>
  <c r="G25" i="92"/>
  <c r="M25" i="92" s="1"/>
  <c r="BU83" i="69"/>
  <c r="BP133" i="69"/>
  <c r="S18" i="56"/>
  <c r="S14" i="56"/>
  <c r="U53" i="90"/>
  <c r="BG50" i="69"/>
  <c r="BG103" i="69" s="1"/>
  <c r="M18" i="56"/>
  <c r="B87" i="69"/>
  <c r="BJ49" i="68"/>
  <c r="BJ102" i="68" s="1"/>
  <c r="Q52" i="89"/>
  <c r="M37" i="38"/>
  <c r="B34" i="68"/>
  <c r="U52" i="98"/>
  <c r="BE49" i="69"/>
  <c r="BE102" i="69" s="1"/>
  <c r="Q52" i="81"/>
  <c r="AL49" i="69"/>
  <c r="AL102" i="69" s="1"/>
  <c r="T14" i="56"/>
  <c r="T18" i="56"/>
  <c r="U37" i="41"/>
  <c r="BW34" i="68"/>
  <c r="BW87" i="68" s="1"/>
  <c r="D18" i="56"/>
  <c r="BN103" i="68"/>
  <c r="BP103" i="68" s="1"/>
  <c r="BP50" i="68"/>
  <c r="B106" i="56"/>
  <c r="B76" i="56"/>
  <c r="C25" i="70"/>
  <c r="U50" i="58"/>
  <c r="BA47" i="69"/>
  <c r="BA100" i="69" s="1"/>
  <c r="Q52" i="87"/>
  <c r="BG49" i="68"/>
  <c r="BG102" i="68" s="1"/>
  <c r="BE49" i="68"/>
  <c r="BE102" i="68" s="1"/>
  <c r="Q37" i="36"/>
  <c r="AE34" i="69"/>
  <c r="AE87" i="69" s="1"/>
  <c r="BK133" i="68"/>
  <c r="BQ84" i="68"/>
  <c r="BQ133" i="68" s="1"/>
  <c r="L53" i="48"/>
  <c r="N54" i="48" s="1"/>
  <c r="AE51" i="68"/>
  <c r="AE104" i="68" s="1"/>
  <c r="M53" i="48"/>
  <c r="M38" i="42"/>
  <c r="O35" i="68"/>
  <c r="O88" i="68" s="1"/>
  <c r="BC33" i="68"/>
  <c r="BC86" i="68" s="1"/>
  <c r="BC135" i="68" s="1"/>
  <c r="Q36" i="44"/>
  <c r="Q38" i="59"/>
  <c r="AQ35" i="69"/>
  <c r="Q38" i="4"/>
  <c r="Z35" i="69"/>
  <c r="AW135" i="69"/>
  <c r="BL85" i="69"/>
  <c r="B25" i="70" s="1"/>
  <c r="BT85" i="69"/>
  <c r="AZ49" i="68"/>
  <c r="AZ102" i="68" s="1"/>
  <c r="Q52" i="102"/>
  <c r="Q52" i="96"/>
  <c r="AG49" i="69"/>
  <c r="AG102" i="69" s="1"/>
  <c r="CI48" i="68"/>
  <c r="CI101" i="68" s="1"/>
  <c r="U51" i="102"/>
  <c r="CQ50" i="68"/>
  <c r="CQ103" i="68" s="1"/>
  <c r="U53" i="88"/>
  <c r="Q37" i="60"/>
  <c r="AO34" i="68"/>
  <c r="AO87" i="68" s="1"/>
  <c r="AO33" i="69"/>
  <c r="AS33" i="69" s="1"/>
  <c r="J19" i="56"/>
  <c r="Q51" i="103"/>
  <c r="AY48" i="68"/>
  <c r="AY101" i="68" s="1"/>
  <c r="Q51" i="101"/>
  <c r="BB48" i="68"/>
  <c r="BB101" i="68" s="1"/>
  <c r="M38" i="1"/>
  <c r="B35" i="69"/>
  <c r="M52" i="85"/>
  <c r="U49" i="68"/>
  <c r="U102" i="68" s="1"/>
  <c r="M51" i="96"/>
  <c r="J48" i="69"/>
  <c r="J101" i="69" s="1"/>
  <c r="Q50" i="58"/>
  <c r="AD47" i="69"/>
  <c r="AD100" i="69" s="1"/>
  <c r="Q38" i="66"/>
  <c r="AV35" i="68"/>
  <c r="AV88" i="68" s="1"/>
  <c r="U38" i="38"/>
  <c r="BT35" i="68"/>
  <c r="BT88" i="68" s="1"/>
  <c r="M51" i="88"/>
  <c r="Y48" i="68"/>
  <c r="Y101" i="68" s="1"/>
  <c r="Q25" i="70"/>
  <c r="J25" i="70"/>
  <c r="AR135" i="69"/>
  <c r="AS85" i="69"/>
  <c r="AS135" i="69" s="1"/>
  <c r="M37" i="60"/>
  <c r="F34" i="68"/>
  <c r="F87" i="68" s="1"/>
  <c r="U53" i="80"/>
  <c r="BH50" i="69"/>
  <c r="BH103" i="69" s="1"/>
  <c r="M51" i="102"/>
  <c r="Q48" i="68"/>
  <c r="Q101" i="68" s="1"/>
  <c r="Q54" i="83"/>
  <c r="AN52" i="69" s="1"/>
  <c r="AN105" i="69" s="1"/>
  <c r="AN51" i="69"/>
  <c r="AN104" i="69" s="1"/>
  <c r="C24" i="70"/>
  <c r="D24" i="70"/>
  <c r="CT133" i="68"/>
  <c r="CZ84" i="68"/>
  <c r="CZ132" i="68"/>
  <c r="DB83" i="68"/>
  <c r="DB132" i="68" s="1"/>
  <c r="BA34" i="68"/>
  <c r="BA87" i="68" s="1"/>
  <c r="Q37" i="43"/>
  <c r="AM134" i="68"/>
  <c r="BK85" i="68"/>
  <c r="G25" i="70" s="1"/>
  <c r="E75" i="56"/>
  <c r="E105" i="56"/>
  <c r="V6" i="56"/>
  <c r="AW86" i="69"/>
  <c r="BL33" i="69"/>
  <c r="B26" i="92" s="1"/>
  <c r="BU132" i="69"/>
  <c r="BW82" i="69"/>
  <c r="BW132" i="69" s="1"/>
  <c r="M38" i="23"/>
  <c r="D35" i="69"/>
  <c r="D88" i="69" s="1"/>
  <c r="W37" i="23"/>
  <c r="M52" i="104"/>
  <c r="Z49" i="68"/>
  <c r="Z102" i="68" s="1"/>
  <c r="M37" i="35"/>
  <c r="F34" i="69"/>
  <c r="F87" i="69" s="1"/>
  <c r="M51" i="103"/>
  <c r="P48" i="68"/>
  <c r="P101" i="68" s="1"/>
  <c r="Q38" i="67"/>
  <c r="AW35" i="68"/>
  <c r="AW88" i="68" s="1"/>
  <c r="M37" i="39"/>
  <c r="C34" i="68"/>
  <c r="C87" i="68" s="1"/>
  <c r="Q53" i="90"/>
  <c r="AJ50" i="69"/>
  <c r="AJ103" i="69" s="1"/>
  <c r="AD18" i="56"/>
  <c r="AD14" i="56"/>
  <c r="M53" i="83"/>
  <c r="Q50" i="69"/>
  <c r="Q103" i="69" s="1"/>
  <c r="N17" i="56"/>
  <c r="M52" i="98"/>
  <c r="K49" i="69"/>
  <c r="K102" i="69" s="1"/>
  <c r="M36" i="67"/>
  <c r="N33" i="68"/>
  <c r="N86" i="68" s="1"/>
  <c r="N135" i="68" s="1"/>
  <c r="U38" i="43"/>
  <c r="CJ35" i="68"/>
  <c r="CJ88" i="68" s="1"/>
  <c r="M37" i="66"/>
  <c r="M34" i="68"/>
  <c r="M87" i="68" s="1"/>
  <c r="AC104" i="68"/>
  <c r="U38" i="62"/>
  <c r="CB35" i="68"/>
  <c r="CB88" i="68" s="1"/>
  <c r="J26" i="92"/>
  <c r="Z136" i="69"/>
  <c r="AO86" i="69"/>
  <c r="T24" i="70"/>
  <c r="Q51" i="86"/>
  <c r="BF48" i="68"/>
  <c r="BF101" i="68" s="1"/>
  <c r="G107" i="56"/>
  <c r="G77" i="56"/>
  <c r="BN86" i="69"/>
  <c r="BO33" i="69"/>
  <c r="AM86" i="68"/>
  <c r="BK33" i="68"/>
  <c r="BQ33" i="68" s="1"/>
  <c r="M76" i="56"/>
  <c r="M106" i="56"/>
  <c r="CH49" i="68"/>
  <c r="CH102" i="68" s="1"/>
  <c r="U52" i="103"/>
  <c r="E104" i="56"/>
  <c r="E74" i="56"/>
  <c r="X37" i="23"/>
  <c r="M37" i="43"/>
  <c r="R34" i="68"/>
  <c r="R87" i="68" s="1"/>
  <c r="Q37" i="37"/>
  <c r="AF34" i="69"/>
  <c r="AF87" i="69" s="1"/>
  <c r="BO134" i="69"/>
  <c r="BP84" i="69"/>
  <c r="CW50" i="68"/>
  <c r="CW103" i="68" s="1"/>
  <c r="Y52" i="48"/>
  <c r="X52" i="48"/>
  <c r="R33" i="69"/>
  <c r="E17" i="56"/>
  <c r="Q51" i="98"/>
  <c r="AH48" i="69"/>
  <c r="AH101" i="69" s="1"/>
  <c r="AG50" i="68"/>
  <c r="U86" i="69" l="1"/>
  <c r="T136" i="69"/>
  <c r="M54" i="87"/>
  <c r="X52" i="68" s="1"/>
  <c r="X105" i="68" s="1"/>
  <c r="X51" i="68"/>
  <c r="X104" i="68" s="1"/>
  <c r="CK50" i="68"/>
  <c r="CK103" i="68" s="1"/>
  <c r="U53" i="101"/>
  <c r="AM51" i="69"/>
  <c r="AM104" i="69" s="1"/>
  <c r="Q54" i="82"/>
  <c r="AM52" i="69" s="1"/>
  <c r="AM105" i="69" s="1"/>
  <c r="U53" i="83"/>
  <c r="BK50" i="69"/>
  <c r="BK103" i="69" s="1"/>
  <c r="U38" i="23"/>
  <c r="AX35" i="69"/>
  <c r="AX88" i="69" s="1"/>
  <c r="M38" i="59"/>
  <c r="T35" i="69"/>
  <c r="Q39" i="1"/>
  <c r="Y36" i="69"/>
  <c r="Y89" i="69" s="1"/>
  <c r="AR49" i="68"/>
  <c r="AR102" i="68" s="1"/>
  <c r="Q52" i="99"/>
  <c r="M38" i="61"/>
  <c r="G35" i="68"/>
  <c r="G88" i="68" s="1"/>
  <c r="AD51" i="68"/>
  <c r="AD104" i="68" s="1"/>
  <c r="AG104" i="68" s="1"/>
  <c r="M53" i="47"/>
  <c r="CY34" i="68"/>
  <c r="CX87" i="68"/>
  <c r="CY87" i="68" s="1"/>
  <c r="U52" i="87"/>
  <c r="CN49" i="68"/>
  <c r="CN102" i="68" s="1"/>
  <c r="CP49" i="68"/>
  <c r="CP102" i="68" s="1"/>
  <c r="U53" i="82"/>
  <c r="BJ50" i="69"/>
  <c r="BJ103" i="69" s="1"/>
  <c r="M38" i="62"/>
  <c r="J35" i="68"/>
  <c r="J88" i="68" s="1"/>
  <c r="Q39" i="38"/>
  <c r="AK36" i="68"/>
  <c r="AK89" i="68" s="1"/>
  <c r="E34" i="68"/>
  <c r="E87" i="68" s="1"/>
  <c r="M37" i="41"/>
  <c r="H135" i="69"/>
  <c r="R85" i="69"/>
  <c r="R135" i="69" s="1"/>
  <c r="M37" i="65"/>
  <c r="L34" i="68"/>
  <c r="L87" i="68" s="1"/>
  <c r="AA35" i="69"/>
  <c r="AA88" i="69" s="1"/>
  <c r="Q38" i="23"/>
  <c r="U34" i="69"/>
  <c r="K27" i="92" s="1"/>
  <c r="T87" i="69"/>
  <c r="U87" i="69" s="1"/>
  <c r="Y54" i="47"/>
  <c r="CV52" i="68"/>
  <c r="CV105" i="68" s="1"/>
  <c r="M51" i="58"/>
  <c r="G48" i="69"/>
  <c r="G101" i="69" s="1"/>
  <c r="K25" i="70"/>
  <c r="K20" i="56" s="1"/>
  <c r="R25" i="70"/>
  <c r="U25" i="70" s="1"/>
  <c r="U135" i="69"/>
  <c r="U37" i="37"/>
  <c r="BC34" i="69"/>
  <c r="BC87" i="69" s="1"/>
  <c r="CX135" i="68"/>
  <c r="CY86" i="68"/>
  <c r="CY135" i="68" s="1"/>
  <c r="CG34" i="68"/>
  <c r="CG87" i="68" s="1"/>
  <c r="U37" i="42"/>
  <c r="Y53" i="47"/>
  <c r="CV51" i="68"/>
  <c r="CV104" i="68" s="1"/>
  <c r="CX35" i="68"/>
  <c r="U38" i="63"/>
  <c r="U53" i="89"/>
  <c r="CS50" i="68"/>
  <c r="CS103" i="68" s="1"/>
  <c r="M37" i="37"/>
  <c r="I34" i="69"/>
  <c r="I87" i="69" s="1"/>
  <c r="AC38" i="69"/>
  <c r="AC91" i="69" s="1"/>
  <c r="Q41" i="35"/>
  <c r="U52" i="85"/>
  <c r="CM49" i="68"/>
  <c r="CM102" i="68" s="1"/>
  <c r="H136" i="69"/>
  <c r="BH49" i="68"/>
  <c r="BH102" i="68" s="1"/>
  <c r="Q52" i="88"/>
  <c r="M38" i="4"/>
  <c r="C35" i="69"/>
  <c r="C88" i="69" s="1"/>
  <c r="U38" i="7"/>
  <c r="AY35" i="69"/>
  <c r="AY88" i="69" s="1"/>
  <c r="M54" i="47"/>
  <c r="AD52" i="68"/>
  <c r="AD105" i="68" s="1"/>
  <c r="H25" i="92"/>
  <c r="N25" i="92" s="1"/>
  <c r="U38" i="35"/>
  <c r="AZ35" i="69"/>
  <c r="AZ88" i="69" s="1"/>
  <c r="AV35" i="69"/>
  <c r="AV88" i="69" s="1"/>
  <c r="U38" i="1"/>
  <c r="CL34" i="68"/>
  <c r="CL87" i="68" s="1"/>
  <c r="U37" i="44"/>
  <c r="Q38" i="41"/>
  <c r="AN35" i="68"/>
  <c r="AN88" i="68" s="1"/>
  <c r="U37" i="64"/>
  <c r="CC34" i="68"/>
  <c r="CC87" i="68" s="1"/>
  <c r="K78" i="56"/>
  <c r="K108" i="56"/>
  <c r="M37" i="36"/>
  <c r="H34" i="69"/>
  <c r="H87" i="69" s="1"/>
  <c r="Q38" i="39"/>
  <c r="AL35" i="68"/>
  <c r="AL88" i="68" s="1"/>
  <c r="M37" i="64"/>
  <c r="K34" i="68"/>
  <c r="K87" i="68" s="1"/>
  <c r="AG51" i="68"/>
  <c r="CT134" i="68"/>
  <c r="D25" i="70"/>
  <c r="E24" i="70"/>
  <c r="BP33" i="69"/>
  <c r="M25" i="70"/>
  <c r="G20" i="56"/>
  <c r="M38" i="43"/>
  <c r="R35" i="68"/>
  <c r="R88" i="68" s="1"/>
  <c r="CH50" i="68"/>
  <c r="CH103" i="68" s="1"/>
  <c r="U53" i="103"/>
  <c r="BN136" i="69"/>
  <c r="BO86" i="69"/>
  <c r="CZ133" i="68"/>
  <c r="DB84" i="68"/>
  <c r="DB133" i="68" s="1"/>
  <c r="M52" i="102"/>
  <c r="Q49" i="68"/>
  <c r="Q102" i="68" s="1"/>
  <c r="BH51" i="69"/>
  <c r="BH104" i="69" s="1"/>
  <c r="U54" i="80"/>
  <c r="BH52" i="69" s="1"/>
  <c r="BH105" i="69" s="1"/>
  <c r="M38" i="60"/>
  <c r="F35" i="68"/>
  <c r="F88" i="68" s="1"/>
  <c r="M52" i="88"/>
  <c r="Y49" i="68"/>
  <c r="Y102" i="68" s="1"/>
  <c r="Q39" i="66"/>
  <c r="AV36" i="68"/>
  <c r="AV89" i="68" s="1"/>
  <c r="M52" i="96"/>
  <c r="J49" i="69"/>
  <c r="J102" i="69" s="1"/>
  <c r="M39" i="1"/>
  <c r="B36" i="69"/>
  <c r="Q52" i="103"/>
  <c r="AY49" i="68"/>
  <c r="AY102" i="68" s="1"/>
  <c r="E25" i="70"/>
  <c r="B20" i="56"/>
  <c r="AQ88" i="69"/>
  <c r="AR88" i="69" s="1"/>
  <c r="AR35" i="69"/>
  <c r="BC34" i="68"/>
  <c r="BC87" i="68" s="1"/>
  <c r="Q37" i="44"/>
  <c r="AE52" i="68"/>
  <c r="AE105" i="68" s="1"/>
  <c r="L54" i="48"/>
  <c r="M54" i="48"/>
  <c r="Q38" i="36"/>
  <c r="AE35" i="69"/>
  <c r="AE88" i="69" s="1"/>
  <c r="E77" i="56"/>
  <c r="E107" i="56"/>
  <c r="Q53" i="87"/>
  <c r="BE50" i="68"/>
  <c r="BE103" i="68" s="1"/>
  <c r="BG50" i="68"/>
  <c r="BG103" i="68" s="1"/>
  <c r="Q53" i="81"/>
  <c r="AL50" i="69"/>
  <c r="AL103" i="69" s="1"/>
  <c r="R87" i="69"/>
  <c r="AO34" i="69"/>
  <c r="AS34" i="69" s="1"/>
  <c r="N19" i="56"/>
  <c r="U37" i="61"/>
  <c r="BY34" i="68"/>
  <c r="BY87" i="68" s="1"/>
  <c r="BU87" i="68"/>
  <c r="V86" i="69"/>
  <c r="BN52" i="68"/>
  <c r="Z54" i="48"/>
  <c r="S54" i="48"/>
  <c r="R54" i="48"/>
  <c r="Q38" i="42"/>
  <c r="AX35" i="68"/>
  <c r="AX88" i="68" s="1"/>
  <c r="M53" i="99"/>
  <c r="I50" i="68"/>
  <c r="I103" i="68" s="1"/>
  <c r="BZ50" i="68"/>
  <c r="BZ103" i="68" s="1"/>
  <c r="U53" i="100"/>
  <c r="AK50" i="69"/>
  <c r="AK103" i="69" s="1"/>
  <c r="Q53" i="80"/>
  <c r="U53" i="96"/>
  <c r="BD50" i="69"/>
  <c r="BD103" i="69" s="1"/>
  <c r="AW87" i="69"/>
  <c r="BL34" i="69"/>
  <c r="B27" i="92" s="1"/>
  <c r="AB134" i="68"/>
  <c r="AH85" i="68"/>
  <c r="AH134" i="68" s="1"/>
  <c r="V33" i="69"/>
  <c r="BU84" i="69"/>
  <c r="BP134" i="69"/>
  <c r="BF49" i="68"/>
  <c r="BF102" i="68" s="1"/>
  <c r="Q52" i="86"/>
  <c r="AO136" i="69"/>
  <c r="U39" i="43"/>
  <c r="CJ36" i="68"/>
  <c r="CJ89" i="68" s="1"/>
  <c r="M53" i="98"/>
  <c r="K50" i="69"/>
  <c r="K103" i="69" s="1"/>
  <c r="M54" i="83"/>
  <c r="Q52" i="69" s="1"/>
  <c r="Q105" i="69" s="1"/>
  <c r="Q51" i="69"/>
  <c r="Q104" i="69" s="1"/>
  <c r="Q54" i="90"/>
  <c r="AJ52" i="69" s="1"/>
  <c r="AJ105" i="69" s="1"/>
  <c r="AJ51" i="69"/>
  <c r="AJ104" i="69" s="1"/>
  <c r="Q39" i="67"/>
  <c r="AW36" i="68"/>
  <c r="AW89" i="68" s="1"/>
  <c r="M38" i="35"/>
  <c r="F35" i="69"/>
  <c r="F88" i="69" s="1"/>
  <c r="AW136" i="69"/>
  <c r="BT86" i="69"/>
  <c r="BL86" i="69"/>
  <c r="B26" i="70" s="1"/>
  <c r="J20" i="56"/>
  <c r="J78" i="56"/>
  <c r="J108" i="56"/>
  <c r="Q38" i="60"/>
  <c r="AO35" i="68"/>
  <c r="AO88" i="68" s="1"/>
  <c r="AZ50" i="68"/>
  <c r="AZ103" i="68" s="1"/>
  <c r="Q53" i="102"/>
  <c r="Q39" i="59"/>
  <c r="AQ36" i="69"/>
  <c r="D20" i="56"/>
  <c r="BJ50" i="68"/>
  <c r="BJ103" i="68" s="1"/>
  <c r="Q53" i="89"/>
  <c r="M77" i="56"/>
  <c r="M107" i="56"/>
  <c r="D25" i="92"/>
  <c r="C25" i="92"/>
  <c r="CZ32" i="68"/>
  <c r="AO87" i="69"/>
  <c r="AS87" i="69" s="1"/>
  <c r="U39" i="65"/>
  <c r="CD36" i="68"/>
  <c r="CD89" i="68" s="1"/>
  <c r="U38" i="39"/>
  <c r="BU35" i="68"/>
  <c r="BU88" i="68" s="1"/>
  <c r="C77" i="56"/>
  <c r="C107" i="56"/>
  <c r="AJ18" i="56"/>
  <c r="M53" i="89"/>
  <c r="AA50" i="68"/>
  <c r="AA103" i="68" s="1"/>
  <c r="M38" i="44"/>
  <c r="T35" i="68"/>
  <c r="T88" i="68" s="1"/>
  <c r="M52" i="97"/>
  <c r="L49" i="69"/>
  <c r="L102" i="69" s="1"/>
  <c r="M53" i="84"/>
  <c r="V50" i="68"/>
  <c r="V103" i="68" s="1"/>
  <c r="Q40" i="65"/>
  <c r="AU37" i="68"/>
  <c r="AU90" i="68" s="1"/>
  <c r="U38" i="36"/>
  <c r="BB35" i="69"/>
  <c r="BB88" i="69" s="1"/>
  <c r="Q26" i="70"/>
  <c r="J26" i="70"/>
  <c r="AS86" i="69"/>
  <c r="AS136" i="69" s="1"/>
  <c r="AR136" i="69"/>
  <c r="N18" i="56"/>
  <c r="Q38" i="64"/>
  <c r="AT35" i="68"/>
  <c r="AT88" i="68" s="1"/>
  <c r="U38" i="4"/>
  <c r="AW35" i="69"/>
  <c r="Y37" i="23"/>
  <c r="CT33" i="68"/>
  <c r="M19" i="56"/>
  <c r="Q52" i="98"/>
  <c r="AH49" i="69"/>
  <c r="AH102" i="69" s="1"/>
  <c r="Q38" i="37"/>
  <c r="AF35" i="69"/>
  <c r="AF88" i="69" s="1"/>
  <c r="AM135" i="68"/>
  <c r="BK86" i="68"/>
  <c r="U39" i="62"/>
  <c r="CB36" i="68"/>
  <c r="CB89" i="68" s="1"/>
  <c r="M38" i="66"/>
  <c r="M35" i="68"/>
  <c r="M88" i="68" s="1"/>
  <c r="N106" i="56"/>
  <c r="N76" i="56"/>
  <c r="V18" i="56"/>
  <c r="V14" i="56"/>
  <c r="D19" i="56"/>
  <c r="T25" i="70"/>
  <c r="U39" i="38"/>
  <c r="BT36" i="68"/>
  <c r="BT89" i="68" s="1"/>
  <c r="Q51" i="58"/>
  <c r="AD48" i="69"/>
  <c r="AD101" i="69" s="1"/>
  <c r="M53" i="85"/>
  <c r="U50" i="68"/>
  <c r="U103" i="68" s="1"/>
  <c r="BB49" i="68"/>
  <c r="BB102" i="68" s="1"/>
  <c r="Q52" i="101"/>
  <c r="U54" i="88"/>
  <c r="CQ52" i="68" s="1"/>
  <c r="CQ105" i="68" s="1"/>
  <c r="CQ51" i="68"/>
  <c r="CQ104" i="68" s="1"/>
  <c r="Q53" i="96"/>
  <c r="AG50" i="69"/>
  <c r="AG103" i="69" s="1"/>
  <c r="Z88" i="69"/>
  <c r="U51" i="58"/>
  <c r="BA48" i="69"/>
  <c r="BA101" i="69" s="1"/>
  <c r="C20" i="56"/>
  <c r="U38" i="41"/>
  <c r="BW35" i="68"/>
  <c r="BW88" i="68" s="1"/>
  <c r="B87" i="68"/>
  <c r="U54" i="90"/>
  <c r="BG52" i="69" s="1"/>
  <c r="BG105" i="69" s="1"/>
  <c r="BG51" i="69"/>
  <c r="BG104" i="69" s="1"/>
  <c r="U38" i="40"/>
  <c r="BV35" i="68"/>
  <c r="BV88" i="68" s="1"/>
  <c r="U52" i="97"/>
  <c r="BF49" i="69"/>
  <c r="BF102" i="69" s="1"/>
  <c r="J27" i="92"/>
  <c r="H108" i="56"/>
  <c r="H78" i="56"/>
  <c r="M54" i="80"/>
  <c r="N52" i="69" s="1"/>
  <c r="N105" i="69" s="1"/>
  <c r="N51" i="69"/>
  <c r="N104" i="69" s="1"/>
  <c r="U37" i="66"/>
  <c r="CE34" i="68"/>
  <c r="CE87" i="68" s="1"/>
  <c r="U54" i="81"/>
  <c r="BI52" i="69" s="1"/>
  <c r="BI105" i="69" s="1"/>
  <c r="BI51" i="69"/>
  <c r="BI104" i="69" s="1"/>
  <c r="CR51" i="68"/>
  <c r="CR104" i="68" s="1"/>
  <c r="U54" i="104"/>
  <c r="CR52" i="68" s="1"/>
  <c r="CR105" i="68" s="1"/>
  <c r="CW51" i="68"/>
  <c r="CW104" i="68" s="1"/>
  <c r="Y53" i="48"/>
  <c r="X53" i="48"/>
  <c r="AB33" i="68"/>
  <c r="AH33" i="68" s="1"/>
  <c r="AM87" i="68"/>
  <c r="BK87" i="68" s="1"/>
  <c r="BQ87" i="68" s="1"/>
  <c r="BK34" i="68"/>
  <c r="BQ34" i="68" s="1"/>
  <c r="BN87" i="69"/>
  <c r="BO87" i="69" s="1"/>
  <c r="BO34" i="69"/>
  <c r="M38" i="40"/>
  <c r="D35" i="68"/>
  <c r="D88" i="68" s="1"/>
  <c r="U38" i="60"/>
  <c r="BX35" i="68"/>
  <c r="BX88" i="68" s="1"/>
  <c r="M53" i="82"/>
  <c r="P50" i="69"/>
  <c r="P103" i="69" s="1"/>
  <c r="M52" i="86"/>
  <c r="W49" i="68"/>
  <c r="W102" i="68" s="1"/>
  <c r="AI50" i="69"/>
  <c r="AI103" i="69" s="1"/>
  <c r="Q53" i="97"/>
  <c r="BU135" i="68"/>
  <c r="DA135" i="68" s="1"/>
  <c r="CT86" i="68"/>
  <c r="DA86" i="68"/>
  <c r="E106" i="56"/>
  <c r="E76" i="56"/>
  <c r="M37" i="67"/>
  <c r="N34" i="68"/>
  <c r="N87" i="68" s="1"/>
  <c r="M38" i="39"/>
  <c r="C35" i="68"/>
  <c r="C88" i="68" s="1"/>
  <c r="M52" i="103"/>
  <c r="P49" i="68"/>
  <c r="P102" i="68" s="1"/>
  <c r="M53" i="104"/>
  <c r="Z50" i="68"/>
  <c r="Z103" i="68" s="1"/>
  <c r="M39" i="23"/>
  <c r="D36" i="69"/>
  <c r="D89" i="69" s="1"/>
  <c r="W38" i="23"/>
  <c r="BK134" i="68"/>
  <c r="BQ85" i="68"/>
  <c r="BQ134" i="68" s="1"/>
  <c r="Q38" i="43"/>
  <c r="BA35" i="68"/>
  <c r="BA88" i="68" s="1"/>
  <c r="C19" i="56"/>
  <c r="B88" i="69"/>
  <c r="G26" i="92"/>
  <c r="M26" i="92" s="1"/>
  <c r="U52" i="102"/>
  <c r="CI49" i="68"/>
  <c r="CI102" i="68" s="1"/>
  <c r="BT135" i="69"/>
  <c r="BV85" i="69"/>
  <c r="BV135" i="69" s="1"/>
  <c r="Q39" i="4"/>
  <c r="Z36" i="69"/>
  <c r="M39" i="42"/>
  <c r="O36" i="68"/>
  <c r="O89" i="68" s="1"/>
  <c r="D107" i="56"/>
  <c r="D77" i="56"/>
  <c r="B78" i="56"/>
  <c r="B108" i="56"/>
  <c r="U53" i="98"/>
  <c r="BE50" i="69"/>
  <c r="BE103" i="69" s="1"/>
  <c r="M38" i="38"/>
  <c r="B35" i="68"/>
  <c r="R34" i="69"/>
  <c r="BU133" i="69"/>
  <c r="BW83" i="69"/>
  <c r="BW133" i="69" s="1"/>
  <c r="BO135" i="69"/>
  <c r="BP85" i="69"/>
  <c r="M52" i="100"/>
  <c r="H49" i="68"/>
  <c r="H102" i="68" s="1"/>
  <c r="Q40" i="62"/>
  <c r="AS37" i="68"/>
  <c r="AS90" i="68" s="1"/>
  <c r="Q27" i="70"/>
  <c r="J27" i="70"/>
  <c r="M52" i="101"/>
  <c r="S49" i="68"/>
  <c r="S102" i="68" s="1"/>
  <c r="U52" i="99"/>
  <c r="CA49" i="68"/>
  <c r="CA102" i="68" s="1"/>
  <c r="M53" i="90"/>
  <c r="M50" i="69"/>
  <c r="M103" i="69" s="1"/>
  <c r="BN104" i="68"/>
  <c r="BP104" i="68" s="1"/>
  <c r="BP51" i="68"/>
  <c r="Q38" i="7"/>
  <c r="AB35" i="69"/>
  <c r="AB88" i="69" s="1"/>
  <c r="AB86" i="68"/>
  <c r="H26" i="70" s="1"/>
  <c r="B135" i="68"/>
  <c r="U39" i="67"/>
  <c r="CF36" i="68"/>
  <c r="CF89" i="68" s="1"/>
  <c r="Q38" i="40"/>
  <c r="AM35" i="68"/>
  <c r="U38" i="59"/>
  <c r="BN35" i="69"/>
  <c r="M53" i="81"/>
  <c r="O50" i="69"/>
  <c r="O103" i="69" s="1"/>
  <c r="AQ50" i="68"/>
  <c r="AQ103" i="68" s="1"/>
  <c r="Q53" i="100"/>
  <c r="AP35" i="68"/>
  <c r="AP88" i="68" s="1"/>
  <c r="Q38" i="61"/>
  <c r="AC105" i="68"/>
  <c r="H77" i="56"/>
  <c r="H107" i="56"/>
  <c r="Q54" i="104"/>
  <c r="BI52" i="68" s="1"/>
  <c r="BI105" i="68" s="1"/>
  <c r="BI51" i="68"/>
  <c r="BI104" i="68" s="1"/>
  <c r="M38" i="7"/>
  <c r="E35" i="69"/>
  <c r="E88" i="69" s="1"/>
  <c r="G78" i="56"/>
  <c r="G108" i="56"/>
  <c r="CZ134" i="68"/>
  <c r="U35" i="69" l="1"/>
  <c r="K28" i="92" s="1"/>
  <c r="T88" i="69"/>
  <c r="U88" i="69" s="1"/>
  <c r="AG105" i="68"/>
  <c r="U38" i="44"/>
  <c r="CL35" i="68"/>
  <c r="CL88" i="68" s="1"/>
  <c r="M39" i="4"/>
  <c r="C36" i="69"/>
  <c r="C89" i="69" s="1"/>
  <c r="U39" i="63"/>
  <c r="CX36" i="68"/>
  <c r="U38" i="42"/>
  <c r="CG35" i="68"/>
  <c r="CG88" i="68" s="1"/>
  <c r="DA88" i="68" s="1"/>
  <c r="K109" i="56"/>
  <c r="K79" i="56"/>
  <c r="Q40" i="38"/>
  <c r="AK37" i="68"/>
  <c r="AK90" i="68" s="1"/>
  <c r="U54" i="82"/>
  <c r="BJ52" i="69" s="1"/>
  <c r="BJ105" i="69" s="1"/>
  <c r="BJ51" i="69"/>
  <c r="BJ104" i="69" s="1"/>
  <c r="M39" i="59"/>
  <c r="T36" i="69"/>
  <c r="BK51" i="69"/>
  <c r="BK104" i="69" s="1"/>
  <c r="U54" i="83"/>
  <c r="BK52" i="69" s="1"/>
  <c r="BK105" i="69" s="1"/>
  <c r="U136" i="69"/>
  <c r="K26" i="70"/>
  <c r="K21" i="56" s="1"/>
  <c r="R26" i="70"/>
  <c r="Q39" i="41"/>
  <c r="AN36" i="68"/>
  <c r="AN89" i="68" s="1"/>
  <c r="AA36" i="69"/>
  <c r="AA89" i="69" s="1"/>
  <c r="Q39" i="23"/>
  <c r="M38" i="64"/>
  <c r="K35" i="68"/>
  <c r="K88" i="68" s="1"/>
  <c r="M38" i="36"/>
  <c r="H35" i="69"/>
  <c r="H88" i="69" s="1"/>
  <c r="U38" i="64"/>
  <c r="CC35" i="68"/>
  <c r="CC88" i="68" s="1"/>
  <c r="U39" i="35"/>
  <c r="AZ36" i="69"/>
  <c r="AZ89" i="69" s="1"/>
  <c r="BH50" i="68"/>
  <c r="BH103" i="68" s="1"/>
  <c r="Q53" i="88"/>
  <c r="CM50" i="68"/>
  <c r="CM103" i="68" s="1"/>
  <c r="U53" i="85"/>
  <c r="M38" i="37"/>
  <c r="I35" i="69"/>
  <c r="I88" i="69" s="1"/>
  <c r="R88" i="69" s="1"/>
  <c r="CX88" i="68"/>
  <c r="CY88" i="68" s="1"/>
  <c r="CY35" i="68"/>
  <c r="U38" i="37"/>
  <c r="BC35" i="69"/>
  <c r="BC88" i="69" s="1"/>
  <c r="K27" i="70"/>
  <c r="K22" i="56" s="1"/>
  <c r="R27" i="70"/>
  <c r="E35" i="68"/>
  <c r="E88" i="68" s="1"/>
  <c r="M38" i="41"/>
  <c r="M39" i="61"/>
  <c r="G36" i="68"/>
  <c r="G89" i="68" s="1"/>
  <c r="Q40" i="1"/>
  <c r="Y37" i="69"/>
  <c r="Y90" i="69" s="1"/>
  <c r="H25" i="70"/>
  <c r="Q39" i="39"/>
  <c r="AL36" i="68"/>
  <c r="AL89" i="68" s="1"/>
  <c r="CS51" i="68"/>
  <c r="CS104" i="68" s="1"/>
  <c r="U54" i="89"/>
  <c r="CS52" i="68" s="1"/>
  <c r="CS105" i="68" s="1"/>
  <c r="CN50" i="68"/>
  <c r="CN103" i="68" s="1"/>
  <c r="CP50" i="68"/>
  <c r="CP103" i="68" s="1"/>
  <c r="U53" i="87"/>
  <c r="U54" i="101"/>
  <c r="CK52" i="68" s="1"/>
  <c r="CK105" i="68" s="1"/>
  <c r="CK51" i="68"/>
  <c r="CK104" i="68" s="1"/>
  <c r="R136" i="69"/>
  <c r="AV36" i="69"/>
  <c r="AV89" i="69" s="1"/>
  <c r="U39" i="1"/>
  <c r="U39" i="7"/>
  <c r="AY36" i="69"/>
  <c r="AY89" i="69" s="1"/>
  <c r="Q42" i="35"/>
  <c r="AC39" i="69"/>
  <c r="AC92" i="69" s="1"/>
  <c r="G49" i="69"/>
  <c r="G102" i="69" s="1"/>
  <c r="M52" i="58"/>
  <c r="M38" i="65"/>
  <c r="L35" i="68"/>
  <c r="L88" i="68" s="1"/>
  <c r="M39" i="62"/>
  <c r="J36" i="68"/>
  <c r="J89" i="68" s="1"/>
  <c r="AR50" i="68"/>
  <c r="AR103" i="68" s="1"/>
  <c r="Q53" i="99"/>
  <c r="X38" i="23"/>
  <c r="U39" i="23"/>
  <c r="AX36" i="69"/>
  <c r="AX89" i="69" s="1"/>
  <c r="V85" i="69"/>
  <c r="V135" i="69" s="1"/>
  <c r="AG52" i="68"/>
  <c r="DB134" i="68"/>
  <c r="E19" i="56"/>
  <c r="E108" i="56" s="1"/>
  <c r="BP34" i="69"/>
  <c r="H21" i="56"/>
  <c r="M39" i="7"/>
  <c r="E36" i="69"/>
  <c r="E89" i="69" s="1"/>
  <c r="Q39" i="40"/>
  <c r="AM36" i="68"/>
  <c r="Q54" i="100"/>
  <c r="AQ52" i="68" s="1"/>
  <c r="AQ105" i="68" s="1"/>
  <c r="AQ51" i="68"/>
  <c r="AQ104" i="68" s="1"/>
  <c r="BN88" i="69"/>
  <c r="BO88" i="69" s="1"/>
  <c r="BO35" i="69"/>
  <c r="M54" i="90"/>
  <c r="M52" i="69" s="1"/>
  <c r="M105" i="69" s="1"/>
  <c r="M51" i="69"/>
  <c r="M104" i="69" s="1"/>
  <c r="T27" i="70"/>
  <c r="M53" i="100"/>
  <c r="H50" i="68"/>
  <c r="H103" i="68" s="1"/>
  <c r="Q40" i="4"/>
  <c r="Z37" i="69"/>
  <c r="M54" i="82"/>
  <c r="P52" i="69" s="1"/>
  <c r="P105" i="69" s="1"/>
  <c r="P51" i="69"/>
  <c r="P104" i="69" s="1"/>
  <c r="M39" i="40"/>
  <c r="D36" i="68"/>
  <c r="D89" i="68" s="1"/>
  <c r="U38" i="66"/>
  <c r="CE35" i="68"/>
  <c r="CE88" i="68" s="1"/>
  <c r="U53" i="97"/>
  <c r="BF50" i="69"/>
  <c r="BF103" i="69" s="1"/>
  <c r="AB87" i="68"/>
  <c r="AH87" i="68" s="1"/>
  <c r="U39" i="41"/>
  <c r="BW36" i="68"/>
  <c r="BW89" i="68" s="1"/>
  <c r="BB50" i="68"/>
  <c r="BB103" i="68" s="1"/>
  <c r="Q53" i="101"/>
  <c r="C26" i="92"/>
  <c r="D26" i="92"/>
  <c r="CZ33" i="68"/>
  <c r="AW88" i="69"/>
  <c r="N77" i="56"/>
  <c r="N107" i="56"/>
  <c r="J21" i="56"/>
  <c r="M39" i="44"/>
  <c r="T36" i="68"/>
  <c r="T89" i="68" s="1"/>
  <c r="E25" i="92"/>
  <c r="BJ51" i="68"/>
  <c r="BJ104" i="68" s="1"/>
  <c r="Q54" i="89"/>
  <c r="BJ52" i="68" s="1"/>
  <c r="BJ105" i="68" s="1"/>
  <c r="BT136" i="69"/>
  <c r="BV86" i="69"/>
  <c r="BV136" i="69" s="1"/>
  <c r="BF50" i="68"/>
  <c r="BF103" i="68" s="1"/>
  <c r="Q53" i="86"/>
  <c r="U54" i="96"/>
  <c r="BD52" i="69" s="1"/>
  <c r="BD105" i="69" s="1"/>
  <c r="BD51" i="69"/>
  <c r="BD104" i="69" s="1"/>
  <c r="CW52" i="68"/>
  <c r="CW105" i="68" s="1"/>
  <c r="X54" i="48"/>
  <c r="Y54" i="48"/>
  <c r="B89" i="69"/>
  <c r="Q39" i="7"/>
  <c r="AB36" i="69"/>
  <c r="AB89" i="69" s="1"/>
  <c r="M53" i="101"/>
  <c r="S50" i="68"/>
  <c r="S103" i="68" s="1"/>
  <c r="BU85" i="69"/>
  <c r="BP135" i="69"/>
  <c r="V34" i="69"/>
  <c r="U54" i="98"/>
  <c r="BE52" i="69" s="1"/>
  <c r="BE105" i="69" s="1"/>
  <c r="BE51" i="69"/>
  <c r="BE104" i="69" s="1"/>
  <c r="Q39" i="43"/>
  <c r="BA36" i="68"/>
  <c r="BA89" i="68" s="1"/>
  <c r="Z51" i="68"/>
  <c r="Z104" i="68" s="1"/>
  <c r="M54" i="104"/>
  <c r="Z52" i="68" s="1"/>
  <c r="Z105" i="68" s="1"/>
  <c r="M39" i="39"/>
  <c r="C36" i="68"/>
  <c r="C89" i="68" s="1"/>
  <c r="U52" i="58"/>
  <c r="BA49" i="69"/>
  <c r="BA102" i="69" s="1"/>
  <c r="Q54" i="96"/>
  <c r="AG52" i="69" s="1"/>
  <c r="AG105" i="69" s="1"/>
  <c r="AG51" i="69"/>
  <c r="AG104" i="69" s="1"/>
  <c r="Q52" i="58"/>
  <c r="AD49" i="69"/>
  <c r="AD102" i="69" s="1"/>
  <c r="U40" i="62"/>
  <c r="CB37" i="68"/>
  <c r="CB90" i="68" s="1"/>
  <c r="Q53" i="98"/>
  <c r="AH50" i="69"/>
  <c r="AH103" i="69" s="1"/>
  <c r="U39" i="4"/>
  <c r="AW36" i="69"/>
  <c r="Y38" i="23"/>
  <c r="T26" i="70"/>
  <c r="U39" i="36"/>
  <c r="BB36" i="69"/>
  <c r="BB89" i="69" s="1"/>
  <c r="Q41" i="65"/>
  <c r="AU38" i="68"/>
  <c r="AU91" i="68" s="1"/>
  <c r="M53" i="97"/>
  <c r="L50" i="69"/>
  <c r="L103" i="69" s="1"/>
  <c r="U40" i="65"/>
  <c r="CD37" i="68"/>
  <c r="CD90" i="68" s="1"/>
  <c r="D109" i="56"/>
  <c r="D79" i="56"/>
  <c r="AQ89" i="69"/>
  <c r="AR89" i="69" s="1"/>
  <c r="AR36" i="69"/>
  <c r="Q40" i="67"/>
  <c r="AW37" i="68"/>
  <c r="AW90" i="68" s="1"/>
  <c r="U40" i="43"/>
  <c r="CJ37" i="68"/>
  <c r="CJ90" i="68" s="1"/>
  <c r="H26" i="92"/>
  <c r="N26" i="92" s="1"/>
  <c r="BL87" i="69"/>
  <c r="B27" i="70" s="1"/>
  <c r="BT87" i="69"/>
  <c r="Q54" i="80"/>
  <c r="AK52" i="69" s="1"/>
  <c r="AK105" i="69" s="1"/>
  <c r="AK51" i="69"/>
  <c r="AK104" i="69" s="1"/>
  <c r="Q39" i="42"/>
  <c r="AX36" i="68"/>
  <c r="AX89" i="68" s="1"/>
  <c r="BN105" i="68"/>
  <c r="BP105" i="68" s="1"/>
  <c r="BP52" i="68"/>
  <c r="G27" i="92"/>
  <c r="M27" i="92" s="1"/>
  <c r="BG51" i="68"/>
  <c r="BG104" i="68" s="1"/>
  <c r="Q54" i="87"/>
  <c r="BE51" i="68"/>
  <c r="BE104" i="68" s="1"/>
  <c r="Q39" i="36"/>
  <c r="AE36" i="69"/>
  <c r="AE89" i="69" s="1"/>
  <c r="J28" i="92"/>
  <c r="E20" i="56"/>
  <c r="M40" i="1"/>
  <c r="B37" i="69"/>
  <c r="Q40" i="66"/>
  <c r="AV37" i="68"/>
  <c r="AV90" i="68" s="1"/>
  <c r="F36" i="68"/>
  <c r="F89" i="68" s="1"/>
  <c r="M39" i="60"/>
  <c r="M53" i="102"/>
  <c r="Q50" i="68"/>
  <c r="Q103" i="68" s="1"/>
  <c r="M39" i="43"/>
  <c r="R36" i="68"/>
  <c r="R89" i="68" s="1"/>
  <c r="M20" i="56"/>
  <c r="U39" i="59"/>
  <c r="BN36" i="69"/>
  <c r="U40" i="67"/>
  <c r="CF37" i="68"/>
  <c r="CF90" i="68" s="1"/>
  <c r="Q39" i="61"/>
  <c r="AP36" i="68"/>
  <c r="AP89" i="68" s="1"/>
  <c r="AM88" i="68"/>
  <c r="U53" i="99"/>
  <c r="CA50" i="68"/>
  <c r="CA103" i="68" s="1"/>
  <c r="Q41" i="62"/>
  <c r="AS38" i="68"/>
  <c r="AS91" i="68" s="1"/>
  <c r="B88" i="68"/>
  <c r="M40" i="42"/>
  <c r="O37" i="68"/>
  <c r="O90" i="68" s="1"/>
  <c r="CI50" i="68"/>
  <c r="CI103" i="68" s="1"/>
  <c r="U53" i="102"/>
  <c r="C108" i="56"/>
  <c r="C78" i="56"/>
  <c r="AJ19" i="56"/>
  <c r="C26" i="70"/>
  <c r="D26" i="70"/>
  <c r="CT135" i="68"/>
  <c r="CZ86" i="68"/>
  <c r="M53" i="86"/>
  <c r="W50" i="68"/>
  <c r="W103" i="68" s="1"/>
  <c r="U39" i="60"/>
  <c r="BX36" i="68"/>
  <c r="BX89" i="68" s="1"/>
  <c r="U39" i="40"/>
  <c r="BV36" i="68"/>
  <c r="BV89" i="68" s="1"/>
  <c r="C79" i="56"/>
  <c r="AJ20" i="56"/>
  <c r="C109" i="56"/>
  <c r="AO35" i="69"/>
  <c r="D108" i="56"/>
  <c r="D78" i="56"/>
  <c r="BK135" i="68"/>
  <c r="BQ86" i="68"/>
  <c r="BQ135" i="68" s="1"/>
  <c r="M78" i="56"/>
  <c r="M108" i="56"/>
  <c r="M54" i="89"/>
  <c r="AA52" i="68" s="1"/>
  <c r="AA105" i="68" s="1"/>
  <c r="AA51" i="68"/>
  <c r="AA104" i="68" s="1"/>
  <c r="G27" i="70"/>
  <c r="Q40" i="59"/>
  <c r="AQ37" i="69"/>
  <c r="Q56" i="59"/>
  <c r="Q39" i="60"/>
  <c r="AO36" i="68"/>
  <c r="AO89" i="68" s="1"/>
  <c r="J79" i="56"/>
  <c r="J109" i="56"/>
  <c r="CT34" i="68"/>
  <c r="U38" i="61"/>
  <c r="BY35" i="68"/>
  <c r="BY88" i="68" s="1"/>
  <c r="V87" i="69"/>
  <c r="Q54" i="81"/>
  <c r="AL52" i="69" s="1"/>
  <c r="AL105" i="69" s="1"/>
  <c r="AL51" i="69"/>
  <c r="AL104" i="69" s="1"/>
  <c r="Q28" i="70"/>
  <c r="J28" i="70"/>
  <c r="BO136" i="69"/>
  <c r="BP86" i="69"/>
  <c r="U54" i="103"/>
  <c r="CH52" i="68" s="1"/>
  <c r="CH105" i="68" s="1"/>
  <c r="CH51" i="68"/>
  <c r="CH104" i="68" s="1"/>
  <c r="M54" i="81"/>
  <c r="O52" i="69" s="1"/>
  <c r="O105" i="69" s="1"/>
  <c r="O51" i="69"/>
  <c r="O104" i="69" s="1"/>
  <c r="AB135" i="68"/>
  <c r="AH86" i="68"/>
  <c r="AH135" i="68" s="1"/>
  <c r="J22" i="56"/>
  <c r="M39" i="38"/>
  <c r="B36" i="68"/>
  <c r="Z89" i="69"/>
  <c r="M40" i="23"/>
  <c r="D37" i="69"/>
  <c r="D90" i="69" s="1"/>
  <c r="W39" i="23"/>
  <c r="M53" i="103"/>
  <c r="P50" i="68"/>
  <c r="P103" i="68" s="1"/>
  <c r="M38" i="67"/>
  <c r="N35" i="68"/>
  <c r="N88" i="68" s="1"/>
  <c r="Q54" i="97"/>
  <c r="AI52" i="69" s="1"/>
  <c r="AI105" i="69" s="1"/>
  <c r="AI51" i="69"/>
  <c r="AI104" i="69" s="1"/>
  <c r="AB34" i="68"/>
  <c r="AH34" i="68" s="1"/>
  <c r="AO88" i="69"/>
  <c r="AS88" i="69" s="1"/>
  <c r="M54" i="85"/>
  <c r="U52" i="68" s="1"/>
  <c r="U105" i="68" s="1"/>
  <c r="U51" i="68"/>
  <c r="U104" i="68" s="1"/>
  <c r="U40" i="38"/>
  <c r="BT37" i="68"/>
  <c r="BT90" i="68" s="1"/>
  <c r="M39" i="66"/>
  <c r="M36" i="68"/>
  <c r="M89" i="68" s="1"/>
  <c r="Q39" i="37"/>
  <c r="AF36" i="69"/>
  <c r="AF89" i="69" s="1"/>
  <c r="Q39" i="64"/>
  <c r="AT36" i="68"/>
  <c r="AT89" i="68" s="1"/>
  <c r="M54" i="84"/>
  <c r="V52" i="68" s="1"/>
  <c r="V105" i="68" s="1"/>
  <c r="V51" i="68"/>
  <c r="V104" i="68" s="1"/>
  <c r="U39" i="39"/>
  <c r="BU36" i="68"/>
  <c r="BU89" i="68" s="1"/>
  <c r="Q54" i="102"/>
  <c r="AZ52" i="68" s="1"/>
  <c r="AZ105" i="68" s="1"/>
  <c r="AZ51" i="68"/>
  <c r="AZ104" i="68" s="1"/>
  <c r="B21" i="56"/>
  <c r="M39" i="35"/>
  <c r="F36" i="69"/>
  <c r="F89" i="69" s="1"/>
  <c r="M54" i="98"/>
  <c r="K52" i="69" s="1"/>
  <c r="K105" i="69" s="1"/>
  <c r="K51" i="69"/>
  <c r="K104" i="69" s="1"/>
  <c r="G26" i="70"/>
  <c r="BU134" i="69"/>
  <c r="BW84" i="69"/>
  <c r="BW134" i="69" s="1"/>
  <c r="U54" i="100"/>
  <c r="BZ52" i="68" s="1"/>
  <c r="BZ105" i="68" s="1"/>
  <c r="BZ51" i="68"/>
  <c r="BZ104" i="68" s="1"/>
  <c r="M54" i="99"/>
  <c r="I52" i="68" s="1"/>
  <c r="I105" i="68" s="1"/>
  <c r="I51" i="68"/>
  <c r="I104" i="68" s="1"/>
  <c r="CT87" i="68"/>
  <c r="DA87" i="68"/>
  <c r="N108" i="56"/>
  <c r="N78" i="56"/>
  <c r="Q38" i="44"/>
  <c r="BC35" i="68"/>
  <c r="BC88" i="68" s="1"/>
  <c r="B79" i="56"/>
  <c r="B109" i="56"/>
  <c r="Q53" i="103"/>
  <c r="AY50" i="68"/>
  <c r="AY103" i="68" s="1"/>
  <c r="M53" i="96"/>
  <c r="J50" i="69"/>
  <c r="J103" i="69" s="1"/>
  <c r="M53" i="88"/>
  <c r="Y50" i="68"/>
  <c r="Y103" i="68" s="1"/>
  <c r="G79" i="56"/>
  <c r="G109" i="56"/>
  <c r="L36" i="68" l="1"/>
  <c r="L89" i="68" s="1"/>
  <c r="M39" i="65"/>
  <c r="U54" i="87"/>
  <c r="CN51" i="68"/>
  <c r="CN104" i="68" s="1"/>
  <c r="CP51" i="68"/>
  <c r="CP104" i="68" s="1"/>
  <c r="K80" i="56"/>
  <c r="K110" i="56"/>
  <c r="R35" i="69"/>
  <c r="V35" i="69" s="1"/>
  <c r="N26" i="70"/>
  <c r="AX37" i="69"/>
  <c r="AX90" i="69" s="1"/>
  <c r="U40" i="23"/>
  <c r="M53" i="58"/>
  <c r="G50" i="69"/>
  <c r="G103" i="69" s="1"/>
  <c r="Q41" i="1"/>
  <c r="Y38" i="69"/>
  <c r="Y91" i="69" s="1"/>
  <c r="U39" i="37"/>
  <c r="BC36" i="69"/>
  <c r="BC89" i="69" s="1"/>
  <c r="I36" i="69"/>
  <c r="I89" i="69" s="1"/>
  <c r="M39" i="37"/>
  <c r="CC36" i="68"/>
  <c r="CC89" i="68" s="1"/>
  <c r="U39" i="64"/>
  <c r="M39" i="64"/>
  <c r="K36" i="68"/>
  <c r="K89" i="68" s="1"/>
  <c r="M56" i="59"/>
  <c r="M40" i="59"/>
  <c r="T37" i="69"/>
  <c r="Q41" i="38"/>
  <c r="AK38" i="68"/>
  <c r="AK91" i="68" s="1"/>
  <c r="CG36" i="68"/>
  <c r="CG89" i="68" s="1"/>
  <c r="U39" i="42"/>
  <c r="M40" i="4"/>
  <c r="C37" i="69"/>
  <c r="C90" i="69" s="1"/>
  <c r="R28" i="70"/>
  <c r="U28" i="70" s="1"/>
  <c r="K28" i="70"/>
  <c r="K23" i="56" s="1"/>
  <c r="E36" i="68"/>
  <c r="E89" i="68" s="1"/>
  <c r="M39" i="41"/>
  <c r="Q54" i="88"/>
  <c r="BH52" i="68" s="1"/>
  <c r="BH105" i="68" s="1"/>
  <c r="BH51" i="68"/>
  <c r="BH104" i="68" s="1"/>
  <c r="M40" i="62"/>
  <c r="J37" i="68"/>
  <c r="J90" i="68" s="1"/>
  <c r="U40" i="7"/>
  <c r="AY37" i="69"/>
  <c r="AY90" i="69" s="1"/>
  <c r="AL37" i="68"/>
  <c r="AL90" i="68" s="1"/>
  <c r="Q40" i="39"/>
  <c r="U27" i="70"/>
  <c r="CM51" i="68"/>
  <c r="CM104" i="68" s="1"/>
  <c r="U54" i="85"/>
  <c r="CM52" i="68" s="1"/>
  <c r="CM105" i="68" s="1"/>
  <c r="V136" i="69"/>
  <c r="Q40" i="41"/>
  <c r="AN37" i="68"/>
  <c r="AN90" i="68" s="1"/>
  <c r="CY36" i="68"/>
  <c r="CX89" i="68"/>
  <c r="CY89" i="68" s="1"/>
  <c r="Q43" i="35"/>
  <c r="AC40" i="69"/>
  <c r="AC93" i="69" s="1"/>
  <c r="U36" i="69"/>
  <c r="K29" i="92" s="1"/>
  <c r="T89" i="69"/>
  <c r="U89" i="69" s="1"/>
  <c r="CT88" i="68"/>
  <c r="BL35" i="69"/>
  <c r="B28" i="92" s="1"/>
  <c r="X40" i="23"/>
  <c r="AR51" i="68"/>
  <c r="AR104" i="68" s="1"/>
  <c r="Q54" i="99"/>
  <c r="AR52" i="68" s="1"/>
  <c r="AR105" i="68" s="1"/>
  <c r="AV37" i="69"/>
  <c r="AV90" i="69" s="1"/>
  <c r="U40" i="1"/>
  <c r="H20" i="56"/>
  <c r="N25" i="70"/>
  <c r="N20" i="56" s="1"/>
  <c r="M40" i="61"/>
  <c r="G37" i="68"/>
  <c r="G90" i="68" s="1"/>
  <c r="K81" i="56"/>
  <c r="K111" i="56"/>
  <c r="U40" i="35"/>
  <c r="AZ37" i="69"/>
  <c r="AZ90" i="69" s="1"/>
  <c r="M39" i="36"/>
  <c r="H36" i="69"/>
  <c r="H89" i="69" s="1"/>
  <c r="Q40" i="23"/>
  <c r="AA37" i="69"/>
  <c r="AA90" i="69" s="1"/>
  <c r="U26" i="70"/>
  <c r="CX37" i="68"/>
  <c r="U40" i="63"/>
  <c r="U39" i="44"/>
  <c r="CL36" i="68"/>
  <c r="CL89" i="68" s="1"/>
  <c r="X39" i="23"/>
  <c r="E78" i="56"/>
  <c r="E26" i="70"/>
  <c r="H27" i="70"/>
  <c r="N27" i="70" s="1"/>
  <c r="BP87" i="69"/>
  <c r="BU87" i="69" s="1"/>
  <c r="C28" i="70"/>
  <c r="D28" i="70"/>
  <c r="CZ88" i="68"/>
  <c r="DB88" i="68" s="1"/>
  <c r="Q54" i="103"/>
  <c r="AY52" i="68" s="1"/>
  <c r="AY105" i="68" s="1"/>
  <c r="AY51" i="68"/>
  <c r="AY104" i="68" s="1"/>
  <c r="M26" i="70"/>
  <c r="G21" i="56"/>
  <c r="D27" i="70"/>
  <c r="C27" i="70"/>
  <c r="CZ87" i="68"/>
  <c r="DB87" i="68" s="1"/>
  <c r="B110" i="56"/>
  <c r="B80" i="56"/>
  <c r="U40" i="39"/>
  <c r="BU37" i="68"/>
  <c r="BU90" i="68" s="1"/>
  <c r="Q40" i="37"/>
  <c r="AF37" i="69"/>
  <c r="AF90" i="69" s="1"/>
  <c r="M54" i="103"/>
  <c r="P52" i="68" s="1"/>
  <c r="P105" i="68" s="1"/>
  <c r="P51" i="68"/>
  <c r="P104" i="68" s="1"/>
  <c r="AO36" i="69"/>
  <c r="AS36" i="69" s="1"/>
  <c r="J111" i="56"/>
  <c r="J81" i="56"/>
  <c r="AQ90" i="69"/>
  <c r="AR90" i="69" s="1"/>
  <c r="AR37" i="69"/>
  <c r="M27" i="70"/>
  <c r="G22" i="56"/>
  <c r="C21" i="56"/>
  <c r="U54" i="102"/>
  <c r="CI52" i="68" s="1"/>
  <c r="CI105" i="68" s="1"/>
  <c r="CI51" i="68"/>
  <c r="CI104" i="68" s="1"/>
  <c r="Q40" i="61"/>
  <c r="AP37" i="68"/>
  <c r="AP90" i="68" s="1"/>
  <c r="U40" i="59"/>
  <c r="BN37" i="69"/>
  <c r="M40" i="60"/>
  <c r="F37" i="68"/>
  <c r="F90" i="68" s="1"/>
  <c r="B90" i="69"/>
  <c r="AS35" i="69"/>
  <c r="Q40" i="36"/>
  <c r="AE37" i="69"/>
  <c r="AE90" i="69" s="1"/>
  <c r="Q40" i="42"/>
  <c r="AX37" i="68"/>
  <c r="AX90" i="68" s="1"/>
  <c r="BV87" i="69"/>
  <c r="U41" i="43"/>
  <c r="CJ38" i="68"/>
  <c r="CJ91" i="68" s="1"/>
  <c r="Q29" i="70"/>
  <c r="J29" i="70"/>
  <c r="U41" i="65"/>
  <c r="CD38" i="68"/>
  <c r="CD91" i="68" s="1"/>
  <c r="Q42" i="65"/>
  <c r="AU39" i="68"/>
  <c r="AU92" i="68" s="1"/>
  <c r="U40" i="4"/>
  <c r="AW37" i="69"/>
  <c r="Y39" i="23"/>
  <c r="Q54" i="98"/>
  <c r="AH52" i="69" s="1"/>
  <c r="AH105" i="69" s="1"/>
  <c r="AH51" i="69"/>
  <c r="AH104" i="69" s="1"/>
  <c r="U41" i="62"/>
  <c r="CB38" i="68"/>
  <c r="CB91" i="68" s="1"/>
  <c r="J110" i="56"/>
  <c r="J80" i="56"/>
  <c r="E26" i="92"/>
  <c r="AM89" i="68"/>
  <c r="H110" i="56"/>
  <c r="H80" i="56"/>
  <c r="M54" i="96"/>
  <c r="J52" i="69" s="1"/>
  <c r="J105" i="69" s="1"/>
  <c r="J51" i="69"/>
  <c r="J104" i="69" s="1"/>
  <c r="AO89" i="69"/>
  <c r="J23" i="56"/>
  <c r="U39" i="61"/>
  <c r="BY36" i="68"/>
  <c r="BY89" i="68" s="1"/>
  <c r="Q41" i="59"/>
  <c r="AQ38" i="69"/>
  <c r="CZ135" i="68"/>
  <c r="DB86" i="68"/>
  <c r="DB135" i="68" s="1"/>
  <c r="Q42" i="62"/>
  <c r="AS39" i="68"/>
  <c r="AS92" i="68" s="1"/>
  <c r="BK35" i="68"/>
  <c r="BQ35" i="68" s="1"/>
  <c r="M40" i="43"/>
  <c r="R37" i="68"/>
  <c r="R90" i="68" s="1"/>
  <c r="M41" i="1"/>
  <c r="B38" i="69"/>
  <c r="CT35" i="68"/>
  <c r="B22" i="56"/>
  <c r="Q53" i="58"/>
  <c r="AD50" i="69"/>
  <c r="AD103" i="69" s="1"/>
  <c r="U53" i="58"/>
  <c r="BA50" i="69"/>
  <c r="BA103" i="69" s="1"/>
  <c r="BU135" i="69"/>
  <c r="BW85" i="69"/>
  <c r="BW135" i="69" s="1"/>
  <c r="R36" i="69"/>
  <c r="BL88" i="69"/>
  <c r="B28" i="70" s="1"/>
  <c r="BT88" i="69"/>
  <c r="BV88" i="69" s="1"/>
  <c r="BF51" i="69"/>
  <c r="BF104" i="69" s="1"/>
  <c r="U54" i="97"/>
  <c r="BF52" i="69" s="1"/>
  <c r="BF105" i="69" s="1"/>
  <c r="M40" i="40"/>
  <c r="D37" i="68"/>
  <c r="D90" i="68" s="1"/>
  <c r="Z90" i="69"/>
  <c r="Q40" i="40"/>
  <c r="AM37" i="68"/>
  <c r="E21" i="56"/>
  <c r="Q40" i="64"/>
  <c r="AT37" i="68"/>
  <c r="AT90" i="68" s="1"/>
  <c r="M40" i="66"/>
  <c r="M37" i="68"/>
  <c r="M90" i="68" s="1"/>
  <c r="U41" i="38"/>
  <c r="BT38" i="68"/>
  <c r="BT91" i="68" s="1"/>
  <c r="M39" i="67"/>
  <c r="N36" i="68"/>
  <c r="N89" i="68" s="1"/>
  <c r="B89" i="68"/>
  <c r="BU86" i="69"/>
  <c r="BP136" i="69"/>
  <c r="T28" i="70"/>
  <c r="D27" i="92"/>
  <c r="C27" i="92"/>
  <c r="CZ34" i="68"/>
  <c r="Q40" i="60"/>
  <c r="AO37" i="68"/>
  <c r="AO90" i="68" s="1"/>
  <c r="U40" i="60"/>
  <c r="BX37" i="68"/>
  <c r="BX90" i="68" s="1"/>
  <c r="M54" i="86"/>
  <c r="W52" i="68" s="1"/>
  <c r="W105" i="68" s="1"/>
  <c r="W51" i="68"/>
  <c r="W104" i="68" s="1"/>
  <c r="AB35" i="68"/>
  <c r="AH35" i="68" s="1"/>
  <c r="BK88" i="68"/>
  <c r="BQ88" i="68" s="1"/>
  <c r="U41" i="67"/>
  <c r="CF38" i="68"/>
  <c r="CF91" i="68" s="1"/>
  <c r="M109" i="56"/>
  <c r="M79" i="56"/>
  <c r="E79" i="56"/>
  <c r="E109" i="56"/>
  <c r="BE52" i="68"/>
  <c r="BE105" i="68" s="1"/>
  <c r="BG52" i="68"/>
  <c r="BG105" i="68" s="1"/>
  <c r="AW38" i="68"/>
  <c r="AW91" i="68" s="1"/>
  <c r="Q41" i="67"/>
  <c r="M54" i="97"/>
  <c r="L52" i="69" s="1"/>
  <c r="L105" i="69" s="1"/>
  <c r="L51" i="69"/>
  <c r="L104" i="69" s="1"/>
  <c r="U40" i="36"/>
  <c r="BB37" i="69"/>
  <c r="BB90" i="69" s="1"/>
  <c r="M40" i="39"/>
  <c r="C37" i="68"/>
  <c r="C90" i="68" s="1"/>
  <c r="Q40" i="43"/>
  <c r="BA37" i="68"/>
  <c r="BA90" i="68" s="1"/>
  <c r="Q40" i="7"/>
  <c r="AB37" i="69"/>
  <c r="AB90" i="69" s="1"/>
  <c r="R89" i="69"/>
  <c r="Q54" i="86"/>
  <c r="BF52" i="68" s="1"/>
  <c r="BF105" i="68" s="1"/>
  <c r="BF51" i="68"/>
  <c r="BF104" i="68" s="1"/>
  <c r="U40" i="41"/>
  <c r="BW37" i="68"/>
  <c r="BW90" i="68" s="1"/>
  <c r="Q41" i="4"/>
  <c r="Z38" i="69"/>
  <c r="M54" i="100"/>
  <c r="H52" i="68" s="1"/>
  <c r="H105" i="68" s="1"/>
  <c r="H51" i="68"/>
  <c r="H104" i="68" s="1"/>
  <c r="N21" i="56"/>
  <c r="M54" i="88"/>
  <c r="Y52" i="68" s="1"/>
  <c r="Y105" i="68" s="1"/>
  <c r="Y51" i="68"/>
  <c r="Y104" i="68" s="1"/>
  <c r="Q39" i="44"/>
  <c r="BC36" i="68"/>
  <c r="BC89" i="68" s="1"/>
  <c r="M40" i="35"/>
  <c r="F37" i="69"/>
  <c r="F90" i="69" s="1"/>
  <c r="M41" i="23"/>
  <c r="D38" i="69"/>
  <c r="D91" i="69" s="1"/>
  <c r="W40" i="23"/>
  <c r="M40" i="38"/>
  <c r="B37" i="68"/>
  <c r="DA89" i="68"/>
  <c r="U40" i="40"/>
  <c r="BV37" i="68"/>
  <c r="BV90" i="68" s="1"/>
  <c r="D21" i="56"/>
  <c r="M41" i="42"/>
  <c r="O38" i="68"/>
  <c r="O91" i="68" s="1"/>
  <c r="AB88" i="68"/>
  <c r="AH88" i="68" s="1"/>
  <c r="CA51" i="68"/>
  <c r="CA104" i="68" s="1"/>
  <c r="U54" i="99"/>
  <c r="CA52" i="68" s="1"/>
  <c r="CA105" i="68" s="1"/>
  <c r="BN89" i="69"/>
  <c r="BO89" i="69" s="1"/>
  <c r="BO36" i="69"/>
  <c r="M54" i="102"/>
  <c r="Q52" i="68" s="1"/>
  <c r="Q105" i="68" s="1"/>
  <c r="Q51" i="68"/>
  <c r="Q104" i="68" s="1"/>
  <c r="Q41" i="66"/>
  <c r="AV38" i="68"/>
  <c r="AV91" i="68" s="1"/>
  <c r="J29" i="92"/>
  <c r="AW89" i="69"/>
  <c r="BL36" i="69"/>
  <c r="B29" i="92" s="1"/>
  <c r="V88" i="69"/>
  <c r="H27" i="92"/>
  <c r="N27" i="92" s="1"/>
  <c r="M54" i="101"/>
  <c r="S52" i="68" s="1"/>
  <c r="S105" i="68" s="1"/>
  <c r="S51" i="68"/>
  <c r="S104" i="68" s="1"/>
  <c r="M40" i="44"/>
  <c r="T37" i="68"/>
  <c r="T90" i="68" s="1"/>
  <c r="BB51" i="68"/>
  <c r="BB104" i="68" s="1"/>
  <c r="Q54" i="101"/>
  <c r="BB52" i="68" s="1"/>
  <c r="BB105" i="68" s="1"/>
  <c r="U39" i="66"/>
  <c r="CE36" i="68"/>
  <c r="CE89" i="68" s="1"/>
  <c r="N79" i="56"/>
  <c r="N109" i="56"/>
  <c r="BP35" i="69"/>
  <c r="M40" i="7"/>
  <c r="E37" i="69"/>
  <c r="E90" i="69" s="1"/>
  <c r="Q41" i="39" l="1"/>
  <c r="AL38" i="68"/>
  <c r="AL91" i="68" s="1"/>
  <c r="M54" i="58"/>
  <c r="G52" i="69" s="1"/>
  <c r="G105" i="69" s="1"/>
  <c r="G51" i="69"/>
  <c r="G104" i="69" s="1"/>
  <c r="CL37" i="68"/>
  <c r="CL90" i="68" s="1"/>
  <c r="U40" i="44"/>
  <c r="AV38" i="69"/>
  <c r="AV91" i="69" s="1"/>
  <c r="U41" i="1"/>
  <c r="M41" i="62"/>
  <c r="J38" i="68"/>
  <c r="J91" i="68" s="1"/>
  <c r="M41" i="4"/>
  <c r="C38" i="69"/>
  <c r="C91" i="69" s="1"/>
  <c r="Q42" i="38"/>
  <c r="AK39" i="68"/>
  <c r="AK92" i="68" s="1"/>
  <c r="I37" i="69"/>
  <c r="I90" i="69" s="1"/>
  <c r="M40" i="37"/>
  <c r="AX38" i="69"/>
  <c r="AX91" i="69" s="1"/>
  <c r="U41" i="23"/>
  <c r="CP52" i="68"/>
  <c r="CP105" i="68" s="1"/>
  <c r="CN52" i="68"/>
  <c r="CN105" i="68" s="1"/>
  <c r="R29" i="70"/>
  <c r="K29" i="70"/>
  <c r="K24" i="56" s="1"/>
  <c r="U41" i="63"/>
  <c r="CX38" i="68"/>
  <c r="Q41" i="23"/>
  <c r="AA38" i="69"/>
  <c r="AA91" i="69" s="1"/>
  <c r="U41" i="35"/>
  <c r="AZ38" i="69"/>
  <c r="AZ91" i="69" s="1"/>
  <c r="M41" i="61"/>
  <c r="G38" i="68"/>
  <c r="G91" i="68" s="1"/>
  <c r="K82" i="56"/>
  <c r="K112" i="56"/>
  <c r="U40" i="42"/>
  <c r="CG37" i="68"/>
  <c r="CG90" i="68" s="1"/>
  <c r="T90" i="69"/>
  <c r="U90" i="69" s="1"/>
  <c r="U37" i="69"/>
  <c r="K30" i="92" s="1"/>
  <c r="K37" i="68"/>
  <c r="K90" i="68" s="1"/>
  <c r="M40" i="64"/>
  <c r="Y39" i="69"/>
  <c r="Y92" i="69" s="1"/>
  <c r="Q42" i="1"/>
  <c r="M40" i="65"/>
  <c r="L37" i="68"/>
  <c r="L90" i="68" s="1"/>
  <c r="M40" i="36"/>
  <c r="H37" i="69"/>
  <c r="H90" i="69" s="1"/>
  <c r="R90" i="69" s="1"/>
  <c r="H79" i="56"/>
  <c r="H109" i="56"/>
  <c r="M40" i="41"/>
  <c r="E37" i="68"/>
  <c r="E90" i="68" s="1"/>
  <c r="BC37" i="69"/>
  <c r="BC90" i="69" s="1"/>
  <c r="U40" i="37"/>
  <c r="CY37" i="68"/>
  <c r="CX90" i="68"/>
  <c r="CY90" i="68" s="1"/>
  <c r="AC41" i="69"/>
  <c r="AC94" i="69" s="1"/>
  <c r="Q44" i="35"/>
  <c r="Q41" i="41"/>
  <c r="AN38" i="68"/>
  <c r="AN91" i="68" s="1"/>
  <c r="U41" i="7"/>
  <c r="AY38" i="69"/>
  <c r="AY91" i="69" s="1"/>
  <c r="M41" i="59"/>
  <c r="T38" i="69"/>
  <c r="U40" i="64"/>
  <c r="CC37" i="68"/>
  <c r="CC90" i="68" s="1"/>
  <c r="BW87" i="69"/>
  <c r="AB89" i="68"/>
  <c r="AH89" i="68" s="1"/>
  <c r="AB36" i="68"/>
  <c r="AH36" i="68" s="1"/>
  <c r="CT89" i="68"/>
  <c r="CZ89" i="68" s="1"/>
  <c r="DB89" i="68" s="1"/>
  <c r="H22" i="56"/>
  <c r="H81" i="56" s="1"/>
  <c r="DA90" i="68"/>
  <c r="E27" i="70"/>
  <c r="E22" i="56" s="1"/>
  <c r="E27" i="92"/>
  <c r="H28" i="70"/>
  <c r="N28" i="70" s="1"/>
  <c r="BP36" i="69"/>
  <c r="B90" i="68"/>
  <c r="M42" i="23"/>
  <c r="D39" i="69"/>
  <c r="D92" i="69" s="1"/>
  <c r="M41" i="35"/>
  <c r="F38" i="69"/>
  <c r="F91" i="69" s="1"/>
  <c r="Q42" i="4"/>
  <c r="Z39" i="69"/>
  <c r="U41" i="60"/>
  <c r="BX38" i="68"/>
  <c r="BX91" i="68" s="1"/>
  <c r="Q41" i="40"/>
  <c r="AM38" i="68"/>
  <c r="AO90" i="69"/>
  <c r="AS90" i="69" s="1"/>
  <c r="E28" i="70"/>
  <c r="B23" i="56"/>
  <c r="B111" i="56"/>
  <c r="B81" i="56"/>
  <c r="BP88" i="69"/>
  <c r="BU88" i="69" s="1"/>
  <c r="BW88" i="69" s="1"/>
  <c r="AS89" i="69"/>
  <c r="U42" i="43"/>
  <c r="CJ39" i="68"/>
  <c r="CJ92" i="68" s="1"/>
  <c r="U41" i="59"/>
  <c r="BN38" i="69"/>
  <c r="C22" i="56"/>
  <c r="M41" i="38"/>
  <c r="B38" i="68"/>
  <c r="N80" i="56"/>
  <c r="N110" i="56"/>
  <c r="Q41" i="7"/>
  <c r="AB38" i="69"/>
  <c r="AB91" i="69" s="1"/>
  <c r="M41" i="39"/>
  <c r="C38" i="68"/>
  <c r="C91" i="68" s="1"/>
  <c r="U42" i="38"/>
  <c r="BT39" i="68"/>
  <c r="BT92" i="68" s="1"/>
  <c r="AT38" i="68"/>
  <c r="AT91" i="68" s="1"/>
  <c r="Q41" i="64"/>
  <c r="E110" i="56"/>
  <c r="E80" i="56"/>
  <c r="AD51" i="69"/>
  <c r="AD104" i="69" s="1"/>
  <c r="Q54" i="58"/>
  <c r="AD52" i="69" s="1"/>
  <c r="AD105" i="69" s="1"/>
  <c r="B91" i="69"/>
  <c r="Q43" i="62"/>
  <c r="AS40" i="68"/>
  <c r="AS93" i="68" s="1"/>
  <c r="U40" i="61"/>
  <c r="BY37" i="68"/>
  <c r="BY90" i="68" s="1"/>
  <c r="G28" i="70"/>
  <c r="Q43" i="65"/>
  <c r="AU40" i="68"/>
  <c r="AU93" i="68" s="1"/>
  <c r="J24" i="56"/>
  <c r="Q41" i="36"/>
  <c r="AE38" i="69"/>
  <c r="AE91" i="69" s="1"/>
  <c r="C80" i="56"/>
  <c r="AJ21" i="56"/>
  <c r="C110" i="56"/>
  <c r="M22" i="56"/>
  <c r="D22" i="56"/>
  <c r="M21" i="56"/>
  <c r="M41" i="7"/>
  <c r="E38" i="69"/>
  <c r="E91" i="69" s="1"/>
  <c r="U40" i="66"/>
  <c r="CE37" i="68"/>
  <c r="CE90" i="68" s="1"/>
  <c r="M41" i="44"/>
  <c r="T38" i="68"/>
  <c r="T91" i="68" s="1"/>
  <c r="M42" i="42"/>
  <c r="O39" i="68"/>
  <c r="O92" i="68" s="1"/>
  <c r="U41" i="40"/>
  <c r="BV38" i="68"/>
  <c r="BV91" i="68" s="1"/>
  <c r="Q40" i="44"/>
  <c r="BC37" i="68"/>
  <c r="BC90" i="68" s="1"/>
  <c r="U41" i="41"/>
  <c r="BW38" i="68"/>
  <c r="BW91" i="68" s="1"/>
  <c r="Q42" i="67"/>
  <c r="AW39" i="68"/>
  <c r="AW92" i="68" s="1"/>
  <c r="U42" i="67"/>
  <c r="CF39" i="68"/>
  <c r="CF92" i="68" s="1"/>
  <c r="M41" i="40"/>
  <c r="D38" i="68"/>
  <c r="D91" i="68" s="1"/>
  <c r="M42" i="1"/>
  <c r="B39" i="69"/>
  <c r="M41" i="43"/>
  <c r="R38" i="68"/>
  <c r="R91" i="68" s="1"/>
  <c r="AQ91" i="69"/>
  <c r="AR91" i="69" s="1"/>
  <c r="AR38" i="69"/>
  <c r="J112" i="56"/>
  <c r="J82" i="56"/>
  <c r="BK36" i="68"/>
  <c r="BQ36" i="68" s="1"/>
  <c r="H28" i="92"/>
  <c r="N28" i="92" s="1"/>
  <c r="U42" i="62"/>
  <c r="CB39" i="68"/>
  <c r="CB92" i="68" s="1"/>
  <c r="AW90" i="69"/>
  <c r="BL37" i="69"/>
  <c r="B30" i="92" s="1"/>
  <c r="T29" i="70"/>
  <c r="M41" i="60"/>
  <c r="F38" i="68"/>
  <c r="F91" i="68" s="1"/>
  <c r="Q41" i="61"/>
  <c r="AP38" i="68"/>
  <c r="AP91" i="68" s="1"/>
  <c r="G28" i="92"/>
  <c r="M28" i="92" s="1"/>
  <c r="J30" i="92"/>
  <c r="Q41" i="37"/>
  <c r="AF38" i="69"/>
  <c r="AF91" i="69" s="1"/>
  <c r="U41" i="39"/>
  <c r="BU38" i="68"/>
  <c r="CT36" i="68"/>
  <c r="D23" i="56"/>
  <c r="BL89" i="69"/>
  <c r="B29" i="70" s="1"/>
  <c r="BT89" i="69"/>
  <c r="BV89" i="69" s="1"/>
  <c r="Q42" i="66"/>
  <c r="AV39" i="68"/>
  <c r="AV92" i="68" s="1"/>
  <c r="D80" i="56"/>
  <c r="D110" i="56"/>
  <c r="N22" i="56"/>
  <c r="Z91" i="69"/>
  <c r="H29" i="70"/>
  <c r="V89" i="69"/>
  <c r="BA38" i="68"/>
  <c r="BA91" i="68" s="1"/>
  <c r="Q41" i="43"/>
  <c r="U41" i="36"/>
  <c r="BB38" i="69"/>
  <c r="BB91" i="69" s="1"/>
  <c r="Q41" i="60"/>
  <c r="AO38" i="68"/>
  <c r="AO91" i="68" s="1"/>
  <c r="BU136" i="69"/>
  <c r="BW86" i="69"/>
  <c r="BW136" i="69" s="1"/>
  <c r="M40" i="67"/>
  <c r="N37" i="68"/>
  <c r="N90" i="68" s="1"/>
  <c r="M41" i="66"/>
  <c r="M38" i="68"/>
  <c r="M91" i="68" s="1"/>
  <c r="AM90" i="68"/>
  <c r="BK90" i="68" s="1"/>
  <c r="BQ90" i="68" s="1"/>
  <c r="BK37" i="68"/>
  <c r="BQ37" i="68" s="1"/>
  <c r="AO37" i="69"/>
  <c r="H29" i="92"/>
  <c r="N29" i="92" s="1"/>
  <c r="V36" i="69"/>
  <c r="U54" i="58"/>
  <c r="BA52" i="69" s="1"/>
  <c r="BA105" i="69" s="1"/>
  <c r="BA51" i="69"/>
  <c r="BA104" i="69" s="1"/>
  <c r="D28" i="92"/>
  <c r="C28" i="92"/>
  <c r="CZ35" i="68"/>
  <c r="Q42" i="59"/>
  <c r="AQ39" i="69"/>
  <c r="BK89" i="68"/>
  <c r="BQ89" i="68" s="1"/>
  <c r="U41" i="4"/>
  <c r="AW38" i="69"/>
  <c r="Y40" i="23"/>
  <c r="CD39" i="68"/>
  <c r="CD92" i="68" s="1"/>
  <c r="U42" i="65"/>
  <c r="Q41" i="42"/>
  <c r="AX38" i="68"/>
  <c r="AX91" i="68" s="1"/>
  <c r="BN90" i="69"/>
  <c r="BO90" i="69" s="1"/>
  <c r="BO37" i="69"/>
  <c r="G81" i="56"/>
  <c r="G111" i="56"/>
  <c r="Q30" i="70"/>
  <c r="J30" i="70"/>
  <c r="G80" i="56"/>
  <c r="G110" i="56"/>
  <c r="C23" i="56"/>
  <c r="CX91" i="68" l="1"/>
  <c r="CY91" i="68" s="1"/>
  <c r="CY38" i="68"/>
  <c r="M41" i="37"/>
  <c r="I38" i="69"/>
  <c r="I91" i="69" s="1"/>
  <c r="AV39" i="69"/>
  <c r="AV92" i="69" s="1"/>
  <c r="U42" i="1"/>
  <c r="M42" i="59"/>
  <c r="T39" i="69"/>
  <c r="AN39" i="68"/>
  <c r="AN92" i="68" s="1"/>
  <c r="Q42" i="41"/>
  <c r="M41" i="41"/>
  <c r="E38" i="68"/>
  <c r="E91" i="68" s="1"/>
  <c r="H38" i="69"/>
  <c r="H91" i="69" s="1"/>
  <c r="M41" i="36"/>
  <c r="R30" i="70"/>
  <c r="K30" i="70"/>
  <c r="K25" i="56" s="1"/>
  <c r="U42" i="35"/>
  <c r="AZ39" i="69"/>
  <c r="AZ92" i="69" s="1"/>
  <c r="U42" i="63"/>
  <c r="CX39" i="68"/>
  <c r="M42" i="4"/>
  <c r="C39" i="69"/>
  <c r="C92" i="69" s="1"/>
  <c r="Q45" i="35"/>
  <c r="AC42" i="69"/>
  <c r="AC95" i="69" s="1"/>
  <c r="BC38" i="69"/>
  <c r="BC91" i="69" s="1"/>
  <c r="U41" i="37"/>
  <c r="K38" i="68"/>
  <c r="K91" i="68" s="1"/>
  <c r="M41" i="64"/>
  <c r="K83" i="56"/>
  <c r="K113" i="56"/>
  <c r="U42" i="23"/>
  <c r="AX39" i="69"/>
  <c r="AX92" i="69" s="1"/>
  <c r="U41" i="44"/>
  <c r="CL38" i="68"/>
  <c r="CL91" i="68" s="1"/>
  <c r="U38" i="69"/>
  <c r="K31" i="92" s="1"/>
  <c r="T91" i="69"/>
  <c r="U91" i="69" s="1"/>
  <c r="Q43" i="1"/>
  <c r="Y40" i="69"/>
  <c r="Y93" i="69" s="1"/>
  <c r="R37" i="69"/>
  <c r="CC38" i="68"/>
  <c r="CC91" i="68" s="1"/>
  <c r="U41" i="64"/>
  <c r="U42" i="7"/>
  <c r="AY39" i="69"/>
  <c r="AY92" i="69" s="1"/>
  <c r="M41" i="65"/>
  <c r="L38" i="68"/>
  <c r="L91" i="68" s="1"/>
  <c r="U41" i="42"/>
  <c r="CG38" i="68"/>
  <c r="CG91" i="68" s="1"/>
  <c r="G39" i="68"/>
  <c r="G92" i="68" s="1"/>
  <c r="M42" i="61"/>
  <c r="Q42" i="23"/>
  <c r="AA39" i="69"/>
  <c r="AA92" i="69" s="1"/>
  <c r="U29" i="70"/>
  <c r="Q43" i="38"/>
  <c r="AK40" i="68"/>
  <c r="AK93" i="68" s="1"/>
  <c r="M42" i="62"/>
  <c r="J39" i="68"/>
  <c r="J92" i="68" s="1"/>
  <c r="Q42" i="39"/>
  <c r="AL39" i="68"/>
  <c r="AL92" i="68" s="1"/>
  <c r="AO38" i="69"/>
  <c r="AO91" i="69"/>
  <c r="AS91" i="69" s="1"/>
  <c r="D29" i="70"/>
  <c r="D24" i="56" s="1"/>
  <c r="C29" i="70"/>
  <c r="H111" i="56"/>
  <c r="E28" i="92"/>
  <c r="H23" i="56"/>
  <c r="H112" i="56" s="1"/>
  <c r="G29" i="92"/>
  <c r="M29" i="92" s="1"/>
  <c r="G30" i="92"/>
  <c r="M30" i="92" s="1"/>
  <c r="BP37" i="69"/>
  <c r="C82" i="56"/>
  <c r="AJ23" i="56"/>
  <c r="C112" i="56"/>
  <c r="CD40" i="68"/>
  <c r="CD93" i="68" s="1"/>
  <c r="U43" i="65"/>
  <c r="U42" i="4"/>
  <c r="AW39" i="69"/>
  <c r="Q43" i="59"/>
  <c r="AQ40" i="69"/>
  <c r="M41" i="67"/>
  <c r="N38" i="68"/>
  <c r="N91" i="68" s="1"/>
  <c r="Q42" i="60"/>
  <c r="AO39" i="68"/>
  <c r="AO92" i="68" s="1"/>
  <c r="N29" i="70"/>
  <c r="H24" i="56"/>
  <c r="Q43" i="66"/>
  <c r="AV40" i="68"/>
  <c r="AV93" i="68" s="1"/>
  <c r="BL90" i="69"/>
  <c r="B30" i="70" s="1"/>
  <c r="BT90" i="69"/>
  <c r="BV90" i="69" s="1"/>
  <c r="Q31" i="70"/>
  <c r="J31" i="70"/>
  <c r="M43" i="1"/>
  <c r="B40" i="69"/>
  <c r="Q43" i="67"/>
  <c r="AW40" i="68"/>
  <c r="AW93" i="68" s="1"/>
  <c r="Q41" i="44"/>
  <c r="BC38" i="68"/>
  <c r="BC91" i="68" s="1"/>
  <c r="D81" i="56"/>
  <c r="D111" i="56"/>
  <c r="Q42" i="36"/>
  <c r="AE39" i="69"/>
  <c r="AE92" i="69" s="1"/>
  <c r="Q44" i="65"/>
  <c r="AU41" i="68"/>
  <c r="AU94" i="68" s="1"/>
  <c r="B91" i="68"/>
  <c r="BP89" i="69"/>
  <c r="BU89" i="69" s="1"/>
  <c r="BW89" i="69" s="1"/>
  <c r="BN91" i="69"/>
  <c r="BO91" i="69" s="1"/>
  <c r="BO38" i="69"/>
  <c r="CJ40" i="68"/>
  <c r="CJ93" i="68" s="1"/>
  <c r="U43" i="43"/>
  <c r="B112" i="56"/>
  <c r="B82" i="56"/>
  <c r="AM91" i="68"/>
  <c r="BK91" i="68" s="1"/>
  <c r="BQ91" i="68" s="1"/>
  <c r="BK38" i="68"/>
  <c r="BQ38" i="68" s="1"/>
  <c r="U42" i="60"/>
  <c r="BX39" i="68"/>
  <c r="BX92" i="68" s="1"/>
  <c r="Q43" i="4"/>
  <c r="Z40" i="69"/>
  <c r="M42" i="35"/>
  <c r="F39" i="69"/>
  <c r="F92" i="69" s="1"/>
  <c r="AB90" i="68"/>
  <c r="AH90" i="68" s="1"/>
  <c r="BA39" i="68"/>
  <c r="BA92" i="68" s="1"/>
  <c r="Q42" i="43"/>
  <c r="N81" i="56"/>
  <c r="N111" i="56"/>
  <c r="D29" i="92"/>
  <c r="C29" i="92"/>
  <c r="CZ36" i="68"/>
  <c r="Q42" i="37"/>
  <c r="AF39" i="69"/>
  <c r="AF92" i="69" s="1"/>
  <c r="AP39" i="68"/>
  <c r="AP92" i="68" s="1"/>
  <c r="Q42" i="61"/>
  <c r="E81" i="56"/>
  <c r="E111" i="56"/>
  <c r="M42" i="40"/>
  <c r="D39" i="68"/>
  <c r="D92" i="68" s="1"/>
  <c r="M43" i="42"/>
  <c r="O40" i="68"/>
  <c r="O93" i="68" s="1"/>
  <c r="M42" i="44"/>
  <c r="T39" i="68"/>
  <c r="T92" i="68" s="1"/>
  <c r="M42" i="7"/>
  <c r="E39" i="69"/>
  <c r="E92" i="69" s="1"/>
  <c r="J83" i="56"/>
  <c r="J113" i="56"/>
  <c r="M28" i="70"/>
  <c r="G23" i="56"/>
  <c r="R91" i="69"/>
  <c r="CT37" i="68"/>
  <c r="Q42" i="7"/>
  <c r="AB39" i="69"/>
  <c r="AB92" i="69" s="1"/>
  <c r="M42" i="38"/>
  <c r="B39" i="68"/>
  <c r="BN39" i="69"/>
  <c r="U42" i="59"/>
  <c r="Q42" i="40"/>
  <c r="AM39" i="68"/>
  <c r="T30" i="70"/>
  <c r="M42" i="66"/>
  <c r="M39" i="68"/>
  <c r="M92" i="68" s="1"/>
  <c r="U42" i="36"/>
  <c r="BB39" i="69"/>
  <c r="BB92" i="69" s="1"/>
  <c r="B24" i="56"/>
  <c r="BU91" i="68"/>
  <c r="AS37" i="69"/>
  <c r="CB40" i="68"/>
  <c r="CB93" i="68" s="1"/>
  <c r="U43" i="62"/>
  <c r="M42" i="43"/>
  <c r="R39" i="68"/>
  <c r="R92" i="68" s="1"/>
  <c r="U42" i="41"/>
  <c r="BW39" i="68"/>
  <c r="BW92" i="68" s="1"/>
  <c r="M110" i="56"/>
  <c r="M80" i="56"/>
  <c r="M81" i="56"/>
  <c r="M111" i="56"/>
  <c r="CT90" i="68"/>
  <c r="U43" i="38"/>
  <c r="BT40" i="68"/>
  <c r="BT93" i="68" s="1"/>
  <c r="C111" i="56"/>
  <c r="AJ22" i="56"/>
  <c r="C81" i="56"/>
  <c r="V90" i="69"/>
  <c r="E23" i="56"/>
  <c r="M43" i="23"/>
  <c r="D40" i="69"/>
  <c r="D93" i="69" s="1"/>
  <c r="V37" i="69"/>
  <c r="J25" i="56"/>
  <c r="Q42" i="42"/>
  <c r="AX39" i="68"/>
  <c r="AX92" i="68" s="1"/>
  <c r="AW91" i="69"/>
  <c r="BL38" i="69"/>
  <c r="B31" i="92" s="1"/>
  <c r="AQ92" i="69"/>
  <c r="AR92" i="69" s="1"/>
  <c r="AR39" i="69"/>
  <c r="D112" i="56"/>
  <c r="D82" i="56"/>
  <c r="U42" i="39"/>
  <c r="BU39" i="68"/>
  <c r="M42" i="60"/>
  <c r="F39" i="68"/>
  <c r="F92" i="68" s="1"/>
  <c r="J31" i="92"/>
  <c r="AS38" i="69"/>
  <c r="B92" i="69"/>
  <c r="CF40" i="68"/>
  <c r="CF93" i="68" s="1"/>
  <c r="U43" i="67"/>
  <c r="U42" i="40"/>
  <c r="BV39" i="68"/>
  <c r="BV92" i="68" s="1"/>
  <c r="U41" i="66"/>
  <c r="CE38" i="68"/>
  <c r="CE91" i="68" s="1"/>
  <c r="U41" i="61"/>
  <c r="BY38" i="68"/>
  <c r="BY91" i="68" s="1"/>
  <c r="Q44" i="62"/>
  <c r="AS41" i="68"/>
  <c r="AS94" i="68" s="1"/>
  <c r="Q42" i="64"/>
  <c r="AT39" i="68"/>
  <c r="AT92" i="68" s="1"/>
  <c r="M42" i="39"/>
  <c r="C39" i="68"/>
  <c r="C92" i="68" s="1"/>
  <c r="N23" i="56"/>
  <c r="G29" i="70"/>
  <c r="G30" i="70"/>
  <c r="Z92" i="69"/>
  <c r="AB37" i="68"/>
  <c r="AH37" i="68" s="1"/>
  <c r="M43" i="62" l="1"/>
  <c r="J40" i="68"/>
  <c r="J93" i="68" s="1"/>
  <c r="AX40" i="69"/>
  <c r="AX93" i="69" s="1"/>
  <c r="U43" i="23"/>
  <c r="Q46" i="35"/>
  <c r="AC43" i="69"/>
  <c r="AC96" i="69" s="1"/>
  <c r="U43" i="63"/>
  <c r="CX40" i="68"/>
  <c r="U30" i="70"/>
  <c r="M42" i="41"/>
  <c r="E39" i="68"/>
  <c r="E92" i="68" s="1"/>
  <c r="T40" i="69"/>
  <c r="M43" i="59"/>
  <c r="M42" i="37"/>
  <c r="I39" i="69"/>
  <c r="I92" i="69" s="1"/>
  <c r="M42" i="65"/>
  <c r="L39" i="68"/>
  <c r="L92" i="68" s="1"/>
  <c r="R31" i="70"/>
  <c r="K31" i="70"/>
  <c r="K26" i="56" s="1"/>
  <c r="M42" i="64"/>
  <c r="K39" i="68"/>
  <c r="K92" i="68" s="1"/>
  <c r="CX92" i="68"/>
  <c r="CY92" i="68" s="1"/>
  <c r="CY39" i="68"/>
  <c r="R39" i="69"/>
  <c r="R38" i="69"/>
  <c r="Q43" i="23"/>
  <c r="AA40" i="69"/>
  <c r="AA93" i="69" s="1"/>
  <c r="U42" i="42"/>
  <c r="CG39" i="68"/>
  <c r="CG92" i="68" s="1"/>
  <c r="U43" i="7"/>
  <c r="AY40" i="69"/>
  <c r="AY93" i="69" s="1"/>
  <c r="BC39" i="69"/>
  <c r="BC92" i="69" s="1"/>
  <c r="U42" i="37"/>
  <c r="H39" i="69"/>
  <c r="H92" i="69" s="1"/>
  <c r="R92" i="69" s="1"/>
  <c r="V92" i="69" s="1"/>
  <c r="M42" i="36"/>
  <c r="Q43" i="41"/>
  <c r="AN40" i="68"/>
  <c r="AN93" i="68" s="1"/>
  <c r="AV40" i="69"/>
  <c r="AV93" i="69" s="1"/>
  <c r="U43" i="1"/>
  <c r="K84" i="56"/>
  <c r="K114" i="56"/>
  <c r="AB7" i="56"/>
  <c r="T92" i="69"/>
  <c r="U92" i="69" s="1"/>
  <c r="U39" i="69"/>
  <c r="K32" i="92" s="1"/>
  <c r="AO39" i="69"/>
  <c r="AL40" i="68"/>
  <c r="AL93" i="68" s="1"/>
  <c r="Q43" i="39"/>
  <c r="Q44" i="38"/>
  <c r="AK41" i="68"/>
  <c r="AK94" i="68" s="1"/>
  <c r="G40" i="68"/>
  <c r="G93" i="68" s="1"/>
  <c r="M43" i="61"/>
  <c r="CC39" i="68"/>
  <c r="CC92" i="68" s="1"/>
  <c r="U42" i="64"/>
  <c r="Y41" i="69"/>
  <c r="Y94" i="69" s="1"/>
  <c r="Q44" i="1"/>
  <c r="U42" i="44"/>
  <c r="CL39" i="68"/>
  <c r="CL92" i="68" s="1"/>
  <c r="M43" i="4"/>
  <c r="C40" i="69"/>
  <c r="C93" i="69" s="1"/>
  <c r="AZ40" i="69"/>
  <c r="AZ93" i="69" s="1"/>
  <c r="U43" i="35"/>
  <c r="H82" i="56"/>
  <c r="E29" i="70"/>
  <c r="E24" i="56" s="1"/>
  <c r="C24" i="56"/>
  <c r="C83" i="56" s="1"/>
  <c r="AO92" i="69"/>
  <c r="G31" i="92"/>
  <c r="M31" i="92" s="1"/>
  <c r="H30" i="70"/>
  <c r="N30" i="70" s="1"/>
  <c r="E29" i="92"/>
  <c r="Q32" i="70"/>
  <c r="J32" i="70"/>
  <c r="AS92" i="69"/>
  <c r="M43" i="39"/>
  <c r="C40" i="68"/>
  <c r="C93" i="68" s="1"/>
  <c r="Q45" i="62"/>
  <c r="AS42" i="68"/>
  <c r="AS95" i="68" s="1"/>
  <c r="U42" i="66"/>
  <c r="CE39" i="68"/>
  <c r="CE92" i="68" s="1"/>
  <c r="M43" i="43"/>
  <c r="R40" i="68"/>
  <c r="R93" i="68" s="1"/>
  <c r="B83" i="56"/>
  <c r="B113" i="56"/>
  <c r="BN92" i="69"/>
  <c r="BO92" i="69" s="1"/>
  <c r="BO39" i="69"/>
  <c r="M43" i="38"/>
  <c r="B40" i="68"/>
  <c r="M23" i="56"/>
  <c r="M43" i="7"/>
  <c r="E40" i="69"/>
  <c r="E93" i="69" s="1"/>
  <c r="M43" i="35"/>
  <c r="F40" i="69"/>
  <c r="F93" i="69" s="1"/>
  <c r="U43" i="60"/>
  <c r="BX40" i="68"/>
  <c r="BX93" i="68" s="1"/>
  <c r="AB38" i="68"/>
  <c r="AH38" i="68" s="1"/>
  <c r="Q45" i="65"/>
  <c r="AU42" i="68"/>
  <c r="AU95" i="68" s="1"/>
  <c r="Q44" i="67"/>
  <c r="AW41" i="68"/>
  <c r="AW94" i="68" s="1"/>
  <c r="J26" i="56"/>
  <c r="AW92" i="69"/>
  <c r="BL39" i="69"/>
  <c r="B32" i="92" s="1"/>
  <c r="BP90" i="69"/>
  <c r="BU90" i="69" s="1"/>
  <c r="M29" i="70"/>
  <c r="G24" i="56"/>
  <c r="Q43" i="64"/>
  <c r="AT40" i="68"/>
  <c r="AT93" i="68" s="1"/>
  <c r="M30" i="70"/>
  <c r="G25" i="56"/>
  <c r="N82" i="56"/>
  <c r="N112" i="56"/>
  <c r="U43" i="40"/>
  <c r="BV40" i="68"/>
  <c r="BV93" i="68" s="1"/>
  <c r="BU92" i="68"/>
  <c r="Q43" i="42"/>
  <c r="AX40" i="68"/>
  <c r="AX93" i="68" s="1"/>
  <c r="H30" i="92"/>
  <c r="N30" i="92" s="1"/>
  <c r="M44" i="23"/>
  <c r="D41" i="69"/>
  <c r="D94" i="69" s="1"/>
  <c r="CB41" i="68"/>
  <c r="CB94" i="68" s="1"/>
  <c r="U44" i="62"/>
  <c r="M43" i="66"/>
  <c r="M40" i="68"/>
  <c r="M93" i="68" s="1"/>
  <c r="AM92" i="68"/>
  <c r="C30" i="92"/>
  <c r="D30" i="92"/>
  <c r="CZ37" i="68"/>
  <c r="Z93" i="69"/>
  <c r="U44" i="43"/>
  <c r="CJ41" i="68"/>
  <c r="CJ94" i="68" s="1"/>
  <c r="AB91" i="68"/>
  <c r="AH91" i="68" s="1"/>
  <c r="B93" i="69"/>
  <c r="T31" i="70"/>
  <c r="Q44" i="66"/>
  <c r="AV41" i="68"/>
  <c r="AV94" i="68" s="1"/>
  <c r="N24" i="56"/>
  <c r="Q43" i="60"/>
  <c r="AO40" i="68"/>
  <c r="AO93" i="68" s="1"/>
  <c r="U43" i="4"/>
  <c r="AW40" i="69"/>
  <c r="U42" i="61"/>
  <c r="BY39" i="68"/>
  <c r="BY92" i="68" s="1"/>
  <c r="U44" i="67"/>
  <c r="CF41" i="68"/>
  <c r="CF94" i="68" s="1"/>
  <c r="M43" i="60"/>
  <c r="F40" i="68"/>
  <c r="F93" i="68" s="1"/>
  <c r="BU40" i="68"/>
  <c r="BU93" i="68" s="1"/>
  <c r="U43" i="39"/>
  <c r="AS39" i="69"/>
  <c r="J32" i="92"/>
  <c r="AA7" i="56"/>
  <c r="J84" i="56"/>
  <c r="J114" i="56"/>
  <c r="D113" i="56"/>
  <c r="D83" i="56"/>
  <c r="E112" i="56"/>
  <c r="E82" i="56"/>
  <c r="U44" i="38"/>
  <c r="BT41" i="68"/>
  <c r="BT94" i="68" s="1"/>
  <c r="CT38" i="68"/>
  <c r="Q43" i="40"/>
  <c r="AM40" i="68"/>
  <c r="Q43" i="7"/>
  <c r="AB40" i="69"/>
  <c r="AB93" i="69" s="1"/>
  <c r="G82" i="56"/>
  <c r="G112" i="56"/>
  <c r="M43" i="44"/>
  <c r="T40" i="68"/>
  <c r="T93" i="68" s="1"/>
  <c r="M44" i="42"/>
  <c r="O41" i="68"/>
  <c r="O94" i="68" s="1"/>
  <c r="M43" i="40"/>
  <c r="D40" i="68"/>
  <c r="D93" i="68" s="1"/>
  <c r="Q43" i="37"/>
  <c r="AF40" i="69"/>
  <c r="AF93" i="69" s="1"/>
  <c r="Q44" i="4"/>
  <c r="Z41" i="69"/>
  <c r="V38" i="69"/>
  <c r="Q43" i="36"/>
  <c r="AE40" i="69"/>
  <c r="AE93" i="69" s="1"/>
  <c r="Q42" i="44"/>
  <c r="BC39" i="68"/>
  <c r="BC92" i="68" s="1"/>
  <c r="M44" i="1"/>
  <c r="B41" i="69"/>
  <c r="G31" i="70"/>
  <c r="AQ93" i="69"/>
  <c r="AR93" i="69" s="1"/>
  <c r="AR40" i="69"/>
  <c r="U44" i="65"/>
  <c r="CD41" i="68"/>
  <c r="CD94" i="68" s="1"/>
  <c r="BT91" i="69"/>
  <c r="BL91" i="69"/>
  <c r="B31" i="70" s="1"/>
  <c r="C30" i="70"/>
  <c r="D30" i="70"/>
  <c r="CZ90" i="68"/>
  <c r="DB90" i="68" s="1"/>
  <c r="BW40" i="68"/>
  <c r="BW93" i="68" s="1"/>
  <c r="U43" i="41"/>
  <c r="DA91" i="68"/>
  <c r="CT91" i="68"/>
  <c r="U43" i="36"/>
  <c r="BB40" i="69"/>
  <c r="BB93" i="69" s="1"/>
  <c r="U43" i="59"/>
  <c r="BN40" i="69"/>
  <c r="B92" i="68"/>
  <c r="V91" i="69"/>
  <c r="Q43" i="61"/>
  <c r="AP40" i="68"/>
  <c r="AP93" i="68" s="1"/>
  <c r="Q43" i="43"/>
  <c r="BA40" i="68"/>
  <c r="BA93" i="68" s="1"/>
  <c r="BP38" i="69"/>
  <c r="B25" i="56"/>
  <c r="H83" i="56"/>
  <c r="H113" i="56"/>
  <c r="M42" i="67"/>
  <c r="N39" i="68"/>
  <c r="N92" i="68" s="1"/>
  <c r="Q44" i="59"/>
  <c r="AQ41" i="69"/>
  <c r="U43" i="44" l="1"/>
  <c r="CL40" i="68"/>
  <c r="CL93" i="68" s="1"/>
  <c r="AK42" i="68"/>
  <c r="AK95" i="68" s="1"/>
  <c r="Q45" i="38"/>
  <c r="Q44" i="41"/>
  <c r="AN41" i="68"/>
  <c r="AN94" i="68" s="1"/>
  <c r="U43" i="42"/>
  <c r="CG40" i="68"/>
  <c r="CG93" i="68" s="1"/>
  <c r="DA93" i="68" s="1"/>
  <c r="K40" i="68"/>
  <c r="K93" i="68" s="1"/>
  <c r="M43" i="64"/>
  <c r="M43" i="65"/>
  <c r="L40" i="68"/>
  <c r="L93" i="68" s="1"/>
  <c r="U40" i="69"/>
  <c r="K33" i="92" s="1"/>
  <c r="T93" i="69"/>
  <c r="U93" i="69" s="1"/>
  <c r="CX93" i="68"/>
  <c r="CY93" i="68" s="1"/>
  <c r="CY40" i="68"/>
  <c r="U44" i="23"/>
  <c r="AX41" i="69"/>
  <c r="AX94" i="69" s="1"/>
  <c r="Q45" i="1"/>
  <c r="Y42" i="69"/>
  <c r="Y95" i="69" s="1"/>
  <c r="M44" i="61"/>
  <c r="G41" i="68"/>
  <c r="G94" i="68" s="1"/>
  <c r="AL41" i="68"/>
  <c r="AL94" i="68" s="1"/>
  <c r="Q44" i="39"/>
  <c r="K32" i="70"/>
  <c r="K27" i="56" s="1"/>
  <c r="R32" i="70"/>
  <c r="U32" i="70" s="1"/>
  <c r="AV41" i="69"/>
  <c r="AV94" i="69" s="1"/>
  <c r="U44" i="1"/>
  <c r="H40" i="69"/>
  <c r="M43" i="36"/>
  <c r="K85" i="56"/>
  <c r="K115" i="56"/>
  <c r="CX41" i="68"/>
  <c r="U44" i="63"/>
  <c r="M44" i="4"/>
  <c r="C41" i="69"/>
  <c r="C94" i="69" s="1"/>
  <c r="AB19" i="56"/>
  <c r="AB15" i="56"/>
  <c r="U44" i="7"/>
  <c r="AY41" i="69"/>
  <c r="AY94" i="69" s="1"/>
  <c r="AA41" i="69"/>
  <c r="AA94" i="69" s="1"/>
  <c r="Q44" i="23"/>
  <c r="U31" i="70"/>
  <c r="I40" i="69"/>
  <c r="I93" i="69" s="1"/>
  <c r="M43" i="37"/>
  <c r="E40" i="68"/>
  <c r="E93" i="68" s="1"/>
  <c r="M43" i="41"/>
  <c r="V39" i="69"/>
  <c r="U44" i="35"/>
  <c r="AZ41" i="69"/>
  <c r="AZ94" i="69" s="1"/>
  <c r="CC40" i="68"/>
  <c r="CC93" i="68" s="1"/>
  <c r="U43" i="64"/>
  <c r="U43" i="37"/>
  <c r="BC40" i="69"/>
  <c r="BC93" i="69" s="1"/>
  <c r="T41" i="69"/>
  <c r="M44" i="59"/>
  <c r="Q47" i="35"/>
  <c r="AC44" i="69"/>
  <c r="AC97" i="69" s="1"/>
  <c r="M44" i="62"/>
  <c r="J41" i="68"/>
  <c r="J94" i="68" s="1"/>
  <c r="AB39" i="68"/>
  <c r="AH39" i="68" s="1"/>
  <c r="C113" i="56"/>
  <c r="AJ24" i="56"/>
  <c r="H25" i="56"/>
  <c r="H114" i="56" s="1"/>
  <c r="H31" i="70"/>
  <c r="H26" i="56" s="1"/>
  <c r="H31" i="92"/>
  <c r="N31" i="92" s="1"/>
  <c r="E30" i="70"/>
  <c r="E30" i="92"/>
  <c r="Q44" i="43"/>
  <c r="BA41" i="68"/>
  <c r="BA94" i="68" s="1"/>
  <c r="BN93" i="69"/>
  <c r="BO93" i="69" s="1"/>
  <c r="BO40" i="69"/>
  <c r="U45" i="65"/>
  <c r="CD42" i="68"/>
  <c r="CD95" i="68" s="1"/>
  <c r="B94" i="69"/>
  <c r="AW93" i="69"/>
  <c r="AO40" i="69"/>
  <c r="AS40" i="69" s="1"/>
  <c r="BK39" i="68"/>
  <c r="CB42" i="68"/>
  <c r="CB95" i="68" s="1"/>
  <c r="U45" i="62"/>
  <c r="Q44" i="42"/>
  <c r="AX41" i="68"/>
  <c r="AX94" i="68" s="1"/>
  <c r="M25" i="56"/>
  <c r="BL92" i="69"/>
  <c r="B32" i="70" s="1"/>
  <c r="BT92" i="69"/>
  <c r="AW42" i="68"/>
  <c r="AW95" i="68" s="1"/>
  <c r="Q45" i="67"/>
  <c r="BP91" i="69"/>
  <c r="BU91" i="69" s="1"/>
  <c r="M44" i="35"/>
  <c r="F41" i="69"/>
  <c r="F94" i="69" s="1"/>
  <c r="M44" i="38"/>
  <c r="B41" i="68"/>
  <c r="T32" i="70"/>
  <c r="M43" i="67"/>
  <c r="N40" i="68"/>
  <c r="N93" i="68" s="1"/>
  <c r="AQ94" i="69"/>
  <c r="AR94" i="69" s="1"/>
  <c r="AR41" i="69"/>
  <c r="Q45" i="59"/>
  <c r="AQ42" i="69"/>
  <c r="Q44" i="61"/>
  <c r="AP41" i="68"/>
  <c r="AP94" i="68" s="1"/>
  <c r="U44" i="59"/>
  <c r="BN41" i="69"/>
  <c r="D31" i="70"/>
  <c r="C31" i="70"/>
  <c r="CZ91" i="68"/>
  <c r="DB91" i="68" s="1"/>
  <c r="J33" i="92"/>
  <c r="M45" i="1"/>
  <c r="B42" i="69"/>
  <c r="AE41" i="69"/>
  <c r="AE94" i="69" s="1"/>
  <c r="Q44" i="36"/>
  <c r="M44" i="40"/>
  <c r="D41" i="68"/>
  <c r="D94" i="68" s="1"/>
  <c r="M44" i="44"/>
  <c r="T41" i="68"/>
  <c r="T94" i="68" s="1"/>
  <c r="Q44" i="7"/>
  <c r="AB41" i="69"/>
  <c r="AB94" i="69" s="1"/>
  <c r="AM93" i="68"/>
  <c r="E83" i="56"/>
  <c r="E113" i="56"/>
  <c r="M44" i="60"/>
  <c r="F41" i="68"/>
  <c r="F94" i="68" s="1"/>
  <c r="U44" i="4"/>
  <c r="AW41" i="69"/>
  <c r="Q44" i="60"/>
  <c r="AO41" i="68"/>
  <c r="AO94" i="68" s="1"/>
  <c r="Q45" i="66"/>
  <c r="AV42" i="68"/>
  <c r="AV95" i="68" s="1"/>
  <c r="AO93" i="69"/>
  <c r="AS93" i="69" s="1"/>
  <c r="BK92" i="68"/>
  <c r="N25" i="56"/>
  <c r="M45" i="23"/>
  <c r="D42" i="69"/>
  <c r="D95" i="69" s="1"/>
  <c r="M24" i="56"/>
  <c r="J85" i="56"/>
  <c r="J115" i="56"/>
  <c r="M44" i="43"/>
  <c r="R41" i="68"/>
  <c r="R94" i="68" s="1"/>
  <c r="CE40" i="68"/>
  <c r="CE93" i="68" s="1"/>
  <c r="U43" i="66"/>
  <c r="M44" i="39"/>
  <c r="C41" i="68"/>
  <c r="C94" i="68" s="1"/>
  <c r="U44" i="36"/>
  <c r="BB41" i="69"/>
  <c r="BB94" i="69" s="1"/>
  <c r="D25" i="56"/>
  <c r="B26" i="56"/>
  <c r="Q33" i="70"/>
  <c r="J33" i="70"/>
  <c r="Z94" i="69"/>
  <c r="Q44" i="40"/>
  <c r="AM41" i="68"/>
  <c r="AA15" i="56"/>
  <c r="AA19" i="56"/>
  <c r="U44" i="39"/>
  <c r="BU41" i="68"/>
  <c r="BU94" i="68" s="1"/>
  <c r="N83" i="56"/>
  <c r="N113" i="56"/>
  <c r="CT39" i="68"/>
  <c r="X7" i="56"/>
  <c r="G84" i="56"/>
  <c r="G114" i="56"/>
  <c r="Q44" i="64"/>
  <c r="AT41" i="68"/>
  <c r="AT94" i="68" s="1"/>
  <c r="BW90" i="69"/>
  <c r="Q46" i="65"/>
  <c r="AU43" i="68"/>
  <c r="AU96" i="68" s="1"/>
  <c r="BX41" i="68"/>
  <c r="BX94" i="68" s="1"/>
  <c r="U44" i="60"/>
  <c r="M44" i="7"/>
  <c r="E41" i="69"/>
  <c r="E94" i="69" s="1"/>
  <c r="B84" i="56"/>
  <c r="S7" i="56"/>
  <c r="B114" i="56"/>
  <c r="AB92" i="68"/>
  <c r="U44" i="41"/>
  <c r="BW41" i="68"/>
  <c r="BW94" i="68" s="1"/>
  <c r="C25" i="56"/>
  <c r="BV91" i="69"/>
  <c r="M31" i="70"/>
  <c r="G26" i="56"/>
  <c r="Q43" i="44"/>
  <c r="BC40" i="68"/>
  <c r="BC93" i="68" s="1"/>
  <c r="Q45" i="4"/>
  <c r="Z42" i="69"/>
  <c r="Q44" i="37"/>
  <c r="AF41" i="69"/>
  <c r="AF94" i="69" s="1"/>
  <c r="M45" i="42"/>
  <c r="O42" i="68"/>
  <c r="O95" i="68" s="1"/>
  <c r="D31" i="92"/>
  <c r="C31" i="92"/>
  <c r="CZ38" i="68"/>
  <c r="BT42" i="68"/>
  <c r="BT95" i="68" s="1"/>
  <c r="U45" i="38"/>
  <c r="U45" i="67"/>
  <c r="CF42" i="68"/>
  <c r="CF95" i="68" s="1"/>
  <c r="U43" i="61"/>
  <c r="BY40" i="68"/>
  <c r="BY93" i="68" s="1"/>
  <c r="CT93" i="68" s="1"/>
  <c r="U45" i="43"/>
  <c r="CJ42" i="68"/>
  <c r="CJ95" i="68" s="1"/>
  <c r="M44" i="66"/>
  <c r="M41" i="68"/>
  <c r="M94" i="68" s="1"/>
  <c r="DA92" i="68"/>
  <c r="CT92" i="68"/>
  <c r="BV41" i="68"/>
  <c r="BV94" i="68" s="1"/>
  <c r="U44" i="40"/>
  <c r="G113" i="56"/>
  <c r="G83" i="56"/>
  <c r="M112" i="56"/>
  <c r="M82" i="56"/>
  <c r="B93" i="68"/>
  <c r="BP39" i="69"/>
  <c r="H32" i="92"/>
  <c r="N32" i="92" s="1"/>
  <c r="Q46" i="62"/>
  <c r="AS43" i="68"/>
  <c r="AS96" i="68" s="1"/>
  <c r="J27" i="56"/>
  <c r="T42" i="69" l="1"/>
  <c r="M45" i="59"/>
  <c r="Q45" i="39"/>
  <c r="AL42" i="68"/>
  <c r="AL95" i="68" s="1"/>
  <c r="AK43" i="68"/>
  <c r="AK96" i="68" s="1"/>
  <c r="Q46" i="38"/>
  <c r="AB40" i="68"/>
  <c r="AH40" i="68" s="1"/>
  <c r="CT40" i="68"/>
  <c r="M45" i="62"/>
  <c r="J42" i="68"/>
  <c r="J95" i="68" s="1"/>
  <c r="T94" i="69"/>
  <c r="U94" i="69" s="1"/>
  <c r="U41" i="69"/>
  <c r="K34" i="92" s="1"/>
  <c r="M44" i="41"/>
  <c r="E41" i="68"/>
  <c r="E94" i="68" s="1"/>
  <c r="U45" i="7"/>
  <c r="AY42" i="69"/>
  <c r="AY95" i="69" s="1"/>
  <c r="M45" i="4"/>
  <c r="C42" i="69"/>
  <c r="C95" i="69" s="1"/>
  <c r="Y43" i="69"/>
  <c r="Y96" i="69" s="1"/>
  <c r="Q46" i="1"/>
  <c r="L41" i="68"/>
  <c r="L94" i="68" s="1"/>
  <c r="M44" i="65"/>
  <c r="CG41" i="68"/>
  <c r="CG94" i="68" s="1"/>
  <c r="U44" i="42"/>
  <c r="U44" i="64"/>
  <c r="CC41" i="68"/>
  <c r="CC94" i="68" s="1"/>
  <c r="AV42" i="69"/>
  <c r="AV95" i="69" s="1"/>
  <c r="U45" i="1"/>
  <c r="AB93" i="68"/>
  <c r="AH93" i="68" s="1"/>
  <c r="AA42" i="69"/>
  <c r="AA95" i="69" s="1"/>
  <c r="Q45" i="23"/>
  <c r="CX42" i="68"/>
  <c r="U45" i="63"/>
  <c r="M44" i="36"/>
  <c r="H41" i="69"/>
  <c r="H94" i="69" s="1"/>
  <c r="R33" i="70"/>
  <c r="U33" i="70" s="1"/>
  <c r="K33" i="70"/>
  <c r="K28" i="56" s="1"/>
  <c r="M44" i="64"/>
  <c r="K41" i="68"/>
  <c r="K94" i="68" s="1"/>
  <c r="BL40" i="69"/>
  <c r="B33" i="92" s="1"/>
  <c r="AC45" i="69"/>
  <c r="AC98" i="69" s="1"/>
  <c r="Q48" i="35"/>
  <c r="U44" i="37"/>
  <c r="BC41" i="69"/>
  <c r="BC94" i="69" s="1"/>
  <c r="AZ42" i="69"/>
  <c r="AZ95" i="69" s="1"/>
  <c r="U45" i="35"/>
  <c r="I41" i="69"/>
  <c r="I94" i="69" s="1"/>
  <c r="M44" i="37"/>
  <c r="CX94" i="68"/>
  <c r="CY94" i="68" s="1"/>
  <c r="CY41" i="68"/>
  <c r="H93" i="69"/>
  <c r="R93" i="69" s="1"/>
  <c r="V93" i="69" s="1"/>
  <c r="R40" i="69"/>
  <c r="V40" i="69" s="1"/>
  <c r="K86" i="56"/>
  <c r="K116" i="56"/>
  <c r="M45" i="61"/>
  <c r="G42" i="68"/>
  <c r="G95" i="68" s="1"/>
  <c r="U45" i="23"/>
  <c r="AX42" i="69"/>
  <c r="AX95" i="69" s="1"/>
  <c r="AN42" i="68"/>
  <c r="AN95" i="68" s="1"/>
  <c r="Q45" i="41"/>
  <c r="U44" i="44"/>
  <c r="CL41" i="68"/>
  <c r="CL94" i="68" s="1"/>
  <c r="H84" i="56"/>
  <c r="Y7" i="56"/>
  <c r="N31" i="70"/>
  <c r="N26" i="56" s="1"/>
  <c r="E25" i="56"/>
  <c r="V7" i="56" s="1"/>
  <c r="E31" i="70"/>
  <c r="E31" i="92"/>
  <c r="C33" i="70"/>
  <c r="D33" i="70"/>
  <c r="CZ93" i="68"/>
  <c r="DB93" i="68" s="1"/>
  <c r="BV42" i="68"/>
  <c r="BV95" i="68" s="1"/>
  <c r="U45" i="40"/>
  <c r="M45" i="66"/>
  <c r="M42" i="68"/>
  <c r="M95" i="68" s="1"/>
  <c r="U46" i="38"/>
  <c r="BT43" i="68"/>
  <c r="BT96" i="68" s="1"/>
  <c r="Q45" i="37"/>
  <c r="AF42" i="69"/>
  <c r="AF95" i="69" s="1"/>
  <c r="Q44" i="44"/>
  <c r="BC41" i="68"/>
  <c r="BC94" i="68" s="1"/>
  <c r="U45" i="41"/>
  <c r="BW42" i="68"/>
  <c r="BW95" i="68" s="1"/>
  <c r="Q45" i="64"/>
  <c r="AT42" i="68"/>
  <c r="AT95" i="68" s="1"/>
  <c r="D32" i="92"/>
  <c r="C32" i="92"/>
  <c r="CZ39" i="68"/>
  <c r="Q45" i="40"/>
  <c r="AM42" i="68"/>
  <c r="J28" i="56"/>
  <c r="B115" i="56"/>
  <c r="B85" i="56"/>
  <c r="M45" i="39"/>
  <c r="C42" i="68"/>
  <c r="C95" i="68" s="1"/>
  <c r="BK40" i="68"/>
  <c r="BQ40" i="68" s="1"/>
  <c r="B95" i="69"/>
  <c r="D26" i="56"/>
  <c r="J34" i="92"/>
  <c r="BA42" i="68"/>
  <c r="BA95" i="68" s="1"/>
  <c r="Q45" i="43"/>
  <c r="J116" i="56"/>
  <c r="J86" i="56"/>
  <c r="Q47" i="62"/>
  <c r="AS44" i="68"/>
  <c r="AS97" i="68" s="1"/>
  <c r="C32" i="70"/>
  <c r="D32" i="70"/>
  <c r="CZ92" i="68"/>
  <c r="DB92" i="68" s="1"/>
  <c r="Y19" i="56"/>
  <c r="Y15" i="56"/>
  <c r="D33" i="92"/>
  <c r="C33" i="92"/>
  <c r="CZ40" i="68"/>
  <c r="CJ43" i="68"/>
  <c r="CJ96" i="68" s="1"/>
  <c r="U46" i="43"/>
  <c r="U44" i="61"/>
  <c r="BY41" i="68"/>
  <c r="BY94" i="68" s="1"/>
  <c r="Z95" i="69"/>
  <c r="G85" i="56"/>
  <c r="G115" i="56"/>
  <c r="T7" i="56"/>
  <c r="C84" i="56"/>
  <c r="AJ25" i="56"/>
  <c r="C114" i="56"/>
  <c r="AH92" i="68"/>
  <c r="H32" i="70"/>
  <c r="M45" i="7"/>
  <c r="E42" i="69"/>
  <c r="E95" i="69" s="1"/>
  <c r="Q47" i="65"/>
  <c r="AU44" i="68"/>
  <c r="AU97" i="68" s="1"/>
  <c r="AO41" i="69"/>
  <c r="AS41" i="69" s="1"/>
  <c r="T33" i="70"/>
  <c r="U44" i="66"/>
  <c r="CE41" i="68"/>
  <c r="CE94" i="68" s="1"/>
  <c r="BQ92" i="68"/>
  <c r="G32" i="70"/>
  <c r="H33" i="92"/>
  <c r="N33" i="92" s="1"/>
  <c r="Q45" i="60"/>
  <c r="AO42" i="68"/>
  <c r="AO95" i="68" s="1"/>
  <c r="M45" i="60"/>
  <c r="F42" i="68"/>
  <c r="F95" i="68" s="1"/>
  <c r="BK93" i="68"/>
  <c r="BQ93" i="68" s="1"/>
  <c r="M45" i="44"/>
  <c r="T42" i="68"/>
  <c r="T95" i="68" s="1"/>
  <c r="M46" i="1"/>
  <c r="B43" i="69"/>
  <c r="BN94" i="69"/>
  <c r="BO94" i="69" s="1"/>
  <c r="BO41" i="69"/>
  <c r="Q34" i="70"/>
  <c r="J34" i="70"/>
  <c r="BP92" i="69"/>
  <c r="BU92" i="69" s="1"/>
  <c r="M45" i="35"/>
  <c r="F42" i="69"/>
  <c r="F95" i="69" s="1"/>
  <c r="BV92" i="69"/>
  <c r="BQ39" i="68"/>
  <c r="G32" i="92"/>
  <c r="M32" i="92" s="1"/>
  <c r="CD43" i="68"/>
  <c r="CD96" i="68" s="1"/>
  <c r="U46" i="65"/>
  <c r="BP40" i="69"/>
  <c r="M46" i="42"/>
  <c r="O43" i="68"/>
  <c r="O96" i="68" s="1"/>
  <c r="Z43" i="69"/>
  <c r="Q46" i="4"/>
  <c r="S19" i="56"/>
  <c r="S15" i="56"/>
  <c r="BX42" i="68"/>
  <c r="BX95" i="68" s="1"/>
  <c r="U45" i="60"/>
  <c r="DA94" i="68"/>
  <c r="AO94" i="69"/>
  <c r="U45" i="36"/>
  <c r="BB42" i="69"/>
  <c r="BB95" i="69" s="1"/>
  <c r="M45" i="43"/>
  <c r="R42" i="68"/>
  <c r="R95" i="68" s="1"/>
  <c r="M46" i="23"/>
  <c r="D43" i="69"/>
  <c r="D96" i="69" s="1"/>
  <c r="AW94" i="69"/>
  <c r="BL41" i="69"/>
  <c r="B34" i="92" s="1"/>
  <c r="Q45" i="36"/>
  <c r="AE42" i="69"/>
  <c r="AE95" i="69" s="1"/>
  <c r="U45" i="59"/>
  <c r="BN42" i="69"/>
  <c r="AQ95" i="69"/>
  <c r="AR95" i="69" s="1"/>
  <c r="AR42" i="69"/>
  <c r="B94" i="68"/>
  <c r="BW91" i="69"/>
  <c r="B27" i="56"/>
  <c r="Q45" i="42"/>
  <c r="AX42" i="68"/>
  <c r="AX95" i="68" s="1"/>
  <c r="R41" i="69"/>
  <c r="U46" i="67"/>
  <c r="CF43" i="68"/>
  <c r="CF96" i="68" s="1"/>
  <c r="M26" i="56"/>
  <c r="X15" i="56"/>
  <c r="X19" i="56"/>
  <c r="H33" i="70"/>
  <c r="BU42" i="68"/>
  <c r="BU95" i="68" s="1"/>
  <c r="U45" i="39"/>
  <c r="AM94" i="68"/>
  <c r="BK94" i="68" s="1"/>
  <c r="BQ94" i="68" s="1"/>
  <c r="BK41" i="68"/>
  <c r="BQ41" i="68" s="1"/>
  <c r="U7" i="56"/>
  <c r="D114" i="56"/>
  <c r="D84" i="56"/>
  <c r="M113" i="56"/>
  <c r="M83" i="56"/>
  <c r="N114" i="56"/>
  <c r="AE7" i="56"/>
  <c r="N84" i="56"/>
  <c r="AV43" i="68"/>
  <c r="AV96" i="68" s="1"/>
  <c r="Q46" i="66"/>
  <c r="U45" i="4"/>
  <c r="AW42" i="69"/>
  <c r="Q45" i="7"/>
  <c r="AB42" i="69"/>
  <c r="AB95" i="69" s="1"/>
  <c r="M45" i="40"/>
  <c r="D42" i="68"/>
  <c r="D95" i="68" s="1"/>
  <c r="C26" i="56"/>
  <c r="H85" i="56"/>
  <c r="H115" i="56"/>
  <c r="AP42" i="68"/>
  <c r="AP95" i="68" s="1"/>
  <c r="Q45" i="61"/>
  <c r="AQ43" i="69"/>
  <c r="Q46" i="59"/>
  <c r="M44" i="67"/>
  <c r="N41" i="68"/>
  <c r="N94" i="68" s="1"/>
  <c r="M45" i="38"/>
  <c r="B42" i="68"/>
  <c r="Q46" i="67"/>
  <c r="AW43" i="68"/>
  <c r="AW96" i="68" s="1"/>
  <c r="AD7" i="56"/>
  <c r="M84" i="56"/>
  <c r="M114" i="56"/>
  <c r="U46" i="62"/>
  <c r="CB43" i="68"/>
  <c r="CB96" i="68" s="1"/>
  <c r="BT93" i="69"/>
  <c r="BV93" i="69" s="1"/>
  <c r="BL93" i="69"/>
  <c r="B33" i="70" s="1"/>
  <c r="R94" i="69"/>
  <c r="AN43" i="68" l="1"/>
  <c r="AN96" i="68" s="1"/>
  <c r="Q46" i="41"/>
  <c r="I42" i="69"/>
  <c r="I95" i="69" s="1"/>
  <c r="M45" i="37"/>
  <c r="CY42" i="68"/>
  <c r="CX95" i="68"/>
  <c r="CY95" i="68" s="1"/>
  <c r="AV43" i="69"/>
  <c r="AV96" i="69" s="1"/>
  <c r="U46" i="1"/>
  <c r="U45" i="42"/>
  <c r="CG42" i="68"/>
  <c r="CG95" i="68" s="1"/>
  <c r="Y44" i="69"/>
  <c r="Y97" i="69" s="1"/>
  <c r="Q47" i="1"/>
  <c r="G43" i="68"/>
  <c r="G96" i="68" s="1"/>
  <c r="M46" i="61"/>
  <c r="U45" i="37"/>
  <c r="BC42" i="69"/>
  <c r="BC95" i="69" s="1"/>
  <c r="Q46" i="23"/>
  <c r="AA43" i="69"/>
  <c r="AA96" i="69" s="1"/>
  <c r="U46" i="7"/>
  <c r="AY43" i="69"/>
  <c r="AY96" i="69" s="1"/>
  <c r="R34" i="70"/>
  <c r="K34" i="70"/>
  <c r="K29" i="56" s="1"/>
  <c r="Q46" i="39"/>
  <c r="AL43" i="68"/>
  <c r="AL96" i="68" s="1"/>
  <c r="U46" i="35"/>
  <c r="AZ43" i="69"/>
  <c r="AZ96" i="69" s="1"/>
  <c r="Q49" i="35"/>
  <c r="AC46" i="69"/>
  <c r="AC99" i="69" s="1"/>
  <c r="M45" i="64"/>
  <c r="K42" i="68"/>
  <c r="K95" i="68" s="1"/>
  <c r="M45" i="36"/>
  <c r="H42" i="69"/>
  <c r="H95" i="69" s="1"/>
  <c r="M45" i="65"/>
  <c r="L42" i="68"/>
  <c r="L95" i="68" s="1"/>
  <c r="Q47" i="38"/>
  <c r="AK44" i="68"/>
  <c r="AK97" i="68" s="1"/>
  <c r="M46" i="59"/>
  <c r="T43" i="69"/>
  <c r="CL42" i="68"/>
  <c r="CL95" i="68" s="1"/>
  <c r="U45" i="44"/>
  <c r="AX43" i="69"/>
  <c r="AX96" i="69" s="1"/>
  <c r="U46" i="23"/>
  <c r="K117" i="56"/>
  <c r="K87" i="56"/>
  <c r="CX43" i="68"/>
  <c r="U46" i="63"/>
  <c r="CC42" i="68"/>
  <c r="CC95" i="68" s="1"/>
  <c r="U45" i="64"/>
  <c r="M46" i="4"/>
  <c r="C43" i="69"/>
  <c r="C96" i="69" s="1"/>
  <c r="M45" i="41"/>
  <c r="E42" i="68"/>
  <c r="E95" i="68" s="1"/>
  <c r="M46" i="62"/>
  <c r="J43" i="68"/>
  <c r="J96" i="68" s="1"/>
  <c r="T95" i="69"/>
  <c r="U95" i="69" s="1"/>
  <c r="U42" i="69"/>
  <c r="K35" i="92" s="1"/>
  <c r="CT94" i="68"/>
  <c r="D34" i="70" s="1"/>
  <c r="CT41" i="68"/>
  <c r="E84" i="56"/>
  <c r="E26" i="56"/>
  <c r="E85" i="56" s="1"/>
  <c r="E114" i="56"/>
  <c r="BW92" i="69"/>
  <c r="E33" i="92"/>
  <c r="E32" i="70"/>
  <c r="E27" i="56" s="1"/>
  <c r="G33" i="92"/>
  <c r="M33" i="92" s="1"/>
  <c r="G33" i="70"/>
  <c r="G28" i="56" s="1"/>
  <c r="G34" i="70"/>
  <c r="G29" i="56" s="1"/>
  <c r="CZ94" i="68"/>
  <c r="DB94" i="68" s="1"/>
  <c r="AD15" i="56"/>
  <c r="AD19" i="56"/>
  <c r="E33" i="70"/>
  <c r="B28" i="56"/>
  <c r="CB44" i="68"/>
  <c r="CB97" i="68" s="1"/>
  <c r="U47" i="62"/>
  <c r="Q47" i="59"/>
  <c r="AQ44" i="69"/>
  <c r="AW95" i="69"/>
  <c r="BL42" i="69"/>
  <c r="B35" i="92" s="1"/>
  <c r="N33" i="70"/>
  <c r="H28" i="56"/>
  <c r="CF44" i="68"/>
  <c r="CF97" i="68" s="1"/>
  <c r="U47" i="67"/>
  <c r="AB94" i="68"/>
  <c r="AH94" i="68" s="1"/>
  <c r="Q35" i="70"/>
  <c r="J35" i="70"/>
  <c r="Q46" i="36"/>
  <c r="AE43" i="69"/>
  <c r="AE96" i="69" s="1"/>
  <c r="U46" i="60"/>
  <c r="BX43" i="68"/>
  <c r="BX96" i="68" s="1"/>
  <c r="Q47" i="4"/>
  <c r="Z44" i="69"/>
  <c r="J29" i="56"/>
  <c r="BP41" i="69"/>
  <c r="B96" i="69"/>
  <c r="M46" i="44"/>
  <c r="T43" i="68"/>
  <c r="T96" i="68" s="1"/>
  <c r="Q48" i="65"/>
  <c r="AU45" i="68"/>
  <c r="AU98" i="68" s="1"/>
  <c r="DA95" i="68"/>
  <c r="C27" i="56"/>
  <c r="Q48" i="62"/>
  <c r="AS45" i="68"/>
  <c r="AS98" i="68" s="1"/>
  <c r="R42" i="69"/>
  <c r="J117" i="56"/>
  <c r="J87" i="56"/>
  <c r="Q46" i="64"/>
  <c r="AT43" i="68"/>
  <c r="AT96" i="68" s="1"/>
  <c r="B95" i="68"/>
  <c r="C85" i="56"/>
  <c r="AJ26" i="56"/>
  <c r="C115" i="56"/>
  <c r="BU43" i="68"/>
  <c r="U46" i="39"/>
  <c r="M46" i="38"/>
  <c r="B43" i="68"/>
  <c r="Q46" i="7"/>
  <c r="AB43" i="69"/>
  <c r="AB96" i="69" s="1"/>
  <c r="U15" i="56"/>
  <c r="U19" i="56"/>
  <c r="V94" i="69"/>
  <c r="Q47" i="67"/>
  <c r="AW44" i="68"/>
  <c r="AW97" i="68" s="1"/>
  <c r="AQ96" i="69"/>
  <c r="AR96" i="69" s="1"/>
  <c r="AR43" i="69"/>
  <c r="M46" i="40"/>
  <c r="D43" i="68"/>
  <c r="D96" i="68" s="1"/>
  <c r="U46" i="4"/>
  <c r="AW43" i="69"/>
  <c r="AE19" i="56"/>
  <c r="AE15" i="56"/>
  <c r="M85" i="56"/>
  <c r="M115" i="56"/>
  <c r="BP93" i="69"/>
  <c r="BU93" i="69" s="1"/>
  <c r="BW93" i="69" s="1"/>
  <c r="BN95" i="69"/>
  <c r="BO95" i="69" s="1"/>
  <c r="BO42" i="69"/>
  <c r="M47" i="23"/>
  <c r="D44" i="69"/>
  <c r="D97" i="69" s="1"/>
  <c r="Z96" i="69"/>
  <c r="CD44" i="68"/>
  <c r="CD97" i="68" s="1"/>
  <c r="U47" i="65"/>
  <c r="M46" i="35"/>
  <c r="F43" i="69"/>
  <c r="F96" i="69" s="1"/>
  <c r="T34" i="70"/>
  <c r="M47" i="1"/>
  <c r="B44" i="69"/>
  <c r="Q46" i="60"/>
  <c r="AO43" i="68"/>
  <c r="AO96" i="68" s="1"/>
  <c r="V19" i="56"/>
  <c r="V15" i="56"/>
  <c r="R95" i="69"/>
  <c r="M46" i="39"/>
  <c r="C43" i="68"/>
  <c r="C96" i="68" s="1"/>
  <c r="E32" i="92"/>
  <c r="U46" i="41"/>
  <c r="BW43" i="68"/>
  <c r="BW96" i="68" s="1"/>
  <c r="Q46" i="37"/>
  <c r="AF43" i="69"/>
  <c r="AF96" i="69" s="1"/>
  <c r="M46" i="66"/>
  <c r="M43" i="68"/>
  <c r="M96" i="68" s="1"/>
  <c r="V41" i="69"/>
  <c r="Q46" i="42"/>
  <c r="AX43" i="68"/>
  <c r="AX96" i="68" s="1"/>
  <c r="BN43" i="69"/>
  <c r="U46" i="59"/>
  <c r="BL94" i="69"/>
  <c r="B34" i="70" s="1"/>
  <c r="BT94" i="69"/>
  <c r="BV94" i="69" s="1"/>
  <c r="N85" i="56"/>
  <c r="N115" i="56"/>
  <c r="CE42" i="68"/>
  <c r="CE95" i="68" s="1"/>
  <c r="U45" i="66"/>
  <c r="G34" i="92"/>
  <c r="M34" i="92" s="1"/>
  <c r="M46" i="7"/>
  <c r="E43" i="69"/>
  <c r="E96" i="69" s="1"/>
  <c r="N32" i="70"/>
  <c r="H27" i="56"/>
  <c r="AO42" i="69"/>
  <c r="AS42" i="69" s="1"/>
  <c r="U45" i="61"/>
  <c r="BY42" i="68"/>
  <c r="BY95" i="68" s="1"/>
  <c r="D115" i="56"/>
  <c r="D85" i="56"/>
  <c r="AM95" i="68"/>
  <c r="U46" i="40"/>
  <c r="BV43" i="68"/>
  <c r="BV96" i="68" s="1"/>
  <c r="D28" i="56"/>
  <c r="D34" i="92"/>
  <c r="C34" i="92"/>
  <c r="CZ41" i="68"/>
  <c r="Q46" i="61"/>
  <c r="AP43" i="68"/>
  <c r="AP96" i="68" s="1"/>
  <c r="Q47" i="66"/>
  <c r="AV44" i="68"/>
  <c r="AV97" i="68" s="1"/>
  <c r="M45" i="67"/>
  <c r="N42" i="68"/>
  <c r="N95" i="68" s="1"/>
  <c r="B116" i="56"/>
  <c r="B86" i="56"/>
  <c r="AB41" i="68"/>
  <c r="AH41" i="68" s="1"/>
  <c r="J35" i="92"/>
  <c r="M46" i="43"/>
  <c r="R43" i="68"/>
  <c r="R96" i="68" s="1"/>
  <c r="U46" i="36"/>
  <c r="BB43" i="69"/>
  <c r="BB96" i="69" s="1"/>
  <c r="M47" i="42"/>
  <c r="O44" i="68"/>
  <c r="O97" i="68" s="1"/>
  <c r="AS94" i="69"/>
  <c r="M46" i="60"/>
  <c r="F43" i="68"/>
  <c r="F96" i="68" s="1"/>
  <c r="M32" i="70"/>
  <c r="G27" i="56"/>
  <c r="T19" i="56"/>
  <c r="T15" i="56"/>
  <c r="AO95" i="69"/>
  <c r="AS95" i="69" s="1"/>
  <c r="CJ44" i="68"/>
  <c r="CJ97" i="68" s="1"/>
  <c r="U47" i="43"/>
  <c r="D27" i="56"/>
  <c r="Q46" i="43"/>
  <c r="BA43" i="68"/>
  <c r="BA96" i="68" s="1"/>
  <c r="Q46" i="40"/>
  <c r="AM43" i="68"/>
  <c r="Q45" i="44"/>
  <c r="BC42" i="68"/>
  <c r="BC95" i="68" s="1"/>
  <c r="U47" i="38"/>
  <c r="BT44" i="68"/>
  <c r="BT97" i="68" s="1"/>
  <c r="C28" i="56"/>
  <c r="U46" i="64" l="1"/>
  <c r="CC43" i="68"/>
  <c r="CC96" i="68" s="1"/>
  <c r="CL43" i="68"/>
  <c r="CL96" i="68" s="1"/>
  <c r="U46" i="44"/>
  <c r="Y45" i="69"/>
  <c r="Y98" i="69" s="1"/>
  <c r="Q48" i="1"/>
  <c r="AV44" i="69"/>
  <c r="AV97" i="69" s="1"/>
  <c r="U47" i="1"/>
  <c r="M46" i="37"/>
  <c r="I43" i="69"/>
  <c r="I96" i="69" s="1"/>
  <c r="R35" i="70"/>
  <c r="U35" i="70" s="1"/>
  <c r="K35" i="70"/>
  <c r="M46" i="41"/>
  <c r="E43" i="68"/>
  <c r="E96" i="68" s="1"/>
  <c r="Q48" i="38"/>
  <c r="AK45" i="68"/>
  <c r="AK98" i="68" s="1"/>
  <c r="H43" i="69"/>
  <c r="H96" i="69" s="1"/>
  <c r="M46" i="36"/>
  <c r="AC47" i="69"/>
  <c r="AC100" i="69" s="1"/>
  <c r="Q50" i="35"/>
  <c r="Q47" i="39"/>
  <c r="AL44" i="68"/>
  <c r="AL97" i="68" s="1"/>
  <c r="AY44" i="69"/>
  <c r="AY97" i="69" s="1"/>
  <c r="U47" i="7"/>
  <c r="U46" i="37"/>
  <c r="BC43" i="69"/>
  <c r="BC96" i="69" s="1"/>
  <c r="U47" i="63"/>
  <c r="CX44" i="68"/>
  <c r="U47" i="23"/>
  <c r="AX44" i="69"/>
  <c r="AX97" i="69" s="1"/>
  <c r="T96" i="69"/>
  <c r="U96" i="69" s="1"/>
  <c r="U43" i="69"/>
  <c r="K36" i="92" s="1"/>
  <c r="K118" i="56"/>
  <c r="K88" i="56"/>
  <c r="M47" i="61"/>
  <c r="G44" i="68"/>
  <c r="G97" i="68" s="1"/>
  <c r="Q47" i="41"/>
  <c r="AN44" i="68"/>
  <c r="AN97" i="68" s="1"/>
  <c r="J44" i="68"/>
  <c r="J97" i="68" s="1"/>
  <c r="M47" i="62"/>
  <c r="M47" i="4"/>
  <c r="C44" i="69"/>
  <c r="C97" i="69" s="1"/>
  <c r="CX96" i="68"/>
  <c r="CY96" i="68" s="1"/>
  <c r="CY43" i="68"/>
  <c r="T44" i="69"/>
  <c r="M47" i="59"/>
  <c r="M46" i="65"/>
  <c r="L43" i="68"/>
  <c r="L96" i="68" s="1"/>
  <c r="K43" i="68"/>
  <c r="K96" i="68" s="1"/>
  <c r="M46" i="64"/>
  <c r="U47" i="35"/>
  <c r="AZ44" i="69"/>
  <c r="AZ97" i="69" s="1"/>
  <c r="U34" i="70"/>
  <c r="AA44" i="69"/>
  <c r="AA97" i="69" s="1"/>
  <c r="Q47" i="23"/>
  <c r="U46" i="42"/>
  <c r="CG43" i="68"/>
  <c r="CG96" i="68" s="1"/>
  <c r="CT95" i="68"/>
  <c r="D35" i="70" s="1"/>
  <c r="C34" i="70"/>
  <c r="E34" i="70" s="1"/>
  <c r="AO43" i="69"/>
  <c r="BP42" i="69"/>
  <c r="E115" i="56"/>
  <c r="M33" i="70"/>
  <c r="M28" i="56" s="1"/>
  <c r="M34" i="70"/>
  <c r="M29" i="56" s="1"/>
  <c r="E34" i="92"/>
  <c r="H34" i="70"/>
  <c r="N34" i="70" s="1"/>
  <c r="H34" i="92"/>
  <c r="N34" i="92" s="1"/>
  <c r="BP94" i="69"/>
  <c r="BU94" i="69" s="1"/>
  <c r="BW94" i="69" s="1"/>
  <c r="C35" i="70"/>
  <c r="CZ95" i="68"/>
  <c r="DB95" i="68" s="1"/>
  <c r="Q47" i="40"/>
  <c r="AM44" i="68"/>
  <c r="D116" i="56"/>
  <c r="D86" i="56"/>
  <c r="M48" i="42"/>
  <c r="O45" i="68"/>
  <c r="O98" i="68" s="1"/>
  <c r="Q47" i="61"/>
  <c r="AP44" i="68"/>
  <c r="AP97" i="68" s="1"/>
  <c r="Q46" i="44"/>
  <c r="BC43" i="68"/>
  <c r="BC96" i="68" s="1"/>
  <c r="M27" i="56"/>
  <c r="G117" i="56"/>
  <c r="G87" i="56"/>
  <c r="BK42" i="68"/>
  <c r="BQ42" i="68" s="1"/>
  <c r="CT42" i="68"/>
  <c r="U46" i="61"/>
  <c r="BY43" i="68"/>
  <c r="BY96" i="68" s="1"/>
  <c r="N27" i="56"/>
  <c r="U46" i="66"/>
  <c r="CE43" i="68"/>
  <c r="CE96" i="68" s="1"/>
  <c r="G118" i="56"/>
  <c r="G88" i="56"/>
  <c r="B29" i="56"/>
  <c r="Q47" i="42"/>
  <c r="AX44" i="68"/>
  <c r="AX97" i="68" s="1"/>
  <c r="M47" i="66"/>
  <c r="M44" i="68"/>
  <c r="M97" i="68" s="1"/>
  <c r="BW44" i="68"/>
  <c r="BW97" i="68" s="1"/>
  <c r="U47" i="41"/>
  <c r="Q47" i="60"/>
  <c r="AO44" i="68"/>
  <c r="AO97" i="68" s="1"/>
  <c r="M47" i="35"/>
  <c r="F44" i="69"/>
  <c r="F97" i="69" s="1"/>
  <c r="AO96" i="69"/>
  <c r="AS96" i="69" s="1"/>
  <c r="M48" i="23"/>
  <c r="D45" i="69"/>
  <c r="D98" i="69" s="1"/>
  <c r="E86" i="56"/>
  <c r="E116" i="56"/>
  <c r="B96" i="68"/>
  <c r="AB95" i="68"/>
  <c r="AH95" i="68" s="1"/>
  <c r="Z97" i="69"/>
  <c r="U48" i="67"/>
  <c r="CF45" i="68"/>
  <c r="CF98" i="68" s="1"/>
  <c r="N28" i="56"/>
  <c r="Q48" i="59"/>
  <c r="AQ45" i="69"/>
  <c r="G116" i="56"/>
  <c r="G86" i="56"/>
  <c r="AJ28" i="56"/>
  <c r="C117" i="56"/>
  <c r="C87" i="56"/>
  <c r="M47" i="43"/>
  <c r="R44" i="68"/>
  <c r="R97" i="68" s="1"/>
  <c r="D87" i="56"/>
  <c r="D117" i="56"/>
  <c r="AM96" i="68"/>
  <c r="BK96" i="68" s="1"/>
  <c r="BQ96" i="68" s="1"/>
  <c r="BK43" i="68"/>
  <c r="BQ43" i="68" s="1"/>
  <c r="U48" i="43"/>
  <c r="CJ45" i="68"/>
  <c r="CJ98" i="68" s="1"/>
  <c r="U47" i="36"/>
  <c r="BB44" i="69"/>
  <c r="BB97" i="69" s="1"/>
  <c r="M46" i="67"/>
  <c r="N43" i="68"/>
  <c r="N96" i="68" s="1"/>
  <c r="Q48" i="66"/>
  <c r="AV45" i="68"/>
  <c r="AV98" i="68" s="1"/>
  <c r="BK95" i="68"/>
  <c r="BQ95" i="68" s="1"/>
  <c r="U47" i="59"/>
  <c r="BN44" i="69"/>
  <c r="B97" i="69"/>
  <c r="U48" i="65"/>
  <c r="CD45" i="68"/>
  <c r="CD98" i="68" s="1"/>
  <c r="M47" i="40"/>
  <c r="D44" i="68"/>
  <c r="D97" i="68" s="1"/>
  <c r="Q48" i="67"/>
  <c r="AW45" i="68"/>
  <c r="AW98" i="68" s="1"/>
  <c r="M47" i="38"/>
  <c r="B44" i="68"/>
  <c r="C86" i="56"/>
  <c r="AJ27" i="56"/>
  <c r="C116" i="56"/>
  <c r="M47" i="44"/>
  <c r="T44" i="68"/>
  <c r="T97" i="68" s="1"/>
  <c r="J118" i="56"/>
  <c r="J88" i="56"/>
  <c r="Q48" i="4"/>
  <c r="Z45" i="69"/>
  <c r="CB45" i="68"/>
  <c r="CB98" i="68" s="1"/>
  <c r="U48" i="62"/>
  <c r="E28" i="56"/>
  <c r="Q47" i="43"/>
  <c r="BA44" i="68"/>
  <c r="BA97" i="68" s="1"/>
  <c r="M47" i="60"/>
  <c r="F44" i="68"/>
  <c r="F97" i="68" s="1"/>
  <c r="U47" i="40"/>
  <c r="BV44" i="68"/>
  <c r="BV97" i="68" s="1"/>
  <c r="H86" i="56"/>
  <c r="H116" i="56"/>
  <c r="M47" i="7"/>
  <c r="E44" i="69"/>
  <c r="E97" i="69" s="1"/>
  <c r="BN96" i="69"/>
  <c r="BO96" i="69" s="1"/>
  <c r="BO43" i="69"/>
  <c r="Q47" i="37"/>
  <c r="AF44" i="69"/>
  <c r="AF97" i="69" s="1"/>
  <c r="V95" i="69"/>
  <c r="M48" i="1"/>
  <c r="B45" i="69"/>
  <c r="AW96" i="69"/>
  <c r="BL43" i="69"/>
  <c r="B36" i="92" s="1"/>
  <c r="AS43" i="69"/>
  <c r="J36" i="92"/>
  <c r="BU44" i="68"/>
  <c r="BU97" i="68" s="1"/>
  <c r="U47" i="39"/>
  <c r="Q47" i="64"/>
  <c r="AT44" i="68"/>
  <c r="AT97" i="68" s="1"/>
  <c r="Q49" i="62"/>
  <c r="AS46" i="68"/>
  <c r="AS99" i="68" s="1"/>
  <c r="R43" i="69"/>
  <c r="T35" i="70"/>
  <c r="H87" i="56"/>
  <c r="H117" i="56"/>
  <c r="BL95" i="69"/>
  <c r="B35" i="70" s="1"/>
  <c r="BT95" i="69"/>
  <c r="BV95" i="69" s="1"/>
  <c r="D29" i="56"/>
  <c r="U48" i="38"/>
  <c r="BT45" i="68"/>
  <c r="BT98" i="68" s="1"/>
  <c r="M47" i="39"/>
  <c r="C44" i="68"/>
  <c r="C97" i="68" s="1"/>
  <c r="U47" i="4"/>
  <c r="AW44" i="69"/>
  <c r="Q36" i="70"/>
  <c r="J36" i="70"/>
  <c r="Q47" i="7"/>
  <c r="AB44" i="69"/>
  <c r="AB97" i="69" s="1"/>
  <c r="BU96" i="68"/>
  <c r="CT43" i="68"/>
  <c r="AB42" i="68"/>
  <c r="AH42" i="68" s="1"/>
  <c r="V42" i="69"/>
  <c r="Q49" i="65"/>
  <c r="AU46" i="68"/>
  <c r="AU99" i="68" s="1"/>
  <c r="R96" i="69"/>
  <c r="U47" i="60"/>
  <c r="BX44" i="68"/>
  <c r="BX97" i="68" s="1"/>
  <c r="Q47" i="36"/>
  <c r="AE44" i="69"/>
  <c r="AE97" i="69" s="1"/>
  <c r="AQ97" i="69"/>
  <c r="AR97" i="69" s="1"/>
  <c r="AR44" i="69"/>
  <c r="B87" i="56"/>
  <c r="B117" i="56"/>
  <c r="U47" i="42" l="1"/>
  <c r="CG44" i="68"/>
  <c r="CG97" i="68" s="1"/>
  <c r="M48" i="62"/>
  <c r="J45" i="68"/>
  <c r="J98" i="68" s="1"/>
  <c r="CX97" i="68"/>
  <c r="CY97" i="68" s="1"/>
  <c r="CY44" i="68"/>
  <c r="U48" i="7"/>
  <c r="AY45" i="69"/>
  <c r="AY98" i="69" s="1"/>
  <c r="Q51" i="35"/>
  <c r="AC48" i="69"/>
  <c r="AC101" i="69" s="1"/>
  <c r="AV45" i="69"/>
  <c r="AV98" i="69" s="1"/>
  <c r="U48" i="1"/>
  <c r="U47" i="44"/>
  <c r="CL44" i="68"/>
  <c r="CL97" i="68" s="1"/>
  <c r="AA45" i="69"/>
  <c r="AA98" i="69" s="1"/>
  <c r="Q48" i="23"/>
  <c r="U48" i="35"/>
  <c r="AZ45" i="69"/>
  <c r="AZ98" i="69" s="1"/>
  <c r="M47" i="65"/>
  <c r="L44" i="68"/>
  <c r="L97" i="68" s="1"/>
  <c r="G45" i="68"/>
  <c r="G98" i="68" s="1"/>
  <c r="M48" i="61"/>
  <c r="K36" i="70"/>
  <c r="R36" i="70"/>
  <c r="U36" i="70" s="1"/>
  <c r="U48" i="63"/>
  <c r="CX45" i="68"/>
  <c r="Q49" i="38"/>
  <c r="AK46" i="68"/>
  <c r="AK99" i="68" s="1"/>
  <c r="M47" i="64"/>
  <c r="K44" i="68"/>
  <c r="K97" i="68" s="1"/>
  <c r="M48" i="59"/>
  <c r="T45" i="69"/>
  <c r="M47" i="36"/>
  <c r="H44" i="69"/>
  <c r="H97" i="69" s="1"/>
  <c r="Q49" i="1"/>
  <c r="Y46" i="69"/>
  <c r="Y99" i="69" s="1"/>
  <c r="T97" i="69"/>
  <c r="U97" i="69" s="1"/>
  <c r="U44" i="69"/>
  <c r="K37" i="92" s="1"/>
  <c r="M48" i="4"/>
  <c r="C45" i="69"/>
  <c r="C98" i="69" s="1"/>
  <c r="Q48" i="41"/>
  <c r="AN45" i="68"/>
  <c r="AN98" i="68" s="1"/>
  <c r="U48" i="23"/>
  <c r="AX45" i="69"/>
  <c r="AX98" i="69" s="1"/>
  <c r="U47" i="37"/>
  <c r="BC44" i="69"/>
  <c r="BC97" i="69" s="1"/>
  <c r="AL45" i="68"/>
  <c r="AL98" i="68" s="1"/>
  <c r="Q48" i="39"/>
  <c r="M47" i="41"/>
  <c r="E44" i="68"/>
  <c r="E97" i="68" s="1"/>
  <c r="M47" i="37"/>
  <c r="I44" i="69"/>
  <c r="I97" i="69" s="1"/>
  <c r="CC44" i="68"/>
  <c r="CC97" i="68" s="1"/>
  <c r="U47" i="64"/>
  <c r="C29" i="56"/>
  <c r="H29" i="56"/>
  <c r="H88" i="56" s="1"/>
  <c r="H35" i="70"/>
  <c r="G35" i="92"/>
  <c r="M35" i="92" s="1"/>
  <c r="H35" i="92"/>
  <c r="N35" i="92" s="1"/>
  <c r="G36" i="92"/>
  <c r="M36" i="92" s="1"/>
  <c r="G35" i="70"/>
  <c r="M35" i="70" s="1"/>
  <c r="BP95" i="69"/>
  <c r="BU95" i="69" s="1"/>
  <c r="BW95" i="69" s="1"/>
  <c r="Q37" i="70"/>
  <c r="J37" i="70"/>
  <c r="C36" i="92"/>
  <c r="D36" i="92"/>
  <c r="CZ43" i="68"/>
  <c r="Q48" i="36"/>
  <c r="AE45" i="69"/>
  <c r="AE98" i="69" s="1"/>
  <c r="N29" i="56"/>
  <c r="C88" i="56"/>
  <c r="AJ29" i="56"/>
  <c r="C118" i="56"/>
  <c r="J37" i="92"/>
  <c r="Q50" i="65"/>
  <c r="AU47" i="68"/>
  <c r="AU100" i="68" s="1"/>
  <c r="AB45" i="69"/>
  <c r="AB98" i="69" s="1"/>
  <c r="Q48" i="7"/>
  <c r="U48" i="4"/>
  <c r="AW45" i="69"/>
  <c r="D118" i="56"/>
  <c r="D88" i="56"/>
  <c r="BL96" i="69"/>
  <c r="B36" i="70" s="1"/>
  <c r="BT96" i="69"/>
  <c r="Q48" i="37"/>
  <c r="AF45" i="69"/>
  <c r="AF98" i="69" s="1"/>
  <c r="BP43" i="69"/>
  <c r="M87" i="56"/>
  <c r="M117" i="56"/>
  <c r="CB46" i="68"/>
  <c r="CB99" i="68" s="1"/>
  <c r="U49" i="62"/>
  <c r="Q49" i="4"/>
  <c r="Z46" i="69"/>
  <c r="M48" i="44"/>
  <c r="T45" i="68"/>
  <c r="T98" i="68" s="1"/>
  <c r="B97" i="68"/>
  <c r="R44" i="69"/>
  <c r="BN97" i="69"/>
  <c r="BO97" i="69" s="1"/>
  <c r="BO44" i="69"/>
  <c r="DA97" i="68"/>
  <c r="M48" i="43"/>
  <c r="R45" i="68"/>
  <c r="R98" i="68" s="1"/>
  <c r="N117" i="56"/>
  <c r="N87" i="56"/>
  <c r="AO44" i="69"/>
  <c r="G36" i="70"/>
  <c r="Q48" i="60"/>
  <c r="AO45" i="68"/>
  <c r="AO98" i="68" s="1"/>
  <c r="U48" i="41"/>
  <c r="BW45" i="68"/>
  <c r="BW98" i="68" s="1"/>
  <c r="E29" i="56"/>
  <c r="CE44" i="68"/>
  <c r="CE97" i="68" s="1"/>
  <c r="U47" i="66"/>
  <c r="U47" i="61"/>
  <c r="BY44" i="68"/>
  <c r="Q47" i="44"/>
  <c r="BC44" i="68"/>
  <c r="BC97" i="68" s="1"/>
  <c r="M49" i="42"/>
  <c r="O46" i="68"/>
  <c r="O99" i="68" s="1"/>
  <c r="Q48" i="40"/>
  <c r="AM45" i="68"/>
  <c r="M48" i="7"/>
  <c r="E45" i="69"/>
  <c r="E98" i="69" s="1"/>
  <c r="Q48" i="43"/>
  <c r="BA45" i="68"/>
  <c r="BA98" i="68" s="1"/>
  <c r="M48" i="38"/>
  <c r="B45" i="68"/>
  <c r="M48" i="40"/>
  <c r="D45" i="68"/>
  <c r="D98" i="68" s="1"/>
  <c r="R97" i="69"/>
  <c r="U48" i="59"/>
  <c r="BN45" i="69"/>
  <c r="M47" i="67"/>
  <c r="N44" i="68"/>
  <c r="N97" i="68" s="1"/>
  <c r="U49" i="43"/>
  <c r="CJ46" i="68"/>
  <c r="CJ99" i="68" s="1"/>
  <c r="AO97" i="69"/>
  <c r="AS97" i="69" s="1"/>
  <c r="Q48" i="42"/>
  <c r="AX45" i="68"/>
  <c r="AX98" i="68" s="1"/>
  <c r="N116" i="56"/>
  <c r="N86" i="56"/>
  <c r="M116" i="56"/>
  <c r="M86" i="56"/>
  <c r="BX45" i="68"/>
  <c r="BX98" i="68" s="1"/>
  <c r="U48" i="60"/>
  <c r="V96" i="69"/>
  <c r="CT96" i="68"/>
  <c r="DA96" i="68"/>
  <c r="T36" i="70"/>
  <c r="M48" i="39"/>
  <c r="C45" i="68"/>
  <c r="C98" i="68" s="1"/>
  <c r="Q48" i="64"/>
  <c r="AT45" i="68"/>
  <c r="AT98" i="68" s="1"/>
  <c r="M49" i="1"/>
  <c r="B46" i="69"/>
  <c r="M118" i="56"/>
  <c r="M88" i="56"/>
  <c r="E87" i="56"/>
  <c r="E117" i="56"/>
  <c r="AQ98" i="69"/>
  <c r="AR98" i="69" s="1"/>
  <c r="AR45" i="69"/>
  <c r="AB43" i="68"/>
  <c r="AH43" i="68" s="1"/>
  <c r="M48" i="35"/>
  <c r="F45" i="69"/>
  <c r="F98" i="69" s="1"/>
  <c r="B118" i="56"/>
  <c r="B88" i="56"/>
  <c r="Q48" i="61"/>
  <c r="AP45" i="68"/>
  <c r="AP98" i="68" s="1"/>
  <c r="V43" i="69"/>
  <c r="B98" i="69"/>
  <c r="AW97" i="69"/>
  <c r="BL44" i="69"/>
  <c r="B37" i="92" s="1"/>
  <c r="BT46" i="68"/>
  <c r="BT99" i="68" s="1"/>
  <c r="U49" i="38"/>
  <c r="E35" i="70"/>
  <c r="Q50" i="62"/>
  <c r="AS47" i="68"/>
  <c r="AS100" i="68" s="1"/>
  <c r="U48" i="39"/>
  <c r="BU45" i="68"/>
  <c r="BU98" i="68" s="1"/>
  <c r="BV45" i="68"/>
  <c r="BV98" i="68" s="1"/>
  <c r="U48" i="40"/>
  <c r="M48" i="60"/>
  <c r="F45" i="68"/>
  <c r="F98" i="68" s="1"/>
  <c r="Z98" i="69"/>
  <c r="AO98" i="69" s="1"/>
  <c r="AO45" i="69"/>
  <c r="AW46" i="68"/>
  <c r="AW99" i="68" s="1"/>
  <c r="Q49" i="67"/>
  <c r="U49" i="65"/>
  <c r="CD46" i="68"/>
  <c r="CD99" i="68" s="1"/>
  <c r="Q49" i="66"/>
  <c r="AV46" i="68"/>
  <c r="AV99" i="68" s="1"/>
  <c r="U48" i="36"/>
  <c r="BB45" i="69"/>
  <c r="BB98" i="69" s="1"/>
  <c r="Q49" i="59"/>
  <c r="AQ46" i="69"/>
  <c r="U49" i="67"/>
  <c r="CF46" i="68"/>
  <c r="CF99" i="68" s="1"/>
  <c r="AB96" i="68"/>
  <c r="AH96" i="68" s="1"/>
  <c r="M49" i="23"/>
  <c r="D46" i="69"/>
  <c r="D99" i="69" s="1"/>
  <c r="M48" i="66"/>
  <c r="M45" i="68"/>
  <c r="M98" i="68" s="1"/>
  <c r="D35" i="92"/>
  <c r="C35" i="92"/>
  <c r="CZ42" i="68"/>
  <c r="AM97" i="68"/>
  <c r="BK97" i="68" s="1"/>
  <c r="BQ97" i="68" s="1"/>
  <c r="BK44" i="68"/>
  <c r="BQ44" i="68" s="1"/>
  <c r="Q49" i="39" l="1"/>
  <c r="AL46" i="68"/>
  <c r="AL99" i="68" s="1"/>
  <c r="T98" i="69"/>
  <c r="U98" i="69" s="1"/>
  <c r="U45" i="69"/>
  <c r="K38" i="92" s="1"/>
  <c r="Q49" i="23"/>
  <c r="AA46" i="69"/>
  <c r="AA99" i="69" s="1"/>
  <c r="AV46" i="69"/>
  <c r="AV99" i="69" s="1"/>
  <c r="U49" i="1"/>
  <c r="I45" i="69"/>
  <c r="I98" i="69" s="1"/>
  <c r="M48" i="37"/>
  <c r="U49" i="23"/>
  <c r="AX46" i="69"/>
  <c r="AX99" i="69" s="1"/>
  <c r="C46" i="69"/>
  <c r="C99" i="69" s="1"/>
  <c r="M49" i="4"/>
  <c r="Q50" i="1"/>
  <c r="Y47" i="69"/>
  <c r="Y100" i="69" s="1"/>
  <c r="M49" i="59"/>
  <c r="T46" i="69"/>
  <c r="Q50" i="38"/>
  <c r="AK47" i="68"/>
  <c r="AK100" i="68" s="1"/>
  <c r="M48" i="65"/>
  <c r="L45" i="68"/>
  <c r="L98" i="68" s="1"/>
  <c r="U49" i="7"/>
  <c r="AY46" i="69"/>
  <c r="AY99" i="69" s="1"/>
  <c r="M49" i="62"/>
  <c r="J46" i="68"/>
  <c r="J99" i="68" s="1"/>
  <c r="U48" i="64"/>
  <c r="CC45" i="68"/>
  <c r="CC98" i="68" s="1"/>
  <c r="CX98" i="68"/>
  <c r="CY98" i="68" s="1"/>
  <c r="CY45" i="68"/>
  <c r="M49" i="61"/>
  <c r="G46" i="68"/>
  <c r="G99" i="68" s="1"/>
  <c r="M48" i="41"/>
  <c r="E45" i="68"/>
  <c r="E98" i="68" s="1"/>
  <c r="U48" i="37"/>
  <c r="BC45" i="69"/>
  <c r="BC98" i="69" s="1"/>
  <c r="Q49" i="41"/>
  <c r="AN46" i="68"/>
  <c r="AN99" i="68" s="1"/>
  <c r="R37" i="70"/>
  <c r="U37" i="70" s="1"/>
  <c r="K37" i="70"/>
  <c r="H45" i="69"/>
  <c r="H98" i="69" s="1"/>
  <c r="M48" i="36"/>
  <c r="M48" i="64"/>
  <c r="K45" i="68"/>
  <c r="K98" i="68" s="1"/>
  <c r="CX46" i="68"/>
  <c r="U49" i="63"/>
  <c r="AZ46" i="69"/>
  <c r="AZ99" i="69" s="1"/>
  <c r="U49" i="35"/>
  <c r="U48" i="44"/>
  <c r="CL45" i="68"/>
  <c r="CL98" i="68" s="1"/>
  <c r="AC49" i="69"/>
  <c r="AC102" i="69" s="1"/>
  <c r="Q52" i="35"/>
  <c r="U48" i="42"/>
  <c r="CG45" i="68"/>
  <c r="CG98" i="68" s="1"/>
  <c r="DA98" i="68" s="1"/>
  <c r="R98" i="69"/>
  <c r="N35" i="70"/>
  <c r="H118" i="56"/>
  <c r="E36" i="92"/>
  <c r="H36" i="92"/>
  <c r="N36" i="92" s="1"/>
  <c r="E35" i="92"/>
  <c r="R45" i="69"/>
  <c r="AQ99" i="69"/>
  <c r="AR99" i="69" s="1"/>
  <c r="AR46" i="69"/>
  <c r="Q50" i="67"/>
  <c r="AW47" i="68"/>
  <c r="AW100" i="68" s="1"/>
  <c r="Q51" i="62"/>
  <c r="AS48" i="68"/>
  <c r="AS101" i="68" s="1"/>
  <c r="V98" i="69"/>
  <c r="Q49" i="61"/>
  <c r="AP46" i="68"/>
  <c r="AP99" i="68" s="1"/>
  <c r="M49" i="35"/>
  <c r="F46" i="69"/>
  <c r="F99" i="69" s="1"/>
  <c r="M50" i="1"/>
  <c r="B47" i="69"/>
  <c r="Q49" i="64"/>
  <c r="AT46" i="68"/>
  <c r="AT99" i="68" s="1"/>
  <c r="CJ47" i="68"/>
  <c r="CJ100" i="68" s="1"/>
  <c r="U50" i="43"/>
  <c r="U49" i="59"/>
  <c r="BN46" i="69"/>
  <c r="U48" i="66"/>
  <c r="CE45" i="68"/>
  <c r="CE98" i="68" s="1"/>
  <c r="M36" i="70"/>
  <c r="BP44" i="69"/>
  <c r="V44" i="69"/>
  <c r="M49" i="44"/>
  <c r="T46" i="68"/>
  <c r="T99" i="68" s="1"/>
  <c r="BV96" i="69"/>
  <c r="U49" i="4"/>
  <c r="AW46" i="69"/>
  <c r="Q51" i="65"/>
  <c r="AU48" i="68"/>
  <c r="AU101" i="68" s="1"/>
  <c r="M49" i="66"/>
  <c r="M46" i="68"/>
  <c r="M99" i="68" s="1"/>
  <c r="Q50" i="59"/>
  <c r="AQ47" i="69"/>
  <c r="Q50" i="66"/>
  <c r="AV47" i="68"/>
  <c r="AV100" i="68" s="1"/>
  <c r="M49" i="60"/>
  <c r="F46" i="68"/>
  <c r="F99" i="68" s="1"/>
  <c r="C36" i="70"/>
  <c r="D36" i="70"/>
  <c r="CZ96" i="68"/>
  <c r="DB96" i="68" s="1"/>
  <c r="Q49" i="42"/>
  <c r="AX46" i="68"/>
  <c r="AX99" i="68" s="1"/>
  <c r="M49" i="40"/>
  <c r="D46" i="68"/>
  <c r="D99" i="68" s="1"/>
  <c r="BA46" i="68"/>
  <c r="BA99" i="68" s="1"/>
  <c r="Q49" i="43"/>
  <c r="M49" i="7"/>
  <c r="E46" i="69"/>
  <c r="E99" i="69" s="1"/>
  <c r="M50" i="42"/>
  <c r="O47" i="68"/>
  <c r="O100" i="68" s="1"/>
  <c r="U49" i="41"/>
  <c r="BW46" i="68"/>
  <c r="BW99" i="68" s="1"/>
  <c r="G37" i="92"/>
  <c r="M37" i="92" s="1"/>
  <c r="M49" i="43"/>
  <c r="R46" i="68"/>
  <c r="R99" i="68" s="1"/>
  <c r="AB44" i="68"/>
  <c r="AH44" i="68" s="1"/>
  <c r="Z99" i="69"/>
  <c r="CB47" i="68"/>
  <c r="CB100" i="68" s="1"/>
  <c r="U50" i="62"/>
  <c r="Q49" i="37"/>
  <c r="AF46" i="69"/>
  <c r="AF99" i="69" s="1"/>
  <c r="Q49" i="7"/>
  <c r="AB46" i="69"/>
  <c r="AB99" i="69" s="1"/>
  <c r="Q49" i="36"/>
  <c r="AE46" i="69"/>
  <c r="AE99" i="69" s="1"/>
  <c r="M50" i="23"/>
  <c r="D47" i="69"/>
  <c r="D100" i="69" s="1"/>
  <c r="BV46" i="68"/>
  <c r="BV99" i="68" s="1"/>
  <c r="U49" i="40"/>
  <c r="BU46" i="68"/>
  <c r="U49" i="39"/>
  <c r="BL97" i="69"/>
  <c r="B37" i="70" s="1"/>
  <c r="BT97" i="69"/>
  <c r="BV97" i="69" s="1"/>
  <c r="AS45" i="69"/>
  <c r="J38" i="92"/>
  <c r="BX46" i="68"/>
  <c r="BX99" i="68" s="1"/>
  <c r="U49" i="60"/>
  <c r="G37" i="70"/>
  <c r="M48" i="67"/>
  <c r="N45" i="68"/>
  <c r="N98" i="68" s="1"/>
  <c r="B98" i="68"/>
  <c r="AB45" i="68"/>
  <c r="AH45" i="68" s="1"/>
  <c r="AM98" i="68"/>
  <c r="BY97" i="68"/>
  <c r="CT97" i="68" s="1"/>
  <c r="CT44" i="68"/>
  <c r="E88" i="56"/>
  <c r="E118" i="56"/>
  <c r="AB97" i="68"/>
  <c r="AH97" i="68" s="1"/>
  <c r="Q50" i="4"/>
  <c r="Z47" i="69"/>
  <c r="AS44" i="69"/>
  <c r="N118" i="56"/>
  <c r="N88" i="56"/>
  <c r="BP96" i="69"/>
  <c r="BU96" i="69" s="1"/>
  <c r="T37" i="70"/>
  <c r="CF47" i="68"/>
  <c r="CF100" i="68" s="1"/>
  <c r="U50" i="67"/>
  <c r="U49" i="36"/>
  <c r="BB46" i="69"/>
  <c r="BB99" i="69" s="1"/>
  <c r="CD47" i="68"/>
  <c r="CD100" i="68" s="1"/>
  <c r="U50" i="65"/>
  <c r="BT47" i="68"/>
  <c r="BT100" i="68" s="1"/>
  <c r="U50" i="38"/>
  <c r="Q38" i="70"/>
  <c r="J38" i="70"/>
  <c r="AS98" i="69"/>
  <c r="B99" i="69"/>
  <c r="M49" i="39"/>
  <c r="C46" i="68"/>
  <c r="C99" i="68" s="1"/>
  <c r="H36" i="70"/>
  <c r="BN98" i="69"/>
  <c r="BO98" i="69" s="1"/>
  <c r="BO45" i="69"/>
  <c r="V97" i="69"/>
  <c r="M49" i="38"/>
  <c r="B46" i="68"/>
  <c r="AM46" i="68"/>
  <c r="Q49" i="40"/>
  <c r="Q48" i="44"/>
  <c r="BC45" i="68"/>
  <c r="BC98" i="68" s="1"/>
  <c r="U48" i="61"/>
  <c r="BY45" i="68"/>
  <c r="BY98" i="68" s="1"/>
  <c r="CT98" i="68" s="1"/>
  <c r="Q49" i="60"/>
  <c r="AO46" i="68"/>
  <c r="AO99" i="68" s="1"/>
  <c r="AW98" i="69"/>
  <c r="BL45" i="69"/>
  <c r="B38" i="92" s="1"/>
  <c r="M49" i="64" l="1"/>
  <c r="K46" i="68"/>
  <c r="K99" i="68" s="1"/>
  <c r="U49" i="37"/>
  <c r="BC46" i="69"/>
  <c r="BC99" i="69" s="1"/>
  <c r="AV47" i="69"/>
  <c r="AV100" i="69" s="1"/>
  <c r="U50" i="1"/>
  <c r="U50" i="63"/>
  <c r="CX47" i="68"/>
  <c r="M49" i="36"/>
  <c r="H46" i="69"/>
  <c r="H99" i="69" s="1"/>
  <c r="M50" i="61"/>
  <c r="G47" i="68"/>
  <c r="G100" i="68" s="1"/>
  <c r="U49" i="64"/>
  <c r="CC46" i="68"/>
  <c r="CC99" i="68" s="1"/>
  <c r="AY47" i="69"/>
  <c r="AY100" i="69" s="1"/>
  <c r="U50" i="7"/>
  <c r="Q51" i="38"/>
  <c r="AK48" i="68"/>
  <c r="AK101" i="68" s="1"/>
  <c r="Q51" i="1"/>
  <c r="Y48" i="69"/>
  <c r="Y101" i="69" s="1"/>
  <c r="U50" i="23"/>
  <c r="AX47" i="69"/>
  <c r="AX100" i="69" s="1"/>
  <c r="R38" i="70"/>
  <c r="K38" i="70"/>
  <c r="CG46" i="68"/>
  <c r="CG99" i="68" s="1"/>
  <c r="U49" i="42"/>
  <c r="U49" i="44"/>
  <c r="CL46" i="68"/>
  <c r="CL99" i="68" s="1"/>
  <c r="CX99" i="68"/>
  <c r="CY99" i="68" s="1"/>
  <c r="CY46" i="68"/>
  <c r="AN47" i="68"/>
  <c r="AN100" i="68" s="1"/>
  <c r="Q50" i="41"/>
  <c r="E46" i="68"/>
  <c r="E99" i="68" s="1"/>
  <c r="M49" i="41"/>
  <c r="T99" i="69"/>
  <c r="U99" i="69" s="1"/>
  <c r="U46" i="69"/>
  <c r="K39" i="92" s="1"/>
  <c r="M50" i="4"/>
  <c r="C47" i="69"/>
  <c r="C100" i="69" s="1"/>
  <c r="M49" i="37"/>
  <c r="I46" i="69"/>
  <c r="I99" i="69" s="1"/>
  <c r="R99" i="69" s="1"/>
  <c r="V99" i="69" s="1"/>
  <c r="Q53" i="35"/>
  <c r="AC50" i="69"/>
  <c r="AC103" i="69" s="1"/>
  <c r="U50" i="35"/>
  <c r="AZ47" i="69"/>
  <c r="AZ100" i="69" s="1"/>
  <c r="M50" i="62"/>
  <c r="J47" i="68"/>
  <c r="J100" i="68" s="1"/>
  <c r="M49" i="65"/>
  <c r="L46" i="68"/>
  <c r="L99" i="68" s="1"/>
  <c r="T47" i="69"/>
  <c r="M50" i="59"/>
  <c r="Q50" i="23"/>
  <c r="AA47" i="69"/>
  <c r="AA100" i="69" s="1"/>
  <c r="Q50" i="39"/>
  <c r="AL47" i="68"/>
  <c r="AL100" i="68" s="1"/>
  <c r="AB98" i="68"/>
  <c r="AH98" i="68" s="1"/>
  <c r="E36" i="70"/>
  <c r="BW96" i="69"/>
  <c r="H37" i="70"/>
  <c r="H38" i="92"/>
  <c r="N38" i="92" s="1"/>
  <c r="V45" i="69"/>
  <c r="Q49" i="44"/>
  <c r="BC46" i="68"/>
  <c r="BC99" i="68" s="1"/>
  <c r="U50" i="36"/>
  <c r="BB47" i="69"/>
  <c r="BB100" i="69" s="1"/>
  <c r="Z100" i="69"/>
  <c r="C37" i="70"/>
  <c r="D37" i="70"/>
  <c r="CZ97" i="68"/>
  <c r="DB97" i="68" s="1"/>
  <c r="AO46" i="69"/>
  <c r="BW47" i="68"/>
  <c r="BW100" i="68" s="1"/>
  <c r="U50" i="41"/>
  <c r="M51" i="42"/>
  <c r="O48" i="68"/>
  <c r="O101" i="68" s="1"/>
  <c r="Q51" i="66"/>
  <c r="AV48" i="68"/>
  <c r="AV101" i="68" s="1"/>
  <c r="Q52" i="65"/>
  <c r="AU49" i="68"/>
  <c r="AU102" i="68" s="1"/>
  <c r="CE46" i="68"/>
  <c r="CE99" i="68" s="1"/>
  <c r="U49" i="66"/>
  <c r="Q50" i="64"/>
  <c r="AT47" i="68"/>
  <c r="AT100" i="68" s="1"/>
  <c r="Q51" i="67"/>
  <c r="AW48" i="68"/>
  <c r="AW101" i="68" s="1"/>
  <c r="Q39" i="70"/>
  <c r="J39" i="70"/>
  <c r="Q50" i="60"/>
  <c r="AO47" i="68"/>
  <c r="AO100" i="68" s="1"/>
  <c r="B99" i="68"/>
  <c r="BP45" i="69"/>
  <c r="U51" i="38"/>
  <c r="BT48" i="68"/>
  <c r="BT101" i="68" s="1"/>
  <c r="U51" i="65"/>
  <c r="CD48" i="68"/>
  <c r="CD101" i="68" s="1"/>
  <c r="U51" i="67"/>
  <c r="CF48" i="68"/>
  <c r="CF101" i="68" s="1"/>
  <c r="Q51" i="4"/>
  <c r="Z48" i="69"/>
  <c r="BK45" i="68"/>
  <c r="M49" i="67"/>
  <c r="N46" i="68"/>
  <c r="N99" i="68" s="1"/>
  <c r="BU47" i="68"/>
  <c r="U50" i="39"/>
  <c r="Q50" i="36"/>
  <c r="AE47" i="69"/>
  <c r="AE100" i="69" s="1"/>
  <c r="AO99" i="69"/>
  <c r="M50" i="43"/>
  <c r="R47" i="68"/>
  <c r="R100" i="68" s="1"/>
  <c r="AQ100" i="69"/>
  <c r="AR100" i="69" s="1"/>
  <c r="AR47" i="69"/>
  <c r="AW99" i="69"/>
  <c r="BL46" i="69"/>
  <c r="B39" i="92" s="1"/>
  <c r="M50" i="44"/>
  <c r="T47" i="68"/>
  <c r="T100" i="68" s="1"/>
  <c r="BN99" i="69"/>
  <c r="BO99" i="69" s="1"/>
  <c r="BO46" i="69"/>
  <c r="B100" i="69"/>
  <c r="CT45" i="68"/>
  <c r="Q50" i="61"/>
  <c r="AP47" i="68"/>
  <c r="AP100" i="68" s="1"/>
  <c r="C38" i="70"/>
  <c r="D38" i="70"/>
  <c r="CZ98" i="68"/>
  <c r="DB98" i="68" s="1"/>
  <c r="Q50" i="40"/>
  <c r="AM47" i="68"/>
  <c r="M50" i="38"/>
  <c r="B47" i="68"/>
  <c r="T38" i="70"/>
  <c r="BK98" i="68"/>
  <c r="M37" i="70"/>
  <c r="BU99" i="68"/>
  <c r="CB48" i="68"/>
  <c r="CB101" i="68" s="1"/>
  <c r="U51" i="62"/>
  <c r="M50" i="7"/>
  <c r="E47" i="69"/>
  <c r="E100" i="69" s="1"/>
  <c r="M50" i="40"/>
  <c r="D47" i="68"/>
  <c r="D100" i="68" s="1"/>
  <c r="Q50" i="42"/>
  <c r="AX47" i="68"/>
  <c r="AX100" i="68" s="1"/>
  <c r="M50" i="60"/>
  <c r="F47" i="68"/>
  <c r="F100" i="68" s="1"/>
  <c r="Q51" i="59"/>
  <c r="AQ48" i="69"/>
  <c r="M50" i="66"/>
  <c r="M47" i="68"/>
  <c r="M100" i="68" s="1"/>
  <c r="U50" i="4"/>
  <c r="AW47" i="69"/>
  <c r="BN47" i="69"/>
  <c r="U50" i="59"/>
  <c r="M51" i="1"/>
  <c r="B48" i="69"/>
  <c r="Q52" i="62"/>
  <c r="AS49" i="68"/>
  <c r="AS102" i="68" s="1"/>
  <c r="BL98" i="69"/>
  <c r="B38" i="70" s="1"/>
  <c r="BT98" i="69"/>
  <c r="BV98" i="69" s="1"/>
  <c r="U49" i="61"/>
  <c r="BY46" i="68"/>
  <c r="BY99" i="68" s="1"/>
  <c r="AM99" i="68"/>
  <c r="BK99" i="68" s="1"/>
  <c r="BQ99" i="68" s="1"/>
  <c r="BK46" i="68"/>
  <c r="N36" i="70"/>
  <c r="M50" i="39"/>
  <c r="C47" i="68"/>
  <c r="C100" i="68" s="1"/>
  <c r="D37" i="92"/>
  <c r="C37" i="92"/>
  <c r="CZ44" i="68"/>
  <c r="U50" i="60"/>
  <c r="BX47" i="68"/>
  <c r="BX100" i="68" s="1"/>
  <c r="U50" i="40"/>
  <c r="BV47" i="68"/>
  <c r="BV100" i="68" s="1"/>
  <c r="M51" i="23"/>
  <c r="D48" i="69"/>
  <c r="D101" i="69" s="1"/>
  <c r="Q50" i="7"/>
  <c r="AB47" i="69"/>
  <c r="AB100" i="69" s="1"/>
  <c r="Q50" i="37"/>
  <c r="AF47" i="69"/>
  <c r="AF100" i="69" s="1"/>
  <c r="BP97" i="69"/>
  <c r="BU97" i="69" s="1"/>
  <c r="BA47" i="68"/>
  <c r="BA100" i="68" s="1"/>
  <c r="Q50" i="43"/>
  <c r="H37" i="92"/>
  <c r="N37" i="92" s="1"/>
  <c r="CJ48" i="68"/>
  <c r="CJ101" i="68" s="1"/>
  <c r="U51" i="43"/>
  <c r="M50" i="35"/>
  <c r="F47" i="69"/>
  <c r="F100" i="69" s="1"/>
  <c r="H38" i="70"/>
  <c r="AS46" i="69"/>
  <c r="J39" i="92"/>
  <c r="Q51" i="23" l="1"/>
  <c r="AA48" i="69"/>
  <c r="AA101" i="69" s="1"/>
  <c r="L47" i="68"/>
  <c r="L100" i="68" s="1"/>
  <c r="M50" i="65"/>
  <c r="AZ48" i="69"/>
  <c r="AZ101" i="69" s="1"/>
  <c r="U51" i="35"/>
  <c r="Q51" i="41"/>
  <c r="AN48" i="68"/>
  <c r="AN101" i="68" s="1"/>
  <c r="U51" i="7"/>
  <c r="AY48" i="69"/>
  <c r="AY101" i="69" s="1"/>
  <c r="CX100" i="68"/>
  <c r="CY100" i="68" s="1"/>
  <c r="CY47" i="68"/>
  <c r="M51" i="59"/>
  <c r="T48" i="69"/>
  <c r="M50" i="37"/>
  <c r="I47" i="69"/>
  <c r="I100" i="69" s="1"/>
  <c r="K39" i="70"/>
  <c r="R39" i="70"/>
  <c r="U39" i="70" s="1"/>
  <c r="U50" i="44"/>
  <c r="CL47" i="68"/>
  <c r="CL100" i="68" s="1"/>
  <c r="U38" i="70"/>
  <c r="Y49" i="69"/>
  <c r="Y102" i="69" s="1"/>
  <c r="Q52" i="1"/>
  <c r="M51" i="61"/>
  <c r="G48" i="68"/>
  <c r="G101" i="68" s="1"/>
  <c r="CX48" i="68"/>
  <c r="U51" i="63"/>
  <c r="U50" i="37"/>
  <c r="BC47" i="69"/>
  <c r="BC100" i="69" s="1"/>
  <c r="R46" i="69"/>
  <c r="V46" i="69" s="1"/>
  <c r="Q51" i="39"/>
  <c r="AL48" i="68"/>
  <c r="AL101" i="68" s="1"/>
  <c r="T100" i="69"/>
  <c r="U100" i="69" s="1"/>
  <c r="U47" i="69"/>
  <c r="K40" i="92" s="1"/>
  <c r="J48" i="68"/>
  <c r="J101" i="68" s="1"/>
  <c r="M51" i="62"/>
  <c r="AC51" i="69"/>
  <c r="AC104" i="69" s="1"/>
  <c r="Q54" i="35"/>
  <c r="AC52" i="69" s="1"/>
  <c r="AC105" i="69" s="1"/>
  <c r="M50" i="41"/>
  <c r="E47" i="68"/>
  <c r="E100" i="68" s="1"/>
  <c r="U50" i="42"/>
  <c r="CG47" i="68"/>
  <c r="CG100" i="68" s="1"/>
  <c r="AV48" i="69"/>
  <c r="AV101" i="69" s="1"/>
  <c r="U51" i="1"/>
  <c r="M51" i="4"/>
  <c r="C48" i="69"/>
  <c r="C101" i="69" s="1"/>
  <c r="U51" i="23"/>
  <c r="AX48" i="69"/>
  <c r="AX101" i="69" s="1"/>
  <c r="Q52" i="38"/>
  <c r="AK49" i="68"/>
  <c r="AK102" i="68" s="1"/>
  <c r="U50" i="64"/>
  <c r="CC47" i="68"/>
  <c r="CC100" i="68" s="1"/>
  <c r="M50" i="36"/>
  <c r="H47" i="69"/>
  <c r="H100" i="69" s="1"/>
  <c r="M50" i="64"/>
  <c r="K47" i="68"/>
  <c r="K100" i="68" s="1"/>
  <c r="BW97" i="69"/>
  <c r="N37" i="70"/>
  <c r="E37" i="92"/>
  <c r="BP46" i="69"/>
  <c r="M52" i="23"/>
  <c r="D49" i="69"/>
  <c r="D102" i="69" s="1"/>
  <c r="U50" i="61"/>
  <c r="BY47" i="68"/>
  <c r="BY100" i="68" s="1"/>
  <c r="M51" i="35"/>
  <c r="F48" i="69"/>
  <c r="F101" i="69" s="1"/>
  <c r="Q51" i="7"/>
  <c r="AB48" i="69"/>
  <c r="AB101" i="69" s="1"/>
  <c r="BV48" i="68"/>
  <c r="BV101" i="68" s="1"/>
  <c r="U51" i="40"/>
  <c r="F19" i="105"/>
  <c r="E19" i="105"/>
  <c r="BQ46" i="68"/>
  <c r="E38" i="70"/>
  <c r="AW100" i="69"/>
  <c r="BL47" i="69"/>
  <c r="B40" i="92" s="1"/>
  <c r="S30" i="92" s="1"/>
  <c r="AQ101" i="69"/>
  <c r="AR101" i="69" s="1"/>
  <c r="AR48" i="69"/>
  <c r="CB49" i="68"/>
  <c r="CB102" i="68" s="1"/>
  <c r="U52" i="62"/>
  <c r="BQ98" i="68"/>
  <c r="G38" i="70"/>
  <c r="AM100" i="68"/>
  <c r="R47" i="69"/>
  <c r="J40" i="92"/>
  <c r="G39" i="70"/>
  <c r="BU48" i="68"/>
  <c r="BU101" i="68" s="1"/>
  <c r="U51" i="39"/>
  <c r="BQ45" i="68"/>
  <c r="G38" i="92"/>
  <c r="M38" i="92" s="1"/>
  <c r="CF49" i="68"/>
  <c r="CF102" i="68" s="1"/>
  <c r="U52" i="67"/>
  <c r="U52" i="38"/>
  <c r="BT49" i="68"/>
  <c r="BT102" i="68" s="1"/>
  <c r="AB46" i="68"/>
  <c r="AS99" i="69"/>
  <c r="Q52" i="67"/>
  <c r="AW49" i="68"/>
  <c r="AW102" i="68" s="1"/>
  <c r="Q51" i="64"/>
  <c r="AT48" i="68"/>
  <c r="AT101" i="68" s="1"/>
  <c r="Q53" i="65"/>
  <c r="AU50" i="68"/>
  <c r="AU103" i="68" s="1"/>
  <c r="Q52" i="66"/>
  <c r="AV49" i="68"/>
  <c r="AV102" i="68" s="1"/>
  <c r="D19" i="105"/>
  <c r="G39" i="92"/>
  <c r="AO100" i="69"/>
  <c r="AT100" i="69" s="1"/>
  <c r="U51" i="36"/>
  <c r="BB48" i="69"/>
  <c r="BB101" i="69" s="1"/>
  <c r="N38" i="70"/>
  <c r="Q51" i="43"/>
  <c r="BA48" i="68"/>
  <c r="BA101" i="68" s="1"/>
  <c r="BX48" i="68"/>
  <c r="BX101" i="68" s="1"/>
  <c r="U51" i="60"/>
  <c r="U52" i="43"/>
  <c r="CJ49" i="68"/>
  <c r="CJ102" i="68" s="1"/>
  <c r="M51" i="39"/>
  <c r="C48" i="68"/>
  <c r="C101" i="68" s="1"/>
  <c r="Q53" i="62"/>
  <c r="AS50" i="68"/>
  <c r="AS103" i="68" s="1"/>
  <c r="U51" i="4"/>
  <c r="AW48" i="69"/>
  <c r="Q52" i="59"/>
  <c r="AQ49" i="69"/>
  <c r="Q51" i="42"/>
  <c r="AX48" i="68"/>
  <c r="AX101" i="68" s="1"/>
  <c r="M51" i="7"/>
  <c r="E48" i="69"/>
  <c r="E101" i="69" s="1"/>
  <c r="BP98" i="69"/>
  <c r="BU98" i="69" s="1"/>
  <c r="BW98" i="69" s="1"/>
  <c r="Q51" i="40"/>
  <c r="AM48" i="68"/>
  <c r="R100" i="69"/>
  <c r="S35" i="92" s="1"/>
  <c r="M51" i="44"/>
  <c r="T48" i="68"/>
  <c r="T101" i="68" s="1"/>
  <c r="Q40" i="70"/>
  <c r="J40" i="70"/>
  <c r="BU100" i="68"/>
  <c r="Z101" i="69"/>
  <c r="AB99" i="68"/>
  <c r="U50" i="66"/>
  <c r="CE47" i="68"/>
  <c r="CE100" i="68" s="1"/>
  <c r="M52" i="42"/>
  <c r="O49" i="68"/>
  <c r="O102" i="68" s="1"/>
  <c r="B101" i="69"/>
  <c r="U51" i="59"/>
  <c r="BN48" i="69"/>
  <c r="CT46" i="68"/>
  <c r="B100" i="68"/>
  <c r="Q51" i="61"/>
  <c r="AP48" i="68"/>
  <c r="AP101" i="68" s="1"/>
  <c r="D18" i="105"/>
  <c r="Q52" i="4"/>
  <c r="Z49" i="69"/>
  <c r="CD49" i="68"/>
  <c r="CD102" i="68" s="1"/>
  <c r="U52" i="65"/>
  <c r="T39" i="70"/>
  <c r="U51" i="41"/>
  <c r="BW48" i="68"/>
  <c r="BW101" i="68" s="1"/>
  <c r="Q51" i="37"/>
  <c r="AF48" i="69"/>
  <c r="AF101" i="69" s="1"/>
  <c r="M52" i="1"/>
  <c r="B49" i="69"/>
  <c r="BN100" i="69"/>
  <c r="BO100" i="69" s="1"/>
  <c r="BO47" i="69"/>
  <c r="M51" i="66"/>
  <c r="M48" i="68"/>
  <c r="M101" i="68" s="1"/>
  <c r="M51" i="60"/>
  <c r="F48" i="68"/>
  <c r="F101" i="68" s="1"/>
  <c r="M51" i="40"/>
  <c r="D48" i="68"/>
  <c r="D101" i="68" s="1"/>
  <c r="CT99" i="68"/>
  <c r="DA99" i="68"/>
  <c r="M51" i="38"/>
  <c r="B48" i="68"/>
  <c r="C38" i="92"/>
  <c r="D38" i="92"/>
  <c r="CZ45" i="68"/>
  <c r="BL99" i="69"/>
  <c r="B39" i="70" s="1"/>
  <c r="BT99" i="69"/>
  <c r="M51" i="43"/>
  <c r="R48" i="68"/>
  <c r="R101" i="68" s="1"/>
  <c r="Q51" i="36"/>
  <c r="AE48" i="69"/>
  <c r="AE101" i="69" s="1"/>
  <c r="M50" i="67"/>
  <c r="N47" i="68"/>
  <c r="N100" i="68" s="1"/>
  <c r="Q51" i="60"/>
  <c r="AO48" i="68"/>
  <c r="AO101" i="68" s="1"/>
  <c r="E37" i="70"/>
  <c r="AO47" i="69"/>
  <c r="Q50" i="44"/>
  <c r="BC47" i="68"/>
  <c r="BC100" i="68" s="1"/>
  <c r="AV49" i="69" l="1"/>
  <c r="AV102" i="69" s="1"/>
  <c r="U52" i="1"/>
  <c r="M52" i="62"/>
  <c r="J49" i="68"/>
  <c r="J102" i="68" s="1"/>
  <c r="U51" i="37"/>
  <c r="BC48" i="69"/>
  <c r="BC101" i="69" s="1"/>
  <c r="M52" i="61"/>
  <c r="G49" i="68"/>
  <c r="G102" i="68" s="1"/>
  <c r="L48" i="68"/>
  <c r="L101" i="68" s="1"/>
  <c r="M51" i="65"/>
  <c r="K48" i="68"/>
  <c r="K101" i="68" s="1"/>
  <c r="M51" i="64"/>
  <c r="U51" i="64"/>
  <c r="CC48" i="68"/>
  <c r="CC101" i="68" s="1"/>
  <c r="U52" i="23"/>
  <c r="AX49" i="69"/>
  <c r="AX102" i="69" s="1"/>
  <c r="M51" i="41"/>
  <c r="E48" i="68"/>
  <c r="E101" i="68" s="1"/>
  <c r="AL49" i="68"/>
  <c r="AL102" i="68" s="1"/>
  <c r="Q52" i="39"/>
  <c r="U52" i="63"/>
  <c r="CX49" i="68"/>
  <c r="Y50" i="69"/>
  <c r="Y103" i="69" s="1"/>
  <c r="Q53" i="1"/>
  <c r="U51" i="44"/>
  <c r="CL48" i="68"/>
  <c r="CL101" i="68" s="1"/>
  <c r="I48" i="69"/>
  <c r="I101" i="69" s="1"/>
  <c r="M51" i="37"/>
  <c r="Q52" i="41"/>
  <c r="AN49" i="68"/>
  <c r="AN102" i="68" s="1"/>
  <c r="AS47" i="69"/>
  <c r="AT46" i="69"/>
  <c r="CX101" i="68"/>
  <c r="CY101" i="68" s="1"/>
  <c r="CY48" i="68"/>
  <c r="U48" i="69"/>
  <c r="K41" i="92" s="1"/>
  <c r="T101" i="69"/>
  <c r="U101" i="69" s="1"/>
  <c r="AZ49" i="69"/>
  <c r="AZ102" i="69" s="1"/>
  <c r="U52" i="35"/>
  <c r="M51" i="36"/>
  <c r="H48" i="69"/>
  <c r="H101" i="69" s="1"/>
  <c r="R101" i="69" s="1"/>
  <c r="V101" i="69" s="1"/>
  <c r="Q53" i="38"/>
  <c r="AK50" i="68"/>
  <c r="AK103" i="68" s="1"/>
  <c r="M52" i="4"/>
  <c r="C49" i="69"/>
  <c r="C102" i="69" s="1"/>
  <c r="CG48" i="68"/>
  <c r="CG101" i="68" s="1"/>
  <c r="DA101" i="68" s="1"/>
  <c r="U51" i="42"/>
  <c r="R40" i="70"/>
  <c r="K40" i="70"/>
  <c r="T49" i="69"/>
  <c r="M52" i="59"/>
  <c r="U52" i="7"/>
  <c r="AY49" i="69"/>
  <c r="AY102" i="69" s="1"/>
  <c r="Q52" i="23"/>
  <c r="AA49" i="69"/>
  <c r="AA102" i="69" s="1"/>
  <c r="R48" i="69"/>
  <c r="CT47" i="68"/>
  <c r="C40" i="92" s="1"/>
  <c r="S31" i="92" s="1"/>
  <c r="L23" i="105"/>
  <c r="E38" i="92"/>
  <c r="BP99" i="69"/>
  <c r="BU99" i="69" s="1"/>
  <c r="BP47" i="69"/>
  <c r="Q52" i="60"/>
  <c r="AO49" i="68"/>
  <c r="AO102" i="68" s="1"/>
  <c r="D39" i="70"/>
  <c r="C39" i="70"/>
  <c r="CZ99" i="68"/>
  <c r="DB99" i="68" s="1"/>
  <c r="M52" i="66"/>
  <c r="M49" i="68"/>
  <c r="M102" i="68" s="1"/>
  <c r="Q52" i="37"/>
  <c r="AF49" i="69"/>
  <c r="AF102" i="69" s="1"/>
  <c r="BN101" i="69"/>
  <c r="BO101" i="69" s="1"/>
  <c r="BO48" i="69"/>
  <c r="T40" i="70"/>
  <c r="AM101" i="68"/>
  <c r="M52" i="7"/>
  <c r="E49" i="69"/>
  <c r="E102" i="69" s="1"/>
  <c r="Q54" i="62"/>
  <c r="AS52" i="68" s="1"/>
  <c r="AS105" i="68" s="1"/>
  <c r="AS51" i="68"/>
  <c r="AS104" i="68" s="1"/>
  <c r="U52" i="60"/>
  <c r="BX49" i="68"/>
  <c r="BX102" i="68" s="1"/>
  <c r="AV50" i="68"/>
  <c r="AV103" i="68" s="1"/>
  <c r="Q53" i="66"/>
  <c r="M51" i="67"/>
  <c r="N48" i="68"/>
  <c r="N101" i="68" s="1"/>
  <c r="M52" i="43"/>
  <c r="R49" i="68"/>
  <c r="R102" i="68" s="1"/>
  <c r="M52" i="38"/>
  <c r="B49" i="68"/>
  <c r="Z102" i="69"/>
  <c r="BN49" i="69"/>
  <c r="U52" i="59"/>
  <c r="AH99" i="68"/>
  <c r="H39" i="70"/>
  <c r="DA100" i="68"/>
  <c r="CT100" i="68"/>
  <c r="Q52" i="40"/>
  <c r="AM49" i="68"/>
  <c r="AW101" i="69"/>
  <c r="BL48" i="69"/>
  <c r="B41" i="92" s="1"/>
  <c r="L24" i="105"/>
  <c r="M39" i="92"/>
  <c r="BU49" i="68"/>
  <c r="BU102" i="68" s="1"/>
  <c r="U52" i="39"/>
  <c r="CB50" i="68"/>
  <c r="CB103" i="68" s="1"/>
  <c r="U53" i="62"/>
  <c r="U52" i="40"/>
  <c r="BV49" i="68"/>
  <c r="BV102" i="68" s="1"/>
  <c r="B101" i="68"/>
  <c r="AB101" i="68" s="1"/>
  <c r="AH101" i="68" s="1"/>
  <c r="AB48" i="68"/>
  <c r="AH48" i="68" s="1"/>
  <c r="M52" i="40"/>
  <c r="D49" i="68"/>
  <c r="D102" i="68" s="1"/>
  <c r="M53" i="1"/>
  <c r="B50" i="69"/>
  <c r="AB100" i="68"/>
  <c r="AH100" i="68" s="1"/>
  <c r="CE48" i="68"/>
  <c r="CE101" i="68" s="1"/>
  <c r="U51" i="66"/>
  <c r="Q53" i="59"/>
  <c r="AQ50" i="69"/>
  <c r="BV99" i="69"/>
  <c r="M52" i="60"/>
  <c r="F49" i="68"/>
  <c r="F102" i="68" s="1"/>
  <c r="Q53" i="4"/>
  <c r="Z50" i="69"/>
  <c r="Q52" i="61"/>
  <c r="AP49" i="68"/>
  <c r="AP102" i="68" s="1"/>
  <c r="V48" i="69"/>
  <c r="M53" i="42"/>
  <c r="O50" i="68"/>
  <c r="O103" i="68" s="1"/>
  <c r="AO48" i="69"/>
  <c r="AS48" i="69" s="1"/>
  <c r="AS100" i="69"/>
  <c r="M52" i="44"/>
  <c r="T49" i="68"/>
  <c r="T102" i="68" s="1"/>
  <c r="Q52" i="42"/>
  <c r="AX49" i="68"/>
  <c r="AX102" i="68" s="1"/>
  <c r="U52" i="4"/>
  <c r="AW49" i="69"/>
  <c r="M52" i="39"/>
  <c r="C49" i="68"/>
  <c r="C102" i="68" s="1"/>
  <c r="Q54" i="65"/>
  <c r="AU52" i="68" s="1"/>
  <c r="AU105" i="68" s="1"/>
  <c r="AU51" i="68"/>
  <c r="AU104" i="68" s="1"/>
  <c r="Q53" i="67"/>
  <c r="AW50" i="68"/>
  <c r="AW103" i="68" s="1"/>
  <c r="BT50" i="68"/>
  <c r="BT103" i="68" s="1"/>
  <c r="U53" i="38"/>
  <c r="V47" i="69"/>
  <c r="BT100" i="69"/>
  <c r="BV100" i="69" s="1"/>
  <c r="BL100" i="69"/>
  <c r="B40" i="70" s="1"/>
  <c r="M52" i="35"/>
  <c r="F49" i="69"/>
  <c r="F102" i="69" s="1"/>
  <c r="Q51" i="44"/>
  <c r="BC48" i="68"/>
  <c r="BC101" i="68" s="1"/>
  <c r="AE49" i="69"/>
  <c r="AE102" i="69" s="1"/>
  <c r="Q52" i="36"/>
  <c r="B102" i="69"/>
  <c r="BW49" i="68"/>
  <c r="BW102" i="68" s="1"/>
  <c r="U52" i="41"/>
  <c r="U53" i="65"/>
  <c r="CD50" i="68"/>
  <c r="CD103" i="68" s="1"/>
  <c r="AB47" i="68"/>
  <c r="D39" i="92"/>
  <c r="F18" i="105" s="1"/>
  <c r="C39" i="92"/>
  <c r="CZ46" i="68"/>
  <c r="AO101" i="69"/>
  <c r="AS101" i="69" s="1"/>
  <c r="V100" i="69"/>
  <c r="AQ102" i="69"/>
  <c r="AR102" i="69" s="1"/>
  <c r="AR49" i="69"/>
  <c r="U53" i="43"/>
  <c r="CJ50" i="68"/>
  <c r="CJ103" i="68" s="1"/>
  <c r="Q52" i="43"/>
  <c r="BA49" i="68"/>
  <c r="BA102" i="68" s="1"/>
  <c r="U52" i="36"/>
  <c r="BB49" i="69"/>
  <c r="BB102" i="69" s="1"/>
  <c r="U53" i="67"/>
  <c r="CF50" i="68"/>
  <c r="CF103" i="68" s="1"/>
  <c r="M39" i="70"/>
  <c r="BK47" i="68"/>
  <c r="BQ47" i="68" s="1"/>
  <c r="M38" i="70"/>
  <c r="J41" i="92"/>
  <c r="AT49" i="68"/>
  <c r="AT102" i="68" s="1"/>
  <c r="Q52" i="64"/>
  <c r="AH46" i="68"/>
  <c r="H39" i="92"/>
  <c r="N39" i="92" s="1"/>
  <c r="BK100" i="68"/>
  <c r="BQ100" i="68" s="1"/>
  <c r="Q41" i="70"/>
  <c r="J41" i="70"/>
  <c r="Q52" i="7"/>
  <c r="AB49" i="69"/>
  <c r="AB102" i="69" s="1"/>
  <c r="U51" i="61"/>
  <c r="BY48" i="68"/>
  <c r="BY101" i="68" s="1"/>
  <c r="CT101" i="68" s="1"/>
  <c r="M53" i="23"/>
  <c r="D50" i="69"/>
  <c r="D103" i="69" s="1"/>
  <c r="M53" i="59" l="1"/>
  <c r="T50" i="69"/>
  <c r="U52" i="42"/>
  <c r="CG49" i="68"/>
  <c r="CG102" i="68" s="1"/>
  <c r="DA102" i="68" s="1"/>
  <c r="R41" i="70"/>
  <c r="U41" i="70" s="1"/>
  <c r="K41" i="70"/>
  <c r="I49" i="69"/>
  <c r="I102" i="69" s="1"/>
  <c r="M52" i="37"/>
  <c r="Y51" i="69"/>
  <c r="Y104" i="69" s="1"/>
  <c r="Q54" i="1"/>
  <c r="Y52" i="69" s="1"/>
  <c r="Y105" i="69" s="1"/>
  <c r="Q53" i="39"/>
  <c r="AL50" i="68"/>
  <c r="AL103" i="68" s="1"/>
  <c r="M52" i="64"/>
  <c r="K49" i="68"/>
  <c r="K102" i="68" s="1"/>
  <c r="Q53" i="23"/>
  <c r="AA50" i="69"/>
  <c r="AA103" i="69" s="1"/>
  <c r="T102" i="69"/>
  <c r="U102" i="69" s="1"/>
  <c r="U49" i="69"/>
  <c r="K42" i="92" s="1"/>
  <c r="AK51" i="68"/>
  <c r="AK104" i="68" s="1"/>
  <c r="Q54" i="38"/>
  <c r="AK52" i="68" s="1"/>
  <c r="AK105" i="68" s="1"/>
  <c r="AX50" i="69"/>
  <c r="AX103" i="69" s="1"/>
  <c r="U53" i="23"/>
  <c r="M53" i="61"/>
  <c r="G50" i="68"/>
  <c r="G103" i="68" s="1"/>
  <c r="M53" i="62"/>
  <c r="J50" i="68"/>
  <c r="J103" i="68" s="1"/>
  <c r="U53" i="35"/>
  <c r="AZ50" i="69"/>
  <c r="AZ103" i="69" s="1"/>
  <c r="CX102" i="68"/>
  <c r="CY102" i="68" s="1"/>
  <c r="CY49" i="68"/>
  <c r="M52" i="65"/>
  <c r="L49" i="68"/>
  <c r="L102" i="68" s="1"/>
  <c r="AV50" i="69"/>
  <c r="AV103" i="69" s="1"/>
  <c r="U53" i="1"/>
  <c r="AH47" i="68"/>
  <c r="S37" i="92"/>
  <c r="S36" i="92"/>
  <c r="U53" i="7"/>
  <c r="AY50" i="69"/>
  <c r="AY103" i="69" s="1"/>
  <c r="U40" i="70"/>
  <c r="M53" i="4"/>
  <c r="C50" i="69"/>
  <c r="C103" i="69" s="1"/>
  <c r="M52" i="36"/>
  <c r="H49" i="69"/>
  <c r="H102" i="69" s="1"/>
  <c r="AN50" i="68"/>
  <c r="AN103" i="68" s="1"/>
  <c r="Q53" i="41"/>
  <c r="CL49" i="68"/>
  <c r="CL102" i="68" s="1"/>
  <c r="U52" i="44"/>
  <c r="CX50" i="68"/>
  <c r="U53" i="63"/>
  <c r="M52" i="41"/>
  <c r="E49" i="68"/>
  <c r="E102" i="68" s="1"/>
  <c r="CC49" i="68"/>
  <c r="CC102" i="68" s="1"/>
  <c r="U52" i="64"/>
  <c r="U52" i="37"/>
  <c r="BC49" i="69"/>
  <c r="BC102" i="69" s="1"/>
  <c r="CZ47" i="68"/>
  <c r="D40" i="92"/>
  <c r="S32" i="92" s="1"/>
  <c r="H40" i="70"/>
  <c r="L25" i="105"/>
  <c r="E39" i="70"/>
  <c r="E40" i="92"/>
  <c r="H41" i="92"/>
  <c r="N41" i="92" s="1"/>
  <c r="H41" i="70"/>
  <c r="N41" i="70" s="1"/>
  <c r="BW99" i="69"/>
  <c r="R102" i="69"/>
  <c r="V102" i="69" s="1"/>
  <c r="D41" i="70"/>
  <c r="C41" i="70"/>
  <c r="CZ101" i="68"/>
  <c r="DB101" i="68" s="1"/>
  <c r="U53" i="36"/>
  <c r="BB50" i="69"/>
  <c r="BB103" i="69" s="1"/>
  <c r="Q42" i="70"/>
  <c r="J42" i="70"/>
  <c r="E18" i="105"/>
  <c r="E39" i="92"/>
  <c r="Q52" i="44"/>
  <c r="BC49" i="68"/>
  <c r="BC102" i="68" s="1"/>
  <c r="G40" i="92"/>
  <c r="M40" i="92" s="1"/>
  <c r="BT51" i="68"/>
  <c r="BT104" i="68" s="1"/>
  <c r="U54" i="38"/>
  <c r="BT52" i="68" s="1"/>
  <c r="BT105" i="68" s="1"/>
  <c r="M53" i="39"/>
  <c r="C50" i="68"/>
  <c r="C103" i="68" s="1"/>
  <c r="Q53" i="42"/>
  <c r="AX50" i="68"/>
  <c r="AX103" i="68" s="1"/>
  <c r="Z103" i="69"/>
  <c r="M53" i="60"/>
  <c r="F50" i="68"/>
  <c r="F103" i="68" s="1"/>
  <c r="G40" i="70"/>
  <c r="AQ51" i="69"/>
  <c r="Q54" i="59"/>
  <c r="AQ52" i="69" s="1"/>
  <c r="M53" i="40"/>
  <c r="D50" i="68"/>
  <c r="D103" i="68" s="1"/>
  <c r="AM102" i="68"/>
  <c r="BK102" i="68" s="1"/>
  <c r="BQ102" i="68" s="1"/>
  <c r="N39" i="70"/>
  <c r="AO49" i="69"/>
  <c r="B102" i="68"/>
  <c r="U52" i="61"/>
  <c r="BY49" i="68"/>
  <c r="BY102" i="68" s="1"/>
  <c r="U53" i="41"/>
  <c r="BW50" i="68"/>
  <c r="BW103" i="68" s="1"/>
  <c r="AW102" i="69"/>
  <c r="BL49" i="69"/>
  <c r="B42" i="92" s="1"/>
  <c r="Q54" i="4"/>
  <c r="Z52" i="69" s="1"/>
  <c r="Z51" i="69"/>
  <c r="B103" i="69"/>
  <c r="BV50" i="68"/>
  <c r="BV103" i="68" s="1"/>
  <c r="U53" i="40"/>
  <c r="Q53" i="40"/>
  <c r="AM50" i="68"/>
  <c r="AO102" i="69"/>
  <c r="M53" i="38"/>
  <c r="B50" i="68"/>
  <c r="M52" i="67"/>
  <c r="N49" i="68"/>
  <c r="N102" i="68" s="1"/>
  <c r="BX50" i="68"/>
  <c r="BX103" i="68" s="1"/>
  <c r="U53" i="60"/>
  <c r="M53" i="7"/>
  <c r="E50" i="69"/>
  <c r="E103" i="69" s="1"/>
  <c r="M53" i="66"/>
  <c r="M50" i="68"/>
  <c r="M103" i="68" s="1"/>
  <c r="T41" i="70"/>
  <c r="Q53" i="64"/>
  <c r="AT50" i="68"/>
  <c r="AT103" i="68" s="1"/>
  <c r="CF51" i="68"/>
  <c r="CF104" i="68" s="1"/>
  <c r="U54" i="67"/>
  <c r="CF52" i="68" s="1"/>
  <c r="CF105" i="68" s="1"/>
  <c r="Q53" i="43"/>
  <c r="BA50" i="68"/>
  <c r="BA103" i="68" s="1"/>
  <c r="CJ51" i="68"/>
  <c r="CJ104" i="68" s="1"/>
  <c r="U54" i="43"/>
  <c r="CJ52" i="68" s="1"/>
  <c r="CJ105" i="68" s="1"/>
  <c r="CD51" i="68"/>
  <c r="CD104" i="68" s="1"/>
  <c r="U54" i="65"/>
  <c r="CD52" i="68" s="1"/>
  <c r="CD105" i="68" s="1"/>
  <c r="M53" i="35"/>
  <c r="F50" i="69"/>
  <c r="F103" i="69" s="1"/>
  <c r="H40" i="92"/>
  <c r="N40" i="92" s="1"/>
  <c r="U53" i="4"/>
  <c r="AW50" i="69"/>
  <c r="M53" i="44"/>
  <c r="T50" i="68"/>
  <c r="T103" i="68" s="1"/>
  <c r="M54" i="42"/>
  <c r="O52" i="68" s="1"/>
  <c r="O105" i="68" s="1"/>
  <c r="O51" i="68"/>
  <c r="O104" i="68" s="1"/>
  <c r="BP100" i="69"/>
  <c r="BU100" i="69" s="1"/>
  <c r="U52" i="66"/>
  <c r="CE49" i="68"/>
  <c r="CE102" i="68" s="1"/>
  <c r="M54" i="1"/>
  <c r="B52" i="69" s="1"/>
  <c r="B51" i="69"/>
  <c r="C40" i="70"/>
  <c r="D40" i="70"/>
  <c r="CZ100" i="68"/>
  <c r="DB100" i="68" s="1"/>
  <c r="U53" i="59"/>
  <c r="BN50" i="69"/>
  <c r="AV51" i="68"/>
  <c r="AV104" i="68" s="1"/>
  <c r="Q54" i="66"/>
  <c r="AV52" i="68" s="1"/>
  <c r="AV105" i="68" s="1"/>
  <c r="BK48" i="68"/>
  <c r="BQ48" i="68" s="1"/>
  <c r="BP48" i="69"/>
  <c r="Q53" i="60"/>
  <c r="AO50" i="68"/>
  <c r="AO103" i="68" s="1"/>
  <c r="M54" i="23"/>
  <c r="D52" i="69" s="1"/>
  <c r="D105" i="69" s="1"/>
  <c r="D51" i="69"/>
  <c r="D104" i="69" s="1"/>
  <c r="Q53" i="7"/>
  <c r="AB50" i="69"/>
  <c r="AB103" i="69" s="1"/>
  <c r="J42" i="92"/>
  <c r="N40" i="70"/>
  <c r="Q53" i="36"/>
  <c r="AE50" i="69"/>
  <c r="AE103" i="69" s="1"/>
  <c r="Q54" i="67"/>
  <c r="AW52" i="68" s="1"/>
  <c r="AW105" i="68" s="1"/>
  <c r="AW51" i="68"/>
  <c r="AW104" i="68" s="1"/>
  <c r="CT48" i="68"/>
  <c r="Q53" i="61"/>
  <c r="AP50" i="68"/>
  <c r="AP103" i="68" s="1"/>
  <c r="AQ103" i="69"/>
  <c r="AR103" i="69" s="1"/>
  <c r="AR50" i="69"/>
  <c r="CB51" i="68"/>
  <c r="CB104" i="68" s="1"/>
  <c r="U54" i="62"/>
  <c r="CB52" i="68" s="1"/>
  <c r="CB105" i="68" s="1"/>
  <c r="BU50" i="68"/>
  <c r="BU103" i="68" s="1"/>
  <c r="U53" i="39"/>
  <c r="BL101" i="69"/>
  <c r="B41" i="70" s="1"/>
  <c r="BT101" i="69"/>
  <c r="BV101" i="69" s="1"/>
  <c r="BN102" i="69"/>
  <c r="BO102" i="69" s="1"/>
  <c r="BO49" i="69"/>
  <c r="M53" i="43"/>
  <c r="R50" i="68"/>
  <c r="R103" i="68" s="1"/>
  <c r="BK101" i="68"/>
  <c r="BQ101" i="68" s="1"/>
  <c r="Q53" i="37"/>
  <c r="AF50" i="69"/>
  <c r="AF103" i="69" s="1"/>
  <c r="U53" i="44" l="1"/>
  <c r="CL50" i="68"/>
  <c r="CL103" i="68" s="1"/>
  <c r="M53" i="37"/>
  <c r="I50" i="69"/>
  <c r="I103" i="69" s="1"/>
  <c r="R49" i="69"/>
  <c r="V49" i="69" s="1"/>
  <c r="U53" i="37"/>
  <c r="BC50" i="69"/>
  <c r="BC103" i="69" s="1"/>
  <c r="E50" i="68"/>
  <c r="E103" i="68" s="1"/>
  <c r="M53" i="41"/>
  <c r="M53" i="36"/>
  <c r="H50" i="69"/>
  <c r="H103" i="69" s="1"/>
  <c r="M53" i="65"/>
  <c r="L50" i="68"/>
  <c r="L103" i="68" s="1"/>
  <c r="U54" i="35"/>
  <c r="AZ52" i="69" s="1"/>
  <c r="AZ105" i="69" s="1"/>
  <c r="AZ51" i="69"/>
  <c r="AZ104" i="69" s="1"/>
  <c r="G51" i="68"/>
  <c r="G104" i="68" s="1"/>
  <c r="M54" i="61"/>
  <c r="G52" i="68" s="1"/>
  <c r="G105" i="68" s="1"/>
  <c r="Q54" i="23"/>
  <c r="AA52" i="69" s="1"/>
  <c r="AA105" i="69" s="1"/>
  <c r="AA51" i="69"/>
  <c r="AA104" i="69" s="1"/>
  <c r="AL51" i="68"/>
  <c r="AL104" i="68" s="1"/>
  <c r="Q54" i="39"/>
  <c r="AL52" i="68" s="1"/>
  <c r="AL105" i="68" s="1"/>
  <c r="CG50" i="68"/>
  <c r="CG103" i="68" s="1"/>
  <c r="U53" i="42"/>
  <c r="BK49" i="68"/>
  <c r="BQ49" i="68" s="1"/>
  <c r="U53" i="64"/>
  <c r="CC50" i="68"/>
  <c r="CC103" i="68" s="1"/>
  <c r="U54" i="63"/>
  <c r="CX52" i="68" s="1"/>
  <c r="CX51" i="68"/>
  <c r="Q54" i="41"/>
  <c r="AN52" i="68" s="1"/>
  <c r="AN105" i="68" s="1"/>
  <c r="AN51" i="68"/>
  <c r="AN104" i="68" s="1"/>
  <c r="U54" i="7"/>
  <c r="AY52" i="69" s="1"/>
  <c r="AY105" i="69" s="1"/>
  <c r="AY51" i="69"/>
  <c r="AY104" i="69" s="1"/>
  <c r="AV51" i="69"/>
  <c r="AV104" i="69" s="1"/>
  <c r="U54" i="1"/>
  <c r="AV52" i="69" s="1"/>
  <c r="AV105" i="69" s="1"/>
  <c r="U54" i="23"/>
  <c r="AX52" i="69" s="1"/>
  <c r="AX105" i="69" s="1"/>
  <c r="AX51" i="69"/>
  <c r="AX104" i="69" s="1"/>
  <c r="T103" i="69"/>
  <c r="U103" i="69" s="1"/>
  <c r="U50" i="69"/>
  <c r="K43" i="92" s="1"/>
  <c r="CY50" i="68"/>
  <c r="CX103" i="68"/>
  <c r="CY103" i="68" s="1"/>
  <c r="M54" i="4"/>
  <c r="C52" i="69" s="1"/>
  <c r="C105" i="69" s="1"/>
  <c r="C51" i="69"/>
  <c r="C104" i="69" s="1"/>
  <c r="J51" i="68"/>
  <c r="J104" i="68" s="1"/>
  <c r="M54" i="62"/>
  <c r="J52" i="68" s="1"/>
  <c r="J105" i="68" s="1"/>
  <c r="R42" i="70"/>
  <c r="K42" i="70"/>
  <c r="M53" i="64"/>
  <c r="K50" i="68"/>
  <c r="K103" i="68" s="1"/>
  <c r="M54" i="59"/>
  <c r="T52" i="69" s="1"/>
  <c r="T51" i="69"/>
  <c r="G42" i="70"/>
  <c r="CT102" i="68"/>
  <c r="C42" i="70" s="1"/>
  <c r="E40" i="70"/>
  <c r="BP49" i="69"/>
  <c r="AS49" i="69"/>
  <c r="BP101" i="69"/>
  <c r="BU101" i="69" s="1"/>
  <c r="BW101" i="69" s="1"/>
  <c r="Q43" i="70"/>
  <c r="J43" i="70"/>
  <c r="Q54" i="7"/>
  <c r="AB52" i="69" s="1"/>
  <c r="AB105" i="69" s="1"/>
  <c r="AB51" i="69"/>
  <c r="AB104" i="69" s="1"/>
  <c r="AO51" i="68"/>
  <c r="AO104" i="68" s="1"/>
  <c r="Q54" i="60"/>
  <c r="AO52" i="68" s="1"/>
  <c r="AO105" i="68" s="1"/>
  <c r="BN51" i="69"/>
  <c r="U54" i="59"/>
  <c r="BN52" i="69" s="1"/>
  <c r="B105" i="69"/>
  <c r="BW100" i="69"/>
  <c r="M54" i="44"/>
  <c r="T52" i="68" s="1"/>
  <c r="T105" i="68" s="1"/>
  <c r="T51" i="68"/>
  <c r="T104" i="68" s="1"/>
  <c r="M54" i="66"/>
  <c r="M52" i="68" s="1"/>
  <c r="M105" i="68" s="1"/>
  <c r="M51" i="68"/>
  <c r="M104" i="68" s="1"/>
  <c r="U54" i="60"/>
  <c r="BX52" i="68" s="1"/>
  <c r="BX105" i="68" s="1"/>
  <c r="BX51" i="68"/>
  <c r="BX104" i="68" s="1"/>
  <c r="B103" i="68"/>
  <c r="Q54" i="40"/>
  <c r="AM52" i="68" s="1"/>
  <c r="AM51" i="68"/>
  <c r="U54" i="40"/>
  <c r="BV52" i="68" s="1"/>
  <c r="BV105" i="68" s="1"/>
  <c r="BV51" i="68"/>
  <c r="BV104" i="68" s="1"/>
  <c r="AB49" i="68"/>
  <c r="M54" i="40"/>
  <c r="D52" i="68" s="1"/>
  <c r="D105" i="68" s="1"/>
  <c r="D51" i="68"/>
  <c r="D104" i="68" s="1"/>
  <c r="AO50" i="69"/>
  <c r="Q54" i="42"/>
  <c r="AX52" i="68" s="1"/>
  <c r="AX105" i="68" s="1"/>
  <c r="AX51" i="68"/>
  <c r="AX104" i="68" s="1"/>
  <c r="Q54" i="37"/>
  <c r="AF52" i="69" s="1"/>
  <c r="AF105" i="69" s="1"/>
  <c r="AF51" i="69"/>
  <c r="AF104" i="69" s="1"/>
  <c r="M54" i="43"/>
  <c r="R52" i="68" s="1"/>
  <c r="R105" i="68" s="1"/>
  <c r="R51" i="68"/>
  <c r="R104" i="68" s="1"/>
  <c r="AP51" i="68"/>
  <c r="AP104" i="68" s="1"/>
  <c r="Q54" i="61"/>
  <c r="AP52" i="68" s="1"/>
  <c r="AP105" i="68" s="1"/>
  <c r="AW103" i="69"/>
  <c r="BL50" i="69"/>
  <c r="B43" i="92" s="1"/>
  <c r="M54" i="35"/>
  <c r="F52" i="69" s="1"/>
  <c r="F105" i="69" s="1"/>
  <c r="F51" i="69"/>
  <c r="F104" i="69" s="1"/>
  <c r="Q54" i="43"/>
  <c r="BA52" i="68" s="1"/>
  <c r="BA105" i="68" s="1"/>
  <c r="BA51" i="68"/>
  <c r="BA104" i="68" s="1"/>
  <c r="Q54" i="64"/>
  <c r="AT52" i="68" s="1"/>
  <c r="AT105" i="68" s="1"/>
  <c r="AT51" i="68"/>
  <c r="AT104" i="68" s="1"/>
  <c r="M54" i="38"/>
  <c r="B52" i="68" s="1"/>
  <c r="B51" i="68"/>
  <c r="BL102" i="69"/>
  <c r="B42" i="70" s="1"/>
  <c r="BT102" i="69"/>
  <c r="BV102" i="69" s="1"/>
  <c r="AB102" i="68"/>
  <c r="AQ105" i="69"/>
  <c r="AR105" i="69" s="1"/>
  <c r="AR52" i="69"/>
  <c r="AO103" i="69"/>
  <c r="AS103" i="69" s="1"/>
  <c r="T42" i="70"/>
  <c r="D41" i="92"/>
  <c r="C41" i="92"/>
  <c r="CZ48" i="68"/>
  <c r="Q54" i="36"/>
  <c r="AE52" i="69" s="1"/>
  <c r="AE105" i="69" s="1"/>
  <c r="AE51" i="69"/>
  <c r="AE104" i="69" s="1"/>
  <c r="CE50" i="68"/>
  <c r="CE103" i="68" s="1"/>
  <c r="U53" i="66"/>
  <c r="U54" i="4"/>
  <c r="AW52" i="69" s="1"/>
  <c r="AW51" i="69"/>
  <c r="M42" i="70"/>
  <c r="R50" i="69"/>
  <c r="Z104" i="69"/>
  <c r="DA103" i="68"/>
  <c r="BW51" i="68"/>
  <c r="BW104" i="68" s="1"/>
  <c r="U54" i="41"/>
  <c r="BW52" i="68" s="1"/>
  <c r="BW105" i="68" s="1"/>
  <c r="U53" i="61"/>
  <c r="BY50" i="68"/>
  <c r="BY103" i="68" s="1"/>
  <c r="AQ104" i="69"/>
  <c r="AR104" i="69" s="1"/>
  <c r="AR51" i="69"/>
  <c r="G41" i="92"/>
  <c r="M41" i="92" s="1"/>
  <c r="M54" i="39"/>
  <c r="C52" i="68" s="1"/>
  <c r="C105" i="68" s="1"/>
  <c r="C51" i="68"/>
  <c r="C104" i="68" s="1"/>
  <c r="G41" i="70"/>
  <c r="E41" i="70"/>
  <c r="BU51" i="68"/>
  <c r="U54" i="39"/>
  <c r="BU52" i="68" s="1"/>
  <c r="AS50" i="69"/>
  <c r="J43" i="92"/>
  <c r="BN103" i="69"/>
  <c r="BO103" i="69" s="1"/>
  <c r="BO50" i="69"/>
  <c r="B104" i="69"/>
  <c r="M54" i="7"/>
  <c r="E52" i="69" s="1"/>
  <c r="E105" i="69" s="1"/>
  <c r="E51" i="69"/>
  <c r="E104" i="69" s="1"/>
  <c r="M53" i="67"/>
  <c r="N50" i="68"/>
  <c r="N103" i="68" s="1"/>
  <c r="AM103" i="68"/>
  <c r="CT49" i="68"/>
  <c r="R103" i="69"/>
  <c r="Z105" i="69"/>
  <c r="M40" i="70"/>
  <c r="M54" i="60"/>
  <c r="F52" i="68" s="1"/>
  <c r="F105" i="68" s="1"/>
  <c r="F51" i="68"/>
  <c r="F104" i="68" s="1"/>
  <c r="BC50" i="68"/>
  <c r="BC103" i="68" s="1"/>
  <c r="Q53" i="44"/>
  <c r="AS102" i="69"/>
  <c r="U54" i="36"/>
  <c r="BB52" i="69" s="1"/>
  <c r="BB105" i="69" s="1"/>
  <c r="BB51" i="69"/>
  <c r="BB104" i="69" s="1"/>
  <c r="CX104" i="68" l="1"/>
  <c r="CY104" i="68" s="1"/>
  <c r="CY51" i="68"/>
  <c r="M54" i="64"/>
  <c r="K52" i="68" s="1"/>
  <c r="K105" i="68" s="1"/>
  <c r="K51" i="68"/>
  <c r="K104" i="68" s="1"/>
  <c r="CY52" i="68"/>
  <c r="CX105" i="68"/>
  <c r="CY105" i="68" s="1"/>
  <c r="U54" i="42"/>
  <c r="CG52" i="68" s="1"/>
  <c r="CG105" i="68" s="1"/>
  <c r="CG51" i="68"/>
  <c r="CG104" i="68" s="1"/>
  <c r="M54" i="37"/>
  <c r="I52" i="69" s="1"/>
  <c r="I105" i="69" s="1"/>
  <c r="I51" i="69"/>
  <c r="I104" i="69" s="1"/>
  <c r="L51" i="68"/>
  <c r="L104" i="68" s="1"/>
  <c r="M54" i="65"/>
  <c r="L52" i="68" s="1"/>
  <c r="L105" i="68" s="1"/>
  <c r="AO52" i="69"/>
  <c r="BK50" i="68"/>
  <c r="BQ50" i="68" s="1"/>
  <c r="CT103" i="68"/>
  <c r="T104" i="69"/>
  <c r="U104" i="69" s="1"/>
  <c r="U51" i="69"/>
  <c r="K44" i="92" s="1"/>
  <c r="H51" i="69"/>
  <c r="H104" i="69" s="1"/>
  <c r="M54" i="36"/>
  <c r="H52" i="69" s="1"/>
  <c r="H105" i="69" s="1"/>
  <c r="BC51" i="69"/>
  <c r="BC104" i="69" s="1"/>
  <c r="U54" i="37"/>
  <c r="BC52" i="69" s="1"/>
  <c r="BC105" i="69" s="1"/>
  <c r="G42" i="92"/>
  <c r="M42" i="92" s="1"/>
  <c r="T105" i="69"/>
  <c r="U105" i="69" s="1"/>
  <c r="U52" i="69"/>
  <c r="K45" i="92" s="1"/>
  <c r="U42" i="70"/>
  <c r="R43" i="70"/>
  <c r="K43" i="70"/>
  <c r="CC51" i="68"/>
  <c r="CC104" i="68" s="1"/>
  <c r="U54" i="64"/>
  <c r="CC52" i="68" s="1"/>
  <c r="CC105" i="68" s="1"/>
  <c r="M54" i="41"/>
  <c r="E52" i="68" s="1"/>
  <c r="E105" i="68" s="1"/>
  <c r="E51" i="68"/>
  <c r="E104" i="68" s="1"/>
  <c r="CL51" i="68"/>
  <c r="CL104" i="68" s="1"/>
  <c r="U54" i="44"/>
  <c r="CL52" i="68" s="1"/>
  <c r="CL105" i="68" s="1"/>
  <c r="CZ102" i="68"/>
  <c r="DB102" i="68" s="1"/>
  <c r="D42" i="70"/>
  <c r="CT50" i="68"/>
  <c r="D43" i="92" s="1"/>
  <c r="AO105" i="69"/>
  <c r="AS105" i="69" s="1"/>
  <c r="BP50" i="69"/>
  <c r="D43" i="70"/>
  <c r="C43" i="70"/>
  <c r="CZ103" i="68"/>
  <c r="DB103" i="68" s="1"/>
  <c r="BU104" i="68"/>
  <c r="Q54" i="44"/>
  <c r="BC52" i="68" s="1"/>
  <c r="BC105" i="68" s="1"/>
  <c r="BC51" i="68"/>
  <c r="BC104" i="68" s="1"/>
  <c r="BK103" i="68"/>
  <c r="BQ103" i="68" s="1"/>
  <c r="R51" i="69"/>
  <c r="M41" i="70"/>
  <c r="J44" i="92"/>
  <c r="U54" i="61"/>
  <c r="BY52" i="68" s="1"/>
  <c r="BY105" i="68" s="1"/>
  <c r="BY51" i="68"/>
  <c r="BY104" i="68" s="1"/>
  <c r="AO51" i="69"/>
  <c r="AS51" i="69" s="1"/>
  <c r="U54" i="66"/>
  <c r="CE52" i="68" s="1"/>
  <c r="CE105" i="68" s="1"/>
  <c r="CE51" i="68"/>
  <c r="CE104" i="68" s="1"/>
  <c r="AS52" i="69"/>
  <c r="J45" i="92"/>
  <c r="B104" i="68"/>
  <c r="AH49" i="68"/>
  <c r="H42" i="92"/>
  <c r="N42" i="92" s="1"/>
  <c r="AM104" i="68"/>
  <c r="BK51" i="68"/>
  <c r="BQ51" i="68" s="1"/>
  <c r="BN104" i="69"/>
  <c r="BO104" i="69" s="1"/>
  <c r="BO51" i="69"/>
  <c r="V103" i="69"/>
  <c r="R104" i="69"/>
  <c r="Q44" i="70"/>
  <c r="J44" i="70"/>
  <c r="AO104" i="69"/>
  <c r="Q45" i="70"/>
  <c r="J45" i="70"/>
  <c r="B105" i="68"/>
  <c r="BL103" i="69"/>
  <c r="B43" i="70" s="1"/>
  <c r="BT103" i="69"/>
  <c r="BV103" i="69" s="1"/>
  <c r="BP102" i="69"/>
  <c r="BU102" i="69" s="1"/>
  <c r="G43" i="92"/>
  <c r="M43" i="92" s="1"/>
  <c r="AM105" i="68"/>
  <c r="BK105" i="68" s="1"/>
  <c r="BQ105" i="68" s="1"/>
  <c r="BK52" i="68"/>
  <c r="BQ52" i="68" s="1"/>
  <c r="R52" i="69"/>
  <c r="C42" i="92"/>
  <c r="D42" i="92"/>
  <c r="CZ49" i="68"/>
  <c r="M54" i="67"/>
  <c r="N52" i="68" s="1"/>
  <c r="N105" i="68" s="1"/>
  <c r="N51" i="68"/>
  <c r="N104" i="68" s="1"/>
  <c r="BU105" i="68"/>
  <c r="V50" i="69"/>
  <c r="AW104" i="69"/>
  <c r="E41" i="92"/>
  <c r="AH102" i="68"/>
  <c r="H42" i="70"/>
  <c r="AB50" i="68"/>
  <c r="AH50" i="68" s="1"/>
  <c r="R105" i="69"/>
  <c r="AW105" i="69"/>
  <c r="BL52" i="69"/>
  <c r="B45" i="92" s="1"/>
  <c r="AB103" i="68"/>
  <c r="AH103" i="68" s="1"/>
  <c r="BN105" i="69"/>
  <c r="BO105" i="69" s="1"/>
  <c r="BO52" i="69"/>
  <c r="T43" i="70"/>
  <c r="R44" i="70" l="1"/>
  <c r="K44" i="70"/>
  <c r="BK104" i="68"/>
  <c r="BQ104" i="68" s="1"/>
  <c r="K45" i="70"/>
  <c r="R45" i="70"/>
  <c r="BL51" i="69"/>
  <c r="B44" i="92" s="1"/>
  <c r="U43" i="70"/>
  <c r="BW102" i="69"/>
  <c r="CZ50" i="68"/>
  <c r="E42" i="70"/>
  <c r="C43" i="92"/>
  <c r="E43" i="92" s="1"/>
  <c r="G43" i="70"/>
  <c r="M43" i="70" s="1"/>
  <c r="CT52" i="68"/>
  <c r="C45" i="92" s="1"/>
  <c r="H43" i="92"/>
  <c r="N43" i="92" s="1"/>
  <c r="BP52" i="69"/>
  <c r="BP103" i="69"/>
  <c r="BU103" i="69" s="1"/>
  <c r="BW103" i="69" s="1"/>
  <c r="V105" i="69"/>
  <c r="DA105" i="68"/>
  <c r="CT105" i="68"/>
  <c r="E42" i="92"/>
  <c r="AB52" i="68"/>
  <c r="AH52" i="68" s="1"/>
  <c r="AS104" i="69"/>
  <c r="G44" i="92"/>
  <c r="M44" i="92" s="1"/>
  <c r="CT51" i="68"/>
  <c r="BT105" i="69"/>
  <c r="BL105" i="69"/>
  <c r="B45" i="70" s="1"/>
  <c r="N42" i="70"/>
  <c r="V52" i="69"/>
  <c r="AB105" i="68"/>
  <c r="AH105" i="68" s="1"/>
  <c r="H43" i="70"/>
  <c r="G45" i="70"/>
  <c r="DA104" i="68"/>
  <c r="CT104" i="68"/>
  <c r="T45" i="70"/>
  <c r="T44" i="70"/>
  <c r="G45" i="92"/>
  <c r="M45" i="92" s="1"/>
  <c r="AB51" i="68"/>
  <c r="AH51" i="68" s="1"/>
  <c r="BT104" i="69"/>
  <c r="BL104" i="69"/>
  <c r="B44" i="70" s="1"/>
  <c r="E43" i="70"/>
  <c r="V104" i="69"/>
  <c r="BP51" i="69"/>
  <c r="AB104" i="68"/>
  <c r="AH104" i="68" s="1"/>
  <c r="V51" i="69"/>
  <c r="G44" i="70" l="1"/>
  <c r="M44" i="70" s="1"/>
  <c r="U45" i="70"/>
  <c r="U44" i="70"/>
  <c r="D45" i="92"/>
  <c r="E45" i="92" s="1"/>
  <c r="H45" i="92"/>
  <c r="N45" i="92" s="1"/>
  <c r="CZ52" i="68"/>
  <c r="BV105" i="69"/>
  <c r="BV104" i="69"/>
  <c r="BP105" i="69"/>
  <c r="N43" i="70"/>
  <c r="C44" i="92"/>
  <c r="D44" i="92"/>
  <c r="CZ51" i="68"/>
  <c r="C44" i="70"/>
  <c r="D44" i="70"/>
  <c r="CZ104" i="68"/>
  <c r="DB104" i="68" s="1"/>
  <c r="H44" i="92"/>
  <c r="N44" i="92" s="1"/>
  <c r="H44" i="70"/>
  <c r="BP104" i="69"/>
  <c r="BU104" i="69" s="1"/>
  <c r="H45" i="70"/>
  <c r="M45" i="70"/>
  <c r="D45" i="70"/>
  <c r="C45" i="70"/>
  <c r="CZ105" i="68"/>
  <c r="DB105" i="68" s="1"/>
  <c r="BU105" i="69"/>
  <c r="BW104" i="69" l="1"/>
  <c r="E44" i="92"/>
  <c r="E45" i="70"/>
  <c r="E44" i="70"/>
  <c r="N45" i="70"/>
  <c r="N44" i="70"/>
  <c r="BW105" i="69"/>
</calcChain>
</file>

<file path=xl/sharedStrings.xml><?xml version="1.0" encoding="utf-8"?>
<sst xmlns="http://schemas.openxmlformats.org/spreadsheetml/2006/main" count="2878" uniqueCount="506">
  <si>
    <t>Year</t>
  </si>
  <si>
    <t>PROGRAM:</t>
  </si>
  <si>
    <t>Conservation Savings @ Meter</t>
  </si>
  <si>
    <t>COM Standby Generator</t>
  </si>
  <si>
    <t>COM Conservation Value</t>
  </si>
  <si>
    <t>1) History matching the DSM Annual Reports is found in the file "DSM_HIST.xls".  This file is based upon that file's data.</t>
  </si>
  <si>
    <t>2) All Load Management Programs (Res. Prime Time, C/I Ld. Mgmt. Cyc., C/I Ld. Mgmt. Ext'd, C/I Standy Gen.) only look at CUMULATIVE participants.</t>
  </si>
  <si>
    <t>This is to reflect the fact that participants get on and off these programs over time, unlike other conservation programs. So, you can't just add up incremental participants.</t>
  </si>
  <si>
    <t>NOTE: The forecast needs Com'l (90%) and Ind'l (10%) separated for all commercial programs EXCEPT Com'l Cooling which is 100% Commercial.</t>
  </si>
  <si>
    <t>When program requirements changed for these and overlapping programs occurred within these categories, an average of participants and savings was used for this file, not what was reported in the DSM Annual Reports.</t>
  </si>
  <si>
    <t>Summer Savings Per Participant (KW)</t>
  </si>
  <si>
    <t>Winter Savings Per Participant (KW)</t>
  </si>
  <si>
    <t>Incremental Summer Savings (MW)</t>
  </si>
  <si>
    <t>Cumulative Summer Savings (MW)</t>
  </si>
  <si>
    <t>Incremental Winter Savings (MW)</t>
  </si>
  <si>
    <t>Cumulative Energy Savings (GWH)</t>
  </si>
  <si>
    <t>Incremental Energy Savings (GWH)</t>
  </si>
  <si>
    <r>
      <t xml:space="preserve">DSM Incremental </t>
    </r>
    <r>
      <rPr>
        <b/>
        <sz val="8"/>
        <color indexed="12"/>
        <rFont val="Arial"/>
        <family val="2"/>
      </rPr>
      <t>Summer</t>
    </r>
    <r>
      <rPr>
        <b/>
        <sz val="8"/>
        <rFont val="Arial"/>
        <family val="2"/>
      </rPr>
      <t xml:space="preserve"> Savings (MW) </t>
    </r>
  </si>
  <si>
    <r>
      <t xml:space="preserve">DSM Incremental </t>
    </r>
    <r>
      <rPr>
        <b/>
        <sz val="8"/>
        <color indexed="12"/>
        <rFont val="Arial"/>
        <family val="2"/>
      </rPr>
      <t>Winter</t>
    </r>
    <r>
      <rPr>
        <b/>
        <sz val="8"/>
        <rFont val="Arial"/>
        <family val="2"/>
      </rPr>
      <t xml:space="preserve"> Savings (MW) </t>
    </r>
  </si>
  <si>
    <r>
      <t xml:space="preserve">DSM Incremental </t>
    </r>
    <r>
      <rPr>
        <b/>
        <sz val="8"/>
        <color indexed="12"/>
        <rFont val="Arial"/>
        <family val="2"/>
      </rPr>
      <t xml:space="preserve">Energy </t>
    </r>
    <r>
      <rPr>
        <b/>
        <sz val="8"/>
        <rFont val="Arial"/>
        <family val="2"/>
      </rPr>
      <t xml:space="preserve">Savings (GWH) </t>
    </r>
  </si>
  <si>
    <t>#'s Match DSM Annual Reports Filed</t>
  </si>
  <si>
    <r>
      <t xml:space="preserve">DSM </t>
    </r>
    <r>
      <rPr>
        <b/>
        <sz val="8"/>
        <color indexed="12"/>
        <rFont val="Arial"/>
        <family val="2"/>
      </rPr>
      <t xml:space="preserve">Summer </t>
    </r>
    <r>
      <rPr>
        <b/>
        <sz val="8"/>
        <color indexed="8"/>
        <rFont val="Arial"/>
        <family val="2"/>
      </rPr>
      <t>Savings Per Participant (KW)</t>
    </r>
  </si>
  <si>
    <r>
      <t xml:space="preserve">RES Audit Alternate </t>
    </r>
    <r>
      <rPr>
        <sz val="8"/>
        <color indexed="8"/>
        <rFont val="Arial"/>
        <family val="2"/>
      </rPr>
      <t>(aka Free Energy Check, Walk-Thru)</t>
    </r>
  </si>
  <si>
    <r>
      <t xml:space="preserve">DSM   </t>
    </r>
    <r>
      <rPr>
        <b/>
        <sz val="8"/>
        <color indexed="12"/>
        <rFont val="Arial"/>
        <family val="2"/>
      </rPr>
      <t xml:space="preserve">Winter </t>
    </r>
    <r>
      <rPr>
        <b/>
        <sz val="8"/>
        <rFont val="Arial"/>
        <family val="2"/>
      </rPr>
      <t>Savings Per Participant (KW)</t>
    </r>
  </si>
  <si>
    <r>
      <t xml:space="preserve">DSM    </t>
    </r>
    <r>
      <rPr>
        <b/>
        <sz val="8"/>
        <color indexed="12"/>
        <rFont val="Arial"/>
        <family val="2"/>
      </rPr>
      <t>Energy</t>
    </r>
    <r>
      <rPr>
        <b/>
        <sz val="8"/>
        <rFont val="Arial"/>
        <family val="2"/>
      </rPr>
      <t xml:space="preserve"> Savings Per Participant (KWH)</t>
    </r>
  </si>
  <si>
    <t>Energy Savings Per Participant (KWH)</t>
  </si>
  <si>
    <t>Year_End Savings</t>
  </si>
  <si>
    <t>Summer Savings</t>
  </si>
  <si>
    <t>Annual Energy Savings</t>
  </si>
  <si>
    <t>Winter Savings</t>
  </si>
  <si>
    <r>
      <t xml:space="preserve">DSM       </t>
    </r>
    <r>
      <rPr>
        <b/>
        <sz val="8"/>
        <color indexed="12"/>
        <rFont val="Arial"/>
        <family val="2"/>
      </rPr>
      <t>Energy</t>
    </r>
    <r>
      <rPr>
        <b/>
        <sz val="8"/>
        <rFont val="Arial"/>
        <family val="2"/>
      </rPr>
      <t xml:space="preserve"> Savings Per Participant (KWH)</t>
    </r>
  </si>
  <si>
    <r>
      <t xml:space="preserve">DSM        </t>
    </r>
    <r>
      <rPr>
        <b/>
        <sz val="8"/>
        <color indexed="12"/>
        <rFont val="Arial"/>
        <family val="2"/>
      </rPr>
      <t xml:space="preserve">Winter </t>
    </r>
    <r>
      <rPr>
        <b/>
        <sz val="8"/>
        <rFont val="Arial"/>
        <family val="2"/>
      </rPr>
      <t>Savings Per Participant (KW)</t>
    </r>
  </si>
  <si>
    <r>
      <t xml:space="preserve">DSM    </t>
    </r>
    <r>
      <rPr>
        <b/>
        <sz val="8"/>
        <color indexed="12"/>
        <rFont val="Arial"/>
        <family val="2"/>
      </rPr>
      <t xml:space="preserve">Summer </t>
    </r>
    <r>
      <rPr>
        <b/>
        <sz val="8"/>
        <color indexed="8"/>
        <rFont val="Arial"/>
        <family val="2"/>
      </rPr>
      <t>Savings Per Participant (KW)</t>
    </r>
  </si>
  <si>
    <t>Cumulative Winter Savings (MW)</t>
  </si>
  <si>
    <t>Winter Savings (Jan)</t>
  </si>
  <si>
    <t>DSM        Year-Ending Incremental Participants</t>
  </si>
  <si>
    <t>DSM        Year-Ending Cumulative Participants</t>
  </si>
  <si>
    <r>
      <t>1981-1990</t>
    </r>
    <r>
      <rPr>
        <b/>
        <vertAlign val="superscript"/>
        <sz val="10"/>
        <rFont val="Arial"/>
        <family val="2"/>
      </rPr>
      <t>(1)</t>
    </r>
  </si>
  <si>
    <t>(1)  FEECA  90  (1981-1990) cumulative totals.</t>
  </si>
  <si>
    <t>(2)  FEECA  94  (1991-1994) cumulative totals.</t>
  </si>
  <si>
    <r>
      <t>1995</t>
    </r>
    <r>
      <rPr>
        <b/>
        <vertAlign val="superscript"/>
        <sz val="10"/>
        <rFont val="Arial"/>
        <family val="2"/>
      </rPr>
      <t>(3)</t>
    </r>
  </si>
  <si>
    <r>
      <t>1996</t>
    </r>
    <r>
      <rPr>
        <b/>
        <vertAlign val="superscript"/>
        <sz val="10"/>
        <rFont val="Arial"/>
        <family val="2"/>
      </rPr>
      <t>(3)</t>
    </r>
  </si>
  <si>
    <t>(3)  Also includes  "Major" Duct Repair  in 1995 &amp; 1996</t>
  </si>
  <si>
    <t>W kw/partic</t>
  </si>
  <si>
    <t>S kw/partic</t>
  </si>
  <si>
    <t>kwh/partic</t>
  </si>
  <si>
    <t>Participants</t>
  </si>
  <si>
    <t>Major Duct Repair Savings Per Participant</t>
  </si>
  <si>
    <t>Minor Duct Repair Savings Per Participant</t>
  </si>
  <si>
    <t>Weighted Avg. Savings Per Participant</t>
  </si>
  <si>
    <t>Summer</t>
  </si>
  <si>
    <t>Winter</t>
  </si>
  <si>
    <t>Energy</t>
  </si>
  <si>
    <t>Total Audits</t>
  </si>
  <si>
    <t>Incremental Summer Participants*</t>
  </si>
  <si>
    <t>Average Annual Incremental Energy Participants*</t>
  </si>
  <si>
    <t>Incremental Winter Participants**</t>
  </si>
  <si>
    <t>* Incremental Participants for Summer and Energy are the same calculation: Previous Year's "Year-End" Total plus Current Year's "Year-End" Total divided by 2 for an average</t>
  </si>
  <si>
    <t>** Incremental Participants for Winter equals the Previous Year's "Year-End" Total as it is closer to the month of the Winter Peak, typically in Jan. each year</t>
  </si>
  <si>
    <r>
      <t xml:space="preserve">COM Audit Mail-In </t>
    </r>
    <r>
      <rPr>
        <b/>
        <vertAlign val="superscript"/>
        <sz val="12"/>
        <color indexed="8"/>
        <rFont val="Arial"/>
        <family val="2"/>
      </rPr>
      <t>(3)</t>
    </r>
  </si>
  <si>
    <t>(3) Program no longer exists as of 2000 DSM Annual Report.</t>
  </si>
  <si>
    <r>
      <t>Street Light Conversion</t>
    </r>
    <r>
      <rPr>
        <b/>
        <vertAlign val="superscript"/>
        <sz val="12"/>
        <color indexed="8"/>
        <rFont val="Arial"/>
        <family val="2"/>
      </rPr>
      <t>(3)</t>
    </r>
    <r>
      <rPr>
        <b/>
        <sz val="12"/>
        <color indexed="8"/>
        <rFont val="Arial"/>
        <family val="2"/>
      </rPr>
      <t xml:space="preserve"> </t>
    </r>
    <r>
      <rPr>
        <sz val="8"/>
        <color indexed="8"/>
        <rFont val="Arial"/>
        <family val="2"/>
      </rPr>
      <t xml:space="preserve">(aka Area Re-Light Program) </t>
    </r>
  </si>
  <si>
    <t>(3) Program no longer exists as of  FEECA 94 (cumul. 1991-1994) Report.</t>
  </si>
  <si>
    <r>
      <t>1991-1994</t>
    </r>
    <r>
      <rPr>
        <b/>
        <vertAlign val="superscript"/>
        <sz val="10"/>
        <rFont val="Arial"/>
        <family val="2"/>
      </rPr>
      <t>(2)</t>
    </r>
  </si>
  <si>
    <t>(3)  Includes transition from "Level 1 &amp; 2" Program to SEER 12 in 1996 - 1998. Used weighted averages based upon data filed (below).</t>
  </si>
  <si>
    <r>
      <t>RES Prime Time</t>
    </r>
    <r>
      <rPr>
        <sz val="8"/>
        <color indexed="8"/>
        <rFont val="Arial"/>
        <family val="2"/>
      </rPr>
      <t xml:space="preserve"> (aka Load Management)</t>
    </r>
  </si>
  <si>
    <r>
      <t>(3)</t>
    </r>
    <r>
      <rPr>
        <b/>
        <sz val="8"/>
        <rFont val="Arial"/>
        <family val="2"/>
      </rPr>
      <t xml:space="preserve"> DSM </t>
    </r>
    <r>
      <rPr>
        <b/>
        <sz val="8"/>
        <color indexed="12"/>
        <rFont val="Arial"/>
        <family val="2"/>
      </rPr>
      <t xml:space="preserve">NET </t>
    </r>
    <r>
      <rPr>
        <b/>
        <sz val="8"/>
        <rFont val="Arial"/>
        <family val="2"/>
      </rPr>
      <t xml:space="preserve">       Year-Ending Incremental Participants</t>
    </r>
  </si>
  <si>
    <t>(3)  NET Totals used for cumulative to reflect those who were added AND those who got off the program during that year for a NET number.</t>
  </si>
  <si>
    <r>
      <t>(3)</t>
    </r>
    <r>
      <rPr>
        <b/>
        <sz val="8"/>
        <rFont val="Arial"/>
        <family val="2"/>
      </rPr>
      <t xml:space="preserve"> DSM </t>
    </r>
    <r>
      <rPr>
        <b/>
        <sz val="8"/>
        <color indexed="12"/>
        <rFont val="Arial"/>
        <family val="2"/>
      </rPr>
      <t xml:space="preserve">NET </t>
    </r>
    <r>
      <rPr>
        <b/>
        <sz val="8"/>
        <rFont val="Arial"/>
        <family val="2"/>
      </rPr>
      <t xml:space="preserve">      Year-Ending Cumulative Participants</t>
    </r>
  </si>
  <si>
    <t>Added Column</t>
  </si>
  <si>
    <t>DSM ADDED       Year-Ending Incremental Participants, Matches Filings</t>
  </si>
  <si>
    <t>COM Load Management (cyclic)</t>
  </si>
  <si>
    <r>
      <t xml:space="preserve">#'s </t>
    </r>
    <r>
      <rPr>
        <b/>
        <sz val="8"/>
        <color indexed="14"/>
        <rFont val="Arial"/>
        <family val="2"/>
      </rPr>
      <t>Match</t>
    </r>
    <r>
      <rPr>
        <b/>
        <sz val="8"/>
        <rFont val="Arial"/>
        <family val="2"/>
      </rPr>
      <t xml:space="preserve"> DSM Annual Reports Filed</t>
    </r>
  </si>
  <si>
    <t>Conversion Ratios</t>
  </si>
  <si>
    <t>NA</t>
  </si>
  <si>
    <r>
      <t>Cumulative</t>
    </r>
    <r>
      <rPr>
        <b/>
        <sz val="8"/>
        <rFont val="Arial"/>
        <family val="2"/>
      </rPr>
      <t xml:space="preserve"> Summer Participants*</t>
    </r>
  </si>
  <si>
    <r>
      <t>Cumulative</t>
    </r>
    <r>
      <rPr>
        <b/>
        <sz val="8"/>
        <rFont val="Arial"/>
        <family val="2"/>
      </rPr>
      <t xml:space="preserve"> Winter Participants**</t>
    </r>
  </si>
  <si>
    <r>
      <t xml:space="preserve">Average Annual </t>
    </r>
    <r>
      <rPr>
        <b/>
        <u/>
        <sz val="8"/>
        <rFont val="Arial"/>
        <family val="2"/>
      </rPr>
      <t>Cumulative</t>
    </r>
    <r>
      <rPr>
        <b/>
        <sz val="8"/>
        <rFont val="Arial"/>
        <family val="2"/>
      </rPr>
      <t xml:space="preserve"> Energy Participants*</t>
    </r>
  </si>
  <si>
    <t xml:space="preserve">Winter Savings </t>
  </si>
  <si>
    <t>Residential</t>
  </si>
  <si>
    <t>COM (GWH)</t>
  </si>
  <si>
    <t>IND (GWH)</t>
  </si>
  <si>
    <t>Split Between Com'l &amp; Ind'l</t>
  </si>
  <si>
    <t>Com'l</t>
  </si>
  <si>
    <t>Ind'l</t>
  </si>
  <si>
    <t>Source: Howard Bryant</t>
  </si>
  <si>
    <t>Regulatory Affairs</t>
  </si>
  <si>
    <t>Com'l programs are equal to  90% of COM programs, except COM Cooling which is 100% Com'l, 0% Ind'l</t>
  </si>
  <si>
    <t>NOTE: See footnotes BELOW…</t>
  </si>
  <si>
    <t>(1)  FEECA  90  (1981-1990) cumulative total was actually 36.76; however, we've always reported it as 16 GWH. Per Howard Bryant, 3/29/04, continue using 16.</t>
  </si>
  <si>
    <r>
      <t xml:space="preserve">PRGM. DOES </t>
    </r>
    <r>
      <rPr>
        <b/>
        <u/>
        <sz val="10"/>
        <color indexed="10"/>
        <rFont val="Arial"/>
        <family val="2"/>
      </rPr>
      <t>NOT</t>
    </r>
    <r>
      <rPr>
        <b/>
        <sz val="10"/>
        <color indexed="10"/>
        <rFont val="Arial"/>
        <family val="2"/>
      </rPr>
      <t xml:space="preserve"> GET INCLUDED IN RES OR COM TOTALS!</t>
    </r>
  </si>
  <si>
    <t xml:space="preserve">    16 gWhs, rather than use FEECA 90 (1981-1990) reported savings of 36.76 per Howard Bryant, 3/29/04.</t>
  </si>
  <si>
    <t>***NOTE: Savings should be listed here at the meter (converted to at the generator on the front tab)…some history is at the generator..but, leaving it AS IS…not changing history</t>
  </si>
  <si>
    <t>Source: DSM Annual Report Filing to FPSC</t>
  </si>
  <si>
    <t>Actual Temperature at time of Retail Peak</t>
  </si>
  <si>
    <t>Actual Temperature at time of     Retail Peak</t>
  </si>
  <si>
    <t>Actual Curtailment at Time of Retail Peak (MW)</t>
  </si>
  <si>
    <t xml:space="preserve"> Potential Summer Savings *** at Time of Retail Peak (MW)</t>
  </si>
  <si>
    <t>Potential Winter Savings*** at Time of Retail Peak (MW)</t>
  </si>
  <si>
    <t>Actual Temperature at Time of Retail Peak</t>
  </si>
  <si>
    <t>Actual Savings at Time of Retail Peak (MW)</t>
  </si>
  <si>
    <t>Potential Winter Savings*** at TIme of Retail Peak (MW)</t>
  </si>
  <si>
    <t>for a "potential" curtailment #. NEW Column added 4/07 to store ACTUAL curtailments - if any - at time of summer and winter peak.</t>
  </si>
  <si>
    <r>
      <t xml:space="preserve">COM Audit Paid </t>
    </r>
    <r>
      <rPr>
        <sz val="9"/>
        <color indexed="8"/>
        <rFont val="Arial"/>
        <family val="2"/>
      </rPr>
      <t>(comprehensive C/I Audit)</t>
    </r>
  </si>
  <si>
    <t xml:space="preserve">**mail in audit stopped in 2004 -  data for mail in remains in historical data.  </t>
  </si>
  <si>
    <t>**online and telephone audits are combined in this tab -- Tim aggregates the savings and gives it to me.</t>
  </si>
  <si>
    <t xml:space="preserve">**this tab contains all the measures found in the new construction program : Duct repair, high efficiency cooling with natural gas heating, </t>
  </si>
  <si>
    <t>high efficiency heat pumps, ceiling insulation upgrades, window upgrades, alternate water heating upgrades, certification.</t>
  </si>
  <si>
    <t>All of the participants are added together for this tab and the savings are aggregated and provided by tim r.</t>
  </si>
  <si>
    <t>Tim R. will provide an aggregate of the energy savings.</t>
  </si>
  <si>
    <t xml:space="preserve">**This tab contains a sum of the participants from window replacement, window film, ceiling insulation and wall insulation.  </t>
  </si>
  <si>
    <t>NO LONGER EXISTS</t>
  </si>
  <si>
    <t>** Combine COM Cooling and PTAC Cooling participants and get an aggregate of the savings from Tim R.</t>
  </si>
  <si>
    <t>** All historical data (2006 and before) contain COM Cooling without the new PTAC Cooling)</t>
  </si>
  <si>
    <t>COM Duct Repair</t>
  </si>
  <si>
    <t>**This tab contains the sum of window film, ceiling insulation and wall insulation for the total of participants</t>
  </si>
  <si>
    <t>** Need the aggregate savings for winter summer and energy from Tim R.</t>
  </si>
  <si>
    <t>COM Demand Response</t>
  </si>
  <si>
    <t>COM Chillers</t>
  </si>
  <si>
    <t>** Historical data (2006 and prior) contain Com Indoor lighting prgm.</t>
  </si>
  <si>
    <t>the sum of indoor lighting and unconditioned lighting is the total for all participants.</t>
  </si>
  <si>
    <t>**need the aggregate savings from Tim R.</t>
  </si>
  <si>
    <t>Residential Conservation</t>
  </si>
  <si>
    <t>Residential LoadMgmt</t>
  </si>
  <si>
    <t>Grand</t>
  </si>
  <si>
    <t>Audit Alt</t>
  </si>
  <si>
    <t>Audit RCS</t>
  </si>
  <si>
    <t>Assited Aud</t>
  </si>
  <si>
    <t>DuctRep</t>
  </si>
  <si>
    <t>LowInc</t>
  </si>
  <si>
    <t>Heat&amp;Cool</t>
  </si>
  <si>
    <t>Bld Envel</t>
  </si>
  <si>
    <t>Total Conserv</t>
  </si>
  <si>
    <t>PrimeTime</t>
  </si>
  <si>
    <t>Energy Pln</t>
  </si>
  <si>
    <t>Total</t>
  </si>
  <si>
    <t>1981-1990(1)</t>
  </si>
  <si>
    <t>1991-1994(2)</t>
  </si>
  <si>
    <t>SUMMER (MW) at the Generator</t>
  </si>
  <si>
    <t>Winter (MW) at the Generator</t>
  </si>
  <si>
    <t>Energy (GWH) at the Generator</t>
  </si>
  <si>
    <t>Commercial/Industrial Conservation</t>
  </si>
  <si>
    <t>Commercial/Idustrial  LoadMgmt</t>
  </si>
  <si>
    <t xml:space="preserve">Grand </t>
  </si>
  <si>
    <t>Audit Free</t>
  </si>
  <si>
    <t>Audit Paid</t>
  </si>
  <si>
    <t>Audit Mail-In</t>
  </si>
  <si>
    <t>Cooling</t>
  </si>
  <si>
    <t>DuctRepair</t>
  </si>
  <si>
    <t>E E Motors</t>
  </si>
  <si>
    <t>Chillers</t>
  </si>
  <si>
    <t>Occ Sensors</t>
  </si>
  <si>
    <t>Water Ht</t>
  </si>
  <si>
    <t>Lighting</t>
  </si>
  <si>
    <t>ConsValue</t>
  </si>
  <si>
    <t>Street Lt</t>
  </si>
  <si>
    <t>LM cyc</t>
  </si>
  <si>
    <t>LM ext</t>
  </si>
  <si>
    <t>Standby</t>
  </si>
  <si>
    <t>DMD Resp</t>
  </si>
  <si>
    <t>Excludes StLt</t>
  </si>
  <si>
    <r>
      <t>Cumulative</t>
    </r>
    <r>
      <rPr>
        <b/>
        <sz val="8"/>
        <rFont val="Arial"/>
        <family val="2"/>
      </rPr>
      <t xml:space="preserve"> Winter Participants** (Fcst=Jan) (Act=PkMth)</t>
    </r>
  </si>
  <si>
    <r>
      <t>Cumulative</t>
    </r>
    <r>
      <rPr>
        <b/>
        <sz val="8"/>
        <rFont val="Arial"/>
        <family val="2"/>
      </rPr>
      <t xml:space="preserve"> Summer Participants* (Fcst=July) (Act=PkMth)</t>
    </r>
  </si>
  <si>
    <t>COM Load Management (extended (ex: refrigeration))</t>
  </si>
  <si>
    <t>Conservation Demand Savings</t>
  </si>
  <si>
    <t>Load Management Demand Savings</t>
  </si>
  <si>
    <t>RES (GWH)</t>
  </si>
  <si>
    <t>Winter PEAK (MW)</t>
  </si>
  <si>
    <t>Summer PEAK (MW)</t>
  </si>
  <si>
    <t>RESIDENTIAL</t>
  </si>
  <si>
    <t>COMMERCIAL / INDUSTRIAL</t>
  </si>
  <si>
    <t>SUMMER (MW) at the Meter</t>
  </si>
  <si>
    <t>Winter (MW) at the Meter</t>
  </si>
  <si>
    <t>Energy (GWH) at the Meter</t>
  </si>
  <si>
    <t>Program</t>
  </si>
  <si>
    <t>Class</t>
  </si>
  <si>
    <t>RES</t>
  </si>
  <si>
    <t>StLt</t>
  </si>
  <si>
    <t>COM/IND</t>
  </si>
  <si>
    <t>Conserv</t>
  </si>
  <si>
    <t>LoadMgmt</t>
  </si>
  <si>
    <t>Type</t>
  </si>
  <si>
    <t>Update these dates --&gt;&gt;</t>
  </si>
  <si>
    <t>Change in Savings From Actual to Projected</t>
  </si>
  <si>
    <t>Actual at the Meter</t>
  </si>
  <si>
    <t>Projected at the Meter</t>
  </si>
  <si>
    <t xml:space="preserve"> </t>
  </si>
  <si>
    <t>Total (GWH)</t>
  </si>
  <si>
    <r>
      <t xml:space="preserve">Incremental DSM </t>
    </r>
    <r>
      <rPr>
        <b/>
        <sz val="8"/>
        <color indexed="12"/>
        <rFont val="Arial"/>
        <family val="2"/>
      </rPr>
      <t xml:space="preserve">Summer </t>
    </r>
    <r>
      <rPr>
        <b/>
        <sz val="8"/>
        <color indexed="8"/>
        <rFont val="Arial"/>
        <family val="2"/>
      </rPr>
      <t>Savings Per Participant (KW)</t>
    </r>
  </si>
  <si>
    <r>
      <t xml:space="preserve">Incremental DSM   </t>
    </r>
    <r>
      <rPr>
        <b/>
        <sz val="8"/>
        <color indexed="12"/>
        <rFont val="Arial"/>
        <family val="2"/>
      </rPr>
      <t xml:space="preserve">Winter </t>
    </r>
    <r>
      <rPr>
        <b/>
        <sz val="8"/>
        <rFont val="Arial"/>
        <family val="2"/>
      </rPr>
      <t>Savings Per Participant (KW)</t>
    </r>
  </si>
  <si>
    <r>
      <t xml:space="preserve">Incremental DSM    </t>
    </r>
    <r>
      <rPr>
        <b/>
        <sz val="8"/>
        <color indexed="12"/>
        <rFont val="Arial"/>
        <family val="2"/>
      </rPr>
      <t>Energy</t>
    </r>
    <r>
      <rPr>
        <b/>
        <sz val="8"/>
        <rFont val="Arial"/>
        <family val="2"/>
      </rPr>
      <t xml:space="preserve"> Savings Per Participant (KWH)</t>
    </r>
  </si>
  <si>
    <t>Change in Forecasts</t>
  </si>
  <si>
    <t>Total         Demand Savings</t>
  </si>
  <si>
    <t>Conservation &amp; Load Mgmt        Energy Savings</t>
  </si>
  <si>
    <t>Conservation &amp; Load Mgmt       Energy Savings</t>
  </si>
  <si>
    <t>Cut and Paste into "Model_Inputs.xls" file, "consv" tab</t>
  </si>
  <si>
    <t>Testimony/Filings</t>
  </si>
  <si>
    <t>S</t>
  </si>
  <si>
    <t>W</t>
  </si>
  <si>
    <t>Commercial/Industrial  LoadMgmt</t>
  </si>
  <si>
    <t>4) Summary tabs are set up: These TABS contain BOTH @METER and @GENERATOR LEVEL TOTALS.</t>
  </si>
  <si>
    <t>a) "RES Summary"</t>
  </si>
  <si>
    <t>b) "ComInd Summary"</t>
  </si>
  <si>
    <t>Weighted</t>
  </si>
  <si>
    <r>
      <t xml:space="preserve">RES Customer Assisted Audit </t>
    </r>
    <r>
      <rPr>
        <sz val="10"/>
        <rFont val="Arial"/>
        <family val="2"/>
      </rPr>
      <t>(aka Online Audit &amp; Telephone Audit) used to be mail-in tab</t>
    </r>
  </si>
  <si>
    <r>
      <t>COM Energy Efficient Motors (</t>
    </r>
    <r>
      <rPr>
        <b/>
        <sz val="9"/>
        <color indexed="8"/>
        <rFont val="Arial"/>
        <family val="2"/>
      </rPr>
      <t>COM Motor upgrades aka Motor Replacement)</t>
    </r>
  </si>
  <si>
    <t>COM Refrigeration (aka Condensate Controls aka anti-condensate)</t>
  </si>
  <si>
    <t>COM Water Heating (HRU [heat recovery unit] + HPWH [heat pump water heater])</t>
  </si>
  <si>
    <t xml:space="preserve">still need to keep this tab… as there are historic savings </t>
  </si>
  <si>
    <t>COM Lighting  (COM Indoor Lighting + COM Unconditioned Lighting+ Exit Signs)</t>
  </si>
  <si>
    <t xml:space="preserve">COM </t>
  </si>
  <si>
    <t xml:space="preserve">RES </t>
  </si>
  <si>
    <t>&lt;= pick one</t>
  </si>
  <si>
    <r>
      <t xml:space="preserve">ECM   </t>
    </r>
    <r>
      <rPr>
        <b/>
        <u/>
        <sz val="12"/>
        <color indexed="8"/>
        <rFont val="Arial"/>
        <family val="2"/>
      </rPr>
      <t>E</t>
    </r>
    <r>
      <rPr>
        <b/>
        <sz val="12"/>
        <color indexed="8"/>
        <rFont val="Arial"/>
        <family val="2"/>
      </rPr>
      <t xml:space="preserve">lectronically </t>
    </r>
    <r>
      <rPr>
        <b/>
        <u/>
        <sz val="12"/>
        <color indexed="8"/>
        <rFont val="Arial"/>
        <family val="2"/>
      </rPr>
      <t>C</t>
    </r>
    <r>
      <rPr>
        <b/>
        <sz val="12"/>
        <color indexed="8"/>
        <rFont val="Arial"/>
        <family val="2"/>
      </rPr>
      <t xml:space="preserve">ommutated </t>
    </r>
    <r>
      <rPr>
        <b/>
        <u/>
        <sz val="12"/>
        <color indexed="8"/>
        <rFont val="Arial"/>
        <family val="2"/>
      </rPr>
      <t>M</t>
    </r>
    <r>
      <rPr>
        <b/>
        <sz val="12"/>
        <color indexed="8"/>
        <rFont val="Arial"/>
        <family val="2"/>
      </rPr>
      <t>otors</t>
    </r>
  </si>
  <si>
    <t>Maintenance aka RESIDENTIAL HVAC RE-COMMISSIONING</t>
  </si>
  <si>
    <t>SBH Completed Fcst. 5/20/10</t>
  </si>
  <si>
    <t>RES Audit RCS (Paid Audit) --aka Residential Computer-Assisted Audit, Residential Conservation Audit</t>
  </si>
  <si>
    <t>RES Heating &amp; Cooling (aka HCLV1)</t>
  </si>
  <si>
    <t>4 Programs - Weighted Average Calculation</t>
  </si>
  <si>
    <t>Wall Insulation</t>
  </si>
  <si>
    <t>Window  Film</t>
  </si>
  <si>
    <t>Ceiling Insulation</t>
  </si>
  <si>
    <t>Window  Replacement</t>
  </si>
  <si>
    <t>Sum KW</t>
  </si>
  <si>
    <t>Win KW</t>
  </si>
  <si>
    <t>W Film</t>
  </si>
  <si>
    <t>W Replace</t>
  </si>
  <si>
    <t>Ceiling Insul</t>
  </si>
  <si>
    <t>Total Participants</t>
  </si>
  <si>
    <t>FYI: ceiling insulation historical data remains in data</t>
  </si>
  <si>
    <t>DX = Direct Expansion AC equipment</t>
  </si>
  <si>
    <t>2 Programs - Weighted Average Calculation</t>
  </si>
  <si>
    <t>DX Units</t>
  </si>
  <si>
    <t>PTAC Units</t>
  </si>
  <si>
    <r>
      <t xml:space="preserve">COM Building Envelope Improvement  </t>
    </r>
    <r>
      <rPr>
        <b/>
        <sz val="10"/>
        <color indexed="8"/>
        <rFont val="Arial"/>
        <family val="2"/>
      </rPr>
      <t>(4 programs using weighted average -see below)</t>
    </r>
  </si>
  <si>
    <t>Window Film</t>
  </si>
  <si>
    <t>Roof Insulation</t>
  </si>
  <si>
    <t>New in 2010</t>
  </si>
  <si>
    <r>
      <t xml:space="preserve">(Wind. Film, Ceiling Insul., Wall Insul. &amp; </t>
    </r>
    <r>
      <rPr>
        <b/>
        <sz val="8"/>
        <color indexed="17"/>
        <rFont val="Arial"/>
        <family val="2"/>
      </rPr>
      <t>Roof Insul. [new in 2010]</t>
    </r>
    <r>
      <rPr>
        <b/>
        <sz val="8"/>
        <rFont val="Arial"/>
        <family val="2"/>
      </rPr>
      <t>)</t>
    </r>
  </si>
  <si>
    <t>COM Lighting Occupancy Sensors</t>
  </si>
  <si>
    <t>3 Programs - Weighted Average Calculation</t>
  </si>
  <si>
    <t>Lighting Conditioned</t>
  </si>
  <si>
    <t>Lighting Unconditioned</t>
  </si>
  <si>
    <t>Exit Signs</t>
  </si>
  <si>
    <r>
      <t xml:space="preserve">Com'l ECM (Electronically Commutated Motors) </t>
    </r>
    <r>
      <rPr>
        <b/>
        <u/>
        <sz val="14"/>
        <color indexed="8"/>
        <rFont val="Arial"/>
        <family val="2"/>
      </rPr>
      <t>HVAC</t>
    </r>
  </si>
  <si>
    <t>Commercial Cool Roof</t>
  </si>
  <si>
    <t>Commercial ERV (Energy Recovery Ventilation)</t>
  </si>
  <si>
    <t>5/2010 doesn't need weighting this yr. since savings are the same for E, W &amp; S demand</t>
  </si>
  <si>
    <t>Educ Prgm</t>
  </si>
  <si>
    <t>ECM</t>
  </si>
  <si>
    <t>Maint</t>
  </si>
  <si>
    <t>Solar DHW</t>
  </si>
  <si>
    <t>PV</t>
  </si>
  <si>
    <t>ECM HVAC</t>
  </si>
  <si>
    <t>Cool Roof</t>
  </si>
  <si>
    <t>HVAC Recom</t>
  </si>
  <si>
    <t>ERV</t>
  </si>
  <si>
    <t>DHW = Domestic Hot Water</t>
  </si>
  <si>
    <t>Solar DHW aka Residential SWH (Solar Water Heater)</t>
  </si>
  <si>
    <t>Residential PV (Photovoltaic)</t>
  </si>
  <si>
    <t>Commercial HVAC Re-Commissioning aka Maintenance</t>
  </si>
  <si>
    <t>Summary</t>
  </si>
  <si>
    <t>Last Year's Forecast</t>
  </si>
  <si>
    <t>This Year's Forecast</t>
  </si>
  <si>
    <t>Change in Forecast</t>
  </si>
  <si>
    <t>% Change in Forecast</t>
  </si>
  <si>
    <t>WF</t>
  </si>
  <si>
    <t>CI</t>
  </si>
  <si>
    <t>WI</t>
  </si>
  <si>
    <t>LC</t>
  </si>
  <si>
    <t>Lun</t>
  </si>
  <si>
    <t xml:space="preserve">Prior </t>
  </si>
  <si>
    <t>to 2007</t>
  </si>
  <si>
    <t>Newer</t>
  </si>
  <si>
    <t>LastYr
 Com/Ind</t>
  </si>
  <si>
    <t>ThisYr
 Com/Ind</t>
  </si>
  <si>
    <t>FYI: had zeroes in 2013 actual file…but keep savings in here for math above</t>
  </si>
  <si>
    <t>RES Energy Planner (RSVP, aka PRLM)</t>
  </si>
  <si>
    <t xml:space="preserve">Stacy added this tab 2/14/14…per Tim. </t>
  </si>
  <si>
    <t>IND Load Management (GSLM 2&amp;3)</t>
  </si>
  <si>
    <t>COM LM cyc</t>
  </si>
  <si>
    <t>COM LM ext</t>
  </si>
  <si>
    <t>Tot Conserv</t>
  </si>
  <si>
    <t>Tot Consv</t>
  </si>
  <si>
    <t>WINTER (MW) at the Meter</t>
  </si>
  <si>
    <t>WINTER (MW) at the Generator</t>
  </si>
  <si>
    <t>Comm'l/Ind'l</t>
  </si>
  <si>
    <t>Source: Line Loss #s from Lori…Requested by Tim R. approx. 12/2013</t>
  </si>
  <si>
    <t>S/W Demand</t>
  </si>
  <si>
    <t>NEW PERCENTAGES</t>
  </si>
  <si>
    <t>Check annually at beginning of year with Tim and/or Lori for any updated data</t>
  </si>
  <si>
    <r>
      <t xml:space="preserve">3) For all other conservation programs, cumulative data will be built based upon incremental participants provided by Regulatory. </t>
    </r>
    <r>
      <rPr>
        <b/>
        <sz val="10"/>
        <rFont val="Arial"/>
        <family val="2"/>
      </rPr>
      <t>Anytime you add a program tab, be sure it is included in Res Summary and/or ComInd Summary tabs!</t>
    </r>
  </si>
  <si>
    <t>DO NOT USE THIS TAB…it would be duplicating Interruptible potential…these are the same customers.</t>
  </si>
  <si>
    <t>As of March 11, 2014, per conversations with Lori, Howard and Tim…</t>
  </si>
  <si>
    <t>NOT under Load Mgmt. as it had been discussed in the past…this keeps schedule 3.1 - 3.3</t>
  </si>
  <si>
    <t>columns where you can still add firm + interr. + LM to get to forecasted retail peak</t>
  </si>
  <si>
    <t>but accounts for savings due to this program</t>
  </si>
  <si>
    <t>NOT adding any other energy from programs like Stdby Gen or Dem Resp to conservation on 3.3</t>
  </si>
  <si>
    <t>as it is felt it has a payback that Energy Planner does not in terms of the savings over time.</t>
  </si>
  <si>
    <t>Putting Energy Planner Demand and Energy savings (history &amp; Fcst) in TYSP under CONSERVATION column</t>
  </si>
  <si>
    <t>FRCC filing will do the same…</t>
  </si>
  <si>
    <t>Conserv + EP</t>
  </si>
  <si>
    <t>TYSP &amp; FRCC</t>
  </si>
  <si>
    <t>Data needed to be @METER</t>
  </si>
  <si>
    <t>Total Demand Savings</t>
  </si>
  <si>
    <t>For TYSP: Discussed with Howard as of 3/11/2014…</t>
  </si>
  <si>
    <t xml:space="preserve">INCLUDE Energy Planner Demand in conservation column of </t>
  </si>
  <si>
    <r>
      <t>TYSP Schedule 3.2 and 3.1,</t>
    </r>
    <r>
      <rPr>
        <b/>
        <sz val="10"/>
        <rFont val="Arial"/>
        <family val="2"/>
      </rPr>
      <t xml:space="preserve"> NOT LM column!</t>
    </r>
  </si>
  <si>
    <t>not using at this point</t>
  </si>
  <si>
    <t>FOR LDAT &amp; TYSP</t>
  </si>
  <si>
    <t>** All of the historical data is the original program data (except Ceiling insulation)</t>
  </si>
  <si>
    <t>update history when time.</t>
  </si>
  <si>
    <t>RES ENERGY STAR HOMES (Previously called New Construction (aka New Home, aka Energy Plus Homes (EPH))</t>
  </si>
  <si>
    <t>* PROGRAM ENDED WITH 2015-2024 DSM PLAN</t>
  </si>
  <si>
    <t>** PTAC ENDED WITH 2015-2024 DSM PLAN</t>
  </si>
  <si>
    <t>*SEE note below- PTAC=Packaged Terminal AC [like in hotel rooms]</t>
  </si>
  <si>
    <t>** PROGRAM ENDED WITH 2015-2024 DSM PLAN</t>
  </si>
  <si>
    <t xml:space="preserve">** PRIOR to 2015 includes conditioned and unconditioned space and exit signs. </t>
  </si>
  <si>
    <t>** EXITS SIGNS ENDED IN 2015</t>
  </si>
  <si>
    <t>Ceiling Insulation standalone program (previously included with RES Building Envelope)</t>
  </si>
  <si>
    <t>Wall Insulation (previously included with RES Building Envelope)</t>
  </si>
  <si>
    <t>Window Replacement (previously included with RES Building Envelope)</t>
  </si>
  <si>
    <t>RES DUCT REPAIR (Single Family DS and Multi-family DS)</t>
  </si>
  <si>
    <t>Residential Educational Program aka Educational Energy Awareness aka Energy Education Outreach</t>
  </si>
  <si>
    <t>COM/IND Audit Free</t>
  </si>
  <si>
    <t>COM</t>
  </si>
  <si>
    <t>Ceiling Insulation (previously included with COM Building Envelope)</t>
  </si>
  <si>
    <t>Wall Insulation (Previously included with COM Building Envelope)</t>
  </si>
  <si>
    <t>Non-conditioned Lighting (previously included with COM Lighting)</t>
  </si>
  <si>
    <t>Conditioned Lighting (previously included with COM Lighting)</t>
  </si>
  <si>
    <t>** MOVED Conditioned and UNCONDITIONED LIGHTING TO their OWN TABs in 2015</t>
  </si>
  <si>
    <t>Com'l ECM (Electronically Commutated Motors)</t>
  </si>
  <si>
    <t>** Combined HVAC and Refrigeration ECM motors in 2015</t>
  </si>
  <si>
    <t>Photovoltaic</t>
  </si>
  <si>
    <t>School PV</t>
  </si>
  <si>
    <t>FREE</t>
  </si>
  <si>
    <t>RCS</t>
  </si>
  <si>
    <t>DS</t>
  </si>
  <si>
    <t>EnergyStar</t>
  </si>
  <si>
    <t>HC</t>
  </si>
  <si>
    <t>Educate</t>
  </si>
  <si>
    <t>Wind Repl</t>
  </si>
  <si>
    <t>Ceiling Ins</t>
  </si>
  <si>
    <t>Wall Ins</t>
  </si>
  <si>
    <t>Red = discontinued programs</t>
  </si>
  <si>
    <t>Window Repl</t>
  </si>
  <si>
    <t>NEW in 2015</t>
  </si>
  <si>
    <t>Discontinued with approval of 2015-2024</t>
  </si>
  <si>
    <t>Non-cond Ltg</t>
  </si>
  <si>
    <t>TES</t>
  </si>
  <si>
    <t>SBG</t>
  </si>
  <si>
    <t>DR (enernoc)</t>
  </si>
  <si>
    <t>Anti-Cond</t>
  </si>
  <si>
    <t>Con-Ltg</t>
  </si>
  <si>
    <t>WH</t>
  </si>
  <si>
    <t>Cond-Ltg</t>
  </si>
  <si>
    <t>Non-Cond Ltg</t>
  </si>
  <si>
    <t>Now</t>
  </si>
  <si>
    <t>Window Replacement</t>
  </si>
  <si>
    <t>Discontinued the Window Film portion of the old building envelope program</t>
  </si>
  <si>
    <t>Discontinued the Window Film and Roof Insulation portions of the old building envelope program</t>
  </si>
  <si>
    <t>COM Lighting</t>
  </si>
  <si>
    <t>Conditioned Lighting</t>
  </si>
  <si>
    <t>Non-conditioned Lighting</t>
  </si>
  <si>
    <t>Discontinued the Exit Sign portion of this program</t>
  </si>
  <si>
    <t>COM Building Envelop</t>
  </si>
  <si>
    <t>RES Building Envelope</t>
  </si>
  <si>
    <t xml:space="preserve">a) </t>
  </si>
  <si>
    <t>b)</t>
  </si>
  <si>
    <t>c)</t>
  </si>
  <si>
    <t>a)</t>
  </si>
  <si>
    <t>RES HVAC Re-commissioning (Proposed to discontinue this program with the 2015-2024 DSM Plan filing)</t>
  </si>
  <si>
    <t>C-I Mail-In Audit</t>
  </si>
  <si>
    <t>d)</t>
  </si>
  <si>
    <t>e)</t>
  </si>
  <si>
    <t>COM EEMotors (Proposed to discontinue this program with the 2015-2024 DSM Plan filing)</t>
  </si>
  <si>
    <t>f)</t>
  </si>
  <si>
    <t>g)</t>
  </si>
  <si>
    <t>Street Lighting Conservation</t>
  </si>
  <si>
    <t>COM ECM HVAC (combined ECM programs together with 2015-2024 DSM Plan filing)</t>
  </si>
  <si>
    <t>h)</t>
  </si>
  <si>
    <t>i)</t>
  </si>
  <si>
    <t>COM HVAC Re-Commissioning ((Proposed to discontinue this program with the 2015-2024 DSM Plan filing)</t>
  </si>
  <si>
    <t>j)</t>
  </si>
  <si>
    <t>COM ERV (Proposed to discontinue this program with the 2015-2024 DSM Plan filing)</t>
  </si>
  <si>
    <t>Blended Savings</t>
  </si>
  <si>
    <t>Blend</t>
  </si>
  <si>
    <t>RES Low Income (aka Neighborhood Weatherization)</t>
  </si>
  <si>
    <t>** 11/3/2015 DISCONTINUED PROGRAM WITH 2015-2024 DSM PLAN</t>
  </si>
  <si>
    <t>RES Window Film</t>
  </si>
  <si>
    <r>
      <t xml:space="preserve">COM Cooling </t>
    </r>
    <r>
      <rPr>
        <b/>
        <sz val="9"/>
        <color indexed="8"/>
        <rFont val="Arial"/>
        <family val="2"/>
      </rPr>
      <t>(Combines Com Cooling [aka DX] and Com PTAC Cooling- no more PTACs)</t>
    </r>
  </si>
  <si>
    <t>Commercial Thermal Energy Storage</t>
  </si>
  <si>
    <t>in 2015…just window film and roof insulation - Going away…this is last year.</t>
  </si>
  <si>
    <t>Program ended 12/2015</t>
  </si>
  <si>
    <t>Pink = FPSC will not let us count any additional savings to this existing program</t>
  </si>
  <si>
    <t>REF</t>
  </si>
  <si>
    <t>Energy Star</t>
  </si>
  <si>
    <t>Weatherization</t>
  </si>
  <si>
    <t>Discontinued after 2015</t>
  </si>
  <si>
    <t>Discontinued in 2000</t>
  </si>
  <si>
    <t>Discontinued prior to 1990</t>
  </si>
  <si>
    <t>2017-2030 Forecast</t>
  </si>
  <si>
    <t>Conservation &amp; Load Mgmt            Energy Savings</t>
  </si>
  <si>
    <t>Conservation &amp; Load Mgmt             Energy Savings</t>
  </si>
  <si>
    <t>Total            Demand Savings</t>
  </si>
  <si>
    <t>Contract Based, Check w/Drew Siriani annually to verify if contract changes.</t>
  </si>
  <si>
    <t>5) A "FCSTG INPUT" tab is pasted into the "Model_Inputs.xls" file, "Consv" tab for annual forecast process (cumulative totals by customer class are converted to incremental)</t>
  </si>
  <si>
    <t>6) History has been merged for the "RES Heating and Cooling" and "RES Duct Repair" programs for the purposes of this file as the programs changed over the years.</t>
  </si>
  <si>
    <t>7) All savings will be in terms of @ meter until the summary tabs and summary FCSTG tabs. On these tabs, @ meter will be converted to @ generator using the conversion factors" tab.</t>
  </si>
  <si>
    <t xml:space="preserve">8) Load Mgmt. History…match HELSI files at month of winter and summer peak each year with actual participants at that time &amp; temperature at time of peak </t>
  </si>
  <si>
    <t>9) Decided not to include STREET LIGHTING in TYSP filings. It is neither a Residential, nor Com'l/Ind'l program. No incremental growth. Also, kept annual energy savings at</t>
  </si>
  <si>
    <t>10) Program tabs highlighted in Red are discontinued programs and will not longer have data entered in them after 2015.</t>
  </si>
  <si>
    <t xml:space="preserve">11) The following programs were previously bundled and a weighted average was used to report savings. These programs have now been split up into their own programs: </t>
  </si>
  <si>
    <t>RES Building Envelope (see note 11 below)</t>
  </si>
  <si>
    <t>COM Building Envelope (see note 11 below)</t>
  </si>
  <si>
    <t>COM Lighting (See note 11 below)</t>
  </si>
  <si>
    <t>Used to be RES Building Envelope</t>
  </si>
  <si>
    <t>Summer (MW) At the Generator, Incremental Change</t>
  </si>
  <si>
    <t>Winter (MW) At the Generator, Incremental Change</t>
  </si>
  <si>
    <t>Energy (GWH), Incremental Change, At the Generator</t>
  </si>
  <si>
    <t>For graphs below</t>
  </si>
  <si>
    <t>FORM EIA-861</t>
  </si>
  <si>
    <t>OMB No. 1905-0129</t>
  </si>
  <si>
    <t>ANNUAL ELECTRIC POWER INDUSTRY REPORT</t>
  </si>
  <si>
    <t>Approval Expires:  05/31/2017</t>
  </si>
  <si>
    <t>Burden Hours: 10.97</t>
  </si>
  <si>
    <t>Entity Name:</t>
  </si>
  <si>
    <t>Tampa Electric Company</t>
  </si>
  <si>
    <t>Entity ID:</t>
  </si>
  <si>
    <t>Data Year:</t>
  </si>
  <si>
    <t>SCHEDULE 6. PART A. ENERGY EFFICIENCY PROGRAMS</t>
  </si>
  <si>
    <t>Schedule 6. Part A. Adjusted Gross Energy and Demand Savings -- Energy Efficiency</t>
  </si>
  <si>
    <t>State</t>
  </si>
  <si>
    <t>FL</t>
  </si>
  <si>
    <t>Balancing Authority</t>
  </si>
  <si>
    <t>RESIDENTIAL (a)</t>
  </si>
  <si>
    <t>COMMERCIAL (b)</t>
  </si>
  <si>
    <t>INDUSTRIAL (c)</t>
  </si>
  <si>
    <t>TRANSPORTATION   (d)</t>
  </si>
  <si>
    <t>TOTAL  (e)</t>
  </si>
  <si>
    <t>Reporting Year Incremental Annual Savings</t>
  </si>
  <si>
    <t>Energy Savings (MWh)</t>
  </si>
  <si>
    <t>Peak Demand Savings (MW)</t>
  </si>
  <si>
    <t>Incremental Life Cycle Savings</t>
  </si>
  <si>
    <t>Reporting Year Incremental Costs</t>
  </si>
  <si>
    <t>Customer Incentives</t>
  </si>
  <si>
    <t>All other costs</t>
  </si>
  <si>
    <t xml:space="preserve">Weighted Average Life for Portfolio (Years)
Select hyperlink to access weighted average life spreadsheet </t>
  </si>
  <si>
    <t>Weighted Average 
Life Calculator</t>
  </si>
  <si>
    <t>Commercial</t>
  </si>
  <si>
    <t>Industrial</t>
  </si>
  <si>
    <t>Transportation</t>
  </si>
  <si>
    <t>Weighted Average Life</t>
  </si>
  <si>
    <t>Please provide website address to your energy efficiency program reports:</t>
  </si>
  <si>
    <t>&lt;= 2035 cumulative savings less 2015's cumulative savings</t>
  </si>
  <si>
    <t>EIA Form 861, Schedule 6. Parts A, B &amp; C to be completed by DSM section of Regulatory Affairs, currently Mark Roche. Filing due April 30 each year.</t>
  </si>
  <si>
    <t>LR&amp;F to provide DSM (Mark) yellow highlighted section which contains a 20-year projection to calculate "Life Cycle Savings" for Energy and Peak Demand.</t>
  </si>
  <si>
    <t>This tab ONLY used in reference to EIA tab.</t>
  </si>
  <si>
    <t>Created tab so Mark Roche can complete EIA-861 Section 6A, 20 year projection for life cycle savings</t>
  </si>
  <si>
    <r>
      <t xml:space="preserve">Conservation Energy Savings-                  </t>
    </r>
    <r>
      <rPr>
        <b/>
        <sz val="10"/>
        <color rgb="FFFF0000"/>
        <rFont val="Arial"/>
        <family val="2"/>
      </rPr>
      <t xml:space="preserve">NO Ld Mgmt </t>
    </r>
    <r>
      <rPr>
        <b/>
        <sz val="10"/>
        <rFont val="Arial"/>
        <family val="2"/>
      </rPr>
      <t>Programs included</t>
    </r>
  </si>
  <si>
    <t>EIA 861</t>
  </si>
  <si>
    <t>Conservation (Res + Com/Ind) Demand Savings</t>
  </si>
  <si>
    <t>CHECK</t>
  </si>
  <si>
    <t>Sum of Res + Com + Ind</t>
  </si>
  <si>
    <t>Incremental Change 2035 - 2015</t>
  </si>
  <si>
    <t>Diff???</t>
  </si>
  <si>
    <t>All good!</t>
  </si>
  <si>
    <t>02/19/2016: Tweeked formulas on EIA 861 tabs…1) No longer put 100% of Com'l Cooling in COM, splitting 90%/10% like all other programs. 2) Removed all LM programs from totals used in data we provide for EIA 861 on rows 3 &amp; 4, Schedule 6A.</t>
  </si>
  <si>
    <t>Effective 2013, going forward until new Distrbution Line Loss data is available</t>
  </si>
  <si>
    <t>Transmission Losses studies are done annually by ECC Planning; however, the level of detail is not down to the Res vs. Com'l level.</t>
  </si>
  <si>
    <t>Distribution losses studies are not done annually as the level of work is much greater for ECC. Last distribution losses study was</t>
  </si>
  <si>
    <t>done at time of last rate case in 2013.</t>
  </si>
  <si>
    <t>02/18/2016: 1) Provided 20-year D&amp;E projections as input for EIA 861 to DSM area of Regulatory (Mark Roche), responsible for completion of Schedule 6 section of filing due each April.  See far right two orange tabs.                                                                                                                                               2) Forced cumulative savings to be 40 MW for Summer and Winter at the meter for Commercial Demand Response as it is contract based.</t>
  </si>
  <si>
    <t>Updated 2010 Participant counts to be consistent with FPSC filings for this year, which changes cumulative participant counts going forward for several programs. Okay with updating this history change in TYSP and FRCC filing…explainable per Lori/Mark.</t>
  </si>
  <si>
    <t>REGARDING HISTORY:  3/2004 This file format was originally created by Lori Cifuentes, Ld. Rsch. &amp; Fcstg. to be used by the Forecasting Group to prepare forecasts and TYSP tables.</t>
  </si>
  <si>
    <t>DSM Historical Annual and Accumulative Accomplishments</t>
  </si>
  <si>
    <t>Annual Actuals</t>
  </si>
  <si>
    <t>Accumulative Total</t>
  </si>
  <si>
    <t>Summer kW</t>
  </si>
  <si>
    <t>Winter kW</t>
  </si>
  <si>
    <t>Annual Energy</t>
  </si>
  <si>
    <t>02/02/2017 Met with Erika Perez and updated the actuals  (participants and savings [W/S/Energy]) for 2016 based on FPSC filing.</t>
  </si>
  <si>
    <t>02/14/2017 Met with Erika to update the forecasted data for participants and savings/participant.</t>
  </si>
  <si>
    <t>DSM_FORE18.xlsx Draft ready for review.</t>
  </si>
  <si>
    <t>** 05/11/2016 DISCONTINUED PROGRAM...Program ended May 11, 2016</t>
  </si>
  <si>
    <t>Discontinued 5/11/2016</t>
  </si>
  <si>
    <t>Assited Audit</t>
  </si>
  <si>
    <t xml:space="preserve"> Discontinued programs</t>
  </si>
  <si>
    <t>TOTALS</t>
  </si>
  <si>
    <t>FPSC does not allow savings from audits to be counted any longer.</t>
  </si>
  <si>
    <t>Refrigeration</t>
  </si>
  <si>
    <t>2018-2030 Forecast</t>
  </si>
  <si>
    <t>Energy Planner is this difference between columns J &amp; K vs. columns Q &amp; R</t>
  </si>
  <si>
    <t>Conservation &amp; Load Mgmt Demand Savings</t>
  </si>
  <si>
    <t>Conservation &amp; Load Mgmt          Energy Savings</t>
  </si>
  <si>
    <t>Source: Regulatory Affairs, Conservation area</t>
  </si>
  <si>
    <t>Compare this year's forecast to last year's forecast…</t>
  </si>
  <si>
    <t>Compare Prior Year Actuals to This Year's Fcst.</t>
  </si>
  <si>
    <t>02/2017 Still no new distribution line loss study…keep existing %'s</t>
  </si>
  <si>
    <t>res</t>
  </si>
  <si>
    <t>com</t>
  </si>
  <si>
    <t>eia 861 - row 3 EE sheet</t>
  </si>
  <si>
    <t>ind</t>
  </si>
  <si>
    <t>eia 861 - row 4 EE sheet</t>
  </si>
  <si>
    <t>EA</t>
  </si>
  <si>
    <t>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</si>
</sst>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_(* \(#,##0\);_(* &quot;-&quot;_);_(@_)"/>
    <numFmt numFmtId="44" formatCode="_(&quot;$&quot;* #,##0.00_);_(&quot;$&quot;* \(#,##0.00\);_(&quot;$&quot;* &quot;-&quot;??_);_(@_)"/>
    <numFmt numFmtId="43" formatCode="_(* #,##0.00_);_(* \(#,##0.00\);_(* &quot;-&quot;??_);_(@_)"/>
    <numFmt numFmtId="164" formatCode="0.000"/>
    <numFmt numFmtId="165" formatCode="_(* #,##0.0_);_(* \(#,##0.0\);_(* &quot;-&quot;??_);_(@_)"/>
    <numFmt numFmtId="166" formatCode="_(* #,##0_);_(* \(#,##0\);_(* &quot;-&quot;??_);_(@_)"/>
    <numFmt numFmtId="167" formatCode="0.0000"/>
    <numFmt numFmtId="168" formatCode="_(* #,##0.000_);_(* \(#,##0.000\);_(* &quot;-&quot;???_);_(@_)"/>
    <numFmt numFmtId="169" formatCode="0.0"/>
    <numFmt numFmtId="170" formatCode="_(* #,##0.000_);_(* \(#,##0.000\);_(* &quot;-&quot;??_);_(@_)"/>
    <numFmt numFmtId="171" formatCode="_(* #,##0.0000_);_(* \(#,##0.0000\);_(* &quot;-&quot;??_);_(@_)"/>
    <numFmt numFmtId="172" formatCode="0.000000"/>
    <numFmt numFmtId="173" formatCode="0.0000000"/>
    <numFmt numFmtId="174" formatCode="0.0%"/>
    <numFmt numFmtId="175" formatCode="0.00_);\(0.00\)"/>
    <numFmt numFmtId="176" formatCode="_(* #,##0.00_);_(* \(#,##0.00\);_(* &quot;-&quot;???_);_(@_)"/>
    <numFmt numFmtId="177" formatCode="0.0_);[Red]\(0.0\)"/>
    <numFmt numFmtId="178" formatCode="#,##0.0"/>
    <numFmt numFmtId="179" formatCode="#,##0.000"/>
    <numFmt numFmtId="180" formatCode="0.0000000000000"/>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b/>
      <sz val="10"/>
      <name val="Arial"/>
      <family val="2"/>
    </font>
    <font>
      <b/>
      <sz val="12"/>
      <name val="Arial"/>
      <family val="2"/>
    </font>
    <font>
      <b/>
      <sz val="8"/>
      <name val="Arial"/>
      <family val="2"/>
    </font>
    <font>
      <sz val="10"/>
      <color indexed="12"/>
      <name val="Arial"/>
      <family val="2"/>
    </font>
    <font>
      <sz val="8"/>
      <name val="Arial"/>
      <family val="2"/>
    </font>
    <font>
      <sz val="10"/>
      <name val="Arial"/>
      <family val="2"/>
    </font>
    <font>
      <b/>
      <sz val="10"/>
      <color indexed="12"/>
      <name val="Arial"/>
      <family val="2"/>
    </font>
    <font>
      <b/>
      <sz val="8"/>
      <color indexed="12"/>
      <name val="Arial"/>
      <family val="2"/>
    </font>
    <font>
      <b/>
      <sz val="8"/>
      <color indexed="8"/>
      <name val="Arial"/>
      <family val="2"/>
    </font>
    <font>
      <b/>
      <sz val="12"/>
      <color indexed="8"/>
      <name val="Arial"/>
      <family val="2"/>
    </font>
    <font>
      <sz val="8"/>
      <color indexed="8"/>
      <name val="Arial"/>
      <family val="2"/>
    </font>
    <font>
      <b/>
      <sz val="10"/>
      <color indexed="8"/>
      <name val="Arial"/>
      <family val="2"/>
    </font>
    <font>
      <sz val="10"/>
      <color indexed="12"/>
      <name val="Arial"/>
      <family val="2"/>
    </font>
    <font>
      <b/>
      <sz val="10"/>
      <name val="Arial"/>
      <family val="2"/>
    </font>
    <font>
      <sz val="10"/>
      <name val="Arial"/>
      <family val="2"/>
    </font>
    <font>
      <sz val="10"/>
      <color indexed="8"/>
      <name val="Arial"/>
      <family val="2"/>
    </font>
    <font>
      <b/>
      <vertAlign val="superscript"/>
      <sz val="10"/>
      <name val="Arial"/>
      <family val="2"/>
    </font>
    <font>
      <b/>
      <vertAlign val="superscript"/>
      <sz val="12"/>
      <color indexed="8"/>
      <name val="Arial"/>
      <family val="2"/>
    </font>
    <font>
      <b/>
      <vertAlign val="superscript"/>
      <sz val="12"/>
      <color indexed="12"/>
      <name val="Arial"/>
      <family val="2"/>
    </font>
    <font>
      <b/>
      <sz val="8"/>
      <color indexed="14"/>
      <name val="Arial"/>
      <family val="2"/>
    </font>
    <font>
      <b/>
      <u/>
      <sz val="8"/>
      <name val="Arial"/>
      <family val="2"/>
    </font>
    <font>
      <sz val="10"/>
      <color indexed="8"/>
      <name val="Arial"/>
      <family val="2"/>
    </font>
    <font>
      <b/>
      <sz val="10"/>
      <color indexed="10"/>
      <name val="Arial"/>
      <family val="2"/>
    </font>
    <font>
      <b/>
      <i/>
      <sz val="10"/>
      <color indexed="10"/>
      <name val="Arial"/>
      <family val="2"/>
    </font>
    <font>
      <b/>
      <sz val="12"/>
      <color indexed="10"/>
      <name val="Arial"/>
      <family val="2"/>
    </font>
    <font>
      <b/>
      <u/>
      <sz val="10"/>
      <color indexed="10"/>
      <name val="Arial"/>
      <family val="2"/>
    </font>
    <font>
      <b/>
      <sz val="9"/>
      <color indexed="8"/>
      <name val="Arial"/>
      <family val="2"/>
    </font>
    <font>
      <sz val="9"/>
      <color indexed="8"/>
      <name val="Arial"/>
      <family val="2"/>
    </font>
    <font>
      <sz val="10"/>
      <color indexed="61"/>
      <name val="Arial"/>
      <family val="2"/>
    </font>
    <font>
      <sz val="12"/>
      <name val="Arial"/>
      <family val="2"/>
    </font>
    <font>
      <b/>
      <sz val="10"/>
      <color indexed="21"/>
      <name val="Arial"/>
      <family val="2"/>
    </font>
    <font>
      <sz val="9"/>
      <name val="Arial"/>
      <family val="2"/>
    </font>
    <font>
      <b/>
      <sz val="16"/>
      <name val="Arial"/>
      <family val="2"/>
    </font>
    <font>
      <i/>
      <sz val="10"/>
      <color indexed="10"/>
      <name val="Arial"/>
      <family val="2"/>
    </font>
    <font>
      <i/>
      <sz val="10"/>
      <name val="Arial"/>
      <family val="2"/>
    </font>
    <font>
      <b/>
      <u/>
      <sz val="12"/>
      <color indexed="8"/>
      <name val="Arial"/>
      <family val="2"/>
    </font>
    <font>
      <b/>
      <sz val="8"/>
      <color indexed="17"/>
      <name val="Arial"/>
      <family val="2"/>
    </font>
    <font>
      <b/>
      <u/>
      <sz val="14"/>
      <color indexed="8"/>
      <name val="Arial"/>
      <family val="2"/>
    </font>
    <font>
      <b/>
      <sz val="14"/>
      <name val="Arial"/>
      <family val="2"/>
    </font>
    <font>
      <sz val="10"/>
      <name val="Arial"/>
      <family val="2"/>
    </font>
    <font>
      <sz val="11"/>
      <color theme="1"/>
      <name val="Calibri"/>
      <family val="2"/>
      <scheme val="minor"/>
    </font>
    <font>
      <sz val="10"/>
      <color rgb="FFFF0000"/>
      <name val="Arial"/>
      <family val="2"/>
    </font>
    <font>
      <sz val="10"/>
      <color theme="1"/>
      <name val="Arial"/>
      <family val="2"/>
    </font>
    <font>
      <b/>
      <sz val="10"/>
      <color rgb="FF0000FF"/>
      <name val="Arial"/>
      <family val="2"/>
    </font>
    <font>
      <b/>
      <sz val="10"/>
      <color theme="1"/>
      <name val="Arial"/>
      <family val="2"/>
    </font>
    <font>
      <b/>
      <sz val="10"/>
      <color rgb="FFFF0000"/>
      <name val="Arial"/>
      <family val="2"/>
    </font>
    <font>
      <b/>
      <sz val="8"/>
      <color theme="7" tint="-0.249977111117893"/>
      <name val="Arial"/>
      <family val="2"/>
    </font>
    <font>
      <b/>
      <sz val="9"/>
      <color rgb="FF0000FF"/>
      <name val="Arial"/>
      <family val="2"/>
    </font>
    <font>
      <sz val="10"/>
      <name val="Arial"/>
      <family val="2"/>
    </font>
    <font>
      <b/>
      <sz val="24"/>
      <name val="Arial"/>
      <family val="2"/>
    </font>
    <font>
      <sz val="18"/>
      <name val="Arial"/>
      <family val="2"/>
    </font>
    <font>
      <b/>
      <sz val="18"/>
      <name val="Arial"/>
      <family val="2"/>
    </font>
    <font>
      <u/>
      <sz val="8.5"/>
      <color theme="10"/>
      <name val="Arial"/>
      <family val="2"/>
    </font>
    <font>
      <u/>
      <sz val="7.5"/>
      <color theme="10"/>
      <name val="Arial"/>
      <family val="2"/>
    </font>
    <font>
      <b/>
      <sz val="8"/>
      <color rgb="FF0000FF"/>
      <name val="Arial"/>
      <family val="2"/>
    </font>
    <font>
      <b/>
      <sz val="16"/>
      <color rgb="FFFF0000"/>
      <name val="Arial"/>
      <family val="2"/>
    </font>
    <font>
      <sz val="11"/>
      <name val="Calibri"/>
      <family val="2"/>
    </font>
    <font>
      <b/>
      <sz val="14"/>
      <color rgb="FFFF0000"/>
      <name val="Arial"/>
      <family val="2"/>
    </font>
    <font>
      <i/>
      <sz val="10"/>
      <color theme="1"/>
      <name val="Arial"/>
      <family val="2"/>
    </font>
    <font>
      <b/>
      <sz val="12"/>
      <color rgb="FFFF0000"/>
      <name val="Arial"/>
      <family val="2"/>
    </font>
    <font>
      <sz val="12"/>
      <name val="Arial"/>
      <family val="2"/>
    </font>
    <font>
      <b/>
      <sz val="8"/>
      <color rgb="FFFF0000"/>
      <name val="Arial"/>
      <family val="2"/>
    </font>
    <font>
      <sz val="8"/>
      <color rgb="FFFF0000"/>
      <name val="Arial"/>
      <family val="2"/>
    </font>
    <font>
      <sz val="10"/>
      <color rgb="FFFF33CC"/>
      <name val="Arial"/>
      <family val="2"/>
    </font>
    <font>
      <sz val="8"/>
      <color rgb="FFFF33CC"/>
      <name val="Arial"/>
      <family val="2"/>
    </font>
    <font>
      <b/>
      <sz val="10"/>
      <color rgb="FFFF33CC"/>
      <name val="Arial"/>
      <family val="2"/>
    </font>
    <font>
      <b/>
      <sz val="12"/>
      <color rgb="FFFF33CC"/>
      <name val="Arial"/>
      <family val="2"/>
    </font>
    <font>
      <b/>
      <i/>
      <sz val="10"/>
      <name val="Arial"/>
      <family val="2"/>
    </font>
    <font>
      <b/>
      <sz val="12"/>
      <color theme="1"/>
      <name val="Arial"/>
      <family val="2"/>
    </font>
    <font>
      <b/>
      <i/>
      <sz val="10"/>
      <color theme="1"/>
      <name val="Arial"/>
      <family val="2"/>
    </font>
    <font>
      <b/>
      <sz val="11"/>
      <color theme="1"/>
      <name val="Arial"/>
      <family val="2"/>
    </font>
    <font>
      <sz val="11"/>
      <color theme="1"/>
      <name val="Arial"/>
      <family val="2"/>
    </font>
    <font>
      <u/>
      <sz val="11"/>
      <color theme="10"/>
      <name val="Calibri"/>
      <family val="2"/>
    </font>
    <font>
      <b/>
      <sz val="10"/>
      <color rgb="FF0066FF"/>
      <name val="Arial"/>
      <family val="2"/>
    </font>
    <font>
      <b/>
      <sz val="12"/>
      <color rgb="FF0066FF"/>
      <name val="Arial"/>
      <family val="2"/>
    </font>
    <font>
      <b/>
      <sz val="11"/>
      <color rgb="FF0066FF"/>
      <name val="Arial"/>
      <family val="2"/>
    </font>
    <font>
      <sz val="10"/>
      <color rgb="FF1CBE06"/>
      <name val="Arial"/>
      <family val="2"/>
    </font>
    <font>
      <sz val="11"/>
      <name val="Arial"/>
      <family val="2"/>
    </font>
  </fonts>
  <fills count="36">
    <fill>
      <patternFill patternType="none"/>
    </fill>
    <fill>
      <patternFill patternType="gray125"/>
    </fill>
    <fill>
      <patternFill patternType="solid">
        <fgColor indexed="46"/>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45"/>
        <bgColor indexed="64"/>
      </patternFill>
    </fill>
    <fill>
      <patternFill patternType="solid">
        <fgColor indexed="13"/>
        <bgColor indexed="64"/>
      </patternFill>
    </fill>
    <fill>
      <patternFill patternType="solid">
        <fgColor indexed="55"/>
        <bgColor indexed="64"/>
      </patternFill>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rgb="FF00B0F0"/>
        <bgColor indexed="64"/>
      </patternFill>
    </fill>
    <fill>
      <patternFill patternType="solid">
        <fgColor rgb="FFCCFFFF"/>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4EE642"/>
        <bgColor indexed="64"/>
      </patternFill>
    </fill>
    <fill>
      <patternFill patternType="solid">
        <fgColor theme="0" tint="-0.34998626667073579"/>
        <bgColor indexed="64"/>
      </patternFill>
    </fill>
    <fill>
      <patternFill patternType="solid">
        <fgColor rgb="FF76DA4E"/>
        <bgColor indexed="64"/>
      </patternFill>
    </fill>
    <fill>
      <patternFill patternType="solid">
        <fgColor rgb="FFEAF5F7"/>
        <bgColor indexed="64"/>
      </patternFill>
    </fill>
    <fill>
      <patternFill patternType="solid">
        <fgColor rgb="FFC0DEF3"/>
        <bgColor indexed="64"/>
      </patternFill>
    </fill>
    <fill>
      <patternFill patternType="solid">
        <fgColor theme="0" tint="-0.249977111117893"/>
        <bgColor indexed="64"/>
      </patternFill>
    </fill>
    <fill>
      <patternFill patternType="solid">
        <fgColor rgb="FF00FFFF"/>
        <bgColor indexed="64"/>
      </patternFill>
    </fill>
    <fill>
      <patternFill patternType="solid">
        <fgColor rgb="FFCC99FF"/>
        <bgColor indexed="64"/>
      </patternFill>
    </fill>
    <fill>
      <patternFill patternType="solid">
        <fgColor rgb="FF92D050"/>
        <bgColor indexed="64"/>
      </patternFill>
    </fill>
    <fill>
      <patternFill patternType="solid">
        <fgColor rgb="FFFF99FF"/>
        <bgColor indexed="64"/>
      </patternFill>
    </fill>
    <fill>
      <patternFill patternType="solid">
        <fgColor rgb="FFFFFFCC"/>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thin">
        <color indexed="8"/>
      </right>
      <top style="thin">
        <color indexed="8"/>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ck">
        <color indexed="42"/>
      </left>
      <right/>
      <top/>
      <bottom/>
      <diagonal/>
    </border>
    <border>
      <left/>
      <right style="thick">
        <color indexed="42"/>
      </right>
      <top/>
      <bottom/>
      <diagonal/>
    </border>
    <border>
      <left/>
      <right/>
      <top style="thick">
        <color indexed="42"/>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right style="thick">
        <color indexed="42"/>
      </right>
      <top style="thick">
        <color indexed="42"/>
      </top>
      <bottom/>
      <diagonal/>
    </border>
    <border>
      <left style="thick">
        <color indexed="42"/>
      </left>
      <right/>
      <top style="thick">
        <color indexed="42"/>
      </top>
      <bottom/>
      <diagonal/>
    </border>
    <border>
      <left style="medium">
        <color indexed="64"/>
      </left>
      <right style="thin">
        <color indexed="64"/>
      </right>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ck">
        <color rgb="FFEAF5F7"/>
      </left>
      <right style="thick">
        <color rgb="FFEAF5F7"/>
      </right>
      <top style="thick">
        <color rgb="FFEAF5F7"/>
      </top>
      <bottom style="thick">
        <color rgb="FFEAF5F7"/>
      </bottom>
      <diagonal/>
    </border>
    <border>
      <left style="thick">
        <color rgb="FFEAF5F7"/>
      </left>
      <right/>
      <top/>
      <bottom/>
      <diagonal/>
    </border>
    <border>
      <left/>
      <right style="thick">
        <color rgb="FFEAF5F7"/>
      </right>
      <top style="thick">
        <color rgb="FFEAF5F7"/>
      </top>
      <bottom/>
      <diagonal/>
    </border>
    <border>
      <left style="thick">
        <color rgb="FFEAF5F7"/>
      </left>
      <right/>
      <top/>
      <bottom style="thick">
        <color rgb="FFEAF5F7"/>
      </bottom>
      <diagonal/>
    </border>
    <border>
      <left/>
      <right/>
      <top/>
      <bottom style="thick">
        <color rgb="FFEAF5F7"/>
      </bottom>
      <diagonal/>
    </border>
    <border>
      <left style="thick">
        <color rgb="FFEAF5F7"/>
      </left>
      <right/>
      <top style="thick">
        <color rgb="FFEAF5F7"/>
      </top>
      <bottom/>
      <diagonal/>
    </border>
    <border>
      <left/>
      <right/>
      <top style="thick">
        <color rgb="FFEAF5F7"/>
      </top>
      <bottom/>
      <diagonal/>
    </border>
    <border>
      <left style="thick">
        <color rgb="FFEAF5F7"/>
      </left>
      <right/>
      <top style="thick">
        <color rgb="FFEAF5F7"/>
      </top>
      <bottom style="thick">
        <color rgb="FFEAF5F7"/>
      </bottom>
      <diagonal/>
    </border>
    <border>
      <left/>
      <right style="thick">
        <color rgb="FFEAF5F7"/>
      </right>
      <top/>
      <bottom style="thick">
        <color rgb="FFEAF5F7"/>
      </bottom>
      <diagonal/>
    </border>
    <border>
      <left/>
      <right/>
      <top style="thick">
        <color rgb="FFEAF5F7"/>
      </top>
      <bottom style="thick">
        <color rgb="FFEAF5F7"/>
      </bottom>
      <diagonal/>
    </border>
    <border>
      <left/>
      <right style="thick">
        <color rgb="FFEAF5F7"/>
      </right>
      <top style="thick">
        <color rgb="FFEAF5F7"/>
      </top>
      <bottom style="thick">
        <color rgb="FFEAF5F7"/>
      </bottom>
      <diagonal/>
    </border>
  </borders>
  <cellStyleXfs count="180">
    <xf numFmtId="0" fontId="0" fillId="0" borderId="0"/>
    <xf numFmtId="43" fontId="5" fillId="0" borderId="0" applyFont="0" applyFill="0" applyBorder="0" applyAlignment="0" applyProtection="0"/>
    <xf numFmtId="9" fontId="5" fillId="0" borderId="0" applyFont="0" applyFill="0" applyBorder="0" applyAlignment="0" applyProtection="0"/>
    <xf numFmtId="0" fontId="13" fillId="0" borderId="0" applyBorder="0"/>
    <xf numFmtId="43" fontId="13" fillId="0" borderId="0" applyFont="0" applyFill="0" applyBorder="0" applyAlignment="0" applyProtection="0"/>
    <xf numFmtId="9" fontId="13" fillId="0" borderId="0" applyFont="0" applyFill="0" applyBorder="0" applyAlignment="0" applyProtection="0"/>
    <xf numFmtId="43" fontId="48" fillId="0" borderId="0" applyFont="0" applyFill="0" applyBorder="0" applyAlignment="0" applyProtection="0"/>
    <xf numFmtId="0" fontId="56" fillId="0" borderId="0" applyBorder="0"/>
    <xf numFmtId="0" fontId="56" fillId="0" borderId="0" applyBorder="0"/>
    <xf numFmtId="3" fontId="58" fillId="0" borderId="0" applyProtection="0"/>
    <xf numFmtId="3" fontId="58" fillId="0" borderId="0" applyProtection="0"/>
    <xf numFmtId="3" fontId="59" fillId="0" borderId="0" applyProtection="0"/>
    <xf numFmtId="3" fontId="59" fillId="0" borderId="0" applyProtection="0"/>
    <xf numFmtId="3" fontId="57" fillId="0" borderId="0" applyProtection="0"/>
    <xf numFmtId="3" fontId="57" fillId="0" borderId="0" applyProtection="0"/>
    <xf numFmtId="0" fontId="6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48" fillId="0" borderId="0"/>
    <xf numFmtId="0" fontId="13" fillId="0" borderId="0" applyBorder="0"/>
    <xf numFmtId="0" fontId="13" fillId="0" borderId="0" applyBorder="0"/>
    <xf numFmtId="0" fontId="13" fillId="0" borderId="0"/>
    <xf numFmtId="0" fontId="13" fillId="0" borderId="0"/>
    <xf numFmtId="0" fontId="13" fillId="0" borderId="0"/>
    <xf numFmtId="0" fontId="13" fillId="0" borderId="0" applyBorder="0"/>
    <xf numFmtId="0" fontId="13" fillId="0" borderId="0"/>
    <xf numFmtId="1" fontId="13" fillId="0" borderId="0"/>
    <xf numFmtId="1" fontId="13" fillId="0" borderId="0"/>
    <xf numFmtId="1" fontId="13" fillId="0" borderId="0"/>
    <xf numFmtId="1" fontId="13" fillId="0" borderId="0"/>
    <xf numFmtId="0" fontId="13" fillId="0" borderId="0"/>
    <xf numFmtId="0" fontId="13" fillId="0" borderId="0"/>
    <xf numFmtId="0" fontId="56" fillId="0" borderId="0" applyBorder="0"/>
    <xf numFmtId="9" fontId="13" fillId="0" borderId="0" applyFont="0" applyFill="0" applyBorder="0" applyAlignment="0" applyProtection="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56" fillId="0" borderId="0" applyBorder="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13" fillId="0" borderId="0" applyBorder="0"/>
    <xf numFmtId="0" fontId="5" fillId="0" borderId="0" applyBorder="0"/>
    <xf numFmtId="43" fontId="5" fillId="0" borderId="0" applyFont="0" applyFill="0" applyBorder="0" applyAlignment="0" applyProtection="0"/>
    <xf numFmtId="43" fontId="4" fillId="0" borderId="0" applyFont="0" applyFill="0" applyBorder="0" applyAlignment="0" applyProtection="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4" fillId="0" borderId="0"/>
    <xf numFmtId="0" fontId="5" fillId="0" borderId="0" applyBorder="0"/>
    <xf numFmtId="0" fontId="5" fillId="0" borderId="0" applyBorder="0"/>
    <xf numFmtId="0" fontId="5" fillId="0" borderId="0"/>
    <xf numFmtId="0" fontId="5" fillId="0" borderId="0"/>
    <xf numFmtId="0" fontId="5" fillId="0" borderId="0"/>
    <xf numFmtId="0" fontId="5" fillId="0" borderId="0" applyBorder="0"/>
    <xf numFmtId="0" fontId="5" fillId="0" borderId="0"/>
    <xf numFmtId="1" fontId="5" fillId="0" borderId="0"/>
    <xf numFmtId="1" fontId="5" fillId="0" borderId="0"/>
    <xf numFmtId="1" fontId="5" fillId="0" borderId="0"/>
    <xf numFmtId="1"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applyBorder="0"/>
    <xf numFmtId="43" fontId="3" fillId="0" borderId="0" applyFont="0" applyFill="0" applyBorder="0" applyAlignment="0" applyProtection="0"/>
    <xf numFmtId="0" fontId="5" fillId="0" borderId="0" applyBorder="0"/>
    <xf numFmtId="0" fontId="5" fillId="0" borderId="0" applyBorder="0"/>
    <xf numFmtId="0" fontId="3" fillId="0" borderId="0"/>
    <xf numFmtId="0" fontId="5" fillId="0" borderId="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0" fontId="5" fillId="0" borderId="0" applyBorder="0"/>
    <xf numFmtId="43" fontId="3" fillId="0" borderId="0" applyFont="0" applyFill="0" applyBorder="0" applyAlignment="0" applyProtection="0"/>
    <xf numFmtId="0" fontId="3" fillId="0" borderId="0"/>
    <xf numFmtId="0" fontId="2" fillId="0" borderId="0"/>
    <xf numFmtId="44" fontId="2"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68"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 fillId="0" borderId="0"/>
    <xf numFmtId="0" fontId="5" fillId="0" borderId="0"/>
    <xf numFmtId="0" fontId="37" fillId="0" borderId="0"/>
    <xf numFmtId="9" fontId="1" fillId="0" borderId="0" applyFont="0" applyFill="0" applyBorder="0" applyAlignment="0" applyProtection="0"/>
    <xf numFmtId="0" fontId="80" fillId="0" borderId="0" applyNumberFormat="0" applyFill="0" applyBorder="0" applyAlignment="0" applyProtection="0">
      <alignment vertical="top"/>
      <protection locked="0"/>
    </xf>
  </cellStyleXfs>
  <cellXfs count="1516">
    <xf numFmtId="0" fontId="0" fillId="0" borderId="0" xfId="0"/>
    <xf numFmtId="0" fontId="0" fillId="0" borderId="0" xfId="0" applyAlignment="1"/>
    <xf numFmtId="0" fontId="0" fillId="0" borderId="0" xfId="0" applyFill="1"/>
    <xf numFmtId="0" fontId="8" fillId="0" borderId="0" xfId="0" applyFont="1" applyFill="1" applyAlignment="1">
      <alignment horizontal="center" vertical="center" wrapText="1"/>
    </xf>
    <xf numFmtId="0" fontId="9" fillId="0" borderId="0" xfId="0" applyFont="1"/>
    <xf numFmtId="0" fontId="10" fillId="2" borderId="0" xfId="0" applyFont="1" applyFill="1" applyAlignment="1">
      <alignment horizontal="center"/>
    </xf>
    <xf numFmtId="0" fontId="8" fillId="3" borderId="1" xfId="0" applyFont="1" applyFill="1" applyBorder="1" applyAlignment="1">
      <alignment horizontal="center" vertical="center" wrapText="1"/>
    </xf>
    <xf numFmtId="164" fontId="0" fillId="0" borderId="0" xfId="0" applyNumberFormat="1" applyFill="1" applyBorder="1"/>
    <xf numFmtId="0" fontId="0" fillId="0" borderId="0" xfId="0" applyFill="1" applyBorder="1"/>
    <xf numFmtId="166" fontId="0" fillId="0" borderId="0" xfId="1" applyNumberFormat="1" applyFont="1" applyFill="1" applyBorder="1"/>
    <xf numFmtId="166" fontId="11" fillId="0" borderId="0" xfId="1" applyNumberFormat="1" applyFont="1" applyFill="1" applyBorder="1"/>
    <xf numFmtId="0" fontId="8" fillId="0" borderId="1" xfId="0" applyFont="1" applyBorder="1" applyAlignment="1">
      <alignment horizontal="center"/>
    </xf>
    <xf numFmtId="0" fontId="0" fillId="0" borderId="0" xfId="0" applyAlignment="1">
      <alignment horizontal="left" wrapText="1"/>
    </xf>
    <xf numFmtId="0" fontId="0" fillId="0" borderId="0" xfId="0" quotePrefix="1"/>
    <xf numFmtId="0" fontId="0" fillId="0" borderId="0" xfId="0" applyAlignment="1">
      <alignment horizontal="left" indent="1"/>
    </xf>
    <xf numFmtId="0" fontId="14" fillId="4"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2" fillId="0" borderId="0" xfId="0" applyFont="1" applyAlignment="1"/>
    <xf numFmtId="0" fontId="10" fillId="0" borderId="0" xfId="0" applyFont="1" applyFill="1" applyAlignment="1">
      <alignment horizontal="center" vertical="center" wrapText="1"/>
    </xf>
    <xf numFmtId="0" fontId="0" fillId="6" borderId="1" xfId="0" applyFill="1" applyBorder="1" applyAlignment="1"/>
    <xf numFmtId="0" fontId="16" fillId="3" borderId="1" xfId="0" applyFont="1" applyFill="1" applyBorder="1" applyAlignment="1">
      <alignment horizontal="center" vertical="center" wrapText="1"/>
    </xf>
    <xf numFmtId="0" fontId="17" fillId="2" borderId="0" xfId="0" applyFont="1" applyFill="1"/>
    <xf numFmtId="166" fontId="0" fillId="6" borderId="1" xfId="0" applyNumberFormat="1" applyFill="1" applyBorder="1"/>
    <xf numFmtId="43" fontId="0" fillId="6" borderId="1" xfId="0" applyNumberFormat="1" applyFill="1" applyBorder="1"/>
    <xf numFmtId="0" fontId="10" fillId="0" borderId="0" xfId="0" applyFont="1" applyBorder="1" applyAlignment="1">
      <alignment horizontal="center"/>
    </xf>
    <xf numFmtId="0" fontId="17" fillId="2" borderId="0" xfId="0" applyFont="1" applyFill="1" applyBorder="1" applyAlignment="1"/>
    <xf numFmtId="0" fontId="10" fillId="4" borderId="2" xfId="0" applyFont="1" applyFill="1" applyBorder="1" applyAlignment="1">
      <alignment horizontal="center" vertical="center" wrapText="1"/>
    </xf>
    <xf numFmtId="0" fontId="10" fillId="6" borderId="3" xfId="0" applyFont="1" applyFill="1" applyBorder="1" applyAlignment="1">
      <alignment horizontal="center" vertical="center" wrapText="1"/>
    </xf>
    <xf numFmtId="166" fontId="14" fillId="4" borderId="2" xfId="1" applyNumberFormat="1" applyFont="1" applyFill="1" applyBorder="1"/>
    <xf numFmtId="0" fontId="14" fillId="4" borderId="3" xfId="0" applyFont="1" applyFill="1" applyBorder="1" applyAlignment="1">
      <alignment horizontal="center" vertical="center" wrapText="1"/>
    </xf>
    <xf numFmtId="0" fontId="10" fillId="0" borderId="4" xfId="0" applyFont="1" applyBorder="1" applyAlignment="1">
      <alignment horizontal="center" vertical="center" wrapText="1"/>
    </xf>
    <xf numFmtId="0" fontId="8" fillId="0" borderId="5" xfId="0" applyFont="1" applyBorder="1" applyAlignment="1">
      <alignment horizontal="center"/>
    </xf>
    <xf numFmtId="0" fontId="8" fillId="0" borderId="6" xfId="0" applyFont="1" applyBorder="1" applyAlignment="1">
      <alignment horizont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8" fillId="5" borderId="2" xfId="0" applyFont="1" applyFill="1" applyBorder="1" applyAlignment="1">
      <alignment horizontal="center" vertical="center" wrapText="1"/>
    </xf>
    <xf numFmtId="2" fontId="14" fillId="5" borderId="3" xfId="0" applyNumberFormat="1" applyFont="1" applyFill="1" applyBorder="1"/>
    <xf numFmtId="0" fontId="10" fillId="6" borderId="2" xfId="0" applyFont="1" applyFill="1" applyBorder="1" applyAlignment="1">
      <alignment horizontal="center" vertical="center" wrapText="1"/>
    </xf>
    <xf numFmtId="0" fontId="0" fillId="6" borderId="2" xfId="0" applyFill="1" applyBorder="1" applyAlignment="1"/>
    <xf numFmtId="166" fontId="0" fillId="6" borderId="2" xfId="1" applyNumberFormat="1" applyFont="1" applyFill="1" applyBorder="1"/>
    <xf numFmtId="0" fontId="8" fillId="0" borderId="0" xfId="0" applyFont="1"/>
    <xf numFmtId="2" fontId="14" fillId="3" borderId="3" xfId="0" applyNumberFormat="1" applyFont="1" applyFill="1" applyBorder="1"/>
    <xf numFmtId="2" fontId="14" fillId="6" borderId="3" xfId="0" applyNumberFormat="1" applyFont="1" applyFill="1" applyBorder="1"/>
    <xf numFmtId="166" fontId="20" fillId="4" borderId="2" xfId="1" applyNumberFormat="1" applyFont="1" applyFill="1" applyBorder="1"/>
    <xf numFmtId="0" fontId="10" fillId="4" borderId="7" xfId="0" applyFont="1" applyFill="1" applyBorder="1" applyAlignment="1">
      <alignment horizontal="center" vertical="center" wrapText="1"/>
    </xf>
    <xf numFmtId="166" fontId="14" fillId="4" borderId="7" xfId="1" applyNumberFormat="1" applyFont="1" applyFill="1" applyBorder="1"/>
    <xf numFmtId="166" fontId="14" fillId="5" borderId="2" xfId="1" applyNumberFormat="1" applyFont="1" applyFill="1" applyBorder="1"/>
    <xf numFmtId="166" fontId="14" fillId="3" borderId="2" xfId="1" applyNumberFormat="1" applyFont="1" applyFill="1" applyBorder="1"/>
    <xf numFmtId="2" fontId="5" fillId="6" borderId="3" xfId="0" applyNumberFormat="1" applyFont="1" applyFill="1" applyBorder="1"/>
    <xf numFmtId="166" fontId="5" fillId="5" borderId="2" xfId="1" applyNumberFormat="1" applyFont="1" applyFill="1" applyBorder="1"/>
    <xf numFmtId="2" fontId="5" fillId="5" borderId="1" xfId="0" applyNumberFormat="1" applyFont="1" applyFill="1" applyBorder="1"/>
    <xf numFmtId="2" fontId="5" fillId="5" borderId="3" xfId="0" applyNumberFormat="1" applyFont="1" applyFill="1" applyBorder="1"/>
    <xf numFmtId="0" fontId="21" fillId="5" borderId="1" xfId="0" applyFont="1" applyFill="1" applyBorder="1" applyAlignment="1">
      <alignment horizontal="center" vertical="center" wrapText="1"/>
    </xf>
    <xf numFmtId="2" fontId="22" fillId="5" borderId="1" xfId="0" applyNumberFormat="1" applyFont="1" applyFill="1" applyBorder="1"/>
    <xf numFmtId="2" fontId="5" fillId="3" borderId="1" xfId="0" applyNumberFormat="1" applyFont="1" applyFill="1" applyBorder="1"/>
    <xf numFmtId="2" fontId="5" fillId="3" borderId="3" xfId="0" applyNumberFormat="1" applyFont="1" applyFill="1" applyBorder="1"/>
    <xf numFmtId="166" fontId="5" fillId="3" borderId="2" xfId="1" applyNumberFormat="1" applyFont="1" applyFill="1" applyBorder="1"/>
    <xf numFmtId="2" fontId="14" fillId="4" borderId="1" xfId="0" applyNumberFormat="1" applyFont="1" applyFill="1" applyBorder="1"/>
    <xf numFmtId="170" fontId="23" fillId="4" borderId="1" xfId="1" applyNumberFormat="1" applyFont="1" applyFill="1" applyBorder="1"/>
    <xf numFmtId="166" fontId="13" fillId="4" borderId="7" xfId="1" applyNumberFormat="1" applyFont="1" applyFill="1" applyBorder="1"/>
    <xf numFmtId="166" fontId="14" fillId="6" borderId="2" xfId="1" applyNumberFormat="1" applyFont="1" applyFill="1" applyBorder="1"/>
    <xf numFmtId="166" fontId="14" fillId="4" borderId="8" xfId="1" applyNumberFormat="1" applyFont="1" applyFill="1" applyBorder="1"/>
    <xf numFmtId="2" fontId="14" fillId="4" borderId="3" xfId="0" applyNumberFormat="1" applyFont="1" applyFill="1" applyBorder="1"/>
    <xf numFmtId="0" fontId="8" fillId="0" borderId="9" xfId="0" applyFont="1" applyBorder="1" applyAlignment="1">
      <alignment horizontal="center" vertical="center" wrapText="1"/>
    </xf>
    <xf numFmtId="0" fontId="8" fillId="0" borderId="0" xfId="0" quotePrefix="1" applyFont="1"/>
    <xf numFmtId="170" fontId="20" fillId="4" borderId="1" xfId="1" applyNumberFormat="1" applyFont="1" applyFill="1" applyBorder="1"/>
    <xf numFmtId="166" fontId="20" fillId="4" borderId="1" xfId="1" applyNumberFormat="1" applyFont="1" applyFill="1" applyBorder="1"/>
    <xf numFmtId="43" fontId="5" fillId="4" borderId="1" xfId="1" applyNumberFormat="1" applyFont="1" applyFill="1" applyBorder="1"/>
    <xf numFmtId="43" fontId="0" fillId="0" borderId="1" xfId="1" applyFont="1" applyFill="1" applyBorder="1"/>
    <xf numFmtId="0" fontId="0" fillId="0" borderId="10" xfId="0" applyFill="1" applyBorder="1"/>
    <xf numFmtId="0" fontId="0" fillId="0" borderId="11" xfId="0" applyFill="1" applyBorder="1"/>
    <xf numFmtId="43" fontId="0" fillId="0" borderId="8" xfId="1" applyFont="1" applyFill="1" applyBorder="1"/>
    <xf numFmtId="0" fontId="0" fillId="0" borderId="12" xfId="0" applyFill="1" applyBorder="1"/>
    <xf numFmtId="0" fontId="0" fillId="0" borderId="13" xfId="0" applyFill="1" applyBorder="1"/>
    <xf numFmtId="0" fontId="0" fillId="0" borderId="14" xfId="0" applyFill="1" applyBorder="1"/>
    <xf numFmtId="166" fontId="0" fillId="0" borderId="2" xfId="1" applyNumberFormat="1" applyFont="1" applyFill="1" applyBorder="1"/>
    <xf numFmtId="166" fontId="0" fillId="0" borderId="15" xfId="1" applyNumberFormat="1" applyFont="1" applyFill="1" applyBorder="1"/>
    <xf numFmtId="166" fontId="0" fillId="0" borderId="7" xfId="1" applyNumberFormat="1" applyFont="1" applyFill="1" applyBorder="1"/>
    <xf numFmtId="166" fontId="0" fillId="0" borderId="16" xfId="1" applyNumberFormat="1" applyFont="1" applyFill="1" applyBorder="1"/>
    <xf numFmtId="166" fontId="0" fillId="0" borderId="3" xfId="1" applyNumberFormat="1" applyFont="1" applyFill="1" applyBorder="1"/>
    <xf numFmtId="166" fontId="0" fillId="0" borderId="17" xfId="1" applyNumberFormat="1" applyFont="1" applyFill="1" applyBorder="1"/>
    <xf numFmtId="0" fontId="7" fillId="0" borderId="0" xfId="0" quotePrefix="1" applyFont="1"/>
    <xf numFmtId="172" fontId="14" fillId="4" borderId="1" xfId="0" applyNumberFormat="1" applyFont="1" applyFill="1" applyBorder="1"/>
    <xf numFmtId="172" fontId="14" fillId="4" borderId="3" xfId="0" applyNumberFormat="1" applyFont="1" applyFill="1" applyBorder="1"/>
    <xf numFmtId="165" fontId="23" fillId="4" borderId="1" xfId="1" applyNumberFormat="1" applyFont="1" applyFill="1" applyBorder="1"/>
    <xf numFmtId="166" fontId="14" fillId="7" borderId="2" xfId="1" applyNumberFormat="1" applyFont="1" applyFill="1" applyBorder="1"/>
    <xf numFmtId="166" fontId="20" fillId="7" borderId="2" xfId="1" applyNumberFormat="1" applyFont="1" applyFill="1" applyBorder="1"/>
    <xf numFmtId="166" fontId="19" fillId="7" borderId="2" xfId="1" applyNumberFormat="1" applyFont="1" applyFill="1" applyBorder="1"/>
    <xf numFmtId="166" fontId="23" fillId="7" borderId="2" xfId="1" applyNumberFormat="1" applyFont="1" applyFill="1" applyBorder="1"/>
    <xf numFmtId="172" fontId="14" fillId="7" borderId="1" xfId="0" applyNumberFormat="1" applyFont="1" applyFill="1" applyBorder="1"/>
    <xf numFmtId="172" fontId="14" fillId="7" borderId="3" xfId="0" applyNumberFormat="1" applyFont="1" applyFill="1" applyBorder="1"/>
    <xf numFmtId="43" fontId="5" fillId="7" borderId="1" xfId="1" applyNumberFormat="1" applyFont="1" applyFill="1" applyBorder="1"/>
    <xf numFmtId="166" fontId="11" fillId="0" borderId="1" xfId="1" applyNumberFormat="1" applyFont="1" applyFill="1" applyBorder="1"/>
    <xf numFmtId="2" fontId="11" fillId="0" borderId="1" xfId="0" applyNumberFormat="1" applyFont="1" applyFill="1" applyBorder="1"/>
    <xf numFmtId="43" fontId="11" fillId="0" borderId="1" xfId="1" applyNumberFormat="1" applyFont="1" applyFill="1" applyBorder="1"/>
    <xf numFmtId="165" fontId="11" fillId="0" borderId="18" xfId="1" applyNumberFormat="1" applyFont="1" applyFill="1" applyBorder="1"/>
    <xf numFmtId="0" fontId="10" fillId="0" borderId="18" xfId="0" applyFont="1" applyFill="1" applyBorder="1" applyAlignment="1">
      <alignment horizontal="center"/>
    </xf>
    <xf numFmtId="164" fontId="9" fillId="0" borderId="19" xfId="0" applyNumberFormat="1" applyFont="1" applyFill="1" applyBorder="1"/>
    <xf numFmtId="0" fontId="0" fillId="0" borderId="19" xfId="0" applyFill="1" applyBorder="1"/>
    <xf numFmtId="0" fontId="0" fillId="0" borderId="7" xfId="0" applyFill="1" applyBorder="1"/>
    <xf numFmtId="164" fontId="0" fillId="0" borderId="20" xfId="0" applyNumberFormat="1" applyFill="1" applyBorder="1"/>
    <xf numFmtId="166" fontId="0" fillId="0" borderId="20" xfId="1" applyNumberFormat="1" applyFont="1" applyFill="1" applyBorder="1"/>
    <xf numFmtId="166" fontId="0" fillId="0" borderId="21" xfId="1" applyNumberFormat="1" applyFont="1" applyFill="1" applyBorder="1"/>
    <xf numFmtId="165" fontId="11" fillId="0" borderId="1" xfId="1" applyNumberFormat="1" applyFont="1" applyFill="1" applyBorder="1"/>
    <xf numFmtId="0" fontId="8" fillId="0" borderId="22" xfId="0" applyFont="1" applyFill="1" applyBorder="1" applyAlignment="1">
      <alignment horizontal="center"/>
    </xf>
    <xf numFmtId="166" fontId="11" fillId="0" borderId="22" xfId="1" applyNumberFormat="1" applyFont="1" applyFill="1" applyBorder="1"/>
    <xf numFmtId="43" fontId="20" fillId="0" borderId="22" xfId="1" applyNumberFormat="1" applyFont="1" applyFill="1" applyBorder="1"/>
    <xf numFmtId="165" fontId="11" fillId="0" borderId="23" xfId="1" applyNumberFormat="1" applyFont="1" applyFill="1" applyBorder="1"/>
    <xf numFmtId="164" fontId="0" fillId="0" borderId="24" xfId="0" applyNumberFormat="1" applyFill="1" applyBorder="1"/>
    <xf numFmtId="166" fontId="0" fillId="0" borderId="25" xfId="1" applyNumberFormat="1" applyFont="1" applyFill="1" applyBorder="1"/>
    <xf numFmtId="0" fontId="8" fillId="0" borderId="1" xfId="0" applyFont="1" applyFill="1" applyBorder="1" applyAlignment="1">
      <alignment horizontal="center"/>
    </xf>
    <xf numFmtId="164" fontId="0" fillId="0" borderId="23" xfId="0" applyNumberFormat="1" applyFill="1" applyBorder="1"/>
    <xf numFmtId="164" fontId="0" fillId="0" borderId="26" xfId="0" applyNumberFormat="1" applyFill="1" applyBorder="1"/>
    <xf numFmtId="166" fontId="0" fillId="0" borderId="26" xfId="1" applyNumberFormat="1" applyFont="1" applyFill="1" applyBorder="1"/>
    <xf numFmtId="166" fontId="0" fillId="0" borderId="27" xfId="1" applyNumberFormat="1" applyFont="1" applyFill="1" applyBorder="1"/>
    <xf numFmtId="166" fontId="11" fillId="0" borderId="27" xfId="1" applyNumberFormat="1" applyFont="1" applyFill="1" applyBorder="1"/>
    <xf numFmtId="43" fontId="11" fillId="0" borderId="22" xfId="1" applyNumberFormat="1" applyFont="1" applyFill="1" applyBorder="1"/>
    <xf numFmtId="165" fontId="11" fillId="0" borderId="22" xfId="1" applyNumberFormat="1" applyFont="1" applyFill="1" applyBorder="1"/>
    <xf numFmtId="0" fontId="26" fillId="4" borderId="2" xfId="0" quotePrefix="1" applyFont="1" applyFill="1" applyBorder="1" applyAlignment="1">
      <alignment horizontal="center" vertical="center" wrapText="1"/>
    </xf>
    <xf numFmtId="0" fontId="26" fillId="4" borderId="7" xfId="0" quotePrefix="1" applyFont="1" applyFill="1" applyBorder="1" applyAlignment="1">
      <alignment horizontal="center" vertical="center" wrapText="1"/>
    </xf>
    <xf numFmtId="0" fontId="10" fillId="8" borderId="2" xfId="0" applyFont="1" applyFill="1" applyBorder="1" applyAlignment="1">
      <alignment horizontal="center" vertical="center" wrapText="1"/>
    </xf>
    <xf numFmtId="166" fontId="20" fillId="8" borderId="2" xfId="1" applyNumberFormat="1" applyFont="1" applyFill="1" applyBorder="1"/>
    <xf numFmtId="166" fontId="14" fillId="8" borderId="2" xfId="1" applyNumberFormat="1" applyFont="1" applyFill="1" applyBorder="1"/>
    <xf numFmtId="0" fontId="16" fillId="8" borderId="0" xfId="0" applyFont="1" applyFill="1" applyAlignment="1">
      <alignment horizontal="center"/>
    </xf>
    <xf numFmtId="2" fontId="14" fillId="5" borderId="3" xfId="0" applyNumberFormat="1" applyFont="1" applyFill="1" applyBorder="1" applyAlignment="1">
      <alignment horizontal="center"/>
    </xf>
    <xf numFmtId="2" fontId="14" fillId="6" borderId="3" xfId="0" applyNumberFormat="1" applyFont="1" applyFill="1" applyBorder="1" applyAlignment="1">
      <alignment horizontal="center"/>
    </xf>
    <xf numFmtId="174" fontId="14" fillId="5" borderId="3" xfId="2" applyNumberFormat="1" applyFont="1" applyFill="1" applyBorder="1"/>
    <xf numFmtId="174" fontId="14" fillId="6" borderId="3" xfId="2" applyNumberFormat="1" applyFont="1" applyFill="1" applyBorder="1"/>
    <xf numFmtId="174" fontId="20" fillId="5" borderId="3" xfId="2" applyNumberFormat="1" applyFont="1" applyFill="1" applyBorder="1"/>
    <xf numFmtId="174" fontId="20" fillId="6" borderId="3" xfId="2" applyNumberFormat="1" applyFont="1" applyFill="1" applyBorder="1"/>
    <xf numFmtId="174" fontId="20" fillId="5" borderId="28" xfId="2" applyNumberFormat="1" applyFont="1" applyFill="1" applyBorder="1"/>
    <xf numFmtId="2" fontId="5" fillId="6" borderId="1" xfId="0" applyNumberFormat="1" applyFont="1" applyFill="1" applyBorder="1"/>
    <xf numFmtId="1" fontId="5" fillId="6" borderId="1" xfId="0" applyNumberFormat="1" applyFont="1" applyFill="1" applyBorder="1"/>
    <xf numFmtId="166" fontId="5" fillId="3" borderId="29" xfId="1" applyNumberFormat="1" applyFont="1" applyFill="1" applyBorder="1"/>
    <xf numFmtId="2" fontId="5" fillId="3" borderId="22" xfId="0" applyNumberFormat="1" applyFont="1" applyFill="1" applyBorder="1"/>
    <xf numFmtId="2" fontId="5" fillId="3" borderId="28" xfId="0" applyNumberFormat="1" applyFont="1" applyFill="1" applyBorder="1"/>
    <xf numFmtId="166" fontId="5" fillId="5" borderId="29" xfId="1" applyNumberFormat="1" applyFont="1" applyFill="1" applyBorder="1"/>
    <xf numFmtId="2" fontId="5" fillId="5" borderId="22" xfId="0" applyNumberFormat="1" applyFont="1" applyFill="1" applyBorder="1"/>
    <xf numFmtId="2" fontId="5" fillId="5" borderId="28" xfId="0" applyNumberFormat="1" applyFont="1" applyFill="1" applyBorder="1"/>
    <xf numFmtId="166" fontId="0" fillId="6" borderId="29" xfId="1" applyNumberFormat="1" applyFont="1" applyFill="1" applyBorder="1"/>
    <xf numFmtId="166" fontId="0" fillId="6" borderId="22" xfId="0" applyNumberFormat="1" applyFill="1" applyBorder="1"/>
    <xf numFmtId="43" fontId="0" fillId="6" borderId="22" xfId="0" applyNumberFormat="1" applyFill="1" applyBorder="1"/>
    <xf numFmtId="2" fontId="5" fillId="6" borderId="28" xfId="0" applyNumberFormat="1" applyFont="1" applyFill="1" applyBorder="1"/>
    <xf numFmtId="166" fontId="13" fillId="4" borderId="16" xfId="1" applyNumberFormat="1" applyFont="1" applyFill="1" applyBorder="1"/>
    <xf numFmtId="166" fontId="5" fillId="3" borderId="15" xfId="1" applyNumberFormat="1" applyFont="1" applyFill="1" applyBorder="1"/>
    <xf numFmtId="2" fontId="5" fillId="3" borderId="8" xfId="0" applyNumberFormat="1" applyFont="1" applyFill="1" applyBorder="1"/>
    <xf numFmtId="2" fontId="5" fillId="3" borderId="17" xfId="0" applyNumberFormat="1" applyFont="1" applyFill="1" applyBorder="1"/>
    <xf numFmtId="166" fontId="5" fillId="5" borderId="15" xfId="1" applyNumberFormat="1" applyFont="1" applyFill="1" applyBorder="1"/>
    <xf numFmtId="2" fontId="5" fillId="5" borderId="8" xfId="0" applyNumberFormat="1" applyFont="1" applyFill="1" applyBorder="1"/>
    <xf numFmtId="2" fontId="5" fillId="5" borderId="17" xfId="0" applyNumberFormat="1" applyFont="1" applyFill="1" applyBorder="1"/>
    <xf numFmtId="166" fontId="0" fillId="6" borderId="15" xfId="1" applyNumberFormat="1" applyFont="1" applyFill="1" applyBorder="1"/>
    <xf numFmtId="166" fontId="0" fillId="6" borderId="8" xfId="0" applyNumberFormat="1" applyFill="1" applyBorder="1"/>
    <xf numFmtId="43" fontId="0" fillId="6" borderId="8" xfId="0" applyNumberFormat="1" applyFill="1" applyBorder="1"/>
    <xf numFmtId="2" fontId="5" fillId="6" borderId="17" xfId="0" applyNumberFormat="1" applyFont="1" applyFill="1" applyBorder="1"/>
    <xf numFmtId="166" fontId="0" fillId="0" borderId="0" xfId="0" applyNumberFormat="1" applyAlignment="1"/>
    <xf numFmtId="170" fontId="0" fillId="0" borderId="0" xfId="0" applyNumberFormat="1"/>
    <xf numFmtId="43" fontId="0" fillId="0" borderId="0" xfId="0" applyNumberFormat="1"/>
    <xf numFmtId="2" fontId="0" fillId="0" borderId="0" xfId="0" applyNumberFormat="1"/>
    <xf numFmtId="0" fontId="28" fillId="3" borderId="2" xfId="0" applyFont="1" applyFill="1" applyBorder="1" applyAlignment="1">
      <alignment horizontal="center" vertical="center" wrapText="1"/>
    </xf>
    <xf numFmtId="0" fontId="28" fillId="5" borderId="2" xfId="0" applyFont="1" applyFill="1" applyBorder="1" applyAlignment="1">
      <alignment horizontal="center" vertical="center" wrapText="1"/>
    </xf>
    <xf numFmtId="166" fontId="29" fillId="6" borderId="1" xfId="1" applyNumberFormat="1" applyFont="1" applyFill="1" applyBorder="1"/>
    <xf numFmtId="166" fontId="29" fillId="6" borderId="22" xfId="1" applyNumberFormat="1" applyFont="1" applyFill="1" applyBorder="1"/>
    <xf numFmtId="169" fontId="0" fillId="0" borderId="0" xfId="0" applyNumberFormat="1"/>
    <xf numFmtId="0" fontId="0" fillId="0" borderId="25" xfId="0" applyBorder="1"/>
    <xf numFmtId="174" fontId="31" fillId="5" borderId="3" xfId="2" applyNumberFormat="1" applyFont="1" applyFill="1" applyBorder="1"/>
    <xf numFmtId="174" fontId="31" fillId="6" borderId="3" xfId="2" applyNumberFormat="1" applyFont="1" applyFill="1" applyBorder="1"/>
    <xf numFmtId="0" fontId="9" fillId="0" borderId="0" xfId="0" quotePrefix="1" applyFont="1" applyFill="1" applyBorder="1"/>
    <xf numFmtId="0" fontId="12" fillId="0" borderId="0" xfId="0" applyFont="1" applyFill="1" applyBorder="1"/>
    <xf numFmtId="0" fontId="13" fillId="0" borderId="0" xfId="0" quotePrefix="1" applyFont="1" applyFill="1" applyBorder="1"/>
    <xf numFmtId="0" fontId="12" fillId="0" borderId="0" xfId="0" quotePrefix="1" applyFont="1" applyFill="1" applyBorder="1"/>
    <xf numFmtId="0" fontId="0" fillId="0" borderId="30" xfId="0" applyBorder="1"/>
    <xf numFmtId="0" fontId="0" fillId="0" borderId="0" xfId="0" applyBorder="1"/>
    <xf numFmtId="0" fontId="8" fillId="0" borderId="0" xfId="0" applyFont="1" applyAlignment="1">
      <alignment horizontal="center"/>
    </xf>
    <xf numFmtId="0" fontId="32" fillId="0" borderId="0" xfId="0" applyFont="1"/>
    <xf numFmtId="0" fontId="29" fillId="0" borderId="0" xfId="0" applyFont="1" applyFill="1"/>
    <xf numFmtId="174" fontId="20" fillId="3" borderId="39" xfId="2" applyNumberFormat="1" applyFont="1" applyFill="1" applyBorder="1"/>
    <xf numFmtId="174" fontId="20" fillId="3" borderId="40" xfId="2" applyNumberFormat="1" applyFont="1" applyFill="1" applyBorder="1"/>
    <xf numFmtId="0" fontId="35" fillId="2" borderId="0" xfId="0" applyFont="1" applyFill="1" applyBorder="1" applyAlignment="1"/>
    <xf numFmtId="2" fontId="8" fillId="3" borderId="1" xfId="0" applyNumberFormat="1" applyFont="1" applyFill="1" applyBorder="1"/>
    <xf numFmtId="2" fontId="8" fillId="5" borderId="1" xfId="0" applyNumberFormat="1" applyFont="1" applyFill="1" applyBorder="1"/>
    <xf numFmtId="2" fontId="5" fillId="3" borderId="23" xfId="0" applyNumberFormat="1" applyFont="1" applyFill="1" applyBorder="1"/>
    <xf numFmtId="2" fontId="5" fillId="5" borderId="23" xfId="0" applyNumberFormat="1" applyFont="1" applyFill="1" applyBorder="1"/>
    <xf numFmtId="166" fontId="13" fillId="4" borderId="1" xfId="1" applyNumberFormat="1" applyFont="1" applyFill="1" applyBorder="1"/>
    <xf numFmtId="43" fontId="5" fillId="3" borderId="1" xfId="1" applyNumberFormat="1" applyFont="1" applyFill="1" applyBorder="1"/>
    <xf numFmtId="175" fontId="5" fillId="5" borderId="22" xfId="0" applyNumberFormat="1" applyFont="1" applyFill="1" applyBorder="1"/>
    <xf numFmtId="2" fontId="13" fillId="3" borderId="1" xfId="0" applyNumberFormat="1" applyFont="1" applyFill="1" applyBorder="1"/>
    <xf numFmtId="2" fontId="23" fillId="5" borderId="1" xfId="0" applyNumberFormat="1" applyFont="1" applyFill="1" applyBorder="1"/>
    <xf numFmtId="1" fontId="14" fillId="3" borderId="19" xfId="0" applyNumberFormat="1" applyFont="1" applyFill="1" applyBorder="1"/>
    <xf numFmtId="1" fontId="14" fillId="5" borderId="19" xfId="0" applyNumberFormat="1" applyFont="1" applyFill="1" applyBorder="1"/>
    <xf numFmtId="0" fontId="8" fillId="0" borderId="42" xfId="0" applyFont="1" applyBorder="1" applyAlignment="1">
      <alignment horizontal="center"/>
    </xf>
    <xf numFmtId="166" fontId="5" fillId="3" borderId="44" xfId="1" applyNumberFormat="1" applyFont="1" applyFill="1" applyBorder="1"/>
    <xf numFmtId="2" fontId="5" fillId="3" borderId="41" xfId="0" applyNumberFormat="1" applyFont="1" applyFill="1" applyBorder="1"/>
    <xf numFmtId="2" fontId="5" fillId="5" borderId="41" xfId="0" applyNumberFormat="1" applyFont="1" applyFill="1" applyBorder="1"/>
    <xf numFmtId="2" fontId="14" fillId="5" borderId="43" xfId="0" applyNumberFormat="1" applyFont="1" applyFill="1" applyBorder="1"/>
    <xf numFmtId="1" fontId="5" fillId="6" borderId="41" xfId="0" applyNumberFormat="1" applyFont="1" applyFill="1" applyBorder="1"/>
    <xf numFmtId="2" fontId="5" fillId="6" borderId="41" xfId="0" applyNumberFormat="1" applyFont="1" applyFill="1" applyBorder="1"/>
    <xf numFmtId="0" fontId="0" fillId="0" borderId="45" xfId="0" applyBorder="1"/>
    <xf numFmtId="2" fontId="36" fillId="5" borderId="1" xfId="0" applyNumberFormat="1" applyFont="1" applyFill="1" applyBorder="1"/>
    <xf numFmtId="0" fontId="10" fillId="5" borderId="18" xfId="0" applyFont="1" applyFill="1" applyBorder="1" applyAlignment="1">
      <alignment horizontal="center" vertical="center" wrapText="1"/>
    </xf>
    <xf numFmtId="0" fontId="9" fillId="0" borderId="30" xfId="0" applyFont="1" applyBorder="1" applyAlignment="1">
      <alignment horizontal="center"/>
    </xf>
    <xf numFmtId="1" fontId="14" fillId="5" borderId="26" xfId="0" applyNumberFormat="1" applyFont="1" applyFill="1" applyBorder="1"/>
    <xf numFmtId="0" fontId="10" fillId="3" borderId="46" xfId="0" applyFont="1" applyFill="1" applyBorder="1" applyAlignment="1">
      <alignment horizontal="center" vertical="center" wrapText="1"/>
    </xf>
    <xf numFmtId="167" fontId="20" fillId="4" borderId="1" xfId="0" applyNumberFormat="1" applyFont="1" applyFill="1" applyBorder="1"/>
    <xf numFmtId="0" fontId="14" fillId="4" borderId="7" xfId="0" applyFont="1" applyFill="1" applyBorder="1" applyAlignment="1">
      <alignment horizontal="center" vertical="center" wrapText="1"/>
    </xf>
    <xf numFmtId="170" fontId="14" fillId="4" borderId="1" xfId="1" applyNumberFormat="1" applyFont="1" applyFill="1" applyBorder="1"/>
    <xf numFmtId="166" fontId="14" fillId="4" borderId="1" xfId="1" applyNumberFormat="1" applyFont="1" applyFill="1" applyBorder="1"/>
    <xf numFmtId="0" fontId="5" fillId="0" borderId="0" xfId="0" applyFont="1" applyFill="1"/>
    <xf numFmtId="0" fontId="9" fillId="0" borderId="36" xfId="0" applyFont="1" applyBorder="1" applyAlignment="1">
      <alignment horizontal="center"/>
    </xf>
    <xf numFmtId="0" fontId="9" fillId="0" borderId="47" xfId="0" applyFont="1" applyBorder="1" applyAlignment="1">
      <alignment horizontal="center"/>
    </xf>
    <xf numFmtId="0" fontId="9" fillId="0" borderId="26" xfId="0" applyFont="1" applyBorder="1" applyAlignment="1">
      <alignment horizontal="center"/>
    </xf>
    <xf numFmtId="0" fontId="10" fillId="3" borderId="18" xfId="0" applyFont="1" applyFill="1" applyBorder="1" applyAlignment="1">
      <alignment horizontal="center" vertical="center" wrapText="1"/>
    </xf>
    <xf numFmtId="2" fontId="14" fillId="3" borderId="18" xfId="0" applyNumberFormat="1" applyFont="1" applyFill="1" applyBorder="1"/>
    <xf numFmtId="2" fontId="14" fillId="3" borderId="48" xfId="0" applyNumberFormat="1" applyFont="1" applyFill="1" applyBorder="1"/>
    <xf numFmtId="0" fontId="10" fillId="3" borderId="36"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8" fillId="5" borderId="7" xfId="0" applyFont="1" applyFill="1" applyBorder="1" applyAlignment="1">
      <alignment horizontal="center" vertical="center" wrapText="1"/>
    </xf>
    <xf numFmtId="166" fontId="14" fillId="5" borderId="7" xfId="1" applyNumberFormat="1" applyFont="1" applyFill="1" applyBorder="1"/>
    <xf numFmtId="166" fontId="5" fillId="5" borderId="7" xfId="1" applyNumberFormat="1" applyFont="1" applyFill="1" applyBorder="1"/>
    <xf numFmtId="166" fontId="5" fillId="5" borderId="21" xfId="1" applyNumberFormat="1" applyFont="1" applyFill="1" applyBorder="1"/>
    <xf numFmtId="166" fontId="23" fillId="5" borderId="7" xfId="1" applyNumberFormat="1" applyFont="1" applyFill="1" applyBorder="1"/>
    <xf numFmtId="0" fontId="9" fillId="0" borderId="41" xfId="0" applyFont="1" applyBorder="1" applyAlignment="1">
      <alignment horizontal="center"/>
    </xf>
    <xf numFmtId="2" fontId="14" fillId="3" borderId="1" xfId="0" applyNumberFormat="1" applyFont="1" applyFill="1" applyBorder="1"/>
    <xf numFmtId="0" fontId="9" fillId="0" borderId="1" xfId="0" applyFont="1" applyBorder="1" applyAlignment="1">
      <alignment horizontal="center"/>
    </xf>
    <xf numFmtId="2" fontId="14" fillId="5" borderId="19" xfId="0" applyNumberFormat="1" applyFont="1" applyFill="1" applyBorder="1"/>
    <xf numFmtId="2" fontId="14" fillId="5" borderId="18" xfId="0" applyNumberFormat="1" applyFont="1" applyFill="1" applyBorder="1"/>
    <xf numFmtId="0" fontId="10" fillId="6" borderId="7" xfId="0" applyFont="1" applyFill="1" applyBorder="1" applyAlignment="1">
      <alignment horizontal="center" vertical="center" wrapText="1"/>
    </xf>
    <xf numFmtId="0" fontId="10" fillId="5" borderId="36" xfId="0" applyFont="1" applyFill="1" applyBorder="1" applyAlignment="1">
      <alignment horizontal="center" vertical="center" wrapText="1"/>
    </xf>
    <xf numFmtId="2" fontId="5" fillId="5" borderId="26" xfId="0" applyNumberFormat="1" applyFont="1" applyFill="1" applyBorder="1"/>
    <xf numFmtId="166" fontId="0" fillId="6" borderId="7" xfId="0" applyNumberFormat="1" applyFill="1" applyBorder="1"/>
    <xf numFmtId="2" fontId="14" fillId="5" borderId="22" xfId="0" applyNumberFormat="1" applyFont="1" applyFill="1" applyBorder="1"/>
    <xf numFmtId="2" fontId="14" fillId="5" borderId="1" xfId="0" applyNumberFormat="1" applyFont="1" applyFill="1" applyBorder="1"/>
    <xf numFmtId="166" fontId="0" fillId="6" borderId="1" xfId="1" applyNumberFormat="1" applyFont="1" applyFill="1" applyBorder="1"/>
    <xf numFmtId="0" fontId="10" fillId="3" borderId="7" xfId="0" applyFont="1" applyFill="1" applyBorder="1" applyAlignment="1">
      <alignment horizontal="center" vertical="center" wrapText="1"/>
    </xf>
    <xf numFmtId="2" fontId="14" fillId="3" borderId="7" xfId="0" applyNumberFormat="1" applyFont="1" applyFill="1" applyBorder="1"/>
    <xf numFmtId="2" fontId="5" fillId="3" borderId="7" xfId="0" applyNumberFormat="1" applyFont="1" applyFill="1" applyBorder="1"/>
    <xf numFmtId="2" fontId="5" fillId="3" borderId="27" xfId="0" applyNumberFormat="1" applyFont="1" applyFill="1" applyBorder="1"/>
    <xf numFmtId="0" fontId="10" fillId="5" borderId="19" xfId="0" applyFont="1" applyFill="1" applyBorder="1" applyAlignment="1">
      <alignment horizontal="center" vertical="center" wrapText="1"/>
    </xf>
    <xf numFmtId="2" fontId="5" fillId="5" borderId="19" xfId="0" applyNumberFormat="1" applyFont="1" applyFill="1" applyBorder="1"/>
    <xf numFmtId="2" fontId="14" fillId="3" borderId="22" xfId="0" applyNumberFormat="1" applyFont="1" applyFill="1" applyBorder="1" applyAlignment="1">
      <alignment horizontal="right"/>
    </xf>
    <xf numFmtId="1" fontId="14" fillId="3" borderId="26" xfId="0" applyNumberFormat="1" applyFont="1" applyFill="1" applyBorder="1" applyAlignment="1">
      <alignment horizontal="right"/>
    </xf>
    <xf numFmtId="2" fontId="14" fillId="3" borderId="1" xfId="0" applyNumberFormat="1" applyFont="1" applyFill="1" applyBorder="1" applyAlignment="1">
      <alignment horizontal="right"/>
    </xf>
    <xf numFmtId="1" fontId="14" fillId="3" borderId="19" xfId="0" applyNumberFormat="1" applyFont="1" applyFill="1" applyBorder="1" applyAlignment="1">
      <alignment horizontal="right"/>
    </xf>
    <xf numFmtId="166" fontId="5" fillId="6" borderId="2" xfId="1" applyNumberFormat="1" applyFill="1" applyBorder="1"/>
    <xf numFmtId="166" fontId="5" fillId="0" borderId="0" xfId="1" applyNumberFormat="1" applyFill="1" applyBorder="1"/>
    <xf numFmtId="0" fontId="9" fillId="0" borderId="0" xfId="0" applyFont="1" applyFill="1"/>
    <xf numFmtId="170" fontId="20" fillId="9" borderId="22" xfId="1" applyNumberFormat="1" applyFont="1" applyFill="1" applyBorder="1"/>
    <xf numFmtId="166" fontId="20" fillId="9" borderId="22" xfId="1" applyNumberFormat="1" applyFont="1" applyFill="1" applyBorder="1"/>
    <xf numFmtId="166" fontId="20" fillId="9" borderId="2" xfId="1" applyNumberFormat="1" applyFont="1" applyFill="1" applyBorder="1"/>
    <xf numFmtId="3" fontId="37" fillId="0" borderId="49" xfId="0" applyNumberFormat="1" applyFont="1" applyBorder="1" applyAlignment="1"/>
    <xf numFmtId="3" fontId="37" fillId="0" borderId="50" xfId="0" applyNumberFormat="1" applyFont="1" applyBorder="1" applyAlignment="1"/>
    <xf numFmtId="3" fontId="37" fillId="0" borderId="51" xfId="0" applyNumberFormat="1" applyFont="1" applyBorder="1" applyAlignment="1"/>
    <xf numFmtId="3" fontId="37" fillId="0" borderId="52" xfId="0" applyNumberFormat="1" applyFont="1" applyBorder="1" applyAlignment="1"/>
    <xf numFmtId="3" fontId="0" fillId="0" borderId="0" xfId="0" applyNumberFormat="1"/>
    <xf numFmtId="3" fontId="37" fillId="0" borderId="0" xfId="0" applyNumberFormat="1" applyFont="1" applyBorder="1" applyAlignment="1"/>
    <xf numFmtId="166" fontId="20" fillId="9" borderId="29" xfId="1" applyNumberFormat="1" applyFont="1" applyFill="1" applyBorder="1"/>
    <xf numFmtId="166" fontId="0" fillId="0" borderId="0" xfId="0" applyNumberFormat="1"/>
    <xf numFmtId="3" fontId="37" fillId="0" borderId="0" xfId="0" applyNumberFormat="1" applyFont="1" applyFill="1" applyBorder="1" applyAlignment="1"/>
    <xf numFmtId="2" fontId="5" fillId="3" borderId="0" xfId="0" applyNumberFormat="1" applyFont="1" applyFill="1" applyBorder="1"/>
    <xf numFmtId="166" fontId="20" fillId="9" borderId="7" xfId="1" applyNumberFormat="1" applyFont="1" applyFill="1" applyBorder="1"/>
    <xf numFmtId="166" fontId="20" fillId="7" borderId="7" xfId="1" applyNumberFormat="1" applyFont="1" applyFill="1" applyBorder="1"/>
    <xf numFmtId="0" fontId="38" fillId="0" borderId="0" xfId="0" applyFont="1" applyFill="1" applyAlignment="1">
      <alignment horizontal="left" wrapText="1"/>
    </xf>
    <xf numFmtId="164" fontId="5" fillId="3" borderId="18" xfId="0" applyNumberFormat="1" applyFont="1" applyFill="1" applyBorder="1"/>
    <xf numFmtId="164" fontId="5" fillId="5" borderId="3" xfId="0" applyNumberFormat="1" applyFont="1" applyFill="1" applyBorder="1"/>
    <xf numFmtId="0" fontId="8" fillId="0" borderId="4" xfId="0" applyFont="1" applyBorder="1" applyAlignment="1">
      <alignment horizontal="center"/>
    </xf>
    <xf numFmtId="0" fontId="7" fillId="0" borderId="0" xfId="0" applyFont="1"/>
    <xf numFmtId="0" fontId="7" fillId="0" borderId="35" xfId="0" applyFont="1" applyBorder="1" applyAlignment="1">
      <alignment horizontal="right"/>
    </xf>
    <xf numFmtId="0" fontId="7" fillId="0" borderId="53" xfId="0" applyFont="1" applyBorder="1" applyAlignment="1">
      <alignment horizontal="right"/>
    </xf>
    <xf numFmtId="0" fontId="10" fillId="0" borderId="46" xfId="0" applyFont="1" applyBorder="1" applyAlignment="1">
      <alignment horizontal="right"/>
    </xf>
    <xf numFmtId="0" fontId="10" fillId="0" borderId="35" xfId="0" applyFont="1" applyBorder="1" applyAlignment="1">
      <alignment horizontal="right"/>
    </xf>
    <xf numFmtId="0" fontId="0" fillId="0" borderId="0" xfId="0" applyAlignment="1">
      <alignment horizontal="right"/>
    </xf>
    <xf numFmtId="2" fontId="0" fillId="0" borderId="32" xfId="0" applyNumberFormat="1" applyBorder="1"/>
    <xf numFmtId="2" fontId="0" fillId="0" borderId="0" xfId="0" applyNumberFormat="1" applyBorder="1"/>
    <xf numFmtId="2" fontId="8" fillId="0" borderId="9" xfId="0" applyNumberFormat="1" applyFont="1" applyBorder="1"/>
    <xf numFmtId="2" fontId="8" fillId="0" borderId="4" xfId="0" applyNumberFormat="1" applyFont="1" applyBorder="1"/>
    <xf numFmtId="2" fontId="0" fillId="0" borderId="37" xfId="0" applyNumberFormat="1" applyBorder="1"/>
    <xf numFmtId="2" fontId="0" fillId="0" borderId="30" xfId="0" applyNumberFormat="1" applyBorder="1"/>
    <xf numFmtId="0" fontId="7" fillId="0" borderId="0" xfId="0" applyFont="1" applyAlignment="1">
      <alignment horizontal="right"/>
    </xf>
    <xf numFmtId="2" fontId="8" fillId="0" borderId="9" xfId="0" applyNumberFormat="1" applyFont="1" applyFill="1" applyBorder="1"/>
    <xf numFmtId="0" fontId="8" fillId="0" borderId="40" xfId="0" applyFont="1" applyBorder="1" applyAlignment="1">
      <alignment horizontal="center"/>
    </xf>
    <xf numFmtId="166" fontId="13" fillId="4" borderId="27" xfId="1" applyNumberFormat="1" applyFont="1" applyFill="1" applyBorder="1"/>
    <xf numFmtId="1" fontId="14" fillId="3" borderId="56" xfId="0" applyNumberFormat="1" applyFont="1" applyFill="1" applyBorder="1"/>
    <xf numFmtId="166" fontId="29" fillId="6" borderId="2" xfId="1" applyNumberFormat="1" applyFont="1" applyFill="1" applyBorder="1"/>
    <xf numFmtId="43" fontId="5" fillId="3" borderId="8" xfId="1" applyNumberFormat="1" applyFont="1" applyFill="1" applyBorder="1"/>
    <xf numFmtId="166" fontId="14" fillId="8" borderId="42" xfId="1" applyNumberFormat="1" applyFont="1" applyFill="1" applyBorder="1"/>
    <xf numFmtId="174" fontId="14" fillId="3" borderId="56" xfId="2" applyNumberFormat="1" applyFont="1" applyFill="1" applyBorder="1"/>
    <xf numFmtId="174" fontId="20" fillId="6" borderId="28" xfId="2" applyNumberFormat="1" applyFont="1" applyFill="1" applyBorder="1"/>
    <xf numFmtId="174" fontId="14" fillId="3" borderId="5" xfId="2" applyNumberFormat="1" applyFont="1" applyFill="1" applyBorder="1"/>
    <xf numFmtId="166" fontId="23" fillId="7" borderId="29" xfId="1" applyNumberFormat="1" applyFont="1" applyFill="1" applyBorder="1"/>
    <xf numFmtId="43" fontId="5" fillId="7" borderId="22" xfId="1" applyNumberFormat="1" applyFont="1" applyFill="1" applyBorder="1"/>
    <xf numFmtId="2" fontId="14" fillId="5" borderId="2" xfId="0" applyNumberFormat="1" applyFont="1" applyFill="1" applyBorder="1"/>
    <xf numFmtId="43" fontId="0" fillId="5" borderId="2" xfId="0" applyNumberFormat="1" applyFill="1" applyBorder="1"/>
    <xf numFmtId="173" fontId="0" fillId="0" borderId="0" xfId="0" applyNumberFormat="1"/>
    <xf numFmtId="2" fontId="5" fillId="7" borderId="22" xfId="0" applyNumberFormat="1" applyFont="1" applyFill="1" applyBorder="1"/>
    <xf numFmtId="2" fontId="5" fillId="7" borderId="26" xfId="0" applyNumberFormat="1" applyFont="1" applyFill="1" applyBorder="1"/>
    <xf numFmtId="2" fontId="0" fillId="0" borderId="0" xfId="0" applyNumberFormat="1" applyFill="1" applyBorder="1"/>
    <xf numFmtId="43" fontId="0" fillId="5" borderId="18" xfId="0" applyNumberFormat="1" applyFill="1" applyBorder="1"/>
    <xf numFmtId="0" fontId="0" fillId="0" borderId="0" xfId="0" applyAlignment="1">
      <alignment horizontal="center"/>
    </xf>
    <xf numFmtId="0" fontId="8"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169" fontId="20" fillId="0" borderId="0" xfId="0" applyNumberFormat="1" applyFont="1" applyFill="1" applyBorder="1" applyAlignment="1">
      <alignment horizontal="center"/>
    </xf>
    <xf numFmtId="0" fontId="0" fillId="0" borderId="0" xfId="0" applyFill="1" applyBorder="1" applyAlignment="1">
      <alignment horizontal="center"/>
    </xf>
    <xf numFmtId="0" fontId="8" fillId="0" borderId="54" xfId="0" applyFont="1" applyFill="1" applyBorder="1" applyAlignment="1"/>
    <xf numFmtId="0" fontId="13" fillId="0" borderId="12" xfId="0" applyFont="1" applyFill="1" applyBorder="1" applyAlignment="1">
      <alignment horizontal="center"/>
    </xf>
    <xf numFmtId="0" fontId="13" fillId="0" borderId="38" xfId="0" applyFont="1" applyFill="1" applyBorder="1" applyAlignment="1">
      <alignment horizontal="center"/>
    </xf>
    <xf numFmtId="9" fontId="20" fillId="0" borderId="58" xfId="2" quotePrefix="1" applyFont="1" applyFill="1" applyBorder="1" applyAlignment="1">
      <alignment horizontal="center"/>
    </xf>
    <xf numFmtId="9" fontId="20" fillId="0" borderId="34" xfId="2" quotePrefix="1" applyFont="1" applyFill="1" applyBorder="1" applyAlignment="1">
      <alignment horizontal="center"/>
    </xf>
    <xf numFmtId="0" fontId="10" fillId="5" borderId="11" xfId="0" applyFont="1" applyFill="1" applyBorder="1" applyAlignment="1">
      <alignment horizontal="center" vertical="center" wrapText="1"/>
    </xf>
    <xf numFmtId="0" fontId="10" fillId="6" borderId="11" xfId="0" applyFont="1" applyFill="1" applyBorder="1" applyAlignment="1">
      <alignment horizontal="center" vertical="center" wrapText="1"/>
    </xf>
    <xf numFmtId="2" fontId="14" fillId="5" borderId="28" xfId="0" applyNumberFormat="1" applyFont="1" applyFill="1" applyBorder="1" applyAlignment="1">
      <alignment horizontal="center"/>
    </xf>
    <xf numFmtId="2" fontId="14" fillId="6" borderId="28" xfId="0" applyNumberFormat="1" applyFont="1" applyFill="1" applyBorder="1" applyAlignment="1">
      <alignment horizontal="center"/>
    </xf>
    <xf numFmtId="0" fontId="10" fillId="0" borderId="46" xfId="0" applyFont="1" applyBorder="1" applyAlignment="1">
      <alignment horizontal="center" vertical="center" wrapText="1"/>
    </xf>
    <xf numFmtId="0" fontId="10" fillId="3" borderId="59" xfId="0" applyFont="1" applyFill="1" applyBorder="1" applyAlignment="1">
      <alignment horizontal="center" vertical="center" wrapText="1"/>
    </xf>
    <xf numFmtId="0" fontId="10" fillId="5" borderId="59" xfId="0" applyFont="1" applyFill="1" applyBorder="1" applyAlignment="1">
      <alignment horizontal="center" vertical="center" wrapText="1"/>
    </xf>
    <xf numFmtId="0" fontId="10" fillId="6" borderId="59" xfId="0" applyFont="1" applyFill="1" applyBorder="1" applyAlignment="1">
      <alignment horizontal="center" vertical="center" wrapText="1"/>
    </xf>
    <xf numFmtId="2" fontId="14" fillId="3" borderId="39" xfId="0" applyNumberFormat="1" applyFont="1" applyFill="1" applyBorder="1" applyAlignment="1">
      <alignment horizontal="center"/>
    </xf>
    <xf numFmtId="174" fontId="31" fillId="3" borderId="56" xfId="2" applyNumberFormat="1" applyFont="1" applyFill="1" applyBorder="1"/>
    <xf numFmtId="0" fontId="8" fillId="0" borderId="4" xfId="0" applyFont="1" applyBorder="1" applyAlignment="1">
      <alignment horizontal="center" vertical="center" wrapText="1"/>
    </xf>
    <xf numFmtId="0" fontId="10" fillId="3" borderId="60" xfId="0" applyFont="1" applyFill="1" applyBorder="1" applyAlignment="1">
      <alignment horizontal="center" vertical="center" wrapText="1"/>
    </xf>
    <xf numFmtId="2" fontId="14" fillId="3" borderId="5" xfId="0" applyNumberFormat="1" applyFont="1" applyFill="1" applyBorder="1" applyAlignment="1">
      <alignment horizontal="center"/>
    </xf>
    <xf numFmtId="174" fontId="31" fillId="3" borderId="5" xfId="2" applyNumberFormat="1" applyFont="1" applyFill="1" applyBorder="1"/>
    <xf numFmtId="174" fontId="20" fillId="6" borderId="40" xfId="2" applyNumberFormat="1" applyFont="1" applyFill="1" applyBorder="1"/>
    <xf numFmtId="2" fontId="0" fillId="0" borderId="32" xfId="0" applyNumberFormat="1" applyFill="1" applyBorder="1"/>
    <xf numFmtId="0" fontId="16"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0" fillId="0" borderId="0" xfId="0" applyFont="1" applyAlignment="1">
      <alignment horizontal="right"/>
    </xf>
    <xf numFmtId="0" fontId="0" fillId="0" borderId="37" xfId="0" applyBorder="1"/>
    <xf numFmtId="0" fontId="0" fillId="0" borderId="38" xfId="0" applyBorder="1"/>
    <xf numFmtId="0" fontId="8" fillId="0" borderId="0" xfId="0" applyFont="1" applyFill="1" applyBorder="1" applyAlignment="1"/>
    <xf numFmtId="0" fontId="13" fillId="0" borderId="0" xfId="0" applyFont="1" applyFill="1" applyBorder="1" applyAlignment="1">
      <alignment horizontal="center"/>
    </xf>
    <xf numFmtId="9" fontId="20" fillId="0" borderId="0" xfId="2" quotePrefix="1" applyFont="1" applyFill="1" applyBorder="1" applyAlignment="1">
      <alignment horizontal="center"/>
    </xf>
    <xf numFmtId="0" fontId="0" fillId="6" borderId="1" xfId="0" applyFill="1" applyBorder="1"/>
    <xf numFmtId="169" fontId="0" fillId="3" borderId="1" xfId="0" applyNumberFormat="1" applyFill="1" applyBorder="1"/>
    <xf numFmtId="0" fontId="39" fillId="0" borderId="0" xfId="0" applyFont="1"/>
    <xf numFmtId="0" fontId="8" fillId="0" borderId="24" xfId="0" applyFont="1" applyFill="1" applyBorder="1" applyAlignment="1">
      <alignment horizontal="center" wrapText="1"/>
    </xf>
    <xf numFmtId="0" fontId="14" fillId="0" borderId="24" xfId="0" applyFont="1" applyFill="1" applyBorder="1" applyAlignment="1">
      <alignment horizontal="center" wrapText="1"/>
    </xf>
    <xf numFmtId="0" fontId="0" fillId="0" borderId="24" xfId="0" applyFill="1" applyBorder="1" applyAlignment="1">
      <alignment horizontal="center"/>
    </xf>
    <xf numFmtId="0" fontId="0" fillId="0" borderId="23" xfId="0" applyFill="1" applyBorder="1" applyAlignment="1">
      <alignment horizontal="center"/>
    </xf>
    <xf numFmtId="0" fontId="30" fillId="0" borderId="48" xfId="0" applyFont="1" applyFill="1" applyBorder="1" applyAlignment="1">
      <alignment horizontal="center"/>
    </xf>
    <xf numFmtId="0" fontId="8" fillId="0" borderId="18" xfId="0" applyFont="1" applyBorder="1" applyAlignment="1"/>
    <xf numFmtId="0" fontId="0" fillId="0" borderId="7" xfId="0" applyBorder="1"/>
    <xf numFmtId="0" fontId="0" fillId="0" borderId="18" xfId="0" applyBorder="1"/>
    <xf numFmtId="0" fontId="0" fillId="0" borderId="24" xfId="0" applyBorder="1"/>
    <xf numFmtId="0" fontId="0" fillId="0" borderId="18" xfId="0" applyFill="1" applyBorder="1" applyAlignment="1">
      <alignment horizontal="center" wrapText="1"/>
    </xf>
    <xf numFmtId="0" fontId="0" fillId="0" borderId="19" xfId="0" applyFill="1" applyBorder="1" applyAlignment="1">
      <alignment horizontal="center" wrapText="1"/>
    </xf>
    <xf numFmtId="0" fontId="0" fillId="0" borderId="7" xfId="0" applyFill="1" applyBorder="1" applyAlignment="1">
      <alignment horizontal="center" wrapText="1"/>
    </xf>
    <xf numFmtId="0" fontId="0" fillId="0" borderId="19" xfId="0" applyBorder="1" applyAlignment="1">
      <alignment horizontal="center"/>
    </xf>
    <xf numFmtId="0" fontId="0" fillId="0" borderId="18" xfId="0" applyBorder="1" applyAlignment="1">
      <alignment horizontal="center"/>
    </xf>
    <xf numFmtId="0" fontId="0" fillId="0" borderId="62" xfId="0" applyFill="1" applyBorder="1" applyAlignment="1">
      <alignment wrapText="1"/>
    </xf>
    <xf numFmtId="0" fontId="8" fillId="0" borderId="63" xfId="0" applyFont="1" applyFill="1" applyBorder="1" applyAlignment="1"/>
    <xf numFmtId="169" fontId="20" fillId="0" borderId="0" xfId="0" applyNumberFormat="1" applyFont="1" applyFill="1" applyBorder="1" applyAlignment="1">
      <alignment horizontal="right"/>
    </xf>
    <xf numFmtId="166" fontId="0" fillId="0" borderId="0" xfId="0" applyNumberFormat="1" applyFill="1"/>
    <xf numFmtId="166" fontId="0" fillId="0" borderId="0" xfId="1" applyNumberFormat="1" applyFont="1" applyFill="1"/>
    <xf numFmtId="166" fontId="0" fillId="0" borderId="0" xfId="1" applyNumberFormat="1" applyFont="1"/>
    <xf numFmtId="0" fontId="0" fillId="0" borderId="54" xfId="0" applyFill="1" applyBorder="1"/>
    <xf numFmtId="169" fontId="0" fillId="0" borderId="0" xfId="0" applyNumberFormat="1" applyBorder="1"/>
    <xf numFmtId="0" fontId="0" fillId="0" borderId="34" xfId="0" applyBorder="1"/>
    <xf numFmtId="170" fontId="0" fillId="0" borderId="0" xfId="1" applyNumberFormat="1" applyFont="1"/>
    <xf numFmtId="166" fontId="0" fillId="0" borderId="0" xfId="1" applyNumberFormat="1" applyFont="1" applyAlignment="1"/>
    <xf numFmtId="43" fontId="8" fillId="0" borderId="0" xfId="1" applyFont="1" applyFill="1" applyAlignment="1">
      <alignment horizontal="center" vertical="center" wrapText="1"/>
    </xf>
    <xf numFmtId="9" fontId="0" fillId="0" borderId="0" xfId="2" applyFont="1" applyFill="1"/>
    <xf numFmtId="9" fontId="0" fillId="0" borderId="0" xfId="2" applyFont="1"/>
    <xf numFmtId="166" fontId="13" fillId="9" borderId="22" xfId="1" applyNumberFormat="1" applyFont="1" applyFill="1" applyBorder="1"/>
    <xf numFmtId="166" fontId="11" fillId="7" borderId="21" xfId="1" applyNumberFormat="1" applyFont="1" applyFill="1" applyBorder="1"/>
    <xf numFmtId="166" fontId="11" fillId="7" borderId="7" xfId="1" applyNumberFormat="1" applyFont="1" applyFill="1" applyBorder="1"/>
    <xf numFmtId="0" fontId="8" fillId="0" borderId="3" xfId="0" applyFont="1" applyBorder="1" applyAlignment="1">
      <alignment horizontal="center"/>
    </xf>
    <xf numFmtId="1" fontId="14" fillId="3" borderId="3" xfId="0" applyNumberFormat="1" applyFont="1" applyFill="1" applyBorder="1"/>
    <xf numFmtId="1" fontId="14" fillId="5" borderId="1" xfId="0" applyNumberFormat="1" applyFont="1" applyFill="1" applyBorder="1"/>
    <xf numFmtId="164" fontId="5" fillId="6" borderId="1" xfId="0" applyNumberFormat="1" applyFont="1" applyFill="1" applyBorder="1"/>
    <xf numFmtId="170" fontId="23" fillId="9" borderId="1" xfId="1" applyNumberFormat="1" applyFont="1" applyFill="1" applyBorder="1"/>
    <xf numFmtId="0" fontId="0" fillId="0" borderId="54" xfId="0" applyBorder="1"/>
    <xf numFmtId="0" fontId="41" fillId="0" borderId="0" xfId="0" applyFont="1"/>
    <xf numFmtId="0" fontId="42" fillId="0" borderId="0" xfId="0" applyFont="1"/>
    <xf numFmtId="0" fontId="13" fillId="0" borderId="0" xfId="0" applyFont="1"/>
    <xf numFmtId="170" fontId="14" fillId="4" borderId="1" xfId="0" applyNumberFormat="1" applyFont="1" applyFill="1" applyBorder="1" applyAlignment="1">
      <alignment horizontal="center" vertical="center" wrapText="1"/>
    </xf>
    <xf numFmtId="9" fontId="14" fillId="4" borderId="1" xfId="2" applyFont="1" applyFill="1" applyBorder="1" applyAlignment="1">
      <alignment horizontal="center" vertical="center" wrapText="1"/>
    </xf>
    <xf numFmtId="2" fontId="14" fillId="4" borderId="8" xfId="0" applyNumberFormat="1" applyFont="1" applyFill="1" applyBorder="1"/>
    <xf numFmtId="2" fontId="14" fillId="4" borderId="17" xfId="0" applyNumberFormat="1" applyFont="1" applyFill="1" applyBorder="1"/>
    <xf numFmtId="169" fontId="20" fillId="5" borderId="0" xfId="0" applyNumberFormat="1" applyFont="1" applyFill="1" applyBorder="1" applyAlignment="1">
      <alignment horizontal="right"/>
    </xf>
    <xf numFmtId="0" fontId="0" fillId="0" borderId="0" xfId="0" applyFill="1" applyAlignment="1">
      <alignment horizontal="right"/>
    </xf>
    <xf numFmtId="0" fontId="0" fillId="0" borderId="32" xfId="0" applyFill="1" applyBorder="1" applyAlignment="1">
      <alignment wrapText="1"/>
    </xf>
    <xf numFmtId="0" fontId="0" fillId="0" borderId="31" xfId="0" applyFill="1" applyBorder="1" applyAlignment="1">
      <alignment wrapText="1"/>
    </xf>
    <xf numFmtId="169" fontId="20" fillId="0" borderId="32" xfId="0" applyNumberFormat="1" applyFont="1" applyFill="1" applyBorder="1" applyAlignment="1">
      <alignment horizontal="right"/>
    </xf>
    <xf numFmtId="169" fontId="20" fillId="0" borderId="31" xfId="0" applyNumberFormat="1" applyFont="1" applyFill="1" applyBorder="1" applyAlignment="1">
      <alignment horizontal="right"/>
    </xf>
    <xf numFmtId="169" fontId="20" fillId="0" borderId="57" xfId="0" applyNumberFormat="1" applyFont="1" applyFill="1" applyBorder="1" applyAlignment="1">
      <alignment horizontal="right"/>
    </xf>
    <xf numFmtId="0" fontId="0" fillId="0" borderId="64" xfId="0" applyFill="1" applyBorder="1" applyAlignment="1">
      <alignment wrapText="1"/>
    </xf>
    <xf numFmtId="0" fontId="0" fillId="0" borderId="39" xfId="0" applyFill="1" applyBorder="1" applyAlignment="1">
      <alignment wrapText="1"/>
    </xf>
    <xf numFmtId="0" fontId="0" fillId="5" borderId="32" xfId="0" applyFill="1" applyBorder="1" applyAlignment="1">
      <alignment horizontal="center"/>
    </xf>
    <xf numFmtId="0" fontId="29" fillId="0" borderId="33" xfId="0" applyFont="1" applyFill="1" applyBorder="1" applyAlignment="1">
      <alignment horizontal="center"/>
    </xf>
    <xf numFmtId="0" fontId="0" fillId="5" borderId="31" xfId="0" applyFill="1" applyBorder="1" applyAlignment="1">
      <alignment horizontal="right"/>
    </xf>
    <xf numFmtId="0" fontId="14" fillId="0" borderId="0" xfId="0" applyFont="1" applyFill="1" applyBorder="1" applyAlignment="1">
      <alignment horizontal="center" wrapText="1"/>
    </xf>
    <xf numFmtId="169" fontId="20" fillId="6" borderId="1" xfId="0" applyNumberFormat="1" applyFont="1" applyFill="1" applyBorder="1" applyAlignment="1">
      <alignment horizontal="right"/>
    </xf>
    <xf numFmtId="169" fontId="20" fillId="3" borderId="1" xfId="0" applyNumberFormat="1" applyFont="1" applyFill="1" applyBorder="1" applyAlignment="1">
      <alignment horizontal="right"/>
    </xf>
    <xf numFmtId="169" fontId="20" fillId="3" borderId="22" xfId="0" applyNumberFormat="1" applyFont="1" applyFill="1" applyBorder="1" applyAlignment="1">
      <alignment horizontal="right"/>
    </xf>
    <xf numFmtId="166" fontId="14" fillId="4" borderId="15" xfId="1" applyNumberFormat="1" applyFont="1" applyFill="1" applyBorder="1"/>
    <xf numFmtId="166" fontId="5" fillId="6" borderId="15" xfId="1" applyNumberFormat="1" applyFill="1" applyBorder="1"/>
    <xf numFmtId="164" fontId="5" fillId="5" borderId="17" xfId="0" applyNumberFormat="1" applyFont="1" applyFill="1" applyBorder="1"/>
    <xf numFmtId="166" fontId="14" fillId="9" borderId="29" xfId="1" applyNumberFormat="1" applyFont="1" applyFill="1" applyBorder="1"/>
    <xf numFmtId="166" fontId="13" fillId="4" borderId="8" xfId="1" applyNumberFormat="1" applyFont="1" applyFill="1" applyBorder="1"/>
    <xf numFmtId="167" fontId="20" fillId="4" borderId="8" xfId="0" applyNumberFormat="1" applyFont="1" applyFill="1" applyBorder="1"/>
    <xf numFmtId="166" fontId="23" fillId="7" borderId="15" xfId="1" applyNumberFormat="1" applyFont="1" applyFill="1" applyBorder="1"/>
    <xf numFmtId="43" fontId="5" fillId="7" borderId="8" xfId="1" applyNumberFormat="1" applyFont="1" applyFill="1" applyBorder="1"/>
    <xf numFmtId="43" fontId="5" fillId="7" borderId="17" xfId="1" applyNumberFormat="1" applyFont="1" applyFill="1" applyBorder="1"/>
    <xf numFmtId="166" fontId="12" fillId="0" borderId="0" xfId="0" applyNumberFormat="1" applyFont="1" applyFill="1"/>
    <xf numFmtId="166" fontId="9" fillId="0" borderId="0" xfId="0" applyNumberFormat="1" applyFont="1"/>
    <xf numFmtId="170" fontId="14" fillId="4" borderId="7" xfId="1" applyNumberFormat="1" applyFont="1" applyFill="1" applyBorder="1"/>
    <xf numFmtId="1" fontId="50" fillId="4" borderId="1" xfId="1" applyNumberFormat="1" applyFont="1" applyFill="1" applyBorder="1"/>
    <xf numFmtId="0" fontId="10" fillId="0" borderId="37"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4" xfId="0" applyFont="1" applyBorder="1" applyAlignment="1">
      <alignment horizontal="center"/>
    </xf>
    <xf numFmtId="166" fontId="20" fillId="4" borderId="7" xfId="1" applyNumberFormat="1" applyFont="1" applyFill="1" applyBorder="1"/>
    <xf numFmtId="1" fontId="14" fillId="4" borderId="7" xfId="0" applyNumberFormat="1" applyFont="1" applyFill="1" applyBorder="1"/>
    <xf numFmtId="1" fontId="14" fillId="4" borderId="21" xfId="0" applyNumberFormat="1" applyFont="1" applyFill="1" applyBorder="1"/>
    <xf numFmtId="166" fontId="14" fillId="4" borderId="7" xfId="1" applyNumberFormat="1" applyFont="1" applyFill="1" applyBorder="1" applyAlignment="1"/>
    <xf numFmtId="0" fontId="10" fillId="8" borderId="1" xfId="0" applyFont="1" applyFill="1" applyBorder="1" applyAlignment="1">
      <alignment horizontal="center" vertical="center" wrapText="1"/>
    </xf>
    <xf numFmtId="166" fontId="20" fillId="8" borderId="66" xfId="1" applyNumberFormat="1" applyFont="1" applyFill="1" applyBorder="1"/>
    <xf numFmtId="166" fontId="14" fillId="8" borderId="66" xfId="1" applyNumberFormat="1" applyFont="1" applyFill="1" applyBorder="1"/>
    <xf numFmtId="0" fontId="10" fillId="5" borderId="46" xfId="0" applyFont="1" applyFill="1" applyBorder="1" applyAlignment="1">
      <alignment horizontal="center" vertical="center" wrapText="1"/>
    </xf>
    <xf numFmtId="1" fontId="14" fillId="3" borderId="7" xfId="0" applyNumberFormat="1" applyFont="1" applyFill="1" applyBorder="1"/>
    <xf numFmtId="2" fontId="14" fillId="5" borderId="44" xfId="0" applyNumberFormat="1" applyFont="1" applyFill="1" applyBorder="1"/>
    <xf numFmtId="0" fontId="9" fillId="13" borderId="0" xfId="0" applyFont="1" applyFill="1"/>
    <xf numFmtId="169" fontId="0" fillId="0" borderId="0" xfId="0" applyNumberFormat="1" applyFill="1" applyBorder="1"/>
    <xf numFmtId="166" fontId="0" fillId="0" borderId="0" xfId="1" applyNumberFormat="1" applyFont="1" applyBorder="1"/>
    <xf numFmtId="1" fontId="0" fillId="0" borderId="0" xfId="0" applyNumberFormat="1" applyBorder="1"/>
    <xf numFmtId="0" fontId="9" fillId="0" borderId="72" xfId="0" applyFont="1" applyBorder="1" applyAlignment="1">
      <alignment horizontal="center"/>
    </xf>
    <xf numFmtId="0" fontId="9" fillId="0" borderId="73" xfId="0" applyFont="1" applyBorder="1" applyAlignment="1">
      <alignment horizontal="center"/>
    </xf>
    <xf numFmtId="166" fontId="13" fillId="4" borderId="45" xfId="1" applyNumberFormat="1" applyFont="1" applyFill="1" applyBorder="1"/>
    <xf numFmtId="166" fontId="5" fillId="6" borderId="65" xfId="1" applyNumberFormat="1" applyFill="1" applyBorder="1"/>
    <xf numFmtId="166" fontId="0" fillId="6" borderId="60" xfId="0" applyNumberFormat="1" applyFill="1" applyBorder="1"/>
    <xf numFmtId="166" fontId="0" fillId="6" borderId="5" xfId="0" applyNumberFormat="1" applyFill="1" applyBorder="1"/>
    <xf numFmtId="43" fontId="0" fillId="6" borderId="19" xfId="0" applyNumberFormat="1" applyFill="1" applyBorder="1"/>
    <xf numFmtId="43" fontId="0" fillId="6" borderId="60" xfId="0" applyNumberFormat="1" applyFill="1" applyBorder="1"/>
    <xf numFmtId="43" fontId="0" fillId="6" borderId="5" xfId="0" applyNumberFormat="1" applyFill="1" applyBorder="1"/>
    <xf numFmtId="0" fontId="8" fillId="0" borderId="60" xfId="0" applyFont="1" applyBorder="1" applyAlignment="1">
      <alignment horizontal="center"/>
    </xf>
    <xf numFmtId="166" fontId="14" fillId="9" borderId="74" xfId="1" applyNumberFormat="1" applyFont="1" applyFill="1" applyBorder="1"/>
    <xf numFmtId="166" fontId="13" fillId="4" borderId="75" xfId="1" applyNumberFormat="1" applyFont="1" applyFill="1" applyBorder="1"/>
    <xf numFmtId="43" fontId="5" fillId="4" borderId="10" xfId="1" applyNumberFormat="1" applyFont="1" applyFill="1" applyBorder="1"/>
    <xf numFmtId="166" fontId="5" fillId="3" borderId="74" xfId="1" applyNumberFormat="1" applyFont="1" applyFill="1" applyBorder="1"/>
    <xf numFmtId="166" fontId="5" fillId="5" borderId="74" xfId="1" applyNumberFormat="1" applyFont="1" applyFill="1" applyBorder="1"/>
    <xf numFmtId="166" fontId="5" fillId="6" borderId="72" xfId="1" applyNumberFormat="1" applyFill="1" applyBorder="1"/>
    <xf numFmtId="43" fontId="0" fillId="6" borderId="47" xfId="0" applyNumberFormat="1" applyFill="1" applyBorder="1"/>
    <xf numFmtId="0" fontId="8" fillId="0" borderId="2" xfId="0" applyFont="1" applyBorder="1" applyAlignment="1">
      <alignment horizontal="center"/>
    </xf>
    <xf numFmtId="43" fontId="5" fillId="4" borderId="8" xfId="1" applyNumberFormat="1" applyFont="1" applyFill="1" applyBorder="1"/>
    <xf numFmtId="0" fontId="17" fillId="0" borderId="0" xfId="0" applyFont="1" applyFill="1" applyBorder="1" applyAlignment="1"/>
    <xf numFmtId="0" fontId="53" fillId="13" borderId="0" xfId="0" applyFont="1" applyFill="1"/>
    <xf numFmtId="0" fontId="54" fillId="0" borderId="0" xfId="0" applyFont="1"/>
    <xf numFmtId="43" fontId="5" fillId="4" borderId="7" xfId="1" applyNumberFormat="1" applyFont="1" applyFill="1" applyBorder="1"/>
    <xf numFmtId="0" fontId="51" fillId="16" borderId="0" xfId="0" applyFont="1" applyFill="1"/>
    <xf numFmtId="0" fontId="51" fillId="0" borderId="0" xfId="0" applyFont="1"/>
    <xf numFmtId="0" fontId="51" fillId="16" borderId="4" xfId="0" applyFont="1" applyFill="1" applyBorder="1"/>
    <xf numFmtId="0" fontId="51" fillId="16" borderId="9" xfId="0" applyFont="1" applyFill="1" applyBorder="1"/>
    <xf numFmtId="0" fontId="51" fillId="16" borderId="55" xfId="0" applyFont="1" applyFill="1" applyBorder="1"/>
    <xf numFmtId="0" fontId="51" fillId="0" borderId="0" xfId="0" applyFont="1" applyFill="1" applyBorder="1" applyAlignment="1">
      <alignment horizontal="center"/>
    </xf>
    <xf numFmtId="0" fontId="52" fillId="0" borderId="0" xfId="0" applyFont="1" applyAlignment="1">
      <alignment horizontal="center"/>
    </xf>
    <xf numFmtId="0" fontId="50" fillId="0" borderId="0" xfId="0" applyFont="1"/>
    <xf numFmtId="0" fontId="51" fillId="0" borderId="0" xfId="0" applyFont="1" applyFill="1" applyAlignment="1">
      <alignment horizontal="center"/>
    </xf>
    <xf numFmtId="164" fontId="51" fillId="16" borderId="0" xfId="0" applyNumberFormat="1" applyFont="1" applyFill="1"/>
    <xf numFmtId="169" fontId="51" fillId="16" borderId="0" xfId="0" applyNumberFormat="1" applyFont="1" applyFill="1"/>
    <xf numFmtId="0" fontId="10" fillId="0" borderId="0" xfId="0" applyFont="1"/>
    <xf numFmtId="1" fontId="0" fillId="0" borderId="0" xfId="0" applyNumberFormat="1" applyFill="1" applyBorder="1"/>
    <xf numFmtId="0" fontId="8" fillId="15" borderId="0" xfId="0" applyFont="1" applyFill="1" applyAlignment="1">
      <alignment horizontal="right"/>
    </xf>
    <xf numFmtId="0" fontId="0" fillId="15" borderId="0" xfId="0" applyFill="1" applyBorder="1"/>
    <xf numFmtId="0" fontId="8" fillId="15" borderId="0" xfId="0" applyFont="1" applyFill="1"/>
    <xf numFmtId="0" fontId="52" fillId="0" borderId="0" xfId="0" applyFont="1" applyAlignment="1">
      <alignment horizontal="left"/>
    </xf>
    <xf numFmtId="166" fontId="23" fillId="9" borderId="3" xfId="1" applyNumberFormat="1" applyFont="1" applyFill="1" applyBorder="1"/>
    <xf numFmtId="0" fontId="8" fillId="0" borderId="0" xfId="0" applyFont="1" applyFill="1"/>
    <xf numFmtId="166" fontId="51" fillId="16" borderId="0" xfId="0" applyNumberFormat="1" applyFont="1" applyFill="1"/>
    <xf numFmtId="170" fontId="5" fillId="4" borderId="7" xfId="1" applyNumberFormat="1" applyFont="1" applyFill="1" applyBorder="1"/>
    <xf numFmtId="170" fontId="5" fillId="4" borderId="1" xfId="1" applyNumberFormat="1" applyFont="1" applyFill="1" applyBorder="1"/>
    <xf numFmtId="166" fontId="50" fillId="9" borderId="22" xfId="1" applyNumberFormat="1" applyFont="1" applyFill="1" applyBorder="1"/>
    <xf numFmtId="0" fontId="18" fillId="0" borderId="0" xfId="0" applyFont="1" applyFill="1" applyBorder="1" applyAlignment="1"/>
    <xf numFmtId="0" fontId="7" fillId="0" borderId="53" xfId="0" applyFont="1" applyBorder="1" applyAlignment="1">
      <alignment horizontal="center"/>
    </xf>
    <xf numFmtId="169" fontId="50" fillId="0" borderId="24" xfId="0" applyNumberFormat="1" applyFont="1" applyFill="1" applyBorder="1" applyAlignment="1">
      <alignment horizontal="center"/>
    </xf>
    <xf numFmtId="169" fontId="50" fillId="0" borderId="0" xfId="0" applyNumberFormat="1" applyFont="1" applyFill="1" applyBorder="1" applyAlignment="1">
      <alignment horizontal="center"/>
    </xf>
    <xf numFmtId="169" fontId="50" fillId="0" borderId="25" xfId="0" applyNumberFormat="1" applyFont="1" applyFill="1" applyBorder="1" applyAlignment="1">
      <alignment horizontal="center"/>
    </xf>
    <xf numFmtId="169" fontId="50" fillId="0" borderId="24" xfId="0" applyNumberFormat="1" applyFont="1" applyFill="1" applyBorder="1"/>
    <xf numFmtId="0" fontId="50" fillId="0" borderId="0" xfId="0" applyFont="1" applyBorder="1"/>
    <xf numFmtId="0" fontId="50" fillId="0" borderId="24" xfId="0" applyFont="1" applyBorder="1"/>
    <xf numFmtId="169" fontId="50" fillId="0" borderId="23" xfId="0" applyNumberFormat="1" applyFont="1" applyFill="1" applyBorder="1" applyAlignment="1">
      <alignment horizontal="center"/>
    </xf>
    <xf numFmtId="169" fontId="50" fillId="0" borderId="26" xfId="0" applyNumberFormat="1" applyFont="1" applyFill="1" applyBorder="1" applyAlignment="1">
      <alignment horizontal="center"/>
    </xf>
    <xf numFmtId="169" fontId="50" fillId="0" borderId="27" xfId="0" applyNumberFormat="1" applyFont="1" applyFill="1" applyBorder="1" applyAlignment="1">
      <alignment horizontal="center"/>
    </xf>
    <xf numFmtId="169" fontId="50" fillId="0" borderId="23" xfId="0" applyNumberFormat="1" applyFont="1" applyFill="1" applyBorder="1"/>
    <xf numFmtId="0" fontId="50" fillId="0" borderId="26" xfId="0" applyFont="1" applyBorder="1"/>
    <xf numFmtId="0" fontId="50" fillId="0" borderId="23" xfId="0" applyFont="1" applyBorder="1"/>
    <xf numFmtId="1" fontId="20" fillId="0" borderId="0" xfId="0" applyNumberFormat="1" applyFont="1" applyFill="1" applyBorder="1" applyAlignment="1">
      <alignment horizontal="center"/>
    </xf>
    <xf numFmtId="0" fontId="8" fillId="0" borderId="0" xfId="0" applyFont="1" applyFill="1" applyBorder="1" applyAlignment="1">
      <alignment horizontal="center"/>
    </xf>
    <xf numFmtId="166" fontId="50" fillId="0" borderId="0" xfId="1" applyNumberFormat="1" applyFont="1" applyFill="1" applyBorder="1"/>
    <xf numFmtId="166" fontId="13" fillId="0" borderId="0" xfId="1" applyNumberFormat="1" applyFont="1" applyFill="1" applyBorder="1"/>
    <xf numFmtId="170" fontId="13" fillId="0" borderId="0" xfId="1" applyNumberFormat="1" applyFont="1" applyFill="1" applyBorder="1"/>
    <xf numFmtId="43" fontId="5" fillId="0" borderId="0" xfId="1" applyNumberFormat="1" applyFont="1" applyFill="1" applyBorder="1"/>
    <xf numFmtId="165" fontId="5" fillId="0" borderId="0" xfId="1" applyNumberFormat="1" applyFont="1" applyFill="1" applyBorder="1"/>
    <xf numFmtId="2" fontId="5" fillId="0" borderId="0" xfId="0" applyNumberFormat="1" applyFont="1" applyFill="1" applyBorder="1"/>
    <xf numFmtId="166" fontId="5" fillId="0" borderId="0" xfId="1" applyNumberFormat="1" applyFont="1" applyFill="1" applyBorder="1"/>
    <xf numFmtId="166" fontId="0" fillId="0" borderId="0" xfId="0" applyNumberFormat="1" applyFill="1" applyBorder="1"/>
    <xf numFmtId="43" fontId="0" fillId="0" borderId="0" xfId="0" applyNumberFormat="1" applyFill="1" applyBorder="1"/>
    <xf numFmtId="166" fontId="20" fillId="0" borderId="0" xfId="1" applyNumberFormat="1" applyFont="1" applyFill="1" applyBorder="1"/>
    <xf numFmtId="2" fontId="8" fillId="0" borderId="0" xfId="0" applyNumberFormat="1" applyFont="1" applyBorder="1"/>
    <xf numFmtId="0" fontId="7" fillId="0" borderId="36" xfId="0" applyFont="1" applyBorder="1" applyAlignment="1">
      <alignment horizontal="center"/>
    </xf>
    <xf numFmtId="0" fontId="8" fillId="0" borderId="46" xfId="0" applyFont="1" applyBorder="1" applyAlignment="1">
      <alignment horizontal="center"/>
    </xf>
    <xf numFmtId="2" fontId="8" fillId="0" borderId="0" xfId="0" applyNumberFormat="1" applyFont="1" applyFill="1" applyBorder="1"/>
    <xf numFmtId="174" fontId="20" fillId="0" borderId="24" xfId="2" applyNumberFormat="1" applyFont="1" applyFill="1" applyBorder="1" applyAlignment="1">
      <alignment horizontal="center"/>
    </xf>
    <xf numFmtId="174" fontId="20" fillId="0" borderId="0" xfId="2" applyNumberFormat="1" applyFont="1" applyFill="1" applyBorder="1" applyAlignment="1">
      <alignment horizontal="center"/>
    </xf>
    <xf numFmtId="174" fontId="20" fillId="0" borderId="25" xfId="2" applyNumberFormat="1" applyFont="1" applyFill="1" applyBorder="1" applyAlignment="1">
      <alignment horizontal="center"/>
    </xf>
    <xf numFmtId="174" fontId="20" fillId="0" borderId="24" xfId="2" applyNumberFormat="1" applyFont="1" applyFill="1" applyBorder="1"/>
    <xf numFmtId="174" fontId="0" fillId="0" borderId="0" xfId="2" applyNumberFormat="1" applyFont="1" applyBorder="1"/>
    <xf numFmtId="174" fontId="0" fillId="0" borderId="24" xfId="2" applyNumberFormat="1" applyFont="1" applyBorder="1"/>
    <xf numFmtId="171" fontId="9" fillId="0" borderId="0" xfId="1" applyNumberFormat="1" applyFont="1" applyFill="1"/>
    <xf numFmtId="169" fontId="50" fillId="0" borderId="70" xfId="0" applyNumberFormat="1" applyFont="1" applyFill="1" applyBorder="1" applyAlignment="1">
      <alignment horizontal="center"/>
    </xf>
    <xf numFmtId="169" fontId="50" fillId="0" borderId="53" xfId="0" applyNumberFormat="1" applyFont="1" applyFill="1" applyBorder="1" applyAlignment="1">
      <alignment horizontal="center"/>
    </xf>
    <xf numFmtId="169" fontId="50" fillId="0" borderId="76" xfId="0" applyNumberFormat="1" applyFont="1" applyFill="1" applyBorder="1" applyAlignment="1">
      <alignment horizontal="center"/>
    </xf>
    <xf numFmtId="169" fontId="50" fillId="0" borderId="70" xfId="0" applyNumberFormat="1" applyFont="1" applyFill="1" applyBorder="1"/>
    <xf numFmtId="0" fontId="50" fillId="0" borderId="53" xfId="0" applyFont="1" applyBorder="1"/>
    <xf numFmtId="0" fontId="50" fillId="0" borderId="70" xfId="0" applyFont="1" applyBorder="1"/>
    <xf numFmtId="1" fontId="0" fillId="0" borderId="24" xfId="0" applyNumberFormat="1" applyBorder="1"/>
    <xf numFmtId="9" fontId="8" fillId="0" borderId="24" xfId="2" applyNumberFormat="1" applyFont="1" applyBorder="1"/>
    <xf numFmtId="0" fontId="0" fillId="0" borderId="1" xfId="0" applyFill="1" applyBorder="1" applyAlignment="1">
      <alignment horizontal="center" wrapText="1"/>
    </xf>
    <xf numFmtId="0" fontId="0" fillId="0" borderId="77" xfId="0" applyBorder="1"/>
    <xf numFmtId="1" fontId="0" fillId="0" borderId="77" xfId="0" applyNumberFormat="1" applyBorder="1"/>
    <xf numFmtId="9" fontId="8" fillId="0" borderId="77" xfId="2" applyNumberFormat="1" applyFont="1" applyBorder="1"/>
    <xf numFmtId="1" fontId="0" fillId="0" borderId="25" xfId="0" applyNumberFormat="1" applyBorder="1"/>
    <xf numFmtId="9" fontId="8" fillId="0" borderId="25" xfId="2" applyNumberFormat="1" applyFont="1" applyBorder="1"/>
    <xf numFmtId="169" fontId="0" fillId="0" borderId="24" xfId="0" applyNumberFormat="1" applyBorder="1"/>
    <xf numFmtId="0" fontId="0" fillId="0" borderId="7" xfId="0" applyBorder="1" applyAlignment="1">
      <alignment horizontal="center"/>
    </xf>
    <xf numFmtId="169" fontId="0" fillId="0" borderId="25" xfId="0" applyNumberFormat="1" applyBorder="1"/>
    <xf numFmtId="0" fontId="0" fillId="17" borderId="77" xfId="0" applyFill="1" applyBorder="1"/>
    <xf numFmtId="0" fontId="0" fillId="17" borderId="0" xfId="0" applyFill="1"/>
    <xf numFmtId="0" fontId="0" fillId="17" borderId="24" xfId="0" applyFill="1" applyBorder="1"/>
    <xf numFmtId="0" fontId="0" fillId="17" borderId="25" xfId="0" applyFill="1" applyBorder="1"/>
    <xf numFmtId="169" fontId="0" fillId="17" borderId="24" xfId="0" applyNumberFormat="1" applyFill="1" applyBorder="1"/>
    <xf numFmtId="169" fontId="0" fillId="17" borderId="25" xfId="0" applyNumberFormat="1" applyFill="1" applyBorder="1"/>
    <xf numFmtId="0" fontId="0" fillId="17" borderId="0" xfId="0" applyFill="1" applyBorder="1"/>
    <xf numFmtId="9" fontId="8" fillId="0" borderId="22" xfId="2" applyNumberFormat="1" applyFont="1" applyBorder="1"/>
    <xf numFmtId="9" fontId="8" fillId="0" borderId="26" xfId="2" applyNumberFormat="1" applyFont="1" applyBorder="1"/>
    <xf numFmtId="9" fontId="8" fillId="0" borderId="23" xfId="2" applyNumberFormat="1" applyFont="1" applyBorder="1"/>
    <xf numFmtId="9" fontId="8" fillId="0" borderId="27" xfId="2" applyNumberFormat="1" applyFont="1" applyBorder="1"/>
    <xf numFmtId="0" fontId="46" fillId="0" borderId="48" xfId="0" applyFont="1" applyBorder="1" applyAlignment="1">
      <alignment horizontal="center" vertical="center"/>
    </xf>
    <xf numFmtId="0" fontId="8" fillId="0" borderId="24" xfId="0" applyFont="1" applyBorder="1"/>
    <xf numFmtId="0" fontId="8" fillId="17" borderId="24" xfId="0" applyFont="1" applyFill="1" applyBorder="1"/>
    <xf numFmtId="9" fontId="8" fillId="0" borderId="0" xfId="2" applyNumberFormat="1" applyFont="1" applyBorder="1"/>
    <xf numFmtId="0" fontId="8" fillId="0" borderId="23" xfId="0" applyFont="1" applyBorder="1"/>
    <xf numFmtId="0" fontId="0" fillId="0" borderId="64" xfId="0" applyFill="1" applyBorder="1" applyAlignment="1">
      <alignment horizontal="center" wrapText="1"/>
    </xf>
    <xf numFmtId="0" fontId="0" fillId="0" borderId="39" xfId="0" applyFill="1" applyBorder="1" applyAlignment="1">
      <alignment horizontal="center" wrapText="1"/>
    </xf>
    <xf numFmtId="169" fontId="20" fillId="0" borderId="32" xfId="0" applyNumberFormat="1" applyFont="1" applyFill="1" applyBorder="1" applyAlignment="1">
      <alignment horizontal="center"/>
    </xf>
    <xf numFmtId="169" fontId="20" fillId="0" borderId="31" xfId="0" applyNumberFormat="1" applyFont="1" applyFill="1" applyBorder="1" applyAlignment="1">
      <alignment horizontal="center"/>
    </xf>
    <xf numFmtId="169" fontId="20" fillId="18" borderId="32" xfId="0" applyNumberFormat="1" applyFont="1" applyFill="1" applyBorder="1" applyAlignment="1">
      <alignment horizontal="center"/>
    </xf>
    <xf numFmtId="169" fontId="20" fillId="18" borderId="31" xfId="0" applyNumberFormat="1" applyFont="1" applyFill="1" applyBorder="1" applyAlignment="1">
      <alignment horizontal="center"/>
    </xf>
    <xf numFmtId="169" fontId="14" fillId="16" borderId="32" xfId="0" applyNumberFormat="1" applyFont="1" applyFill="1" applyBorder="1" applyAlignment="1">
      <alignment horizontal="right"/>
    </xf>
    <xf numFmtId="169" fontId="14" fillId="16" borderId="57" xfId="0" applyNumberFormat="1" applyFont="1" applyFill="1" applyBorder="1" applyAlignment="1">
      <alignment horizontal="right"/>
    </xf>
    <xf numFmtId="169" fontId="11" fillId="0" borderId="0" xfId="0" applyNumberFormat="1" applyFont="1" applyFill="1" applyBorder="1" applyAlignment="1">
      <alignment horizontal="right"/>
    </xf>
    <xf numFmtId="0" fontId="0" fillId="19" borderId="0" xfId="0" applyFill="1"/>
    <xf numFmtId="0" fontId="51" fillId="19" borderId="9" xfId="0" applyFont="1" applyFill="1" applyBorder="1"/>
    <xf numFmtId="164" fontId="51" fillId="19" borderId="0" xfId="0" applyNumberFormat="1" applyFont="1" applyFill="1"/>
    <xf numFmtId="169" fontId="51" fillId="19" borderId="0" xfId="0" applyNumberFormat="1" applyFont="1" applyFill="1"/>
    <xf numFmtId="0" fontId="52" fillId="0" borderId="0" xfId="0" applyFont="1" applyFill="1" applyBorder="1" applyAlignment="1">
      <alignment horizontal="center"/>
    </xf>
    <xf numFmtId="43" fontId="0" fillId="11" borderId="0" xfId="0" applyNumberFormat="1" applyFill="1"/>
    <xf numFmtId="41" fontId="0" fillId="11" borderId="0" xfId="0" applyNumberFormat="1" applyFill="1"/>
    <xf numFmtId="166" fontId="17" fillId="0" borderId="0" xfId="0" applyNumberFormat="1" applyFont="1" applyFill="1" applyBorder="1" applyAlignment="1"/>
    <xf numFmtId="166" fontId="9" fillId="0" borderId="0" xfId="0" applyNumberFormat="1" applyFont="1" applyFill="1"/>
    <xf numFmtId="43" fontId="5" fillId="7" borderId="3" xfId="1" applyNumberFormat="1" applyFont="1" applyFill="1" applyBorder="1"/>
    <xf numFmtId="166" fontId="13" fillId="4" borderId="19" xfId="1" applyNumberFormat="1" applyFont="1" applyFill="1" applyBorder="1"/>
    <xf numFmtId="43" fontId="5" fillId="3" borderId="22" xfId="1" applyNumberFormat="1" applyFont="1" applyFill="1" applyBorder="1"/>
    <xf numFmtId="167" fontId="5" fillId="3" borderId="3" xfId="0" applyNumberFormat="1" applyFont="1" applyFill="1" applyBorder="1"/>
    <xf numFmtId="166" fontId="14" fillId="8" borderId="5" xfId="1" applyNumberFormat="1" applyFont="1" applyFill="1" applyBorder="1"/>
    <xf numFmtId="169" fontId="51" fillId="3" borderId="1" xfId="0" applyNumberFormat="1" applyFont="1" applyFill="1" applyBorder="1"/>
    <xf numFmtId="1" fontId="51" fillId="3" borderId="7" xfId="0" applyNumberFormat="1" applyFont="1" applyFill="1" applyBorder="1"/>
    <xf numFmtId="1" fontId="14" fillId="3" borderId="3" xfId="0" applyNumberFormat="1" applyFont="1" applyFill="1" applyBorder="1" applyAlignment="1">
      <alignment horizontal="right"/>
    </xf>
    <xf numFmtId="169" fontId="20" fillId="0" borderId="33" xfId="0" applyNumberFormat="1" applyFont="1" applyFill="1" applyBorder="1" applyAlignment="1">
      <alignment horizontal="right"/>
    </xf>
    <xf numFmtId="169" fontId="20" fillId="0" borderId="34" xfId="0" applyNumberFormat="1" applyFont="1" applyFill="1" applyBorder="1" applyAlignment="1">
      <alignment horizontal="right"/>
    </xf>
    <xf numFmtId="0" fontId="0" fillId="0" borderId="54" xfId="0" applyFill="1" applyBorder="1" applyAlignment="1">
      <alignment horizontal="right"/>
    </xf>
    <xf numFmtId="169" fontId="50" fillId="0" borderId="0" xfId="0" applyNumberFormat="1" applyFont="1" applyFill="1" applyBorder="1"/>
    <xf numFmtId="0" fontId="0" fillId="0" borderId="54" xfId="0" applyFill="1" applyBorder="1" applyAlignment="1">
      <alignment horizontal="center"/>
    </xf>
    <xf numFmtId="169" fontId="20" fillId="0" borderId="54" xfId="0" applyNumberFormat="1" applyFont="1" applyFill="1" applyBorder="1" applyAlignment="1">
      <alignment horizontal="right"/>
    </xf>
    <xf numFmtId="169" fontId="20" fillId="0" borderId="33" xfId="0" applyNumberFormat="1" applyFont="1" applyFill="1" applyBorder="1" applyAlignment="1">
      <alignment horizontal="center"/>
    </xf>
    <xf numFmtId="169" fontId="20" fillId="0" borderId="34" xfId="0" applyNumberFormat="1" applyFont="1" applyFill="1" applyBorder="1" applyAlignment="1">
      <alignment horizontal="center"/>
    </xf>
    <xf numFmtId="2" fontId="0" fillId="0" borderId="0" xfId="0" applyNumberFormat="1" applyAlignment="1"/>
    <xf numFmtId="0" fontId="13" fillId="0" borderId="0" xfId="0" applyFont="1" applyAlignment="1">
      <alignment horizontal="right"/>
    </xf>
    <xf numFmtId="2" fontId="8" fillId="0" borderId="0" xfId="0" applyNumberFormat="1" applyFont="1"/>
    <xf numFmtId="0" fontId="51" fillId="0" borderId="9" xfId="0" applyFont="1" applyFill="1" applyBorder="1"/>
    <xf numFmtId="169" fontId="0" fillId="0" borderId="0" xfId="0" applyNumberFormat="1" applyFill="1"/>
    <xf numFmtId="164" fontId="51" fillId="0" borderId="0" xfId="0" applyNumberFormat="1" applyFont="1" applyFill="1"/>
    <xf numFmtId="169" fontId="51" fillId="0" borderId="0" xfId="0" applyNumberFormat="1" applyFont="1" applyFill="1"/>
    <xf numFmtId="170" fontId="20" fillId="0" borderId="0" xfId="1" applyNumberFormat="1" applyFont="1" applyFill="1" applyBorder="1"/>
    <xf numFmtId="0" fontId="7" fillId="0" borderId="0" xfId="0" applyFont="1" applyFill="1"/>
    <xf numFmtId="2" fontId="0" fillId="0" borderId="0" xfId="0" applyNumberFormat="1" applyFill="1"/>
    <xf numFmtId="2" fontId="13" fillId="3" borderId="18" xfId="0" applyNumberFormat="1" applyFont="1" applyFill="1" applyBorder="1"/>
    <xf numFmtId="2" fontId="14" fillId="3" borderId="19" xfId="0" applyNumberFormat="1" applyFont="1" applyFill="1" applyBorder="1"/>
    <xf numFmtId="43" fontId="5" fillId="3" borderId="41" xfId="1" applyNumberFormat="1" applyFont="1" applyFill="1" applyBorder="1"/>
    <xf numFmtId="1" fontId="14" fillId="3" borderId="1" xfId="0" applyNumberFormat="1" applyFont="1" applyFill="1" applyBorder="1"/>
    <xf numFmtId="2" fontId="14" fillId="3" borderId="41" xfId="0" applyNumberFormat="1" applyFont="1" applyFill="1" applyBorder="1"/>
    <xf numFmtId="2" fontId="13" fillId="5" borderId="1" xfId="0" applyNumberFormat="1" applyFont="1" applyFill="1" applyBorder="1"/>
    <xf numFmtId="2" fontId="13" fillId="5" borderId="41" xfId="0" applyNumberFormat="1" applyFont="1" applyFill="1" applyBorder="1"/>
    <xf numFmtId="166" fontId="5" fillId="5" borderId="1" xfId="1" applyNumberFormat="1" applyFont="1" applyFill="1" applyBorder="1"/>
    <xf numFmtId="2" fontId="13" fillId="3" borderId="41" xfId="0" applyNumberFormat="1" applyFont="1" applyFill="1" applyBorder="1"/>
    <xf numFmtId="2" fontId="13" fillId="4" borderId="1" xfId="0" applyNumberFormat="1" applyFont="1" applyFill="1" applyBorder="1"/>
    <xf numFmtId="2" fontId="13" fillId="4" borderId="3" xfId="0" applyNumberFormat="1" applyFont="1" applyFill="1" applyBorder="1"/>
    <xf numFmtId="166" fontId="20" fillId="9" borderId="5" xfId="1" applyNumberFormat="1" applyFont="1" applyFill="1" applyBorder="1"/>
    <xf numFmtId="170" fontId="20" fillId="9" borderId="1" xfId="1" applyNumberFormat="1" applyFont="1" applyFill="1" applyBorder="1"/>
    <xf numFmtId="166" fontId="20" fillId="9" borderId="1" xfId="1" applyNumberFormat="1" applyFont="1" applyFill="1" applyBorder="1"/>
    <xf numFmtId="166" fontId="13" fillId="9" borderId="1" xfId="1" applyNumberFormat="1" applyFont="1" applyFill="1" applyBorder="1"/>
    <xf numFmtId="166" fontId="13" fillId="4" borderId="2" xfId="1" applyNumberFormat="1" applyFont="1" applyFill="1" applyBorder="1"/>
    <xf numFmtId="2" fontId="13" fillId="4" borderId="7" xfId="1" applyNumberFormat="1" applyFont="1" applyFill="1" applyBorder="1"/>
    <xf numFmtId="2" fontId="13" fillId="4" borderId="1" xfId="1" applyNumberFormat="1" applyFont="1" applyFill="1" applyBorder="1"/>
    <xf numFmtId="2" fontId="13" fillId="4" borderId="3" xfId="1" applyNumberFormat="1" applyFont="1" applyFill="1" applyBorder="1"/>
    <xf numFmtId="166" fontId="5" fillId="5" borderId="44" xfId="1" applyNumberFormat="1" applyFont="1" applyFill="1" applyBorder="1"/>
    <xf numFmtId="166" fontId="5" fillId="6" borderId="44" xfId="1" applyNumberFormat="1" applyFill="1" applyBorder="1"/>
    <xf numFmtId="166" fontId="0" fillId="6" borderId="41" xfId="0" applyNumberFormat="1" applyFill="1" applyBorder="1"/>
    <xf numFmtId="43" fontId="0" fillId="6" borderId="41" xfId="0" applyNumberFormat="1" applyFill="1" applyBorder="1"/>
    <xf numFmtId="2" fontId="5" fillId="6" borderId="43" xfId="0" applyNumberFormat="1" applyFont="1" applyFill="1" applyBorder="1"/>
    <xf numFmtId="165" fontId="14" fillId="4" borderId="1" xfId="0" applyNumberFormat="1" applyFont="1" applyFill="1" applyBorder="1"/>
    <xf numFmtId="165" fontId="14" fillId="4" borderId="18" xfId="0" applyNumberFormat="1" applyFont="1" applyFill="1" applyBorder="1"/>
    <xf numFmtId="2" fontId="14" fillId="4" borderId="7" xfId="0" applyNumberFormat="1" applyFont="1" applyFill="1" applyBorder="1"/>
    <xf numFmtId="166" fontId="14" fillId="4" borderId="3" xfId="1" applyNumberFormat="1" applyFont="1" applyFill="1" applyBorder="1"/>
    <xf numFmtId="170" fontId="14" fillId="4" borderId="3" xfId="1" applyNumberFormat="1" applyFont="1" applyFill="1" applyBorder="1"/>
    <xf numFmtId="166" fontId="13" fillId="4" borderId="3" xfId="1" applyNumberFormat="1" applyFont="1" applyFill="1" applyBorder="1"/>
    <xf numFmtId="166" fontId="20" fillId="4" borderId="3" xfId="1" applyNumberFormat="1" applyFont="1" applyFill="1" applyBorder="1"/>
    <xf numFmtId="43" fontId="5" fillId="4" borderId="15" xfId="1" applyNumberFormat="1" applyFont="1" applyFill="1" applyBorder="1"/>
    <xf numFmtId="43" fontId="5" fillId="4" borderId="17" xfId="1" applyNumberFormat="1" applyFont="1" applyFill="1" applyBorder="1"/>
    <xf numFmtId="166" fontId="20" fillId="4" borderId="28" xfId="1" applyNumberFormat="1" applyFont="1" applyFill="1" applyBorder="1"/>
    <xf numFmtId="166" fontId="13" fillId="4" borderId="17" xfId="1" applyNumberFormat="1" applyFont="1" applyFill="1" applyBorder="1"/>
    <xf numFmtId="170" fontId="14" fillId="4" borderId="18" xfId="1" applyNumberFormat="1" applyFont="1" applyFill="1" applyBorder="1"/>
    <xf numFmtId="43" fontId="5" fillId="4" borderId="2" xfId="1" applyNumberFormat="1" applyFont="1" applyFill="1" applyBorder="1"/>
    <xf numFmtId="0" fontId="16" fillId="3" borderId="2" xfId="0" applyFont="1" applyFill="1" applyBorder="1" applyAlignment="1">
      <alignment horizontal="center" vertical="center" wrapText="1"/>
    </xf>
    <xf numFmtId="0" fontId="14" fillId="4" borderId="2" xfId="0" applyFont="1" applyFill="1" applyBorder="1" applyAlignment="1">
      <alignment horizontal="center" vertical="center" wrapText="1"/>
    </xf>
    <xf numFmtId="171" fontId="5" fillId="4" borderId="2" xfId="1" applyNumberFormat="1" applyFont="1" applyFill="1" applyBorder="1"/>
    <xf numFmtId="43" fontId="5" fillId="4" borderId="3" xfId="1" applyNumberFormat="1" applyFont="1" applyFill="1" applyBorder="1"/>
    <xf numFmtId="0" fontId="26" fillId="4" borderId="19" xfId="0" quotePrefix="1" applyFont="1" applyFill="1" applyBorder="1" applyAlignment="1">
      <alignment horizontal="center" vertical="center" wrapText="1"/>
    </xf>
    <xf numFmtId="166" fontId="14" fillId="4" borderId="19" xfId="1" applyNumberFormat="1" applyFont="1" applyFill="1" applyBorder="1"/>
    <xf numFmtId="166" fontId="13" fillId="4" borderId="18" xfId="1" applyNumberFormat="1" applyFont="1" applyFill="1" applyBorder="1"/>
    <xf numFmtId="166" fontId="20" fillId="4" borderId="65" xfId="1" applyNumberFormat="1" applyFont="1" applyFill="1" applyBorder="1"/>
    <xf numFmtId="170" fontId="14" fillId="4" borderId="2" xfId="1" applyNumberFormat="1" applyFont="1" applyFill="1" applyBorder="1"/>
    <xf numFmtId="170" fontId="20" fillId="9" borderId="29" xfId="1" applyNumberFormat="1" applyFont="1" applyFill="1" applyBorder="1"/>
    <xf numFmtId="170" fontId="20" fillId="9" borderId="2" xfId="1" applyNumberFormat="1" applyFont="1" applyFill="1" applyBorder="1"/>
    <xf numFmtId="166" fontId="20" fillId="9" borderId="3" xfId="1" applyNumberFormat="1" applyFont="1" applyFill="1" applyBorder="1"/>
    <xf numFmtId="166" fontId="23" fillId="5" borderId="1" xfId="1" applyNumberFormat="1" applyFont="1" applyFill="1" applyBorder="1"/>
    <xf numFmtId="166" fontId="14" fillId="4" borderId="17" xfId="1" applyNumberFormat="1" applyFont="1" applyFill="1" applyBorder="1"/>
    <xf numFmtId="170" fontId="23" fillId="4" borderId="3" xfId="1" applyNumberFormat="1" applyFont="1" applyFill="1" applyBorder="1"/>
    <xf numFmtId="170" fontId="23" fillId="4" borderId="2" xfId="1" applyNumberFormat="1" applyFont="1" applyFill="1" applyBorder="1"/>
    <xf numFmtId="172" fontId="14" fillId="4" borderId="7" xfId="0" applyNumberFormat="1" applyFont="1" applyFill="1" applyBorder="1"/>
    <xf numFmtId="0" fontId="10" fillId="4" borderId="19" xfId="0" applyFont="1" applyFill="1" applyBorder="1" applyAlignment="1">
      <alignment horizontal="center" vertical="center" wrapText="1"/>
    </xf>
    <xf numFmtId="166" fontId="14" fillId="12" borderId="2" xfId="1" applyNumberFormat="1" applyFont="1" applyFill="1" applyBorder="1"/>
    <xf numFmtId="0" fontId="16" fillId="3" borderId="7" xfId="0" applyFont="1" applyFill="1" applyBorder="1" applyAlignment="1">
      <alignment horizontal="center" vertical="center" wrapText="1"/>
    </xf>
    <xf numFmtId="166" fontId="13" fillId="4" borderId="26" xfId="1" applyNumberFormat="1" applyFont="1" applyFill="1" applyBorder="1"/>
    <xf numFmtId="0" fontId="0" fillId="0" borderId="0" xfId="0" applyNumberFormat="1"/>
    <xf numFmtId="165" fontId="5" fillId="0" borderId="0" xfId="1" applyNumberFormat="1" applyFill="1" applyBorder="1"/>
    <xf numFmtId="166" fontId="20" fillId="8" borderId="5" xfId="1" applyNumberFormat="1" applyFont="1" applyFill="1" applyBorder="1"/>
    <xf numFmtId="166" fontId="5" fillId="3" borderId="1" xfId="1" applyNumberFormat="1" applyFont="1" applyFill="1" applyBorder="1"/>
    <xf numFmtId="166" fontId="5" fillId="3" borderId="3" xfId="1" applyNumberFormat="1" applyFont="1" applyFill="1" applyBorder="1"/>
    <xf numFmtId="166" fontId="5" fillId="5" borderId="3" xfId="1" applyNumberFormat="1" applyFont="1" applyFill="1" applyBorder="1"/>
    <xf numFmtId="43" fontId="0" fillId="6" borderId="3" xfId="0" applyNumberFormat="1" applyFill="1" applyBorder="1"/>
    <xf numFmtId="43" fontId="0" fillId="6" borderId="17" xfId="0" applyNumberFormat="1" applyFill="1" applyBorder="1"/>
    <xf numFmtId="166" fontId="14" fillId="12" borderId="1" xfId="1" applyNumberFormat="1" applyFont="1" applyFill="1" applyBorder="1"/>
    <xf numFmtId="166" fontId="14" fillId="12" borderId="3" xfId="1" applyNumberFormat="1" applyFont="1" applyFill="1" applyBorder="1"/>
    <xf numFmtId="0" fontId="10" fillId="4" borderId="56" xfId="0" applyFont="1" applyFill="1" applyBorder="1" applyAlignment="1">
      <alignment horizontal="center" vertical="center" wrapText="1"/>
    </xf>
    <xf numFmtId="166" fontId="14" fillId="4" borderId="56" xfId="1" applyNumberFormat="1" applyFont="1" applyFill="1" applyBorder="1"/>
    <xf numFmtId="166" fontId="13" fillId="4" borderId="56" xfId="1" applyNumberFormat="1" applyFont="1" applyFill="1" applyBorder="1"/>
    <xf numFmtId="166" fontId="13" fillId="4" borderId="39" xfId="1" applyNumberFormat="1" applyFont="1" applyFill="1" applyBorder="1"/>
    <xf numFmtId="43" fontId="14" fillId="4" borderId="2" xfId="1" applyNumberFormat="1" applyFont="1" applyFill="1" applyBorder="1"/>
    <xf numFmtId="43" fontId="14" fillId="4" borderId="1" xfId="1" applyNumberFormat="1" applyFont="1" applyFill="1" applyBorder="1"/>
    <xf numFmtId="43" fontId="14" fillId="4" borderId="15" xfId="1" applyNumberFormat="1" applyFont="1" applyFill="1" applyBorder="1"/>
    <xf numFmtId="43" fontId="14" fillId="4" borderId="8" xfId="1" applyNumberFormat="1" applyFont="1" applyFill="1" applyBorder="1"/>
    <xf numFmtId="43" fontId="5" fillId="3" borderId="2" xfId="1" applyNumberFormat="1" applyFont="1" applyFill="1" applyBorder="1"/>
    <xf numFmtId="43" fontId="5" fillId="3" borderId="15" xfId="1" applyNumberFormat="1" applyFont="1" applyFill="1" applyBorder="1"/>
    <xf numFmtId="43" fontId="5" fillId="3" borderId="17" xfId="1" applyNumberFormat="1" applyFont="1" applyFill="1" applyBorder="1"/>
    <xf numFmtId="43" fontId="5" fillId="5" borderId="2" xfId="1" applyNumberFormat="1" applyFont="1" applyFill="1" applyBorder="1"/>
    <xf numFmtId="43" fontId="5" fillId="5" borderId="1" xfId="1" applyNumberFormat="1" applyFont="1" applyFill="1" applyBorder="1"/>
    <xf numFmtId="43" fontId="5" fillId="5" borderId="3" xfId="1" applyNumberFormat="1" applyFont="1" applyFill="1" applyBorder="1"/>
    <xf numFmtId="43" fontId="5" fillId="5" borderId="15" xfId="1" applyNumberFormat="1" applyFont="1" applyFill="1" applyBorder="1"/>
    <xf numFmtId="43" fontId="5" fillId="5" borderId="8" xfId="1" applyNumberFormat="1" applyFont="1" applyFill="1" applyBorder="1"/>
    <xf numFmtId="43" fontId="5" fillId="5" borderId="17" xfId="1" applyNumberFormat="1" applyFont="1" applyFill="1" applyBorder="1"/>
    <xf numFmtId="43" fontId="14" fillId="4" borderId="3" xfId="1" applyNumberFormat="1" applyFont="1" applyFill="1" applyBorder="1"/>
    <xf numFmtId="1" fontId="14" fillId="4" borderId="1" xfId="0" applyNumberFormat="1" applyFont="1" applyFill="1" applyBorder="1"/>
    <xf numFmtId="1" fontId="14" fillId="4" borderId="18" xfId="0" applyNumberFormat="1" applyFont="1" applyFill="1" applyBorder="1"/>
    <xf numFmtId="1" fontId="8" fillId="0" borderId="9" xfId="0" applyNumberFormat="1" applyFont="1" applyFill="1" applyBorder="1"/>
    <xf numFmtId="1" fontId="8" fillId="16" borderId="9" xfId="0" applyNumberFormat="1" applyFont="1" applyFill="1" applyBorder="1"/>
    <xf numFmtId="165" fontId="0" fillId="0" borderId="0" xfId="1" applyNumberFormat="1" applyFont="1"/>
    <xf numFmtId="0" fontId="0" fillId="0" borderId="0" xfId="0" applyAlignment="1">
      <alignment horizontal="center" wrapText="1"/>
    </xf>
    <xf numFmtId="0" fontId="0" fillId="0" borderId="0" xfId="0" applyFill="1" applyBorder="1" applyAlignment="1">
      <alignment horizontal="right"/>
    </xf>
    <xf numFmtId="0" fontId="0" fillId="21" borderId="0" xfId="0" applyFill="1"/>
    <xf numFmtId="0" fontId="51" fillId="21" borderId="9" xfId="0" applyFont="1" applyFill="1" applyBorder="1"/>
    <xf numFmtId="169" fontId="0" fillId="19" borderId="0" xfId="0" applyNumberFormat="1" applyFill="1"/>
    <xf numFmtId="166" fontId="0" fillId="19" borderId="0" xfId="1" applyNumberFormat="1" applyFont="1" applyFill="1"/>
    <xf numFmtId="166" fontId="47" fillId="0" borderId="0" xfId="1" applyNumberFormat="1" applyFont="1" applyFill="1"/>
    <xf numFmtId="0" fontId="51" fillId="0" borderId="0" xfId="0" applyFont="1" applyFill="1"/>
    <xf numFmtId="0" fontId="51" fillId="19" borderId="0" xfId="0" applyFont="1" applyFill="1"/>
    <xf numFmtId="0" fontId="39" fillId="0" borderId="0" xfId="0" applyFont="1" applyFill="1"/>
    <xf numFmtId="0" fontId="55" fillId="0" borderId="0" xfId="0" applyFont="1" applyFill="1"/>
    <xf numFmtId="0" fontId="55" fillId="0" borderId="9" xfId="0" applyFont="1" applyFill="1" applyBorder="1"/>
    <xf numFmtId="169" fontId="39" fillId="0" borderId="0" xfId="0" applyNumberFormat="1" applyFont="1" applyFill="1"/>
    <xf numFmtId="164" fontId="55" fillId="0" borderId="0" xfId="0" applyNumberFormat="1" applyFont="1" applyFill="1"/>
    <xf numFmtId="166" fontId="39" fillId="0" borderId="0" xfId="1" applyNumberFormat="1" applyFont="1" applyFill="1"/>
    <xf numFmtId="166" fontId="55" fillId="0" borderId="0" xfId="0" applyNumberFormat="1" applyFont="1" applyFill="1"/>
    <xf numFmtId="166" fontId="51" fillId="19" borderId="0" xfId="0" applyNumberFormat="1" applyFont="1" applyFill="1"/>
    <xf numFmtId="0" fontId="51" fillId="14" borderId="0" xfId="0" applyFont="1" applyFill="1"/>
    <xf numFmtId="0" fontId="0" fillId="14" borderId="0" xfId="0" applyFill="1"/>
    <xf numFmtId="0" fontId="62" fillId="0" borderId="0" xfId="0" applyFont="1"/>
    <xf numFmtId="0" fontId="8" fillId="0" borderId="55" xfId="0" applyFont="1" applyBorder="1" applyAlignment="1">
      <alignment horizontal="center"/>
    </xf>
    <xf numFmtId="166" fontId="14" fillId="4" borderId="58" xfId="1" applyNumberFormat="1" applyFont="1" applyFill="1" applyBorder="1"/>
    <xf numFmtId="166" fontId="13" fillId="4" borderId="71" xfId="1" applyNumberFormat="1" applyFont="1" applyFill="1" applyBorder="1"/>
    <xf numFmtId="166" fontId="14" fillId="4" borderId="68" xfId="1" applyNumberFormat="1" applyFont="1" applyFill="1" applyBorder="1"/>
    <xf numFmtId="166" fontId="14" fillId="4" borderId="71" xfId="1" applyNumberFormat="1" applyFont="1" applyFill="1" applyBorder="1"/>
    <xf numFmtId="43" fontId="5" fillId="4" borderId="67" xfId="1" applyNumberFormat="1" applyFont="1" applyFill="1" applyBorder="1"/>
    <xf numFmtId="43" fontId="5" fillId="4" borderId="68" xfId="1" applyNumberFormat="1" applyFont="1" applyFill="1" applyBorder="1"/>
    <xf numFmtId="166" fontId="5" fillId="3" borderId="58" xfId="1" applyNumberFormat="1" applyFont="1" applyFill="1" applyBorder="1"/>
    <xf numFmtId="166" fontId="5" fillId="3" borderId="68" xfId="1" applyNumberFormat="1" applyFont="1" applyFill="1" applyBorder="1"/>
    <xf numFmtId="166" fontId="5" fillId="3" borderId="71" xfId="1" applyNumberFormat="1" applyFont="1" applyFill="1" applyBorder="1"/>
    <xf numFmtId="166" fontId="5" fillId="5" borderId="58" xfId="1" applyNumberFormat="1" applyFont="1" applyFill="1" applyBorder="1"/>
    <xf numFmtId="166" fontId="5" fillId="5" borderId="68" xfId="1" applyNumberFormat="1" applyFont="1" applyFill="1" applyBorder="1"/>
    <xf numFmtId="166" fontId="5" fillId="5" borderId="71" xfId="1" applyNumberFormat="1" applyFont="1" applyFill="1" applyBorder="1"/>
    <xf numFmtId="166" fontId="5" fillId="6" borderId="58" xfId="1" applyNumberFormat="1" applyFill="1" applyBorder="1"/>
    <xf numFmtId="166" fontId="0" fillId="6" borderId="68" xfId="0" applyNumberFormat="1" applyFill="1" applyBorder="1"/>
    <xf numFmtId="43" fontId="0" fillId="6" borderId="68" xfId="0" applyNumberFormat="1" applyFill="1" applyBorder="1"/>
    <xf numFmtId="43" fontId="0" fillId="6" borderId="71" xfId="0" applyNumberFormat="1" applyFill="1" applyBorder="1"/>
    <xf numFmtId="2" fontId="8" fillId="0" borderId="31" xfId="0" applyNumberFormat="1" applyFont="1" applyBorder="1"/>
    <xf numFmtId="2" fontId="8" fillId="0" borderId="31" xfId="0" applyNumberFormat="1" applyFont="1" applyFill="1" applyBorder="1"/>
    <xf numFmtId="2" fontId="5" fillId="0" borderId="32" xfId="0" applyNumberFormat="1" applyFont="1" applyFill="1" applyBorder="1"/>
    <xf numFmtId="2" fontId="5" fillId="0" borderId="9" xfId="0" applyNumberFormat="1" applyFont="1" applyFill="1" applyBorder="1"/>
    <xf numFmtId="2" fontId="5" fillId="0" borderId="31" xfId="0" applyNumberFormat="1" applyFont="1" applyFill="1" applyBorder="1"/>
    <xf numFmtId="2" fontId="5" fillId="0" borderId="0" xfId="0" applyNumberFormat="1" applyFont="1" applyFill="1"/>
    <xf numFmtId="2" fontId="50" fillId="0" borderId="0" xfId="0" applyNumberFormat="1" applyFont="1" applyBorder="1"/>
    <xf numFmtId="2" fontId="8" fillId="0" borderId="46" xfId="0" applyNumberFormat="1" applyFont="1" applyBorder="1" applyAlignment="1">
      <alignment horizontal="center"/>
    </xf>
    <xf numFmtId="0" fontId="10" fillId="0" borderId="46" xfId="0" applyFont="1" applyBorder="1" applyAlignment="1">
      <alignment horizontal="center"/>
    </xf>
    <xf numFmtId="0" fontId="7" fillId="0" borderId="0" xfId="0" applyFont="1" applyBorder="1"/>
    <xf numFmtId="166" fontId="14" fillId="4" borderId="18" xfId="0" applyNumberFormat="1" applyFont="1" applyFill="1" applyBorder="1"/>
    <xf numFmtId="43" fontId="13" fillId="9" borderId="22" xfId="1" applyNumberFormat="1" applyFont="1" applyFill="1" applyBorder="1"/>
    <xf numFmtId="43" fontId="13" fillId="9" borderId="1" xfId="1" applyNumberFormat="1" applyFont="1" applyFill="1" applyBorder="1"/>
    <xf numFmtId="43" fontId="50" fillId="9" borderId="22" xfId="1" applyNumberFormat="1" applyFont="1" applyFill="1" applyBorder="1"/>
    <xf numFmtId="43" fontId="14" fillId="4" borderId="1" xfId="0" applyNumberFormat="1" applyFont="1" applyFill="1" applyBorder="1"/>
    <xf numFmtId="0" fontId="9" fillId="0" borderId="47" xfId="0" applyFont="1" applyBorder="1" applyAlignment="1">
      <alignment horizontal="center"/>
    </xf>
    <xf numFmtId="2" fontId="8" fillId="0" borderId="37" xfId="0" applyNumberFormat="1" applyFont="1" applyBorder="1"/>
    <xf numFmtId="2" fontId="8" fillId="0" borderId="32" xfId="0" applyNumberFormat="1" applyFont="1" applyBorder="1"/>
    <xf numFmtId="2" fontId="8" fillId="0" borderId="32" xfId="0" applyNumberFormat="1" applyFont="1" applyFill="1" applyBorder="1"/>
    <xf numFmtId="0" fontId="7" fillId="0" borderId="30" xfId="0" applyFont="1" applyBorder="1" applyAlignment="1">
      <alignment horizontal="right"/>
    </xf>
    <xf numFmtId="2" fontId="49" fillId="0" borderId="0" xfId="0" applyNumberFormat="1" applyFont="1" applyBorder="1"/>
    <xf numFmtId="2" fontId="0" fillId="0" borderId="48" xfId="0" applyNumberFormat="1" applyBorder="1"/>
    <xf numFmtId="2" fontId="0" fillId="0" borderId="20" xfId="0" applyNumberFormat="1" applyBorder="1"/>
    <xf numFmtId="2" fontId="0" fillId="0" borderId="24" xfId="0" applyNumberFormat="1" applyBorder="1"/>
    <xf numFmtId="2" fontId="0" fillId="0" borderId="24" xfId="0" applyNumberFormat="1" applyFill="1" applyBorder="1"/>
    <xf numFmtId="2" fontId="5" fillId="0" borderId="24" xfId="0" applyNumberFormat="1" applyFont="1" applyFill="1" applyBorder="1"/>
    <xf numFmtId="2" fontId="8" fillId="0" borderId="9" xfId="0" applyNumberFormat="1" applyFont="1" applyBorder="1" applyAlignment="1">
      <alignment horizontal="center"/>
    </xf>
    <xf numFmtId="2" fontId="8" fillId="0" borderId="9" xfId="0" applyNumberFormat="1" applyFont="1" applyFill="1" applyBorder="1" applyAlignment="1">
      <alignment horizontal="center"/>
    </xf>
    <xf numFmtId="2" fontId="8" fillId="0" borderId="80" xfId="0" applyNumberFormat="1" applyFont="1" applyBorder="1"/>
    <xf numFmtId="0" fontId="10" fillId="0" borderId="41" xfId="0" applyFont="1" applyBorder="1" applyAlignment="1">
      <alignment horizontal="center"/>
    </xf>
    <xf numFmtId="0" fontId="10" fillId="0" borderId="77" xfId="0" applyFont="1" applyBorder="1" applyAlignment="1">
      <alignment horizontal="center"/>
    </xf>
    <xf numFmtId="0" fontId="10" fillId="0" borderId="77" xfId="0" applyFont="1" applyFill="1" applyBorder="1" applyAlignment="1">
      <alignment horizontal="center"/>
    </xf>
    <xf numFmtId="0" fontId="0" fillId="22" borderId="0" xfId="0" applyFill="1"/>
    <xf numFmtId="0" fontId="8" fillId="22" borderId="0" xfId="0" applyFont="1" applyFill="1"/>
    <xf numFmtId="0" fontId="8" fillId="22" borderId="1" xfId="0" applyFont="1" applyFill="1" applyBorder="1"/>
    <xf numFmtId="174" fontId="8" fillId="22" borderId="1" xfId="2" applyNumberFormat="1" applyFont="1" applyFill="1" applyBorder="1"/>
    <xf numFmtId="174" fontId="14" fillId="3" borderId="69" xfId="2" applyNumberFormat="1" applyFont="1" applyFill="1" applyBorder="1"/>
    <xf numFmtId="174" fontId="14" fillId="5" borderId="17" xfId="2" applyNumberFormat="1" applyFont="1" applyFill="1" applyBorder="1"/>
    <xf numFmtId="174" fontId="14" fillId="6" borderId="17" xfId="2" applyNumberFormat="1" applyFont="1" applyFill="1" applyBorder="1"/>
    <xf numFmtId="174" fontId="14" fillId="3" borderId="6" xfId="2" applyNumberFormat="1" applyFont="1" applyFill="1" applyBorder="1"/>
    <xf numFmtId="0" fontId="9" fillId="22" borderId="0" xfId="0" applyFont="1" applyFill="1"/>
    <xf numFmtId="0" fontId="59" fillId="16" borderId="0" xfId="0" applyFont="1" applyFill="1"/>
    <xf numFmtId="0" fontId="0" fillId="16" borderId="0" xfId="0" applyFill="1"/>
    <xf numFmtId="0" fontId="5" fillId="0" borderId="0" xfId="0" quotePrefix="1" applyFont="1"/>
    <xf numFmtId="0" fontId="8" fillId="0" borderId="65" xfId="0" applyFont="1" applyBorder="1" applyAlignment="1">
      <alignment horizontal="center"/>
    </xf>
    <xf numFmtId="0" fontId="8" fillId="0" borderId="81" xfId="0" applyFont="1" applyBorder="1" applyAlignment="1">
      <alignment horizontal="center"/>
    </xf>
    <xf numFmtId="166" fontId="14" fillId="8" borderId="44" xfId="1" applyNumberFormat="1" applyFont="1" applyFill="1" applyBorder="1"/>
    <xf numFmtId="2" fontId="51" fillId="3" borderId="18" xfId="0" applyNumberFormat="1" applyFont="1" applyFill="1" applyBorder="1"/>
    <xf numFmtId="2" fontId="51" fillId="3" borderId="41" xfId="0" applyNumberFormat="1" applyFont="1" applyFill="1" applyBorder="1"/>
    <xf numFmtId="2" fontId="14" fillId="16" borderId="1" xfId="0" applyNumberFormat="1" applyFont="1" applyFill="1" applyBorder="1"/>
    <xf numFmtId="2" fontId="14" fillId="16" borderId="7" xfId="0" applyNumberFormat="1" applyFont="1" applyFill="1" applyBorder="1"/>
    <xf numFmtId="0" fontId="9" fillId="16" borderId="0" xfId="0" applyFont="1" applyFill="1"/>
    <xf numFmtId="2" fontId="14" fillId="16" borderId="19" xfId="0" applyNumberFormat="1" applyFont="1" applyFill="1" applyBorder="1"/>
    <xf numFmtId="2" fontId="36" fillId="16" borderId="19" xfId="0" applyNumberFormat="1" applyFont="1" applyFill="1" applyBorder="1"/>
    <xf numFmtId="2" fontId="36" fillId="16" borderId="1" xfId="0" applyNumberFormat="1" applyFont="1" applyFill="1" applyBorder="1"/>
    <xf numFmtId="1" fontId="14" fillId="16" borderId="7" xfId="0" applyNumberFormat="1" applyFont="1" applyFill="1" applyBorder="1"/>
    <xf numFmtId="2" fontId="14" fillId="16" borderId="2" xfId="0" applyNumberFormat="1" applyFont="1" applyFill="1" applyBorder="1"/>
    <xf numFmtId="1" fontId="14" fillId="16" borderId="19" xfId="0" applyNumberFormat="1" applyFont="1" applyFill="1" applyBorder="1"/>
    <xf numFmtId="2" fontId="14" fillId="16" borderId="44" xfId="0" applyNumberFormat="1" applyFont="1" applyFill="1" applyBorder="1"/>
    <xf numFmtId="0" fontId="9" fillId="0" borderId="10" xfId="0" applyFont="1" applyBorder="1" applyAlignment="1">
      <alignment horizontal="center"/>
    </xf>
    <xf numFmtId="0" fontId="8" fillId="16" borderId="0" xfId="0" applyFont="1" applyFill="1"/>
    <xf numFmtId="0" fontId="5" fillId="16" borderId="0" xfId="0" applyFont="1" applyFill="1"/>
    <xf numFmtId="1" fontId="8" fillId="16" borderId="32" xfId="0" applyNumberFormat="1" applyFont="1" applyFill="1" applyBorder="1"/>
    <xf numFmtId="2" fontId="0" fillId="16" borderId="32" xfId="0" applyNumberFormat="1" applyFill="1" applyBorder="1"/>
    <xf numFmtId="2" fontId="8" fillId="16" borderId="0" xfId="0" applyNumberFormat="1" applyFont="1" applyFill="1"/>
    <xf numFmtId="1" fontId="8" fillId="16" borderId="0" xfId="0" applyNumberFormat="1" applyFont="1" applyFill="1" applyAlignment="1">
      <alignment horizontal="center"/>
    </xf>
    <xf numFmtId="169" fontId="8" fillId="0" borderId="9" xfId="0" applyNumberFormat="1" applyFont="1" applyBorder="1"/>
    <xf numFmtId="169" fontId="8" fillId="0" borderId="9" xfId="0" applyNumberFormat="1" applyFont="1" applyFill="1" applyBorder="1"/>
    <xf numFmtId="0" fontId="64" fillId="0" borderId="0" xfId="0" applyFont="1" applyAlignment="1">
      <alignment vertical="center"/>
    </xf>
    <xf numFmtId="166" fontId="5" fillId="16" borderId="1" xfId="1" applyNumberFormat="1" applyFont="1" applyFill="1" applyBorder="1"/>
    <xf numFmtId="43" fontId="5" fillId="16" borderId="2" xfId="1" applyNumberFormat="1" applyFont="1" applyFill="1" applyBorder="1"/>
    <xf numFmtId="43" fontId="5" fillId="16" borderId="1" xfId="1" applyNumberFormat="1" applyFont="1" applyFill="1" applyBorder="1"/>
    <xf numFmtId="166" fontId="5" fillId="16" borderId="3" xfId="1" applyNumberFormat="1" applyFont="1" applyFill="1" applyBorder="1"/>
    <xf numFmtId="166" fontId="42" fillId="16" borderId="1" xfId="1" applyNumberFormat="1" applyFont="1" applyFill="1" applyBorder="1"/>
    <xf numFmtId="170" fontId="23" fillId="4" borderId="8" xfId="1" applyNumberFormat="1" applyFont="1" applyFill="1" applyBorder="1"/>
    <xf numFmtId="166" fontId="5" fillId="16" borderId="22" xfId="1" applyNumberFormat="1" applyFont="1" applyFill="1" applyBorder="1"/>
    <xf numFmtId="43" fontId="5" fillId="16" borderId="7" xfId="1" applyNumberFormat="1" applyFont="1" applyFill="1" applyBorder="1"/>
    <xf numFmtId="166" fontId="5" fillId="16" borderId="2" xfId="1" applyNumberFormat="1" applyFont="1" applyFill="1" applyBorder="1"/>
    <xf numFmtId="166" fontId="50" fillId="9" borderId="2" xfId="1" applyNumberFormat="1" applyFont="1" applyFill="1" applyBorder="1"/>
    <xf numFmtId="166" fontId="66" fillId="9" borderId="2" xfId="1" applyNumberFormat="1" applyFont="1" applyFill="1" applyBorder="1"/>
    <xf numFmtId="166" fontId="66" fillId="9" borderId="29" xfId="1" applyNumberFormat="1" applyFont="1" applyFill="1" applyBorder="1"/>
    <xf numFmtId="170" fontId="13" fillId="16" borderId="29" xfId="1" applyNumberFormat="1" applyFont="1" applyFill="1" applyBorder="1"/>
    <xf numFmtId="170" fontId="13" fillId="16" borderId="22" xfId="1" applyNumberFormat="1" applyFont="1" applyFill="1" applyBorder="1"/>
    <xf numFmtId="170" fontId="13" fillId="16" borderId="28" xfId="1" applyNumberFormat="1" applyFont="1" applyFill="1" applyBorder="1"/>
    <xf numFmtId="166" fontId="50" fillId="4" borderId="29" xfId="1" applyNumberFormat="1" applyFont="1" applyFill="1" applyBorder="1"/>
    <xf numFmtId="166" fontId="50" fillId="9" borderId="1" xfId="1" applyNumberFormat="1" applyFont="1" applyFill="1" applyBorder="1"/>
    <xf numFmtId="0" fontId="0" fillId="0" borderId="0" xfId="0" applyFill="1" applyBorder="1"/>
    <xf numFmtId="166" fontId="50" fillId="9" borderId="22" xfId="1" applyNumberFormat="1" applyFont="1" applyFill="1" applyBorder="1"/>
    <xf numFmtId="166" fontId="14" fillId="4" borderId="3" xfId="1" applyNumberFormat="1" applyFont="1" applyFill="1" applyBorder="1"/>
    <xf numFmtId="43" fontId="14" fillId="4" borderId="2" xfId="1" applyNumberFormat="1" applyFont="1" applyFill="1" applyBorder="1"/>
    <xf numFmtId="43" fontId="14" fillId="4" borderId="1" xfId="1" applyNumberFormat="1" applyFont="1" applyFill="1" applyBorder="1"/>
    <xf numFmtId="169" fontId="20" fillId="0" borderId="71" xfId="0" applyNumberFormat="1" applyFont="1" applyFill="1" applyBorder="1" applyAlignment="1">
      <alignment horizontal="right"/>
    </xf>
    <xf numFmtId="0" fontId="39" fillId="0" borderId="0" xfId="0" applyFont="1" applyFill="1" applyBorder="1"/>
    <xf numFmtId="164" fontId="8" fillId="0" borderId="9" xfId="0" applyNumberFormat="1" applyFont="1" applyBorder="1"/>
    <xf numFmtId="164" fontId="8" fillId="0" borderId="9" xfId="0" applyNumberFormat="1" applyFont="1" applyFill="1" applyBorder="1"/>
    <xf numFmtId="0" fontId="0" fillId="0" borderId="70" xfId="0" applyFill="1" applyBorder="1" applyAlignment="1">
      <alignment horizontal="center"/>
    </xf>
    <xf numFmtId="177" fontId="20" fillId="0" borderId="24" xfId="0" applyNumberFormat="1" applyFont="1" applyFill="1" applyBorder="1" applyAlignment="1">
      <alignment horizontal="center"/>
    </xf>
    <xf numFmtId="177" fontId="20" fillId="0" borderId="0" xfId="0" applyNumberFormat="1" applyFont="1" applyFill="1" applyBorder="1" applyAlignment="1">
      <alignment horizontal="center"/>
    </xf>
    <xf numFmtId="177" fontId="20" fillId="0" borderId="25" xfId="0" applyNumberFormat="1" applyFont="1" applyFill="1" applyBorder="1" applyAlignment="1">
      <alignment horizontal="center"/>
    </xf>
    <xf numFmtId="177" fontId="20" fillId="0" borderId="24" xfId="0" applyNumberFormat="1" applyFont="1" applyFill="1" applyBorder="1"/>
    <xf numFmtId="177" fontId="0" fillId="0" borderId="0" xfId="0" applyNumberFormat="1" applyBorder="1"/>
    <xf numFmtId="177" fontId="0" fillId="0" borderId="0" xfId="0" applyNumberFormat="1" applyBorder="1" applyAlignment="1">
      <alignment horizontal="center"/>
    </xf>
    <xf numFmtId="174" fontId="0" fillId="0" borderId="0" xfId="2" applyNumberFormat="1" applyFont="1" applyBorder="1" applyAlignment="1">
      <alignment horizontal="center"/>
    </xf>
    <xf numFmtId="174" fontId="0" fillId="0" borderId="24" xfId="2" applyNumberFormat="1" applyFont="1" applyBorder="1" applyAlignment="1">
      <alignment horizontal="center"/>
    </xf>
    <xf numFmtId="168" fontId="0" fillId="0" borderId="0" xfId="0" applyNumberFormat="1"/>
    <xf numFmtId="43" fontId="5" fillId="4" borderId="58" xfId="1" applyNumberFormat="1" applyFont="1" applyFill="1" applyBorder="1"/>
    <xf numFmtId="43" fontId="5" fillId="4" borderId="71" xfId="1" applyNumberFormat="1" applyFont="1" applyFill="1" applyBorder="1"/>
    <xf numFmtId="43" fontId="5" fillId="3" borderId="68" xfId="1" applyNumberFormat="1" applyFont="1" applyFill="1" applyBorder="1"/>
    <xf numFmtId="43" fontId="5" fillId="3" borderId="71" xfId="1" applyNumberFormat="1" applyFont="1" applyFill="1" applyBorder="1"/>
    <xf numFmtId="43" fontId="5" fillId="5" borderId="68" xfId="1" applyNumberFormat="1" applyFont="1" applyFill="1" applyBorder="1"/>
    <xf numFmtId="43" fontId="5" fillId="5" borderId="71" xfId="1" applyNumberFormat="1" applyFont="1" applyFill="1" applyBorder="1"/>
    <xf numFmtId="43" fontId="5" fillId="3" borderId="3" xfId="1" applyNumberFormat="1" applyFont="1" applyFill="1" applyBorder="1"/>
    <xf numFmtId="0" fontId="0" fillId="0" borderId="26" xfId="0" applyFill="1" applyBorder="1"/>
    <xf numFmtId="0" fontId="0" fillId="0" borderId="26" xfId="0" applyBorder="1"/>
    <xf numFmtId="43" fontId="14" fillId="4" borderId="29" xfId="1" applyNumberFormat="1" applyFont="1" applyFill="1" applyBorder="1"/>
    <xf numFmtId="43" fontId="14" fillId="4" borderId="22" xfId="1" applyNumberFormat="1" applyFont="1" applyFill="1" applyBorder="1"/>
    <xf numFmtId="166" fontId="14" fillId="4" borderId="28" xfId="1" applyNumberFormat="1" applyFont="1" applyFill="1" applyBorder="1"/>
    <xf numFmtId="43" fontId="14" fillId="4" borderId="58" xfId="1" applyNumberFormat="1" applyFont="1" applyFill="1" applyBorder="1"/>
    <xf numFmtId="43" fontId="14" fillId="4" borderId="68" xfId="1" applyNumberFormat="1" applyFont="1" applyFill="1" applyBorder="1"/>
    <xf numFmtId="166" fontId="7" fillId="0" borderId="0" xfId="1" applyNumberFormat="1" applyFont="1"/>
    <xf numFmtId="0" fontId="51" fillId="0" borderId="37" xfId="0" applyFont="1" applyBorder="1"/>
    <xf numFmtId="0" fontId="52" fillId="0" borderId="32" xfId="0" applyFont="1" applyBorder="1" applyAlignment="1">
      <alignment horizontal="center"/>
    </xf>
    <xf numFmtId="0" fontId="52" fillId="0" borderId="0" xfId="0" applyFont="1" applyBorder="1" applyAlignment="1">
      <alignment horizontal="center"/>
    </xf>
    <xf numFmtId="0" fontId="13" fillId="0" borderId="32" xfId="0" applyFont="1" applyFill="1" applyBorder="1"/>
    <xf numFmtId="0" fontId="51" fillId="14" borderId="32" xfId="0" applyFont="1" applyFill="1" applyBorder="1"/>
    <xf numFmtId="0" fontId="51" fillId="14" borderId="0" xfId="0" applyFont="1" applyFill="1" applyBorder="1"/>
    <xf numFmtId="0" fontId="13" fillId="0" borderId="32" xfId="0" applyFont="1" applyBorder="1"/>
    <xf numFmtId="0" fontId="13" fillId="0" borderId="33" xfId="0" applyFont="1" applyBorder="1"/>
    <xf numFmtId="0" fontId="51" fillId="16" borderId="30" xfId="0" applyFont="1" applyFill="1" applyBorder="1"/>
    <xf numFmtId="0" fontId="0" fillId="0" borderId="30" xfId="0" applyFill="1" applyBorder="1"/>
    <xf numFmtId="0" fontId="51" fillId="16" borderId="38" xfId="0" applyFont="1" applyFill="1" applyBorder="1"/>
    <xf numFmtId="0" fontId="51" fillId="0" borderId="32" xfId="0" applyFont="1" applyFill="1" applyBorder="1" applyAlignment="1">
      <alignment horizontal="center"/>
    </xf>
    <xf numFmtId="0" fontId="51" fillId="16" borderId="0" xfId="0" applyFont="1" applyFill="1" applyBorder="1"/>
    <xf numFmtId="0" fontId="51" fillId="16" borderId="31" xfId="0" applyFont="1" applyFill="1" applyBorder="1"/>
    <xf numFmtId="169" fontId="0" fillId="0" borderId="32" xfId="0" applyNumberFormat="1" applyFill="1" applyBorder="1"/>
    <xf numFmtId="164" fontId="51" fillId="0" borderId="0" xfId="0" applyNumberFormat="1" applyFont="1" applyFill="1" applyBorder="1"/>
    <xf numFmtId="169" fontId="51" fillId="0" borderId="31" xfId="0" applyNumberFormat="1" applyFont="1" applyFill="1" applyBorder="1"/>
    <xf numFmtId="166" fontId="7" fillId="0" borderId="0" xfId="1" applyNumberFormat="1" applyFont="1" applyFill="1" applyBorder="1"/>
    <xf numFmtId="169" fontId="0" fillId="19" borderId="32" xfId="0" applyNumberFormat="1" applyFill="1" applyBorder="1"/>
    <xf numFmtId="164" fontId="51" fillId="19" borderId="0" xfId="0" applyNumberFormat="1" applyFont="1" applyFill="1" applyBorder="1"/>
    <xf numFmtId="169" fontId="0" fillId="19" borderId="0" xfId="0" applyNumberFormat="1" applyFill="1" applyBorder="1"/>
    <xf numFmtId="166" fontId="7" fillId="19" borderId="0" xfId="1" applyNumberFormat="1" applyFont="1" applyFill="1" applyBorder="1"/>
    <xf numFmtId="169" fontId="51" fillId="19" borderId="31" xfId="0" applyNumberFormat="1" applyFont="1" applyFill="1" applyBorder="1"/>
    <xf numFmtId="169" fontId="0" fillId="0" borderId="32" xfId="0" applyNumberFormat="1" applyBorder="1"/>
    <xf numFmtId="164" fontId="51" fillId="16" borderId="0" xfId="0" applyNumberFormat="1" applyFont="1" applyFill="1" applyBorder="1"/>
    <xf numFmtId="166" fontId="7" fillId="0" borderId="0" xfId="1" applyNumberFormat="1" applyFont="1" applyBorder="1"/>
    <xf numFmtId="169" fontId="51" fillId="16" borderId="31" xfId="0" applyNumberFormat="1" applyFont="1" applyFill="1" applyBorder="1"/>
    <xf numFmtId="169" fontId="0" fillId="0" borderId="33" xfId="0" applyNumberFormat="1" applyBorder="1"/>
    <xf numFmtId="164" fontId="51" fillId="16" borderId="54" xfId="0" applyNumberFormat="1" applyFont="1" applyFill="1" applyBorder="1"/>
    <xf numFmtId="169" fontId="0" fillId="0" borderId="54" xfId="0" applyNumberFormat="1" applyBorder="1"/>
    <xf numFmtId="166" fontId="7" fillId="0" borderId="54" xfId="1" applyNumberFormat="1" applyFont="1" applyBorder="1"/>
    <xf numFmtId="169" fontId="51" fillId="16" borderId="34" xfId="0" applyNumberFormat="1" applyFont="1" applyFill="1" applyBorder="1"/>
    <xf numFmtId="0" fontId="51" fillId="21" borderId="4" xfId="0" applyFont="1" applyFill="1" applyBorder="1"/>
    <xf numFmtId="0" fontId="13" fillId="21" borderId="32" xfId="0" applyFont="1" applyFill="1" applyBorder="1"/>
    <xf numFmtId="0" fontId="0" fillId="21" borderId="0" xfId="0" applyFill="1" applyBorder="1"/>
    <xf numFmtId="169" fontId="0" fillId="21" borderId="32" xfId="0" applyNumberFormat="1" applyFill="1" applyBorder="1"/>
    <xf numFmtId="164" fontId="51" fillId="21" borderId="0" xfId="0" applyNumberFormat="1" applyFont="1" applyFill="1" applyBorder="1"/>
    <xf numFmtId="169" fontId="0" fillId="21" borderId="0" xfId="0" applyNumberFormat="1" applyFill="1" applyBorder="1"/>
    <xf numFmtId="166" fontId="0" fillId="21" borderId="0" xfId="1" applyNumberFormat="1" applyFont="1" applyFill="1" applyBorder="1"/>
    <xf numFmtId="169" fontId="51" fillId="21" borderId="31" xfId="0" applyNumberFormat="1" applyFont="1" applyFill="1" applyBorder="1"/>
    <xf numFmtId="166" fontId="47" fillId="21" borderId="0" xfId="1" applyNumberFormat="1" applyFont="1" applyFill="1" applyBorder="1"/>
    <xf numFmtId="166" fontId="0" fillId="0" borderId="54" xfId="1" applyNumberFormat="1" applyFont="1" applyBorder="1"/>
    <xf numFmtId="43" fontId="5" fillId="3" borderId="58" xfId="1" applyNumberFormat="1" applyFont="1" applyFill="1" applyBorder="1"/>
    <xf numFmtId="43" fontId="5" fillId="5" borderId="58" xfId="1" applyNumberFormat="1" applyFont="1" applyFill="1" applyBorder="1"/>
    <xf numFmtId="166" fontId="14" fillId="4" borderId="29" xfId="1" applyNumberFormat="1" applyFont="1" applyFill="1" applyBorder="1"/>
    <xf numFmtId="166" fontId="13" fillId="4" borderId="28" xfId="1" applyNumberFormat="1" applyFont="1" applyFill="1" applyBorder="1"/>
    <xf numFmtId="166" fontId="14" fillId="4" borderId="22" xfId="1" applyNumberFormat="1" applyFont="1" applyFill="1" applyBorder="1"/>
    <xf numFmtId="43" fontId="5" fillId="4" borderId="27" xfId="1" applyNumberFormat="1" applyFont="1" applyFill="1" applyBorder="1"/>
    <xf numFmtId="43" fontId="5" fillId="4" borderId="22" xfId="1" applyNumberFormat="1" applyFont="1" applyFill="1" applyBorder="1"/>
    <xf numFmtId="166" fontId="5" fillId="3" borderId="22" xfId="1" applyNumberFormat="1" applyFont="1" applyFill="1" applyBorder="1"/>
    <xf numFmtId="166" fontId="5" fillId="3" borderId="28" xfId="1" applyNumberFormat="1" applyFont="1" applyFill="1" applyBorder="1"/>
    <xf numFmtId="166" fontId="5" fillId="5" borderId="22" xfId="1" applyNumberFormat="1" applyFont="1" applyFill="1" applyBorder="1"/>
    <xf numFmtId="166" fontId="5" fillId="5" borderId="28" xfId="1" applyNumberFormat="1" applyFont="1" applyFill="1" applyBorder="1"/>
    <xf numFmtId="166" fontId="5" fillId="6" borderId="29" xfId="1" applyNumberFormat="1" applyFill="1" applyBorder="1"/>
    <xf numFmtId="43" fontId="0" fillId="6" borderId="28" xfId="0" applyNumberFormat="1" applyFill="1" applyBorder="1"/>
    <xf numFmtId="166" fontId="13" fillId="4" borderId="82" xfId="1" applyNumberFormat="1" applyFont="1" applyFill="1" applyBorder="1"/>
    <xf numFmtId="166" fontId="13" fillId="4" borderId="54" xfId="1" applyNumberFormat="1" applyFont="1" applyFill="1" applyBorder="1"/>
    <xf numFmtId="166" fontId="13" fillId="4" borderId="68" xfId="1" applyNumberFormat="1" applyFont="1" applyFill="1" applyBorder="1"/>
    <xf numFmtId="2" fontId="5" fillId="3" borderId="68" xfId="0" applyNumberFormat="1" applyFont="1" applyFill="1" applyBorder="1"/>
    <xf numFmtId="2" fontId="5" fillId="3" borderId="71" xfId="0" applyNumberFormat="1" applyFont="1" applyFill="1" applyBorder="1"/>
    <xf numFmtId="2" fontId="5" fillId="5" borderId="68" xfId="0" applyNumberFormat="1" applyFont="1" applyFill="1" applyBorder="1"/>
    <xf numFmtId="2" fontId="5" fillId="5" borderId="71" xfId="0" applyNumberFormat="1" applyFont="1" applyFill="1" applyBorder="1"/>
    <xf numFmtId="2" fontId="5" fillId="6" borderId="71" xfId="0" applyNumberFormat="1" applyFont="1" applyFill="1" applyBorder="1"/>
    <xf numFmtId="166" fontId="20" fillId="8" borderId="55" xfId="1" applyNumberFormat="1" applyFont="1" applyFill="1" applyBorder="1"/>
    <xf numFmtId="170" fontId="14" fillId="4" borderId="58" xfId="1" applyNumberFormat="1" applyFont="1" applyFill="1" applyBorder="1"/>
    <xf numFmtId="170" fontId="14" fillId="4" borderId="68" xfId="1" applyNumberFormat="1" applyFont="1" applyFill="1" applyBorder="1"/>
    <xf numFmtId="170" fontId="14" fillId="4" borderId="71" xfId="1" applyNumberFormat="1" applyFont="1" applyFill="1" applyBorder="1"/>
    <xf numFmtId="2" fontId="13" fillId="3" borderId="68" xfId="0" applyNumberFormat="1" applyFont="1" applyFill="1" applyBorder="1"/>
    <xf numFmtId="2" fontId="14" fillId="3" borderId="68" xfId="0" applyNumberFormat="1" applyFont="1" applyFill="1" applyBorder="1"/>
    <xf numFmtId="2" fontId="14" fillId="5" borderId="68" xfId="0" applyNumberFormat="1" applyFont="1" applyFill="1" applyBorder="1"/>
    <xf numFmtId="1" fontId="14" fillId="5" borderId="68" xfId="0" applyNumberFormat="1" applyFont="1" applyFill="1" applyBorder="1"/>
    <xf numFmtId="166" fontId="29" fillId="6" borderId="68" xfId="1" applyNumberFormat="1" applyFont="1" applyFill="1" applyBorder="1"/>
    <xf numFmtId="166" fontId="0" fillId="0" borderId="26" xfId="1" applyNumberFormat="1" applyFont="1" applyBorder="1"/>
    <xf numFmtId="166" fontId="14" fillId="8" borderId="55" xfId="1" applyNumberFormat="1" applyFont="1" applyFill="1" applyBorder="1"/>
    <xf numFmtId="170" fontId="20" fillId="4" borderId="68" xfId="1" applyNumberFormat="1" applyFont="1" applyFill="1" applyBorder="1"/>
    <xf numFmtId="166" fontId="20" fillId="4" borderId="71" xfId="1" applyNumberFormat="1" applyFont="1" applyFill="1" applyBorder="1"/>
    <xf numFmtId="171" fontId="5" fillId="4" borderId="58" xfId="1" applyNumberFormat="1" applyFont="1" applyFill="1" applyBorder="1"/>
    <xf numFmtId="1" fontId="14" fillId="3" borderId="68" xfId="0" applyNumberFormat="1" applyFont="1" applyFill="1" applyBorder="1"/>
    <xf numFmtId="166" fontId="23" fillId="5" borderId="68" xfId="1" applyNumberFormat="1" applyFont="1" applyFill="1" applyBorder="1"/>
    <xf numFmtId="2" fontId="22" fillId="5" borderId="68" xfId="0" applyNumberFormat="1" applyFont="1" applyFill="1" applyBorder="1"/>
    <xf numFmtId="2" fontId="14" fillId="5" borderId="71" xfId="0" applyNumberFormat="1" applyFont="1" applyFill="1" applyBorder="1"/>
    <xf numFmtId="2" fontId="14" fillId="5" borderId="58" xfId="0" applyNumberFormat="1" applyFont="1" applyFill="1" applyBorder="1"/>
    <xf numFmtId="166" fontId="0" fillId="6" borderId="68" xfId="1" applyNumberFormat="1" applyFont="1" applyFill="1" applyBorder="1"/>
    <xf numFmtId="1" fontId="50" fillId="4" borderId="68" xfId="1" applyNumberFormat="1" applyFont="1" applyFill="1" applyBorder="1"/>
    <xf numFmtId="170" fontId="14" fillId="4" borderId="82" xfId="1" applyNumberFormat="1" applyFont="1" applyFill="1" applyBorder="1"/>
    <xf numFmtId="166" fontId="0" fillId="6" borderId="67" xfId="0" applyNumberFormat="1" applyFill="1" applyBorder="1"/>
    <xf numFmtId="166" fontId="14" fillId="8" borderId="58" xfId="1" applyNumberFormat="1" applyFont="1" applyFill="1" applyBorder="1"/>
    <xf numFmtId="1" fontId="14" fillId="4" borderId="67" xfId="0" applyNumberFormat="1" applyFont="1" applyFill="1" applyBorder="1"/>
    <xf numFmtId="43" fontId="14" fillId="4" borderId="68" xfId="0" applyNumberFormat="1" applyFont="1" applyFill="1" applyBorder="1"/>
    <xf numFmtId="2" fontId="13" fillId="4" borderId="68" xfId="0" applyNumberFormat="1" applyFont="1" applyFill="1" applyBorder="1"/>
    <xf numFmtId="2" fontId="13" fillId="4" borderId="71" xfId="0" applyNumberFormat="1" applyFont="1" applyFill="1" applyBorder="1"/>
    <xf numFmtId="1" fontId="14" fillId="5" borderId="58" xfId="0" applyNumberFormat="1" applyFont="1" applyFill="1" applyBorder="1"/>
    <xf numFmtId="1" fontId="5" fillId="6" borderId="68" xfId="0" applyNumberFormat="1" applyFont="1" applyFill="1" applyBorder="1"/>
    <xf numFmtId="164" fontId="5" fillId="6" borderId="68" xfId="0" applyNumberFormat="1" applyFont="1" applyFill="1" applyBorder="1"/>
    <xf numFmtId="1" fontId="14" fillId="5" borderId="2" xfId="0" applyNumberFormat="1" applyFont="1" applyFill="1" applyBorder="1"/>
    <xf numFmtId="43" fontId="8" fillId="0" borderId="26" xfId="1" applyFont="1" applyFill="1" applyBorder="1" applyAlignment="1">
      <alignment horizontal="center" vertical="center" wrapText="1"/>
    </xf>
    <xf numFmtId="9" fontId="0" fillId="0" borderId="26" xfId="2" applyFont="1" applyBorder="1"/>
    <xf numFmtId="9" fontId="0" fillId="0" borderId="26" xfId="2" applyFont="1" applyFill="1" applyBorder="1"/>
    <xf numFmtId="2" fontId="14" fillId="4" borderId="68" xfId="0" applyNumberFormat="1" applyFont="1" applyFill="1" applyBorder="1"/>
    <xf numFmtId="1" fontId="14" fillId="4" borderId="68" xfId="0" applyNumberFormat="1" applyFont="1" applyFill="1" applyBorder="1"/>
    <xf numFmtId="2" fontId="13" fillId="4" borderId="67" xfId="1" applyNumberFormat="1" applyFont="1" applyFill="1" applyBorder="1"/>
    <xf numFmtId="2" fontId="13" fillId="4" borderId="68" xfId="1" applyNumberFormat="1" applyFont="1" applyFill="1" applyBorder="1"/>
    <xf numFmtId="2" fontId="13" fillId="4" borderId="71" xfId="1" applyNumberFormat="1" applyFont="1" applyFill="1" applyBorder="1"/>
    <xf numFmtId="2" fontId="14" fillId="3" borderId="8" xfId="0" applyNumberFormat="1" applyFont="1" applyFill="1" applyBorder="1"/>
    <xf numFmtId="166" fontId="14" fillId="3" borderId="15" xfId="1" applyNumberFormat="1" applyFont="1" applyFill="1" applyBorder="1"/>
    <xf numFmtId="166" fontId="0" fillId="6" borderId="10" xfId="1" applyNumberFormat="1" applyFont="1" applyFill="1" applyBorder="1"/>
    <xf numFmtId="2" fontId="14" fillId="5" borderId="8" xfId="0" applyNumberFormat="1" applyFont="1" applyFill="1" applyBorder="1"/>
    <xf numFmtId="1" fontId="14" fillId="3" borderId="15" xfId="0" applyNumberFormat="1" applyFont="1" applyFill="1" applyBorder="1"/>
    <xf numFmtId="0" fontId="28" fillId="3" borderId="2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28" fillId="5" borderId="27"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9" fillId="0" borderId="83" xfId="0" applyFont="1" applyBorder="1" applyAlignment="1">
      <alignment horizontal="center"/>
    </xf>
    <xf numFmtId="0" fontId="9" fillId="0" borderId="53" xfId="0" applyFont="1" applyBorder="1" applyAlignment="1">
      <alignment horizontal="center"/>
    </xf>
    <xf numFmtId="2" fontId="14" fillId="5" borderId="15" xfId="0" applyNumberFormat="1" applyFont="1" applyFill="1" applyBorder="1"/>
    <xf numFmtId="169" fontId="11" fillId="0" borderId="0" xfId="0" applyNumberFormat="1" applyFont="1" applyFill="1" applyBorder="1" applyAlignment="1">
      <alignment horizontal="center"/>
    </xf>
    <xf numFmtId="0" fontId="5" fillId="0" borderId="0" xfId="0" applyFont="1"/>
    <xf numFmtId="0" fontId="49" fillId="0" borderId="0" xfId="0" applyFont="1"/>
    <xf numFmtId="0" fontId="67" fillId="0" borderId="0" xfId="0" applyFont="1"/>
    <xf numFmtId="0" fontId="69" fillId="0" borderId="0" xfId="0" applyFont="1"/>
    <xf numFmtId="0" fontId="8" fillId="0" borderId="0" xfId="0" applyFont="1" applyBorder="1" applyAlignment="1">
      <alignment horizontal="center"/>
    </xf>
    <xf numFmtId="166" fontId="5" fillId="3" borderId="0" xfId="1" applyNumberFormat="1" applyFont="1" applyFill="1" applyBorder="1"/>
    <xf numFmtId="166" fontId="5" fillId="5" borderId="0" xfId="1" applyNumberFormat="1" applyFont="1" applyFill="1" applyBorder="1"/>
    <xf numFmtId="166" fontId="5" fillId="6" borderId="0" xfId="1" applyNumberFormat="1" applyFill="1" applyBorder="1"/>
    <xf numFmtId="166" fontId="0" fillId="6" borderId="0" xfId="0" applyNumberFormat="1" applyFill="1" applyBorder="1"/>
    <xf numFmtId="170" fontId="5" fillId="16" borderId="2" xfId="1" applyNumberFormat="1" applyFont="1" applyFill="1" applyBorder="1"/>
    <xf numFmtId="170" fontId="5" fillId="16" borderId="1" xfId="1" applyNumberFormat="1" applyFont="1" applyFill="1" applyBorder="1"/>
    <xf numFmtId="170" fontId="5" fillId="3" borderId="1" xfId="1" applyNumberFormat="1" applyFont="1" applyFill="1" applyBorder="1"/>
    <xf numFmtId="170" fontId="5" fillId="5" borderId="1" xfId="1" applyNumberFormat="1" applyFont="1" applyFill="1" applyBorder="1"/>
    <xf numFmtId="170" fontId="5" fillId="5" borderId="3" xfId="1" applyNumberFormat="1" applyFont="1" applyFill="1" applyBorder="1"/>
    <xf numFmtId="170" fontId="0" fillId="6" borderId="1" xfId="0" applyNumberFormat="1" applyFill="1" applyBorder="1"/>
    <xf numFmtId="170" fontId="0" fillId="6" borderId="3" xfId="0" applyNumberFormat="1" applyFill="1" applyBorder="1"/>
    <xf numFmtId="170" fontId="5" fillId="16" borderId="0" xfId="1" applyNumberFormat="1" applyFont="1" applyFill="1" applyBorder="1"/>
    <xf numFmtId="166" fontId="5" fillId="16" borderId="0" xfId="1" applyNumberFormat="1" applyFont="1" applyFill="1" applyBorder="1"/>
    <xf numFmtId="170" fontId="5" fillId="4" borderId="0" xfId="1" applyNumberFormat="1" applyFont="1" applyFill="1" applyBorder="1"/>
    <xf numFmtId="170" fontId="5" fillId="3" borderId="0" xfId="1" applyNumberFormat="1" applyFont="1" applyFill="1" applyBorder="1"/>
    <xf numFmtId="170" fontId="5" fillId="5" borderId="0" xfId="1" applyNumberFormat="1" applyFont="1" applyFill="1" applyBorder="1"/>
    <xf numFmtId="170" fontId="0" fillId="6" borderId="0" xfId="0" applyNumberFormat="1" applyFill="1" applyBorder="1"/>
    <xf numFmtId="164" fontId="0" fillId="0" borderId="32" xfId="0" applyNumberFormat="1" applyBorder="1"/>
    <xf numFmtId="164" fontId="0" fillId="0" borderId="0" xfId="0" applyNumberFormat="1" applyBorder="1"/>
    <xf numFmtId="0" fontId="70" fillId="0" borderId="53" xfId="0" applyFont="1" applyBorder="1" applyAlignment="1">
      <alignment horizontal="center"/>
    </xf>
    <xf numFmtId="164" fontId="49" fillId="0" borderId="0" xfId="0" applyNumberFormat="1" applyFont="1" applyBorder="1"/>
    <xf numFmtId="2" fontId="5" fillId="0" borderId="0" xfId="0" applyNumberFormat="1" applyFont="1" applyBorder="1"/>
    <xf numFmtId="164" fontId="5" fillId="0" borderId="0" xfId="0" applyNumberFormat="1" applyFont="1" applyBorder="1"/>
    <xf numFmtId="2" fontId="49" fillId="0" borderId="0" xfId="0" applyNumberFormat="1" applyFont="1" applyFill="1" applyBorder="1"/>
    <xf numFmtId="0" fontId="5" fillId="0" borderId="0" xfId="0" applyFont="1" applyFill="1" applyBorder="1" applyAlignment="1">
      <alignment horizontal="center"/>
    </xf>
    <xf numFmtId="0" fontId="70" fillId="0" borderId="53" xfId="0" applyFont="1" applyBorder="1" applyAlignment="1">
      <alignment horizontal="right"/>
    </xf>
    <xf numFmtId="2" fontId="49" fillId="0" borderId="30" xfId="0" applyNumberFormat="1" applyFont="1" applyBorder="1"/>
    <xf numFmtId="164" fontId="14" fillId="3" borderId="3" xfId="0" applyNumberFormat="1" applyFont="1" applyFill="1" applyBorder="1"/>
    <xf numFmtId="164" fontId="5" fillId="3" borderId="3" xfId="0" applyNumberFormat="1" applyFont="1" applyFill="1" applyBorder="1"/>
    <xf numFmtId="164" fontId="5" fillId="3" borderId="3" xfId="1" applyNumberFormat="1" applyFont="1" applyFill="1" applyBorder="1"/>
    <xf numFmtId="164" fontId="5" fillId="3" borderId="71" xfId="1" applyNumberFormat="1" applyFont="1" applyFill="1" applyBorder="1"/>
    <xf numFmtId="170" fontId="5" fillId="3" borderId="3" xfId="1" applyNumberFormat="1" applyFont="1" applyFill="1" applyBorder="1"/>
    <xf numFmtId="170" fontId="5" fillId="3" borderId="71" xfId="1" applyNumberFormat="1" applyFont="1" applyFill="1" applyBorder="1"/>
    <xf numFmtId="0" fontId="10" fillId="0" borderId="24" xfId="0" applyFont="1" applyBorder="1" applyAlignment="1">
      <alignment horizontal="center"/>
    </xf>
    <xf numFmtId="2" fontId="0" fillId="0" borderId="38" xfId="0" applyNumberFormat="1" applyBorder="1"/>
    <xf numFmtId="2" fontId="0" fillId="0" borderId="31" xfId="0" applyNumberFormat="1" applyBorder="1"/>
    <xf numFmtId="2" fontId="0" fillId="0" borderId="31" xfId="0" applyNumberFormat="1" applyFill="1" applyBorder="1"/>
    <xf numFmtId="0" fontId="23" fillId="0" borderId="0" xfId="0" applyFont="1" applyFill="1"/>
    <xf numFmtId="0" fontId="23" fillId="0" borderId="0" xfId="0" applyFont="1" applyFill="1" applyAlignment="1">
      <alignment horizontal="right"/>
    </xf>
    <xf numFmtId="0" fontId="5" fillId="0" borderId="0" xfId="0" applyFont="1" applyAlignment="1">
      <alignment horizontal="right"/>
    </xf>
    <xf numFmtId="166" fontId="14" fillId="4" borderId="44" xfId="1" applyNumberFormat="1" applyFont="1" applyFill="1" applyBorder="1"/>
    <xf numFmtId="166" fontId="13" fillId="4" borderId="43" xfId="1" applyNumberFormat="1" applyFont="1" applyFill="1" applyBorder="1"/>
    <xf numFmtId="43" fontId="14" fillId="4" borderId="44" xfId="1" applyNumberFormat="1" applyFont="1" applyFill="1" applyBorder="1"/>
    <xf numFmtId="43" fontId="14" fillId="4" borderId="41" xfId="1" applyNumberFormat="1" applyFont="1" applyFill="1" applyBorder="1"/>
    <xf numFmtId="166" fontId="14" fillId="4" borderId="43" xfId="1" applyNumberFormat="1" applyFont="1" applyFill="1" applyBorder="1"/>
    <xf numFmtId="43" fontId="5" fillId="4" borderId="44" xfId="1" applyNumberFormat="1" applyFont="1" applyFill="1" applyBorder="1"/>
    <xf numFmtId="43" fontId="5" fillId="4" borderId="41" xfId="1" applyNumberFormat="1" applyFont="1" applyFill="1" applyBorder="1"/>
    <xf numFmtId="43" fontId="5" fillId="4" borderId="43" xfId="1" applyNumberFormat="1" applyFont="1" applyFill="1" applyBorder="1"/>
    <xf numFmtId="43" fontId="5" fillId="3" borderId="43" xfId="1" applyNumberFormat="1" applyFont="1" applyFill="1" applyBorder="1"/>
    <xf numFmtId="43" fontId="5" fillId="5" borderId="41" xfId="1" applyNumberFormat="1" applyFont="1" applyFill="1" applyBorder="1"/>
    <xf numFmtId="43" fontId="5" fillId="5" borderId="43" xfId="1" applyNumberFormat="1" applyFont="1" applyFill="1" applyBorder="1"/>
    <xf numFmtId="43" fontId="0" fillId="6" borderId="43" xfId="0" applyNumberFormat="1" applyFill="1" applyBorder="1"/>
    <xf numFmtId="43" fontId="0" fillId="0" borderId="0" xfId="1" applyNumberFormat="1" applyFont="1"/>
    <xf numFmtId="170" fontId="5" fillId="16" borderId="29" xfId="1" applyNumberFormat="1" applyFont="1" applyFill="1" applyBorder="1"/>
    <xf numFmtId="170" fontId="5" fillId="16" borderId="22" xfId="1" applyNumberFormat="1" applyFont="1" applyFill="1" applyBorder="1"/>
    <xf numFmtId="166" fontId="5" fillId="16" borderId="28" xfId="1" applyNumberFormat="1" applyFont="1" applyFill="1" applyBorder="1"/>
    <xf numFmtId="170" fontId="5" fillId="4" borderId="27" xfId="1" applyNumberFormat="1" applyFont="1" applyFill="1" applyBorder="1"/>
    <xf numFmtId="170" fontId="5" fillId="4" borderId="22" xfId="1" applyNumberFormat="1" applyFont="1" applyFill="1" applyBorder="1"/>
    <xf numFmtId="170" fontId="5" fillId="3" borderId="22" xfId="1" applyNumberFormat="1" applyFont="1" applyFill="1" applyBorder="1"/>
    <xf numFmtId="170" fontId="5" fillId="5" borderId="22" xfId="1" applyNumberFormat="1" applyFont="1" applyFill="1" applyBorder="1"/>
    <xf numFmtId="170" fontId="5" fillId="5" borderId="28" xfId="1" applyNumberFormat="1" applyFont="1" applyFill="1" applyBorder="1"/>
    <xf numFmtId="170" fontId="0" fillId="6" borderId="22" xfId="0" applyNumberFormat="1" applyFill="1" applyBorder="1"/>
    <xf numFmtId="170" fontId="0" fillId="6" borderId="28" xfId="0" applyNumberFormat="1" applyFill="1" applyBorder="1"/>
    <xf numFmtId="170" fontId="5" fillId="4" borderId="16" xfId="1" applyNumberFormat="1" applyFont="1" applyFill="1" applyBorder="1"/>
    <xf numFmtId="170" fontId="5" fillId="4" borderId="8" xfId="1" applyNumberFormat="1" applyFont="1" applyFill="1" applyBorder="1"/>
    <xf numFmtId="170" fontId="5" fillId="3" borderId="8" xfId="1" applyNumberFormat="1" applyFont="1" applyFill="1" applyBorder="1"/>
    <xf numFmtId="170" fontId="5" fillId="5" borderId="8" xfId="1" applyNumberFormat="1" applyFont="1" applyFill="1" applyBorder="1"/>
    <xf numFmtId="170" fontId="5" fillId="5" borderId="17" xfId="1" applyNumberFormat="1" applyFont="1" applyFill="1" applyBorder="1"/>
    <xf numFmtId="170" fontId="0" fillId="6" borderId="8" xfId="0" applyNumberFormat="1" applyFill="1" applyBorder="1"/>
    <xf numFmtId="170" fontId="0" fillId="6" borderId="17" xfId="0" applyNumberFormat="1" applyFill="1" applyBorder="1"/>
    <xf numFmtId="0" fontId="0" fillId="0" borderId="45" xfId="0" applyFill="1" applyBorder="1"/>
    <xf numFmtId="0" fontId="37" fillId="0" borderId="0" xfId="0" applyNumberFormat="1" applyFont="1" applyBorder="1" applyAlignment="1"/>
    <xf numFmtId="43" fontId="5" fillId="0" borderId="0" xfId="0" applyNumberFormat="1" applyFont="1"/>
    <xf numFmtId="0" fontId="67" fillId="2" borderId="0" xfId="0" applyFont="1" applyFill="1" applyBorder="1" applyAlignment="1"/>
    <xf numFmtId="166" fontId="14" fillId="4" borderId="68" xfId="0" applyNumberFormat="1" applyFont="1" applyFill="1" applyBorder="1"/>
    <xf numFmtId="166" fontId="5" fillId="24" borderId="1" xfId="1" applyNumberFormat="1" applyFont="1" applyFill="1" applyBorder="1"/>
    <xf numFmtId="166" fontId="5" fillId="24" borderId="22" xfId="1" applyNumberFormat="1" applyFont="1" applyFill="1" applyBorder="1"/>
    <xf numFmtId="166" fontId="42" fillId="24" borderId="1" xfId="1" applyNumberFormat="1" applyFont="1" applyFill="1" applyBorder="1"/>
    <xf numFmtId="166" fontId="13" fillId="24" borderId="2" xfId="1" applyNumberFormat="1" applyFont="1" applyFill="1" applyBorder="1"/>
    <xf numFmtId="166" fontId="5" fillId="24" borderId="7" xfId="1" applyNumberFormat="1" applyFont="1" applyFill="1" applyBorder="1"/>
    <xf numFmtId="170" fontId="5" fillId="24" borderId="2" xfId="1" applyNumberFormat="1" applyFont="1" applyFill="1" applyBorder="1"/>
    <xf numFmtId="170" fontId="5" fillId="24" borderId="1" xfId="1" applyNumberFormat="1" applyFont="1" applyFill="1" applyBorder="1"/>
    <xf numFmtId="166" fontId="5" fillId="24" borderId="3" xfId="1" applyNumberFormat="1" applyFont="1" applyFill="1" applyBorder="1"/>
    <xf numFmtId="166" fontId="5" fillId="24" borderId="2" xfId="1" applyNumberFormat="1" applyFont="1" applyFill="1" applyBorder="1"/>
    <xf numFmtId="3" fontId="64" fillId="0" borderId="0" xfId="0" applyNumberFormat="1" applyFont="1"/>
    <xf numFmtId="2" fontId="42" fillId="0" borderId="0" xfId="0" applyNumberFormat="1" applyFont="1" applyFill="1"/>
    <xf numFmtId="0" fontId="7" fillId="0" borderId="77" xfId="0" applyFont="1" applyFill="1" applyBorder="1" applyAlignment="1">
      <alignment horizontal="center"/>
    </xf>
    <xf numFmtId="0" fontId="7" fillId="0" borderId="24" xfId="0" applyFont="1" applyFill="1" applyBorder="1" applyAlignment="1">
      <alignment horizontal="center"/>
    </xf>
    <xf numFmtId="0" fontId="0" fillId="0" borderId="0" xfId="0" applyFill="1" applyBorder="1" applyAlignment="1">
      <alignment horizontal="center"/>
    </xf>
    <xf numFmtId="170" fontId="5" fillId="26" borderId="29" xfId="1" applyNumberFormat="1" applyFont="1" applyFill="1" applyBorder="1"/>
    <xf numFmtId="170" fontId="5" fillId="26" borderId="22" xfId="1" applyNumberFormat="1" applyFont="1" applyFill="1" applyBorder="1"/>
    <xf numFmtId="166" fontId="5" fillId="26" borderId="28" xfId="1" applyNumberFormat="1" applyFont="1" applyFill="1" applyBorder="1"/>
    <xf numFmtId="170" fontId="5" fillId="26" borderId="2" xfId="1" applyNumberFormat="1" applyFont="1" applyFill="1" applyBorder="1"/>
    <xf numFmtId="170" fontId="5" fillId="26" borderId="1" xfId="1" applyNumberFormat="1" applyFont="1" applyFill="1" applyBorder="1"/>
    <xf numFmtId="166" fontId="5" fillId="26" borderId="3" xfId="1" applyNumberFormat="1" applyFont="1" applyFill="1" applyBorder="1"/>
    <xf numFmtId="2" fontId="0" fillId="0" borderId="26" xfId="0" applyNumberFormat="1" applyBorder="1"/>
    <xf numFmtId="2" fontId="49" fillId="0" borderId="26" xfId="0" applyNumberFormat="1" applyFont="1" applyBorder="1"/>
    <xf numFmtId="0" fontId="10" fillId="0" borderId="22" xfId="0" applyFont="1" applyBorder="1" applyAlignment="1">
      <alignment horizontal="center"/>
    </xf>
    <xf numFmtId="43" fontId="5" fillId="5" borderId="3" xfId="1" applyNumberFormat="1" applyFont="1" applyFill="1" applyBorder="1" applyAlignment="1">
      <alignment horizontal="left"/>
    </xf>
    <xf numFmtId="166" fontId="13" fillId="4" borderId="0" xfId="1" applyNumberFormat="1" applyFont="1" applyFill="1" applyBorder="1"/>
    <xf numFmtId="43" fontId="0" fillId="6" borderId="0" xfId="0" applyNumberFormat="1" applyFill="1" applyBorder="1"/>
    <xf numFmtId="2" fontId="5" fillId="6" borderId="0" xfId="0" applyNumberFormat="1" applyFont="1" applyFill="1" applyBorder="1"/>
    <xf numFmtId="2" fontId="5" fillId="7" borderId="0" xfId="0" applyNumberFormat="1" applyFont="1" applyFill="1" applyBorder="1"/>
    <xf numFmtId="166" fontId="29" fillId="6" borderId="0" xfId="1" applyNumberFormat="1" applyFont="1" applyFill="1" applyBorder="1"/>
    <xf numFmtId="166" fontId="42" fillId="0" borderId="0" xfId="1" applyNumberFormat="1" applyFont="1" applyFill="1" applyBorder="1"/>
    <xf numFmtId="170" fontId="5" fillId="0" borderId="0" xfId="1" applyNumberFormat="1" applyFont="1" applyFill="1" applyBorder="1"/>
    <xf numFmtId="170" fontId="0" fillId="0" borderId="0" xfId="0" applyNumberFormat="1" applyFill="1" applyBorder="1"/>
    <xf numFmtId="166" fontId="5" fillId="24" borderId="0" xfId="1" applyNumberFormat="1" applyFont="1" applyFill="1" applyBorder="1"/>
    <xf numFmtId="170" fontId="5" fillId="24" borderId="0" xfId="1" applyNumberFormat="1" applyFont="1" applyFill="1" applyBorder="1"/>
    <xf numFmtId="0" fontId="8" fillId="0" borderId="0" xfId="0" quotePrefix="1" applyFont="1" applyFill="1"/>
    <xf numFmtId="166" fontId="23" fillId="0" borderId="0" xfId="1" applyNumberFormat="1" applyFont="1" applyFill="1" applyBorder="1"/>
    <xf numFmtId="170" fontId="23" fillId="0" borderId="0" xfId="1" applyNumberFormat="1" applyFont="1" applyFill="1" applyBorder="1"/>
    <xf numFmtId="164" fontId="5" fillId="0" borderId="0" xfId="1" applyNumberFormat="1" applyFont="1" applyFill="1" applyBorder="1"/>
    <xf numFmtId="2" fontId="0" fillId="0" borderId="45" xfId="0" applyNumberFormat="1" applyBorder="1"/>
    <xf numFmtId="2" fontId="49" fillId="0" borderId="45" xfId="0" applyNumberFormat="1" applyFont="1" applyBorder="1"/>
    <xf numFmtId="2" fontId="0" fillId="0" borderId="45" xfId="0" applyNumberFormat="1" applyFill="1" applyBorder="1"/>
    <xf numFmtId="2" fontId="8" fillId="0" borderId="6" xfId="0" applyNumberFormat="1" applyFont="1" applyFill="1" applyBorder="1"/>
    <xf numFmtId="164" fontId="0" fillId="0" borderId="45" xfId="0" applyNumberFormat="1" applyBorder="1"/>
    <xf numFmtId="164" fontId="49" fillId="0" borderId="45" xfId="0" applyNumberFormat="1" applyFont="1" applyBorder="1"/>
    <xf numFmtId="2" fontId="49" fillId="0" borderId="45" xfId="0" applyNumberFormat="1" applyFont="1" applyFill="1" applyBorder="1"/>
    <xf numFmtId="164" fontId="71" fillId="0" borderId="32" xfId="0" applyNumberFormat="1" applyFont="1" applyBorder="1"/>
    <xf numFmtId="164" fontId="71" fillId="0" borderId="0" xfId="0" applyNumberFormat="1" applyFont="1" applyBorder="1"/>
    <xf numFmtId="0" fontId="70" fillId="0" borderId="0" xfId="0" applyFont="1"/>
    <xf numFmtId="0" fontId="72" fillId="0" borderId="0" xfId="0" applyFont="1"/>
    <xf numFmtId="2" fontId="71" fillId="0" borderId="32" xfId="0" applyNumberFormat="1" applyFont="1" applyFill="1" applyBorder="1"/>
    <xf numFmtId="2" fontId="71" fillId="0" borderId="0" xfId="0" applyNumberFormat="1" applyFont="1" applyFill="1" applyBorder="1"/>
    <xf numFmtId="2" fontId="71" fillId="0" borderId="32" xfId="0" applyNumberFormat="1" applyFont="1" applyBorder="1"/>
    <xf numFmtId="2" fontId="71" fillId="0" borderId="0" xfId="0" applyNumberFormat="1" applyFont="1" applyBorder="1"/>
    <xf numFmtId="2" fontId="71" fillId="0" borderId="26" xfId="0" applyNumberFormat="1" applyFont="1" applyBorder="1"/>
    <xf numFmtId="0" fontId="70" fillId="0" borderId="36" xfId="0" applyFont="1" applyBorder="1" applyAlignment="1">
      <alignment horizontal="center"/>
    </xf>
    <xf numFmtId="0" fontId="7" fillId="0" borderId="45" xfId="0" applyFont="1" applyBorder="1"/>
    <xf numFmtId="2" fontId="8" fillId="0" borderId="69" xfId="0" applyNumberFormat="1" applyFont="1" applyFill="1" applyBorder="1"/>
    <xf numFmtId="0" fontId="10" fillId="0" borderId="8" xfId="0" applyFont="1" applyBorder="1" applyAlignment="1">
      <alignment horizontal="center"/>
    </xf>
    <xf numFmtId="2" fontId="8" fillId="0" borderId="84" xfId="0" applyNumberFormat="1" applyFont="1" applyFill="1" applyBorder="1"/>
    <xf numFmtId="2" fontId="0" fillId="0" borderId="85" xfId="0" applyNumberFormat="1" applyFill="1" applyBorder="1"/>
    <xf numFmtId="2" fontId="8" fillId="0" borderId="6" xfId="0" applyNumberFormat="1" applyFont="1" applyFill="1" applyBorder="1" applyAlignment="1">
      <alignment horizontal="center"/>
    </xf>
    <xf numFmtId="0" fontId="7" fillId="0" borderId="45" xfId="0" applyFont="1" applyFill="1" applyBorder="1"/>
    <xf numFmtId="1" fontId="8" fillId="16" borderId="6" xfId="0" applyNumberFormat="1" applyFont="1" applyFill="1" applyBorder="1"/>
    <xf numFmtId="0" fontId="10" fillId="0" borderId="85" xfId="0" applyFont="1" applyBorder="1" applyAlignment="1">
      <alignment horizontal="center"/>
    </xf>
    <xf numFmtId="2" fontId="0" fillId="0" borderId="69" xfId="0" applyNumberFormat="1" applyFill="1" applyBorder="1"/>
    <xf numFmtId="0" fontId="10" fillId="0" borderId="26" xfId="0" applyFont="1" applyBorder="1" applyAlignment="1">
      <alignment horizontal="center"/>
    </xf>
    <xf numFmtId="0" fontId="7" fillId="0" borderId="31" xfId="0" applyFont="1" applyBorder="1"/>
    <xf numFmtId="2" fontId="8" fillId="0" borderId="17" xfId="0" applyNumberFormat="1" applyFont="1" applyFill="1" applyBorder="1"/>
    <xf numFmtId="2" fontId="8" fillId="0" borderId="17" xfId="0" applyNumberFormat="1" applyFont="1" applyBorder="1"/>
    <xf numFmtId="0" fontId="10" fillId="0" borderId="4" xfId="0" applyFont="1" applyBorder="1" applyAlignment="1">
      <alignment horizontal="right"/>
    </xf>
    <xf numFmtId="2" fontId="8" fillId="0" borderId="77" xfId="0" applyNumberFormat="1" applyFont="1" applyBorder="1"/>
    <xf numFmtId="2" fontId="8" fillId="0" borderId="22" xfId="0" applyNumberFormat="1" applyFont="1" applyBorder="1"/>
    <xf numFmtId="2" fontId="8" fillId="0" borderId="28" xfId="0" applyNumberFormat="1" applyFont="1" applyBorder="1"/>
    <xf numFmtId="0" fontId="0" fillId="5" borderId="24" xfId="0" applyFill="1" applyBorder="1" applyAlignment="1">
      <alignment horizontal="center"/>
    </xf>
    <xf numFmtId="169" fontId="20" fillId="0" borderId="77" xfId="0" applyNumberFormat="1" applyFont="1" applyFill="1" applyBorder="1" applyAlignment="1">
      <alignment horizontal="right"/>
    </xf>
    <xf numFmtId="0" fontId="14" fillId="0" borderId="0" xfId="0" applyFont="1" applyFill="1" applyAlignment="1">
      <alignment horizontal="left" vertical="center" wrapText="1"/>
    </xf>
    <xf numFmtId="168" fontId="50" fillId="0" borderId="32" xfId="1" applyNumberFormat="1" applyFont="1" applyFill="1" applyBorder="1" applyAlignment="1">
      <alignment horizontal="right"/>
    </xf>
    <xf numFmtId="168" fontId="50" fillId="0" borderId="0" xfId="1" applyNumberFormat="1" applyFont="1" applyFill="1" applyBorder="1" applyAlignment="1">
      <alignment horizontal="right"/>
    </xf>
    <xf numFmtId="176" fontId="50" fillId="0" borderId="31" xfId="1" applyNumberFormat="1" applyFont="1" applyFill="1" applyBorder="1" applyAlignment="1">
      <alignment horizontal="right"/>
    </xf>
    <xf numFmtId="176" fontId="50" fillId="0" borderId="0" xfId="1" applyNumberFormat="1" applyFont="1" applyFill="1" applyBorder="1" applyAlignment="1">
      <alignment horizontal="right"/>
    </xf>
    <xf numFmtId="168" fontId="50" fillId="0" borderId="32" xfId="1" applyNumberFormat="1" applyFont="1" applyFill="1" applyBorder="1" applyAlignment="1">
      <alignment horizontal="center"/>
    </xf>
    <xf numFmtId="168" fontId="50" fillId="0" borderId="0" xfId="1" applyNumberFormat="1" applyFont="1" applyFill="1" applyBorder="1" applyAlignment="1">
      <alignment horizontal="center"/>
    </xf>
    <xf numFmtId="176" fontId="50" fillId="0" borderId="31" xfId="1" applyNumberFormat="1" applyFont="1" applyFill="1" applyBorder="1" applyAlignment="1">
      <alignment horizontal="center"/>
    </xf>
    <xf numFmtId="176" fontId="50" fillId="0" borderId="34" xfId="1" applyNumberFormat="1" applyFont="1" applyFill="1" applyBorder="1" applyAlignment="1">
      <alignment horizontal="right"/>
    </xf>
    <xf numFmtId="176" fontId="50" fillId="0" borderId="54" xfId="1" applyNumberFormat="1" applyFont="1" applyFill="1" applyBorder="1" applyAlignment="1">
      <alignment horizontal="right"/>
    </xf>
    <xf numFmtId="168" fontId="50" fillId="0" borderId="33" xfId="1" applyNumberFormat="1" applyFont="1" applyFill="1" applyBorder="1" applyAlignment="1">
      <alignment horizontal="center"/>
    </xf>
    <xf numFmtId="168" fontId="50" fillId="0" borderId="54" xfId="1" applyNumberFormat="1" applyFont="1" applyFill="1" applyBorder="1" applyAlignment="1">
      <alignment horizontal="center"/>
    </xf>
    <xf numFmtId="176" fontId="50" fillId="0" borderId="34" xfId="1" applyNumberFormat="1" applyFont="1" applyFill="1" applyBorder="1" applyAlignment="1">
      <alignment horizontal="center"/>
    </xf>
    <xf numFmtId="170" fontId="5" fillId="3" borderId="68" xfId="1" applyNumberFormat="1" applyFont="1" applyFill="1" applyBorder="1"/>
    <xf numFmtId="0" fontId="0" fillId="0" borderId="54" xfId="0" applyBorder="1" applyAlignment="1">
      <alignment horizontal="center"/>
    </xf>
    <xf numFmtId="0" fontId="0" fillId="0" borderId="0" xfId="0" applyFill="1" applyAlignment="1">
      <alignment horizontal="center"/>
    </xf>
    <xf numFmtId="0" fontId="8" fillId="25" borderId="0" xfId="0" applyFont="1" applyFill="1"/>
    <xf numFmtId="0" fontId="53" fillId="0" borderId="0" xfId="0" applyFont="1" applyFill="1" applyAlignment="1">
      <alignment horizontal="left"/>
    </xf>
    <xf numFmtId="177" fontId="20" fillId="0" borderId="23" xfId="0" applyNumberFormat="1" applyFont="1" applyFill="1" applyBorder="1" applyAlignment="1">
      <alignment horizontal="center"/>
    </xf>
    <xf numFmtId="177" fontId="20" fillId="0" borderId="26" xfId="0" applyNumberFormat="1" applyFont="1" applyFill="1" applyBorder="1" applyAlignment="1">
      <alignment horizontal="center"/>
    </xf>
    <xf numFmtId="177" fontId="20" fillId="0" borderId="27" xfId="0" applyNumberFormat="1" applyFont="1" applyFill="1" applyBorder="1" applyAlignment="1">
      <alignment horizontal="center"/>
    </xf>
    <xf numFmtId="177" fontId="0" fillId="0" borderId="26" xfId="0" applyNumberFormat="1" applyBorder="1" applyAlignment="1">
      <alignment horizontal="center"/>
    </xf>
    <xf numFmtId="177" fontId="0" fillId="0" borderId="25" xfId="0" applyNumberFormat="1" applyBorder="1"/>
    <xf numFmtId="177" fontId="0" fillId="0" borderId="25" xfId="0" applyNumberFormat="1" applyBorder="1" applyAlignment="1">
      <alignment horizontal="center"/>
    </xf>
    <xf numFmtId="177" fontId="0" fillId="0" borderId="27" xfId="0" applyNumberFormat="1" applyBorder="1" applyAlignment="1">
      <alignment horizontal="center"/>
    </xf>
    <xf numFmtId="0" fontId="0" fillId="0" borderId="19" xfId="0" applyBorder="1"/>
    <xf numFmtId="0" fontId="0" fillId="0" borderId="18" xfId="0" applyFill="1" applyBorder="1" applyAlignment="1">
      <alignment horizontal="center"/>
    </xf>
    <xf numFmtId="177" fontId="20" fillId="0" borderId="18" xfId="0" applyNumberFormat="1" applyFont="1" applyFill="1" applyBorder="1" applyAlignment="1">
      <alignment horizontal="center"/>
    </xf>
    <xf numFmtId="177" fontId="20" fillId="0" borderId="19" xfId="0" applyNumberFormat="1" applyFont="1" applyFill="1" applyBorder="1" applyAlignment="1">
      <alignment horizontal="center"/>
    </xf>
    <xf numFmtId="177" fontId="20" fillId="0" borderId="7" xfId="0" applyNumberFormat="1" applyFont="1" applyFill="1" applyBorder="1" applyAlignment="1">
      <alignment horizontal="center"/>
    </xf>
    <xf numFmtId="177" fontId="20" fillId="0" borderId="18" xfId="0" applyNumberFormat="1" applyFont="1" applyFill="1" applyBorder="1"/>
    <xf numFmtId="177" fontId="0" fillId="0" borderId="7" xfId="0" applyNumberFormat="1" applyBorder="1"/>
    <xf numFmtId="177" fontId="0" fillId="0" borderId="19" xfId="0" applyNumberFormat="1" applyBorder="1"/>
    <xf numFmtId="174" fontId="20" fillId="0" borderId="18" xfId="2" applyNumberFormat="1" applyFont="1" applyFill="1" applyBorder="1" applyAlignment="1">
      <alignment horizontal="center"/>
    </xf>
    <xf numFmtId="174" fontId="20" fillId="0" borderId="19" xfId="2" applyNumberFormat="1" applyFont="1" applyFill="1" applyBorder="1" applyAlignment="1">
      <alignment horizontal="center"/>
    </xf>
    <xf numFmtId="174" fontId="20" fillId="0" borderId="7" xfId="2" applyNumberFormat="1" applyFont="1" applyFill="1" applyBorder="1" applyAlignment="1">
      <alignment horizontal="center"/>
    </xf>
    <xf numFmtId="174" fontId="0" fillId="0" borderId="19" xfId="2" applyNumberFormat="1" applyFont="1" applyBorder="1" applyAlignment="1">
      <alignment horizontal="center"/>
    </xf>
    <xf numFmtId="174" fontId="0" fillId="0" borderId="18" xfId="2" applyNumberFormat="1" applyFont="1" applyBorder="1" applyAlignment="1">
      <alignment horizontal="center"/>
    </xf>
    <xf numFmtId="2" fontId="73" fillId="27" borderId="68" xfId="0" applyNumberFormat="1" applyFont="1" applyFill="1" applyBorder="1"/>
    <xf numFmtId="2" fontId="73" fillId="27" borderId="3" xfId="0" applyNumberFormat="1" applyFont="1" applyFill="1" applyBorder="1"/>
    <xf numFmtId="0" fontId="5" fillId="0" borderId="0" xfId="0" applyFont="1" applyAlignment="1">
      <alignment horizontal="left"/>
    </xf>
    <xf numFmtId="2" fontId="71" fillId="0" borderId="84" xfId="0" applyNumberFormat="1" applyFont="1" applyBorder="1"/>
    <xf numFmtId="2" fontId="71" fillId="0" borderId="45" xfId="0" applyNumberFormat="1" applyFont="1" applyBorder="1"/>
    <xf numFmtId="2" fontId="50" fillId="0" borderId="45" xfId="0" applyNumberFormat="1" applyFont="1" applyBorder="1"/>
    <xf numFmtId="164" fontId="50" fillId="0" borderId="45" xfId="0" applyNumberFormat="1" applyFont="1" applyBorder="1"/>
    <xf numFmtId="164" fontId="50" fillId="0" borderId="0" xfId="0" applyNumberFormat="1" applyFont="1" applyBorder="1"/>
    <xf numFmtId="164" fontId="71" fillId="0" borderId="32" xfId="0" applyNumberFormat="1" applyFont="1" applyFill="1" applyBorder="1"/>
    <xf numFmtId="164" fontId="71" fillId="0" borderId="0" xfId="0" applyNumberFormat="1" applyFont="1" applyFill="1" applyBorder="1"/>
    <xf numFmtId="164" fontId="49" fillId="0" borderId="0" xfId="0" applyNumberFormat="1" applyFont="1" applyFill="1" applyBorder="1"/>
    <xf numFmtId="2" fontId="50" fillId="0" borderId="30" xfId="0" applyNumberFormat="1" applyFont="1" applyBorder="1"/>
    <xf numFmtId="2" fontId="50" fillId="0" borderId="0" xfId="0" applyNumberFormat="1" applyFont="1" applyFill="1" applyBorder="1"/>
    <xf numFmtId="164" fontId="71" fillId="0" borderId="84" xfId="0" applyNumberFormat="1" applyFont="1" applyBorder="1"/>
    <xf numFmtId="164" fontId="71" fillId="0" borderId="45" xfId="0" applyNumberFormat="1" applyFont="1" applyBorder="1"/>
    <xf numFmtId="2" fontId="71" fillId="0" borderId="84" xfId="0" applyNumberFormat="1" applyFont="1" applyFill="1" applyBorder="1"/>
    <xf numFmtId="2" fontId="71" fillId="0" borderId="45" xfId="0" applyNumberFormat="1" applyFont="1" applyFill="1" applyBorder="1"/>
    <xf numFmtId="169" fontId="8" fillId="0" borderId="0" xfId="0" applyNumberFormat="1" applyFont="1" applyBorder="1"/>
    <xf numFmtId="165" fontId="0" fillId="0" borderId="24" xfId="1" applyNumberFormat="1" applyFont="1" applyBorder="1"/>
    <xf numFmtId="165" fontId="0" fillId="0" borderId="77" xfId="1" applyNumberFormat="1" applyFont="1" applyBorder="1"/>
    <xf numFmtId="165" fontId="0" fillId="0" borderId="4" xfId="1" applyNumberFormat="1" applyFont="1" applyBorder="1"/>
    <xf numFmtId="165" fontId="0" fillId="0" borderId="9" xfId="1" applyNumberFormat="1" applyFont="1" applyBorder="1"/>
    <xf numFmtId="165" fontId="0" fillId="0" borderId="55" xfId="1" applyNumberFormat="1" applyFont="1" applyBorder="1"/>
    <xf numFmtId="0" fontId="7" fillId="0" borderId="0" xfId="0" applyFont="1" applyAlignment="1">
      <alignment horizontal="center"/>
    </xf>
    <xf numFmtId="165" fontId="0" fillId="26" borderId="0" xfId="1" applyNumberFormat="1" applyFont="1" applyFill="1"/>
    <xf numFmtId="0" fontId="0" fillId="24" borderId="0" xfId="0" applyFill="1"/>
    <xf numFmtId="165" fontId="0" fillId="24" borderId="0" xfId="1" applyNumberFormat="1" applyFont="1" applyFill="1"/>
    <xf numFmtId="2" fontId="0" fillId="24" borderId="0" xfId="0" applyNumberFormat="1" applyFill="1"/>
    <xf numFmtId="0" fontId="75" fillId="24" borderId="0" xfId="0" applyFont="1" applyFill="1"/>
    <xf numFmtId="164" fontId="49" fillId="0" borderId="32" xfId="0" applyNumberFormat="1" applyFont="1" applyFill="1" applyBorder="1"/>
    <xf numFmtId="164" fontId="49" fillId="0" borderId="32" xfId="0" applyNumberFormat="1" applyFont="1" applyBorder="1"/>
    <xf numFmtId="0" fontId="70" fillId="0" borderId="35" xfId="0" applyFont="1" applyBorder="1" applyAlignment="1">
      <alignment horizontal="right"/>
    </xf>
    <xf numFmtId="2" fontId="49" fillId="0" borderId="32" xfId="0" applyNumberFormat="1" applyFont="1" applyFill="1" applyBorder="1"/>
    <xf numFmtId="2" fontId="49" fillId="0" borderId="32" xfId="0" applyNumberFormat="1" applyFont="1" applyBorder="1"/>
    <xf numFmtId="2" fontId="50" fillId="0" borderId="32" xfId="0" applyNumberFormat="1" applyFont="1" applyFill="1" applyBorder="1"/>
    <xf numFmtId="0" fontId="72" fillId="0" borderId="35" xfId="0" applyFont="1" applyBorder="1" applyAlignment="1">
      <alignment horizontal="center"/>
    </xf>
    <xf numFmtId="0" fontId="72" fillId="0" borderId="53" xfId="0" applyFont="1" applyBorder="1" applyAlignment="1">
      <alignment horizontal="center"/>
    </xf>
    <xf numFmtId="0" fontId="50" fillId="28" borderId="88" xfId="0" applyFont="1" applyFill="1" applyBorder="1" applyAlignment="1">
      <alignment horizontal="right"/>
    </xf>
    <xf numFmtId="0" fontId="50" fillId="28" borderId="91" xfId="0" applyFont="1" applyFill="1" applyBorder="1" applyAlignment="1">
      <alignment horizontal="right"/>
    </xf>
    <xf numFmtId="0" fontId="50" fillId="28" borderId="93" xfId="0" applyFont="1" applyFill="1" applyBorder="1" applyAlignment="1">
      <alignment horizontal="right"/>
    </xf>
    <xf numFmtId="0" fontId="50" fillId="28" borderId="86" xfId="0" applyFont="1" applyFill="1" applyBorder="1"/>
    <xf numFmtId="0" fontId="77" fillId="28" borderId="96" xfId="0" applyFont="1" applyFill="1" applyBorder="1" applyAlignment="1"/>
    <xf numFmtId="0" fontId="50" fillId="29" borderId="86" xfId="0" applyFont="1" applyFill="1" applyBorder="1" applyAlignment="1">
      <alignment horizontal="center"/>
    </xf>
    <xf numFmtId="0" fontId="52" fillId="21" borderId="86" xfId="0" applyFont="1" applyFill="1" applyBorder="1" applyAlignment="1" applyProtection="1">
      <alignment horizontal="center"/>
      <protection locked="0"/>
    </xf>
    <xf numFmtId="0" fontId="50" fillId="29" borderId="86" xfId="0" applyFont="1" applyFill="1" applyBorder="1"/>
    <xf numFmtId="0" fontId="50" fillId="28" borderId="86" xfId="0" applyFont="1" applyFill="1" applyBorder="1" applyAlignment="1">
      <alignment horizontal="center"/>
    </xf>
    <xf numFmtId="0" fontId="50" fillId="28" borderId="86" xfId="0" applyFont="1" applyFill="1" applyBorder="1" applyAlignment="1"/>
    <xf numFmtId="0" fontId="52" fillId="29" borderId="86" xfId="0" applyFont="1" applyFill="1" applyBorder="1" applyAlignment="1">
      <alignment horizontal="center" wrapText="1"/>
    </xf>
    <xf numFmtId="49" fontId="52" fillId="29" borderId="86" xfId="0" applyNumberFormat="1" applyFont="1" applyFill="1" applyBorder="1" applyAlignment="1">
      <alignment horizontal="center" wrapText="1"/>
    </xf>
    <xf numFmtId="0" fontId="79" fillId="28" borderId="0" xfId="0" applyFont="1" applyFill="1"/>
    <xf numFmtId="0" fontId="50" fillId="28" borderId="95" xfId="0" applyFont="1" applyFill="1" applyBorder="1" applyAlignment="1"/>
    <xf numFmtId="0" fontId="50" fillId="29" borderId="86" xfId="0" applyFont="1" applyFill="1" applyBorder="1" applyAlignment="1">
      <alignment vertical="center"/>
    </xf>
    <xf numFmtId="178" fontId="50" fillId="30" borderId="86" xfId="0" applyNumberFormat="1" applyFont="1" applyFill="1" applyBorder="1" applyProtection="1">
      <protection locked="0"/>
    </xf>
    <xf numFmtId="3" fontId="50" fillId="24" borderId="86" xfId="0" applyNumberFormat="1" applyFont="1" applyFill="1" applyBorder="1"/>
    <xf numFmtId="179" fontId="50" fillId="29" borderId="86" xfId="0" applyNumberFormat="1" applyFont="1" applyFill="1" applyBorder="1" applyProtection="1">
      <protection locked="0"/>
    </xf>
    <xf numFmtId="178" fontId="50" fillId="30" borderId="86" xfId="0" applyNumberFormat="1" applyFont="1" applyFill="1" applyBorder="1"/>
    <xf numFmtId="0" fontId="50" fillId="28" borderId="86" xfId="0" applyFont="1" applyFill="1" applyBorder="1" applyAlignment="1">
      <alignment horizontal="center" vertical="center"/>
    </xf>
    <xf numFmtId="0" fontId="50" fillId="28" borderId="96" xfId="0" applyFont="1" applyFill="1" applyBorder="1" applyAlignment="1"/>
    <xf numFmtId="0" fontId="50" fillId="29" borderId="86" xfId="0" applyFont="1" applyFill="1" applyBorder="1" applyProtection="1">
      <protection locked="0"/>
    </xf>
    <xf numFmtId="165" fontId="50" fillId="16" borderId="86" xfId="1" applyNumberFormat="1" applyFont="1" applyFill="1" applyBorder="1" applyProtection="1">
      <protection locked="0"/>
    </xf>
    <xf numFmtId="169" fontId="50" fillId="30" borderId="86" xfId="0" applyNumberFormat="1" applyFont="1" applyFill="1" applyBorder="1"/>
    <xf numFmtId="0" fontId="50" fillId="28" borderId="86" xfId="0" applyFont="1" applyFill="1" applyBorder="1" applyAlignment="1">
      <alignment vertical="center"/>
    </xf>
    <xf numFmtId="179" fontId="50" fillId="30" borderId="86" xfId="0" applyNumberFormat="1" applyFont="1" applyFill="1" applyBorder="1" applyAlignment="1"/>
    <xf numFmtId="0" fontId="50" fillId="29" borderId="86" xfId="0" applyFont="1" applyFill="1" applyBorder="1" applyAlignment="1">
      <alignment horizontal="left" vertical="center"/>
    </xf>
    <xf numFmtId="179" fontId="50" fillId="29" borderId="86" xfId="0" applyNumberFormat="1" applyFont="1" applyFill="1" applyBorder="1" applyAlignment="1"/>
    <xf numFmtId="179" fontId="80" fillId="28" borderId="86" xfId="179" quotePrefix="1" applyNumberFormat="1" applyFill="1" applyBorder="1" applyAlignment="1" applyProtection="1">
      <alignment horizontal="center"/>
    </xf>
    <xf numFmtId="0" fontId="80" fillId="0" borderId="0" xfId="179" quotePrefix="1" applyAlignment="1" applyProtection="1"/>
    <xf numFmtId="179" fontId="80" fillId="28" borderId="86" xfId="179" applyNumberFormat="1" applyFill="1" applyBorder="1" applyAlignment="1" applyProtection="1">
      <alignment horizontal="center"/>
    </xf>
    <xf numFmtId="179" fontId="80" fillId="28" borderId="86" xfId="179" quotePrefix="1" applyNumberFormat="1" applyFill="1" applyBorder="1" applyAlignment="1" applyProtection="1"/>
    <xf numFmtId="0" fontId="5" fillId="28" borderId="86" xfId="0" applyFont="1" applyFill="1" applyBorder="1" applyAlignment="1">
      <alignment horizontal="center"/>
    </xf>
    <xf numFmtId="0" fontId="81" fillId="16" borderId="86" xfId="0" applyFont="1" applyFill="1" applyBorder="1"/>
    <xf numFmtId="2" fontId="8" fillId="16" borderId="9" xfId="0" applyNumberFormat="1" applyFont="1" applyFill="1" applyBorder="1"/>
    <xf numFmtId="0" fontId="0" fillId="16" borderId="0" xfId="0" applyFill="1" applyBorder="1"/>
    <xf numFmtId="2" fontId="8" fillId="16" borderId="6" xfId="0" applyNumberFormat="1" applyFont="1" applyFill="1" applyBorder="1"/>
    <xf numFmtId="0" fontId="10" fillId="16" borderId="8" xfId="0" applyFont="1" applyFill="1" applyBorder="1" applyAlignment="1">
      <alignment horizontal="center"/>
    </xf>
    <xf numFmtId="0" fontId="10" fillId="16" borderId="77" xfId="0" applyFont="1" applyFill="1" applyBorder="1" applyAlignment="1">
      <alignment horizontal="center"/>
    </xf>
    <xf numFmtId="169" fontId="20" fillId="5" borderId="53" xfId="0" applyNumberFormat="1" applyFont="1" applyFill="1" applyBorder="1" applyAlignment="1">
      <alignment horizontal="right"/>
    </xf>
    <xf numFmtId="0" fontId="0" fillId="5" borderId="36" xfId="0" applyFill="1" applyBorder="1" applyAlignment="1">
      <alignment horizontal="right"/>
    </xf>
    <xf numFmtId="169" fontId="20" fillId="0" borderId="35" xfId="0" applyNumberFormat="1" applyFont="1" applyFill="1" applyBorder="1" applyAlignment="1">
      <alignment horizontal="right"/>
    </xf>
    <xf numFmtId="169" fontId="20" fillId="0" borderId="36" xfId="0" applyNumberFormat="1" applyFont="1" applyFill="1" applyBorder="1" applyAlignment="1">
      <alignment horizontal="right"/>
    </xf>
    <xf numFmtId="0" fontId="0" fillId="0" borderId="53" xfId="0" applyFill="1" applyBorder="1" applyAlignment="1">
      <alignment horizontal="right"/>
    </xf>
    <xf numFmtId="169" fontId="20" fillId="0" borderId="59" xfId="0" applyNumberFormat="1" applyFont="1" applyFill="1" applyBorder="1" applyAlignment="1">
      <alignment horizontal="right"/>
    </xf>
    <xf numFmtId="169" fontId="20" fillId="0" borderId="53" xfId="0" applyNumberFormat="1" applyFont="1" applyFill="1" applyBorder="1" applyAlignment="1">
      <alignment horizontal="right"/>
    </xf>
    <xf numFmtId="0" fontId="0" fillId="0" borderId="36" xfId="0" applyFill="1" applyBorder="1" applyAlignment="1">
      <alignment horizontal="right"/>
    </xf>
    <xf numFmtId="0" fontId="0" fillId="16" borderId="35" xfId="0" applyFill="1" applyBorder="1" applyAlignment="1">
      <alignment horizontal="center"/>
    </xf>
    <xf numFmtId="169" fontId="20" fillId="16" borderId="53" xfId="0" applyNumberFormat="1" applyFont="1" applyFill="1" applyBorder="1" applyAlignment="1">
      <alignment horizontal="right"/>
    </xf>
    <xf numFmtId="0" fontId="0" fillId="0" borderId="0" xfId="0" applyFill="1" applyBorder="1" applyAlignment="1">
      <alignment horizontal="center"/>
    </xf>
    <xf numFmtId="0" fontId="83" fillId="30" borderId="0" xfId="0" applyFont="1" applyFill="1"/>
    <xf numFmtId="0" fontId="81" fillId="30" borderId="61" xfId="0" applyFont="1" applyFill="1" applyBorder="1" applyAlignment="1">
      <alignment horizontal="center" wrapText="1"/>
    </xf>
    <xf numFmtId="0" fontId="81" fillId="30" borderId="0" xfId="0" applyFont="1" applyFill="1" applyBorder="1" applyAlignment="1">
      <alignment horizontal="center" wrapText="1"/>
    </xf>
    <xf numFmtId="165" fontId="0" fillId="0" borderId="0" xfId="0" applyNumberFormat="1"/>
    <xf numFmtId="0" fontId="49" fillId="0" borderId="0" xfId="0" applyFont="1" applyAlignment="1">
      <alignment horizontal="right"/>
    </xf>
    <xf numFmtId="2" fontId="84" fillId="16" borderId="0" xfId="0" applyNumberFormat="1" applyFont="1" applyFill="1"/>
    <xf numFmtId="2" fontId="8" fillId="16" borderId="32" xfId="0" applyNumberFormat="1" applyFont="1" applyFill="1" applyBorder="1"/>
    <xf numFmtId="169" fontId="8" fillId="0" borderId="4" xfId="0" applyNumberFormat="1" applyFont="1" applyBorder="1"/>
    <xf numFmtId="2" fontId="23" fillId="5" borderId="8" xfId="0" applyNumberFormat="1" applyFont="1" applyFill="1" applyBorder="1"/>
    <xf numFmtId="2" fontId="14" fillId="5" borderId="17" xfId="0" applyNumberFormat="1" applyFont="1" applyFill="1" applyBorder="1"/>
    <xf numFmtId="164" fontId="5" fillId="3" borderId="23" xfId="0" applyNumberFormat="1" applyFont="1" applyFill="1" applyBorder="1"/>
    <xf numFmtId="166" fontId="14" fillId="31" borderId="2" xfId="1" applyNumberFormat="1" applyFont="1" applyFill="1" applyBorder="1"/>
    <xf numFmtId="166" fontId="13" fillId="31" borderId="3" xfId="1" applyNumberFormat="1" applyFont="1" applyFill="1" applyBorder="1"/>
    <xf numFmtId="166" fontId="13" fillId="31" borderId="39" xfId="1" applyNumberFormat="1" applyFont="1" applyFill="1" applyBorder="1"/>
    <xf numFmtId="166" fontId="13" fillId="31" borderId="28" xfId="1" applyNumberFormat="1" applyFont="1" applyFill="1" applyBorder="1"/>
    <xf numFmtId="0" fontId="8" fillId="0" borderId="33" xfId="0" applyFont="1" applyBorder="1" applyAlignment="1">
      <alignment horizontal="center"/>
    </xf>
    <xf numFmtId="0" fontId="0" fillId="32" borderId="1" xfId="0" applyFill="1" applyBorder="1" applyAlignment="1">
      <alignment horizontal="center"/>
    </xf>
    <xf numFmtId="0" fontId="0" fillId="0" borderId="1" xfId="0" applyBorder="1"/>
    <xf numFmtId="0" fontId="0" fillId="32" borderId="1" xfId="0" applyFill="1" applyBorder="1"/>
    <xf numFmtId="0" fontId="0" fillId="0" borderId="1" xfId="0" applyBorder="1" applyAlignment="1">
      <alignment horizontal="right"/>
    </xf>
    <xf numFmtId="0" fontId="0" fillId="0" borderId="1" xfId="0" applyFill="1" applyBorder="1"/>
    <xf numFmtId="0" fontId="0" fillId="0" borderId="0" xfId="0" applyFill="1" applyBorder="1" applyAlignment="1">
      <alignment horizontal="center"/>
    </xf>
    <xf numFmtId="14" fontId="79" fillId="0" borderId="0" xfId="0" applyNumberFormat="1" applyFont="1" applyFill="1" applyAlignment="1">
      <alignment horizontal="left"/>
    </xf>
    <xf numFmtId="0" fontId="85" fillId="0" borderId="0" xfId="0" applyFont="1" applyFill="1" applyAlignment="1">
      <alignment horizontal="left"/>
    </xf>
    <xf numFmtId="0" fontId="50" fillId="34" borderId="0" xfId="0" applyFont="1" applyFill="1" applyBorder="1" applyAlignment="1">
      <alignment horizontal="center"/>
    </xf>
    <xf numFmtId="168" fontId="50" fillId="34" borderId="32" xfId="1" applyNumberFormat="1" applyFont="1" applyFill="1" applyBorder="1" applyAlignment="1">
      <alignment horizontal="right"/>
    </xf>
    <xf numFmtId="168" fontId="50" fillId="34" borderId="0" xfId="1" applyNumberFormat="1" applyFont="1" applyFill="1" applyBorder="1" applyAlignment="1">
      <alignment horizontal="right"/>
    </xf>
    <xf numFmtId="176" fontId="50" fillId="34" borderId="31" xfId="1" applyNumberFormat="1" applyFont="1" applyFill="1" applyBorder="1" applyAlignment="1">
      <alignment horizontal="right"/>
    </xf>
    <xf numFmtId="176" fontId="50" fillId="34" borderId="0" xfId="1" applyNumberFormat="1" applyFont="1" applyFill="1" applyBorder="1" applyAlignment="1">
      <alignment horizontal="right"/>
    </xf>
    <xf numFmtId="168" fontId="50" fillId="34" borderId="32" xfId="1" applyNumberFormat="1" applyFont="1" applyFill="1" applyBorder="1" applyAlignment="1">
      <alignment horizontal="center"/>
    </xf>
    <xf numFmtId="168" fontId="50" fillId="34" borderId="0" xfId="1" applyNumberFormat="1" applyFont="1" applyFill="1" applyBorder="1" applyAlignment="1">
      <alignment horizontal="center"/>
    </xf>
    <xf numFmtId="176" fontId="50" fillId="34" borderId="31" xfId="1" applyNumberFormat="1" applyFont="1" applyFill="1" applyBorder="1" applyAlignment="1">
      <alignment horizontal="center"/>
    </xf>
    <xf numFmtId="0" fontId="0" fillId="0" borderId="0" xfId="0" applyBorder="1" applyAlignment="1">
      <alignment horizontal="center"/>
    </xf>
    <xf numFmtId="0" fontId="13" fillId="0" borderId="0" xfId="0" applyFont="1" applyBorder="1" applyAlignment="1">
      <alignment horizontal="right"/>
    </xf>
    <xf numFmtId="0" fontId="13" fillId="0" borderId="0" xfId="0" applyFont="1" applyBorder="1"/>
    <xf numFmtId="0" fontId="30" fillId="0" borderId="0" xfId="0" applyFont="1" applyBorder="1" applyAlignment="1">
      <alignment horizontal="right"/>
    </xf>
    <xf numFmtId="0" fontId="30" fillId="0" borderId="0" xfId="0" applyFont="1" applyBorder="1"/>
    <xf numFmtId="0" fontId="14" fillId="0" borderId="0" xfId="0" applyFont="1" applyBorder="1" applyAlignment="1">
      <alignment horizontal="right"/>
    </xf>
    <xf numFmtId="0" fontId="14" fillId="0" borderId="0" xfId="0" applyFont="1" applyBorder="1"/>
    <xf numFmtId="0" fontId="0" fillId="35" borderId="35" xfId="0" applyFill="1" applyBorder="1" applyAlignment="1">
      <alignment horizontal="center"/>
    </xf>
    <xf numFmtId="0" fontId="67" fillId="35" borderId="53" xfId="0" applyFont="1" applyFill="1" applyBorder="1" applyAlignment="1">
      <alignment horizontal="left"/>
    </xf>
    <xf numFmtId="0" fontId="5" fillId="35" borderId="53" xfId="0" applyFont="1" applyFill="1" applyBorder="1" applyAlignment="1">
      <alignment horizontal="center"/>
    </xf>
    <xf numFmtId="168" fontId="52" fillId="35" borderId="35" xfId="1" applyNumberFormat="1" applyFont="1" applyFill="1" applyBorder="1" applyAlignment="1">
      <alignment horizontal="right"/>
    </xf>
    <xf numFmtId="168" fontId="52" fillId="35" borderId="53" xfId="1" applyNumberFormat="1" applyFont="1" applyFill="1" applyBorder="1" applyAlignment="1">
      <alignment horizontal="right"/>
    </xf>
    <xf numFmtId="176" fontId="50" fillId="35" borderId="36" xfId="1" applyNumberFormat="1" applyFont="1" applyFill="1" applyBorder="1" applyAlignment="1">
      <alignment horizontal="right"/>
    </xf>
    <xf numFmtId="176" fontId="50" fillId="35" borderId="53" xfId="1" applyNumberFormat="1" applyFont="1" applyFill="1" applyBorder="1" applyAlignment="1">
      <alignment horizontal="right"/>
    </xf>
    <xf numFmtId="168" fontId="50" fillId="35" borderId="35" xfId="1" applyNumberFormat="1" applyFont="1" applyFill="1" applyBorder="1" applyAlignment="1">
      <alignment horizontal="center"/>
    </xf>
    <xf numFmtId="168" fontId="50" fillId="35" borderId="53" xfId="1" applyNumberFormat="1" applyFont="1" applyFill="1" applyBorder="1" applyAlignment="1">
      <alignment horizontal="center"/>
    </xf>
    <xf numFmtId="176" fontId="50" fillId="35" borderId="36" xfId="1" applyNumberFormat="1" applyFont="1" applyFill="1" applyBorder="1" applyAlignment="1">
      <alignment horizontal="center"/>
    </xf>
    <xf numFmtId="0" fontId="13" fillId="35" borderId="53" xfId="0" applyFont="1" applyFill="1" applyBorder="1"/>
    <xf numFmtId="0" fontId="0" fillId="35" borderId="53" xfId="0" applyFill="1" applyBorder="1"/>
    <xf numFmtId="0" fontId="0" fillId="35" borderId="36" xfId="0" applyFill="1" applyBorder="1"/>
    <xf numFmtId="0" fontId="49" fillId="35" borderId="0" xfId="0" applyFont="1" applyFill="1" applyAlignment="1">
      <alignment horizontal="center"/>
    </xf>
    <xf numFmtId="168" fontId="49" fillId="35" borderId="32" xfId="1" applyNumberFormat="1" applyFont="1" applyFill="1" applyBorder="1" applyAlignment="1">
      <alignment horizontal="right"/>
    </xf>
    <xf numFmtId="168" fontId="49" fillId="35" borderId="0" xfId="1" applyNumberFormat="1" applyFont="1" applyFill="1" applyBorder="1" applyAlignment="1">
      <alignment horizontal="right"/>
    </xf>
    <xf numFmtId="176" fontId="49" fillId="35" borderId="31" xfId="1" applyNumberFormat="1" applyFont="1" applyFill="1" applyBorder="1" applyAlignment="1">
      <alignment horizontal="right"/>
    </xf>
    <xf numFmtId="176" fontId="49" fillId="35" borderId="0" xfId="1" applyNumberFormat="1" applyFont="1" applyFill="1" applyBorder="1" applyAlignment="1">
      <alignment horizontal="right"/>
    </xf>
    <xf numFmtId="168" fontId="49" fillId="35" borderId="32" xfId="1" applyNumberFormat="1" applyFont="1" applyFill="1" applyBorder="1" applyAlignment="1">
      <alignment horizontal="center"/>
    </xf>
    <xf numFmtId="168" fontId="49" fillId="35" borderId="0" xfId="1" applyNumberFormat="1" applyFont="1" applyFill="1" applyBorder="1" applyAlignment="1">
      <alignment horizontal="center"/>
    </xf>
    <xf numFmtId="176" fontId="49" fillId="35" borderId="31" xfId="1" applyNumberFormat="1" applyFont="1" applyFill="1" applyBorder="1" applyAlignment="1">
      <alignment horizontal="center"/>
    </xf>
    <xf numFmtId="0" fontId="53" fillId="35" borderId="0" xfId="0" applyFont="1" applyFill="1" applyAlignment="1">
      <alignment horizontal="left"/>
    </xf>
    <xf numFmtId="0" fontId="0" fillId="35" borderId="0" xfId="0" applyFill="1"/>
    <xf numFmtId="0" fontId="53" fillId="35" borderId="0" xfId="0" applyFont="1" applyFill="1"/>
    <xf numFmtId="0" fontId="49" fillId="35" borderId="0" xfId="0" applyFont="1" applyFill="1" applyBorder="1" applyAlignment="1">
      <alignment horizontal="center"/>
    </xf>
    <xf numFmtId="0" fontId="49" fillId="35" borderId="0" xfId="0" applyFont="1" applyFill="1"/>
    <xf numFmtId="0" fontId="8" fillId="35" borderId="0" xfId="0" applyFont="1" applyFill="1"/>
    <xf numFmtId="0" fontId="0" fillId="35" borderId="0" xfId="0" applyFill="1" applyBorder="1"/>
    <xf numFmtId="0" fontId="46" fillId="0" borderId="0" xfId="0" applyFont="1"/>
    <xf numFmtId="168" fontId="50" fillId="0" borderId="33" xfId="1" applyNumberFormat="1" applyFont="1" applyFill="1" applyBorder="1" applyAlignment="1">
      <alignment horizontal="right"/>
    </xf>
    <xf numFmtId="168" fontId="50" fillId="0" borderId="54" xfId="1" applyNumberFormat="1" applyFont="1" applyFill="1" applyBorder="1" applyAlignment="1">
      <alignment horizontal="right"/>
    </xf>
    <xf numFmtId="0" fontId="42" fillId="0" borderId="54" xfId="0" applyFont="1" applyBorder="1"/>
    <xf numFmtId="0" fontId="5" fillId="0" borderId="0" xfId="0" applyFont="1" applyFill="1" applyBorder="1"/>
    <xf numFmtId="0" fontId="29" fillId="0" borderId="0" xfId="0" applyFont="1" applyFill="1" applyBorder="1" applyAlignment="1">
      <alignment horizontal="center"/>
    </xf>
    <xf numFmtId="0" fontId="0" fillId="0" borderId="32" xfId="0" applyFill="1" applyBorder="1" applyAlignment="1">
      <alignment horizontal="center" wrapText="1"/>
    </xf>
    <xf numFmtId="169" fontId="20" fillId="5" borderId="32" xfId="0" applyNumberFormat="1" applyFont="1" applyFill="1" applyBorder="1" applyAlignment="1">
      <alignment horizontal="right"/>
    </xf>
    <xf numFmtId="169" fontId="20" fillId="5" borderId="31" xfId="0" applyNumberFormat="1" applyFont="1" applyFill="1" applyBorder="1" applyAlignment="1">
      <alignment horizontal="right"/>
    </xf>
    <xf numFmtId="0" fontId="0" fillId="24" borderId="64" xfId="0" applyFill="1" applyBorder="1" applyAlignment="1">
      <alignment wrapText="1"/>
    </xf>
    <xf numFmtId="0" fontId="0" fillId="24" borderId="39" xfId="0" applyFill="1" applyBorder="1" applyAlignment="1">
      <alignment wrapText="1"/>
    </xf>
    <xf numFmtId="169" fontId="20" fillId="24" borderId="32" xfId="0" applyNumberFormat="1" applyFont="1" applyFill="1" applyBorder="1" applyAlignment="1">
      <alignment horizontal="right"/>
    </xf>
    <xf numFmtId="169" fontId="20" fillId="24" borderId="31" xfId="0" applyNumberFormat="1" applyFont="1" applyFill="1" applyBorder="1" applyAlignment="1">
      <alignment horizontal="right"/>
    </xf>
    <xf numFmtId="169" fontId="20" fillId="24" borderId="33" xfId="0" applyNumberFormat="1" applyFont="1" applyFill="1" applyBorder="1" applyAlignment="1">
      <alignment horizontal="right"/>
    </xf>
    <xf numFmtId="169" fontId="20" fillId="24" borderId="34" xfId="0" applyNumberFormat="1" applyFont="1" applyFill="1" applyBorder="1" applyAlignment="1">
      <alignment horizontal="right"/>
    </xf>
    <xf numFmtId="0" fontId="11" fillId="0" borderId="0" xfId="0" applyFont="1" applyFill="1" applyAlignment="1">
      <alignment vertical="center"/>
    </xf>
    <xf numFmtId="0" fontId="8" fillId="17" borderId="0" xfId="0" applyFont="1" applyFill="1"/>
    <xf numFmtId="0" fontId="7" fillId="0" borderId="0" xfId="0" applyFont="1" applyFill="1" applyBorder="1"/>
    <xf numFmtId="0" fontId="8" fillId="32" borderId="0" xfId="0" applyFont="1" applyFill="1" applyAlignment="1">
      <alignment horizontal="center"/>
    </xf>
    <xf numFmtId="0" fontId="8" fillId="32" borderId="54" xfId="0" applyFont="1" applyFill="1" applyBorder="1" applyAlignment="1">
      <alignment horizontal="center"/>
    </xf>
    <xf numFmtId="0" fontId="0" fillId="33" borderId="0" xfId="0" applyFill="1" applyAlignment="1">
      <alignment horizontal="center"/>
    </xf>
    <xf numFmtId="0" fontId="0" fillId="31" borderId="0" xfId="0" applyFill="1" applyAlignment="1">
      <alignment horizontal="center"/>
    </xf>
    <xf numFmtId="0" fontId="0" fillId="32" borderId="54" xfId="0" applyFill="1" applyBorder="1" applyAlignment="1">
      <alignment horizontal="center"/>
    </xf>
    <xf numFmtId="0" fontId="5" fillId="32" borderId="0" xfId="0" applyFont="1" applyFill="1" applyBorder="1" applyAlignment="1">
      <alignment horizontal="center"/>
    </xf>
    <xf numFmtId="0" fontId="0" fillId="32" borderId="0" xfId="0" applyFill="1" applyBorder="1" applyAlignment="1">
      <alignment horizontal="center"/>
    </xf>
    <xf numFmtId="0" fontId="50" fillId="31" borderId="37" xfId="0" applyFont="1" applyFill="1" applyBorder="1" applyAlignment="1">
      <alignment horizontal="center"/>
    </xf>
    <xf numFmtId="0" fontId="50" fillId="34" borderId="30" xfId="0" applyFont="1" applyFill="1" applyBorder="1" applyAlignment="1">
      <alignment horizontal="center"/>
    </xf>
    <xf numFmtId="168" fontId="50" fillId="34" borderId="37" xfId="1" applyNumberFormat="1" applyFont="1" applyFill="1" applyBorder="1" applyAlignment="1">
      <alignment horizontal="right"/>
    </xf>
    <xf numFmtId="168" fontId="50" fillId="34" borderId="30" xfId="1" applyNumberFormat="1" applyFont="1" applyFill="1" applyBorder="1" applyAlignment="1">
      <alignment horizontal="right"/>
    </xf>
    <xf numFmtId="176" fontId="50" fillId="34" borderId="38" xfId="1" applyNumberFormat="1" applyFont="1" applyFill="1" applyBorder="1" applyAlignment="1">
      <alignment horizontal="right"/>
    </xf>
    <xf numFmtId="176" fontId="50" fillId="34" borderId="30" xfId="1" applyNumberFormat="1" applyFont="1" applyFill="1" applyBorder="1" applyAlignment="1">
      <alignment horizontal="right"/>
    </xf>
    <xf numFmtId="168" fontId="50" fillId="34" borderId="37" xfId="1" applyNumberFormat="1" applyFont="1" applyFill="1" applyBorder="1" applyAlignment="1">
      <alignment horizontal="center"/>
    </xf>
    <xf numFmtId="168" fontId="50" fillId="34" borderId="30" xfId="1" applyNumberFormat="1" applyFont="1" applyFill="1" applyBorder="1" applyAlignment="1">
      <alignment horizontal="center"/>
    </xf>
    <xf numFmtId="176" fontId="50" fillId="34" borderId="38" xfId="1" applyNumberFormat="1" applyFont="1" applyFill="1" applyBorder="1" applyAlignment="1">
      <alignment horizontal="center"/>
    </xf>
    <xf numFmtId="0" fontId="50" fillId="31" borderId="32" xfId="0" applyFont="1" applyFill="1" applyBorder="1" applyAlignment="1">
      <alignment horizontal="center"/>
    </xf>
    <xf numFmtId="0" fontId="50" fillId="31" borderId="33" xfId="0" applyFont="1" applyFill="1" applyBorder="1" applyAlignment="1">
      <alignment horizontal="center"/>
    </xf>
    <xf numFmtId="0" fontId="50" fillId="34" borderId="54" xfId="0" applyFont="1" applyFill="1" applyBorder="1" applyAlignment="1">
      <alignment horizontal="center"/>
    </xf>
    <xf numFmtId="168" fontId="50" fillId="34" borderId="33" xfId="1" applyNumberFormat="1" applyFont="1" applyFill="1" applyBorder="1" applyAlignment="1">
      <alignment horizontal="right"/>
    </xf>
    <xf numFmtId="168" fontId="50" fillId="34" borderId="54" xfId="1" applyNumberFormat="1" applyFont="1" applyFill="1" applyBorder="1" applyAlignment="1">
      <alignment horizontal="right"/>
    </xf>
    <xf numFmtId="176" fontId="50" fillId="34" borderId="34" xfId="1" applyNumberFormat="1" applyFont="1" applyFill="1" applyBorder="1" applyAlignment="1">
      <alignment horizontal="right"/>
    </xf>
    <xf numFmtId="176" fontId="50" fillId="34" borderId="54" xfId="1" applyNumberFormat="1" applyFont="1" applyFill="1" applyBorder="1" applyAlignment="1">
      <alignment horizontal="right"/>
    </xf>
    <xf numFmtId="168" fontId="50" fillId="34" borderId="33" xfId="1" applyNumberFormat="1" applyFont="1" applyFill="1" applyBorder="1" applyAlignment="1">
      <alignment horizontal="center"/>
    </xf>
    <xf numFmtId="168" fontId="50" fillId="34" borderId="54" xfId="1" applyNumberFormat="1" applyFont="1" applyFill="1" applyBorder="1" applyAlignment="1">
      <alignment horizontal="center"/>
    </xf>
    <xf numFmtId="176" fontId="50" fillId="34" borderId="34" xfId="1" applyNumberFormat="1" applyFont="1" applyFill="1" applyBorder="1" applyAlignment="1">
      <alignment horizontal="center"/>
    </xf>
    <xf numFmtId="0" fontId="50" fillId="33" borderId="37" xfId="0" applyFont="1" applyFill="1" applyBorder="1" applyAlignment="1">
      <alignment horizontal="center"/>
    </xf>
    <xf numFmtId="0" fontId="50" fillId="33" borderId="33" xfId="0" applyFont="1" applyFill="1" applyBorder="1" applyAlignment="1">
      <alignment horizontal="center"/>
    </xf>
    <xf numFmtId="0" fontId="0" fillId="31" borderId="54" xfId="0" applyFill="1" applyBorder="1" applyAlignment="1">
      <alignment horizontal="center"/>
    </xf>
    <xf numFmtId="0" fontId="0" fillId="27" borderId="0" xfId="0" applyFill="1" applyAlignment="1">
      <alignment horizontal="center"/>
    </xf>
    <xf numFmtId="0" fontId="0" fillId="35" borderId="45" xfId="0" applyFill="1" applyBorder="1"/>
    <xf numFmtId="164" fontId="71" fillId="35" borderId="84" xfId="0" applyNumberFormat="1" applyFont="1" applyFill="1" applyBorder="1"/>
    <xf numFmtId="164" fontId="71" fillId="35" borderId="45" xfId="0" applyNumberFormat="1" applyFont="1" applyFill="1" applyBorder="1"/>
    <xf numFmtId="164" fontId="0" fillId="35" borderId="45" xfId="0" applyNumberFormat="1" applyFill="1" applyBorder="1"/>
    <xf numFmtId="164" fontId="50" fillId="35" borderId="45" xfId="0" applyNumberFormat="1" applyFont="1" applyFill="1" applyBorder="1"/>
    <xf numFmtId="164" fontId="5" fillId="35" borderId="45" xfId="0" applyNumberFormat="1" applyFont="1" applyFill="1" applyBorder="1"/>
    <xf numFmtId="164" fontId="8" fillId="35" borderId="6" xfId="0" applyNumberFormat="1" applyFont="1" applyFill="1" applyBorder="1"/>
    <xf numFmtId="164" fontId="0" fillId="35" borderId="84" xfId="0" applyNumberFormat="1" applyFill="1" applyBorder="1"/>
    <xf numFmtId="2" fontId="0" fillId="35" borderId="45" xfId="0" applyNumberFormat="1" applyFill="1" applyBorder="1"/>
    <xf numFmtId="2" fontId="71" fillId="35" borderId="84" xfId="0" applyNumberFormat="1" applyFont="1" applyFill="1" applyBorder="1"/>
    <xf numFmtId="2" fontId="71" fillId="35" borderId="45" xfId="0" applyNumberFormat="1" applyFont="1" applyFill="1" applyBorder="1"/>
    <xf numFmtId="2" fontId="50" fillId="35" borderId="45" xfId="0" applyNumberFormat="1" applyFont="1" applyFill="1" applyBorder="1"/>
    <xf numFmtId="164" fontId="50" fillId="0" borderId="0" xfId="0" applyNumberFormat="1" applyFont="1" applyFill="1" applyBorder="1"/>
    <xf numFmtId="164" fontId="5" fillId="0" borderId="0" xfId="0" applyNumberFormat="1" applyFont="1" applyFill="1" applyBorder="1"/>
    <xf numFmtId="164" fontId="8" fillId="0" borderId="0" xfId="0" applyNumberFormat="1" applyFont="1" applyFill="1" applyBorder="1"/>
    <xf numFmtId="0" fontId="0" fillId="16" borderId="0" xfId="0" applyFill="1" applyAlignment="1">
      <alignment horizontal="center"/>
    </xf>
    <xf numFmtId="0" fontId="0" fillId="16" borderId="0" xfId="0" applyFill="1" applyBorder="1" applyAlignment="1">
      <alignment horizontal="center"/>
    </xf>
    <xf numFmtId="168" fontId="50" fillId="16" borderId="32" xfId="1" applyNumberFormat="1" applyFont="1" applyFill="1" applyBorder="1" applyAlignment="1">
      <alignment horizontal="right"/>
    </xf>
    <xf numFmtId="168" fontId="50" fillId="16" borderId="0" xfId="1" applyNumberFormat="1" applyFont="1" applyFill="1" applyBorder="1" applyAlignment="1">
      <alignment horizontal="right"/>
    </xf>
    <xf numFmtId="176" fontId="50" fillId="16" borderId="31" xfId="1" applyNumberFormat="1" applyFont="1" applyFill="1" applyBorder="1" applyAlignment="1">
      <alignment horizontal="right"/>
    </xf>
    <xf numFmtId="176" fontId="50" fillId="16" borderId="0" xfId="1" applyNumberFormat="1" applyFont="1" applyFill="1" applyBorder="1" applyAlignment="1">
      <alignment horizontal="right"/>
    </xf>
    <xf numFmtId="168" fontId="50" fillId="16" borderId="32" xfId="1" applyNumberFormat="1" applyFont="1" applyFill="1" applyBorder="1" applyAlignment="1">
      <alignment horizontal="center"/>
    </xf>
    <xf numFmtId="168" fontId="50" fillId="16" borderId="0" xfId="1" applyNumberFormat="1" applyFont="1" applyFill="1" applyBorder="1" applyAlignment="1">
      <alignment horizontal="center"/>
    </xf>
    <xf numFmtId="176" fontId="50" fillId="16" borderId="31" xfId="1" applyNumberFormat="1" applyFont="1" applyFill="1" applyBorder="1" applyAlignment="1">
      <alignment horizontal="center"/>
    </xf>
    <xf numFmtId="0" fontId="5" fillId="16" borderId="0" xfId="0" applyFont="1" applyFill="1" applyBorder="1" applyAlignment="1">
      <alignment horizontal="center"/>
    </xf>
    <xf numFmtId="0" fontId="49" fillId="16" borderId="0" xfId="0" applyFont="1" applyFill="1" applyAlignment="1">
      <alignment horizontal="center"/>
    </xf>
    <xf numFmtId="0" fontId="49" fillId="16" borderId="0" xfId="0" applyFont="1" applyFill="1" applyBorder="1" applyAlignment="1">
      <alignment horizontal="center"/>
    </xf>
    <xf numFmtId="168" fontId="49" fillId="16" borderId="32" xfId="1" applyNumberFormat="1" applyFont="1" applyFill="1" applyBorder="1" applyAlignment="1">
      <alignment horizontal="right"/>
    </xf>
    <xf numFmtId="168" fontId="49" fillId="16" borderId="0" xfId="1" applyNumberFormat="1" applyFont="1" applyFill="1" applyBorder="1" applyAlignment="1">
      <alignment horizontal="right"/>
    </xf>
    <xf numFmtId="176" fontId="49" fillId="16" borderId="31" xfId="1" applyNumberFormat="1" applyFont="1" applyFill="1" applyBorder="1" applyAlignment="1">
      <alignment horizontal="right"/>
    </xf>
    <xf numFmtId="176" fontId="49" fillId="16" borderId="0" xfId="1" applyNumberFormat="1" applyFont="1" applyFill="1" applyBorder="1" applyAlignment="1">
      <alignment horizontal="right"/>
    </xf>
    <xf numFmtId="168" fontId="49" fillId="16" borderId="32" xfId="1" applyNumberFormat="1" applyFont="1" applyFill="1" applyBorder="1" applyAlignment="1">
      <alignment horizontal="center"/>
    </xf>
    <xf numFmtId="168" fontId="49" fillId="16" borderId="0" xfId="1" applyNumberFormat="1" applyFont="1" applyFill="1" applyBorder="1" applyAlignment="1">
      <alignment horizontal="center"/>
    </xf>
    <xf numFmtId="176" fontId="49" fillId="16" borderId="31" xfId="1" applyNumberFormat="1" applyFont="1" applyFill="1" applyBorder="1" applyAlignment="1">
      <alignment horizontal="center"/>
    </xf>
    <xf numFmtId="0" fontId="65" fillId="0" borderId="0" xfId="0" applyFont="1" applyFill="1"/>
    <xf numFmtId="166" fontId="13" fillId="4" borderId="69" xfId="1" applyNumberFormat="1" applyFont="1" applyFill="1" applyBorder="1"/>
    <xf numFmtId="0" fontId="7" fillId="16" borderId="0" xfId="0" applyFont="1" applyFill="1"/>
    <xf numFmtId="164" fontId="71" fillId="16" borderId="32" xfId="0" applyNumberFormat="1" applyFont="1" applyFill="1" applyBorder="1"/>
    <xf numFmtId="164" fontId="71" fillId="16" borderId="0" xfId="0" applyNumberFormat="1" applyFont="1" applyFill="1" applyBorder="1"/>
    <xf numFmtId="164" fontId="49" fillId="16" borderId="0" xfId="0" applyNumberFormat="1" applyFont="1" applyFill="1" applyBorder="1"/>
    <xf numFmtId="164" fontId="0" fillId="16" borderId="0" xfId="0" applyNumberFormat="1" applyFill="1" applyBorder="1"/>
    <xf numFmtId="2" fontId="0" fillId="16" borderId="0" xfId="0" applyNumberFormat="1" applyFill="1" applyBorder="1"/>
    <xf numFmtId="2" fontId="8" fillId="16" borderId="31" xfId="0" applyNumberFormat="1" applyFont="1" applyFill="1" applyBorder="1"/>
    <xf numFmtId="2" fontId="71" fillId="16" borderId="0" xfId="0" applyNumberFormat="1" applyFont="1" applyFill="1" applyBorder="1"/>
    <xf numFmtId="2" fontId="49" fillId="16" borderId="0" xfId="0" applyNumberFormat="1" applyFont="1" applyFill="1" applyBorder="1"/>
    <xf numFmtId="2" fontId="8" fillId="16" borderId="77" xfId="0" applyNumberFormat="1" applyFont="1" applyFill="1" applyBorder="1"/>
    <xf numFmtId="2" fontId="71" fillId="16" borderId="32" xfId="0" applyNumberFormat="1" applyFont="1" applyFill="1" applyBorder="1"/>
    <xf numFmtId="2" fontId="0" fillId="16" borderId="24" xfId="0" applyNumberFormat="1" applyFill="1" applyBorder="1"/>
    <xf numFmtId="2" fontId="8" fillId="16" borderId="9" xfId="0" applyNumberFormat="1" applyFont="1" applyFill="1" applyBorder="1" applyAlignment="1">
      <alignment horizontal="center"/>
    </xf>
    <xf numFmtId="2" fontId="0" fillId="16" borderId="0" xfId="0" applyNumberFormat="1" applyFill="1"/>
    <xf numFmtId="180" fontId="0" fillId="0" borderId="0" xfId="0" applyNumberFormat="1"/>
    <xf numFmtId="0" fontId="11" fillId="20" borderId="0" xfId="0" applyFont="1" applyFill="1" applyAlignment="1">
      <alignment horizontal="left" vertical="center" wrapText="1"/>
    </xf>
    <xf numFmtId="0" fontId="85" fillId="0" borderId="0" xfId="0" applyFont="1" applyFill="1" applyAlignment="1">
      <alignment horizontal="left" wrapText="1"/>
    </xf>
    <xf numFmtId="0" fontId="0" fillId="0" borderId="0" xfId="0" quotePrefix="1" applyAlignment="1">
      <alignment horizontal="left" wrapText="1"/>
    </xf>
    <xf numFmtId="0" fontId="5" fillId="0" borderId="0" xfId="0" applyFont="1" applyAlignment="1">
      <alignment horizontal="left" wrapText="1"/>
    </xf>
    <xf numFmtId="0" fontId="0" fillId="0" borderId="0" xfId="0" applyAlignment="1">
      <alignment horizontal="left" wrapText="1" indent="1"/>
    </xf>
    <xf numFmtId="0" fontId="50" fillId="0" borderId="0" xfId="0" applyFont="1" applyFill="1" applyAlignment="1">
      <alignment horizontal="left" vertical="center" wrapText="1"/>
    </xf>
    <xf numFmtId="0" fontId="0" fillId="0" borderId="1" xfId="0" applyBorder="1" applyAlignment="1">
      <alignment horizontal="center"/>
    </xf>
    <xf numFmtId="169" fontId="14" fillId="5" borderId="37" xfId="0" applyNumberFormat="1" applyFont="1" applyFill="1" applyBorder="1" applyAlignment="1">
      <alignment horizontal="center"/>
    </xf>
    <xf numFmtId="169" fontId="14" fillId="5" borderId="30" xfId="0" applyNumberFormat="1" applyFont="1" applyFill="1" applyBorder="1" applyAlignment="1">
      <alignment horizontal="center"/>
    </xf>
    <xf numFmtId="169" fontId="14" fillId="5" borderId="53" xfId="0" applyNumberFormat="1" applyFont="1" applyFill="1" applyBorder="1" applyAlignment="1">
      <alignment horizontal="center"/>
    </xf>
    <xf numFmtId="169" fontId="14" fillId="5" borderId="38" xfId="0" applyNumberFormat="1" applyFont="1" applyFill="1" applyBorder="1" applyAlignment="1">
      <alignment horizontal="center"/>
    </xf>
    <xf numFmtId="0" fontId="5" fillId="16" borderId="35" xfId="0" applyFont="1" applyFill="1" applyBorder="1" applyAlignment="1">
      <alignment horizontal="center"/>
    </xf>
    <xf numFmtId="0" fontId="5" fillId="16" borderId="36" xfId="0" applyFont="1" applyFill="1" applyBorder="1" applyAlignment="1">
      <alignment horizontal="center"/>
    </xf>
    <xf numFmtId="169" fontId="14" fillId="10" borderId="33" xfId="0" applyNumberFormat="1" applyFont="1" applyFill="1" applyBorder="1" applyAlignment="1">
      <alignment horizontal="center"/>
    </xf>
    <xf numFmtId="169" fontId="14" fillId="10" borderId="34" xfId="0" applyNumberFormat="1" applyFont="1" applyFill="1" applyBorder="1" applyAlignment="1">
      <alignment horizontal="center"/>
    </xf>
    <xf numFmtId="169" fontId="14" fillId="23" borderId="33" xfId="0" applyNumberFormat="1" applyFont="1" applyFill="1" applyBorder="1" applyAlignment="1">
      <alignment horizontal="center"/>
    </xf>
    <xf numFmtId="169" fontId="14" fillId="23" borderId="34" xfId="0" applyNumberFormat="1" applyFont="1" applyFill="1" applyBorder="1" applyAlignment="1">
      <alignment horizontal="center"/>
    </xf>
    <xf numFmtId="0" fontId="8" fillId="0" borderId="37" xfId="0" applyFont="1" applyBorder="1" applyAlignment="1">
      <alignment horizontal="center" wrapText="1"/>
    </xf>
    <xf numFmtId="0" fontId="8" fillId="0" borderId="38" xfId="0" applyFont="1" applyBorder="1" applyAlignment="1">
      <alignment horizontal="center" wrapText="1"/>
    </xf>
    <xf numFmtId="169" fontId="14" fillId="5" borderId="33" xfId="0" applyNumberFormat="1" applyFont="1" applyFill="1" applyBorder="1" applyAlignment="1">
      <alignment horizontal="center"/>
    </xf>
    <xf numFmtId="169" fontId="14" fillId="5" borderId="54" xfId="0" applyNumberFormat="1" applyFont="1" applyFill="1" applyBorder="1" applyAlignment="1">
      <alignment horizontal="center"/>
    </xf>
    <xf numFmtId="169" fontId="14" fillId="5" borderId="34" xfId="0" applyNumberFormat="1" applyFont="1" applyFill="1" applyBorder="1" applyAlignment="1">
      <alignment horizontal="center"/>
    </xf>
    <xf numFmtId="0" fontId="5" fillId="24" borderId="35" xfId="0" applyFont="1" applyFill="1" applyBorder="1" applyAlignment="1">
      <alignment horizontal="center"/>
    </xf>
    <xf numFmtId="0" fontId="5" fillId="24" borderId="36" xfId="0" applyFont="1" applyFill="1" applyBorder="1" applyAlignment="1">
      <alignment horizontal="center"/>
    </xf>
    <xf numFmtId="0" fontId="8" fillId="0" borderId="35" xfId="0" applyFont="1" applyFill="1" applyBorder="1" applyAlignment="1">
      <alignment horizontal="center" wrapText="1"/>
    </xf>
    <xf numFmtId="0" fontId="8" fillId="0" borderId="36" xfId="0" applyFont="1" applyFill="1" applyBorder="1" applyAlignment="1">
      <alignment horizontal="center" wrapText="1"/>
    </xf>
    <xf numFmtId="0" fontId="8" fillId="24" borderId="37" xfId="0" applyFont="1" applyFill="1" applyBorder="1" applyAlignment="1">
      <alignment horizontal="center" wrapText="1"/>
    </xf>
    <xf numFmtId="0" fontId="8" fillId="24" borderId="38" xfId="0" applyFont="1" applyFill="1" applyBorder="1" applyAlignment="1">
      <alignment horizontal="center" wrapText="1"/>
    </xf>
    <xf numFmtId="0" fontId="8" fillId="0" borderId="53" xfId="0" applyFont="1" applyFill="1" applyBorder="1" applyAlignment="1">
      <alignment horizontal="center" wrapText="1"/>
    </xf>
    <xf numFmtId="0" fontId="8" fillId="0" borderId="0" xfId="0" applyFont="1" applyAlignment="1">
      <alignment horizontal="center"/>
    </xf>
    <xf numFmtId="0" fontId="10" fillId="0" borderId="0" xfId="0" applyFont="1" applyAlignment="1">
      <alignment horizontal="center"/>
    </xf>
    <xf numFmtId="0" fontId="79" fillId="34" borderId="37" xfId="0" applyFont="1" applyFill="1" applyBorder="1" applyAlignment="1">
      <alignment horizontal="center" vertical="center" wrapText="1"/>
    </xf>
    <xf numFmtId="0" fontId="79" fillId="34" borderId="30" xfId="0" applyFont="1" applyFill="1" applyBorder="1" applyAlignment="1">
      <alignment horizontal="center" vertical="center" wrapText="1"/>
    </xf>
    <xf numFmtId="0" fontId="79" fillId="34" borderId="38" xfId="0" applyFont="1" applyFill="1" applyBorder="1" applyAlignment="1">
      <alignment horizontal="center" vertical="center" wrapText="1"/>
    </xf>
    <xf numFmtId="0" fontId="79" fillId="34" borderId="33" xfId="0" applyFont="1" applyFill="1" applyBorder="1" applyAlignment="1">
      <alignment horizontal="center" vertical="center" wrapText="1"/>
    </xf>
    <xf numFmtId="0" fontId="79" fillId="34" borderId="54" xfId="0" applyFont="1" applyFill="1" applyBorder="1" applyAlignment="1">
      <alignment horizontal="center" vertical="center" wrapText="1"/>
    </xf>
    <xf numFmtId="0" fontId="79" fillId="34" borderId="34" xfId="0" applyFont="1" applyFill="1" applyBorder="1" applyAlignment="1">
      <alignment horizontal="center" vertical="center" wrapText="1"/>
    </xf>
    <xf numFmtId="0" fontId="79" fillId="34" borderId="32" xfId="0" applyFont="1" applyFill="1" applyBorder="1" applyAlignment="1">
      <alignment horizontal="center" vertical="center" wrapText="1"/>
    </xf>
    <xf numFmtId="0" fontId="79" fillId="34" borderId="0" xfId="0" applyFont="1" applyFill="1" applyBorder="1" applyAlignment="1">
      <alignment horizontal="center" vertical="center" wrapText="1"/>
    </xf>
    <xf numFmtId="0" fontId="79" fillId="34" borderId="31" xfId="0" applyFont="1" applyFill="1" applyBorder="1" applyAlignment="1">
      <alignment horizontal="center" vertical="center" wrapText="1"/>
    </xf>
    <xf numFmtId="0" fontId="8" fillId="0" borderId="33" xfId="0" applyFont="1" applyBorder="1" applyAlignment="1">
      <alignment horizontal="center"/>
    </xf>
    <xf numFmtId="0" fontId="8" fillId="0" borderId="54" xfId="0" applyFont="1" applyBorder="1" applyAlignment="1">
      <alignment horizontal="center"/>
    </xf>
    <xf numFmtId="0" fontId="8" fillId="0" borderId="34" xfId="0" applyFont="1" applyBorder="1" applyAlignment="1">
      <alignment horizontal="center"/>
    </xf>
    <xf numFmtId="0" fontId="8" fillId="0" borderId="37" xfId="0" applyFont="1" applyBorder="1" applyAlignment="1">
      <alignment horizontal="center"/>
    </xf>
    <xf numFmtId="0" fontId="8" fillId="0" borderId="30" xfId="0" applyFont="1" applyBorder="1" applyAlignment="1">
      <alignment horizontal="center"/>
    </xf>
    <xf numFmtId="0" fontId="8" fillId="0" borderId="38" xfId="0" applyFont="1" applyBorder="1" applyAlignment="1">
      <alignment horizontal="center"/>
    </xf>
    <xf numFmtId="0" fontId="30" fillId="9" borderId="33" xfId="0" applyFont="1" applyFill="1" applyBorder="1" applyAlignment="1">
      <alignment horizontal="center"/>
    </xf>
    <xf numFmtId="0" fontId="30" fillId="9" borderId="54" xfId="0" applyFont="1" applyFill="1" applyBorder="1" applyAlignment="1">
      <alignment horizontal="center"/>
    </xf>
    <xf numFmtId="0" fontId="30" fillId="9" borderId="34" xfId="0" applyFont="1" applyFill="1" applyBorder="1" applyAlignment="1">
      <alignment horizontal="center"/>
    </xf>
    <xf numFmtId="0" fontId="40" fillId="0" borderId="18" xfId="0" applyFont="1" applyBorder="1" applyAlignment="1">
      <alignment horizontal="center"/>
    </xf>
    <xf numFmtId="0" fontId="40" fillId="0" borderId="19" xfId="0" applyFont="1" applyBorder="1" applyAlignment="1">
      <alignment horizontal="center"/>
    </xf>
    <xf numFmtId="0" fontId="40" fillId="0" borderId="7" xfId="0" applyFont="1" applyBorder="1" applyAlignment="1">
      <alignment horizontal="center"/>
    </xf>
    <xf numFmtId="0" fontId="8" fillId="0" borderId="18" xfId="0" applyFont="1" applyBorder="1" applyAlignment="1">
      <alignment horizontal="center" wrapText="1"/>
    </xf>
    <xf numFmtId="0" fontId="8" fillId="0" borderId="19" xfId="0" applyFont="1" applyBorder="1" applyAlignment="1">
      <alignment horizontal="center" wrapText="1"/>
    </xf>
    <xf numFmtId="0" fontId="8" fillId="0" borderId="7" xfId="0" applyFont="1" applyBorder="1" applyAlignment="1">
      <alignment horizontal="center" wrapText="1"/>
    </xf>
    <xf numFmtId="0" fontId="9" fillId="0" borderId="37" xfId="0" applyFont="1" applyBorder="1" applyAlignment="1">
      <alignment horizontal="center"/>
    </xf>
    <xf numFmtId="0" fontId="9" fillId="0" borderId="30" xfId="0" applyFont="1" applyBorder="1" applyAlignment="1">
      <alignment horizontal="center"/>
    </xf>
    <xf numFmtId="0" fontId="9" fillId="0" borderId="38" xfId="0" applyFont="1" applyBorder="1" applyAlignment="1">
      <alignment horizontal="center"/>
    </xf>
    <xf numFmtId="0" fontId="9" fillId="0" borderId="33" xfId="0" applyFont="1" applyBorder="1" applyAlignment="1">
      <alignment horizontal="center"/>
    </xf>
    <xf numFmtId="0" fontId="9" fillId="0" borderId="54" xfId="0" applyFont="1" applyBorder="1" applyAlignment="1">
      <alignment horizontal="center"/>
    </xf>
    <xf numFmtId="0" fontId="9" fillId="0" borderId="34" xfId="0" applyFont="1" applyBorder="1" applyAlignment="1">
      <alignment horizontal="center"/>
    </xf>
    <xf numFmtId="0" fontId="10" fillId="0" borderId="35" xfId="0" applyFont="1" applyBorder="1" applyAlignment="1">
      <alignment horizontal="center"/>
    </xf>
    <xf numFmtId="0" fontId="10" fillId="0" borderId="53" xfId="0" applyFont="1" applyBorder="1" applyAlignment="1">
      <alignment horizontal="center"/>
    </xf>
    <xf numFmtId="0" fontId="10" fillId="0" borderId="36" xfId="0" applyFont="1" applyBorder="1" applyAlignment="1">
      <alignment horizontal="center"/>
    </xf>
    <xf numFmtId="0" fontId="9" fillId="0" borderId="72" xfId="0" applyFont="1" applyBorder="1" applyAlignment="1">
      <alignment horizontal="center"/>
    </xf>
    <xf numFmtId="0" fontId="9" fillId="0" borderId="47" xfId="0" applyFont="1" applyBorder="1" applyAlignment="1">
      <alignment horizontal="center"/>
    </xf>
    <xf numFmtId="0" fontId="9" fillId="0" borderId="73" xfId="0" applyFont="1" applyBorder="1" applyAlignment="1">
      <alignment horizontal="center"/>
    </xf>
    <xf numFmtId="0" fontId="0" fillId="0" borderId="35" xfId="0" applyBorder="1" applyAlignment="1">
      <alignment horizontal="center"/>
    </xf>
    <xf numFmtId="0" fontId="0" fillId="0" borderId="53" xfId="0" applyBorder="1" applyAlignment="1">
      <alignment horizontal="center"/>
    </xf>
    <xf numFmtId="0" fontId="0" fillId="0" borderId="36" xfId="0" applyBorder="1" applyAlignment="1">
      <alignment horizontal="center"/>
    </xf>
    <xf numFmtId="0" fontId="9" fillId="0" borderId="26" xfId="0" applyFont="1" applyBorder="1" applyAlignment="1">
      <alignment horizontal="center"/>
    </xf>
    <xf numFmtId="0" fontId="9" fillId="0" borderId="39" xfId="0" applyFont="1" applyBorder="1" applyAlignment="1">
      <alignment horizontal="center"/>
    </xf>
    <xf numFmtId="0" fontId="9" fillId="0" borderId="35" xfId="0" applyFont="1" applyBorder="1" applyAlignment="1">
      <alignment horizontal="center"/>
    </xf>
    <xf numFmtId="0" fontId="9" fillId="0" borderId="53" xfId="0" applyFont="1" applyBorder="1" applyAlignment="1">
      <alignment horizontal="center"/>
    </xf>
    <xf numFmtId="0" fontId="9" fillId="0" borderId="36" xfId="0" applyFont="1" applyBorder="1" applyAlignment="1">
      <alignment horizontal="center"/>
    </xf>
    <xf numFmtId="0" fontId="74" fillId="27" borderId="0" xfId="0" applyFont="1" applyFill="1" applyAlignment="1">
      <alignment horizontal="center" wrapText="1"/>
    </xf>
    <xf numFmtId="0" fontId="74" fillId="27" borderId="54" xfId="0" applyFont="1" applyFill="1" applyBorder="1" applyAlignment="1">
      <alignment horizontal="center" wrapText="1"/>
    </xf>
    <xf numFmtId="0" fontId="30" fillId="2" borderId="0" xfId="0" applyFont="1" applyFill="1" applyAlignment="1">
      <alignment horizontal="center"/>
    </xf>
    <xf numFmtId="0" fontId="30" fillId="2" borderId="31" xfId="0" applyFont="1" applyFill="1" applyBorder="1" applyAlignment="1">
      <alignment horizontal="center"/>
    </xf>
    <xf numFmtId="0" fontId="63" fillId="16" borderId="0" xfId="0" applyFont="1" applyFill="1" applyAlignment="1">
      <alignment horizontal="center" wrapText="1"/>
    </xf>
    <xf numFmtId="0" fontId="50" fillId="28" borderId="86" xfId="0" applyFont="1" applyFill="1" applyBorder="1" applyAlignment="1">
      <alignment horizontal="center" wrapText="1"/>
    </xf>
    <xf numFmtId="0" fontId="50" fillId="28" borderId="86" xfId="0" applyFont="1" applyFill="1" applyBorder="1" applyAlignment="1">
      <alignment horizontal="center"/>
    </xf>
    <xf numFmtId="0" fontId="50" fillId="29" borderId="93" xfId="0" applyFont="1" applyFill="1" applyBorder="1" applyAlignment="1">
      <alignment horizontal="left" wrapText="1"/>
    </xf>
    <xf numFmtId="0" fontId="50" fillId="29" borderId="96" xfId="0" applyFont="1" applyFill="1" applyBorder="1" applyAlignment="1">
      <alignment horizontal="left" wrapText="1"/>
    </xf>
    <xf numFmtId="0" fontId="50" fillId="21" borderId="86" xfId="0" applyFont="1" applyFill="1" applyBorder="1" applyAlignment="1">
      <alignment horizontal="center"/>
    </xf>
    <xf numFmtId="0" fontId="0" fillId="0" borderId="0" xfId="0" applyFill="1" applyBorder="1" applyAlignment="1">
      <alignment horizontal="center"/>
    </xf>
    <xf numFmtId="0" fontId="78" fillId="28" borderId="86" xfId="0" applyFont="1" applyFill="1" applyBorder="1" applyAlignment="1">
      <alignment horizontal="center" wrapText="1"/>
    </xf>
    <xf numFmtId="0" fontId="50" fillId="21" borderId="93" xfId="0" applyFont="1" applyFill="1" applyBorder="1" applyAlignment="1">
      <alignment horizontal="center"/>
    </xf>
    <xf numFmtId="0" fontId="50" fillId="21" borderId="95" xfId="0" applyFont="1" applyFill="1" applyBorder="1" applyAlignment="1">
      <alignment horizontal="center"/>
    </xf>
    <xf numFmtId="0" fontId="50" fillId="21" borderId="96" xfId="0" applyFont="1" applyFill="1" applyBorder="1" applyAlignment="1">
      <alignment horizontal="center"/>
    </xf>
    <xf numFmtId="0" fontId="50" fillId="24" borderId="95" xfId="0" applyFont="1" applyFill="1" applyBorder="1" applyAlignment="1">
      <alignment horizontal="center"/>
    </xf>
    <xf numFmtId="0" fontId="50" fillId="24" borderId="93" xfId="0" applyFont="1" applyFill="1" applyBorder="1" applyAlignment="1">
      <alignment horizontal="center"/>
    </xf>
    <xf numFmtId="0" fontId="78" fillId="28" borderId="86" xfId="0" applyFont="1" applyFill="1" applyBorder="1" applyAlignment="1">
      <alignment horizontal="center"/>
    </xf>
    <xf numFmtId="0" fontId="76" fillId="28" borderId="87" xfId="0" applyFont="1" applyFill="1" applyBorder="1" applyAlignment="1">
      <alignment horizontal="center" vertical="center"/>
    </xf>
    <xf numFmtId="0" fontId="76" fillId="28" borderId="0" xfId="0" applyFont="1" applyFill="1" applyBorder="1" applyAlignment="1">
      <alignment horizontal="center" vertical="center"/>
    </xf>
    <xf numFmtId="0" fontId="76" fillId="28" borderId="89" xfId="0" applyFont="1" applyFill="1" applyBorder="1" applyAlignment="1">
      <alignment horizontal="center" vertical="center"/>
    </xf>
    <xf numFmtId="0" fontId="76" fillId="28" borderId="90" xfId="0" applyFont="1" applyFill="1" applyBorder="1" applyAlignment="1">
      <alignment horizontal="center" vertical="center"/>
    </xf>
    <xf numFmtId="0" fontId="76" fillId="28" borderId="91" xfId="0" applyFont="1" applyFill="1" applyBorder="1" applyAlignment="1">
      <alignment horizontal="center" vertical="center" wrapText="1"/>
    </xf>
    <xf numFmtId="0" fontId="76" fillId="28" borderId="92" xfId="0" applyFont="1" applyFill="1" applyBorder="1" applyAlignment="1">
      <alignment horizontal="center" vertical="center" wrapText="1"/>
    </xf>
    <xf numFmtId="0" fontId="76" fillId="28" borderId="88" xfId="0" applyFont="1" applyFill="1" applyBorder="1" applyAlignment="1">
      <alignment horizontal="center" vertical="center" wrapText="1"/>
    </xf>
    <xf numFmtId="0" fontId="76" fillId="28" borderId="89" xfId="0" applyFont="1" applyFill="1" applyBorder="1" applyAlignment="1">
      <alignment horizontal="center" vertical="center" wrapText="1"/>
    </xf>
    <xf numFmtId="0" fontId="76" fillId="28" borderId="90" xfId="0" applyFont="1" applyFill="1" applyBorder="1" applyAlignment="1">
      <alignment horizontal="center" vertical="center" wrapText="1"/>
    </xf>
    <xf numFmtId="0" fontId="76" fillId="28" borderId="94" xfId="0" applyFont="1" applyFill="1" applyBorder="1" applyAlignment="1">
      <alignment horizontal="center" vertical="center" wrapText="1"/>
    </xf>
    <xf numFmtId="0" fontId="77" fillId="21" borderId="93" xfId="0" applyFont="1" applyFill="1" applyBorder="1" applyAlignment="1"/>
    <xf numFmtId="0" fontId="77" fillId="21" borderId="95" xfId="0" applyFont="1" applyFill="1" applyBorder="1" applyAlignment="1"/>
    <xf numFmtId="0" fontId="77" fillId="21" borderId="86" xfId="0" applyFont="1" applyFill="1" applyBorder="1" applyAlignment="1">
      <alignment horizontal="left"/>
    </xf>
    <xf numFmtId="169" fontId="14" fillId="0" borderId="0" xfId="0" applyNumberFormat="1" applyFont="1" applyFill="1" applyBorder="1" applyAlignment="1">
      <alignment horizontal="center"/>
    </xf>
    <xf numFmtId="0" fontId="8" fillId="0" borderId="79" xfId="0" applyFont="1" applyFill="1" applyBorder="1" applyAlignment="1">
      <alignment horizontal="center" wrapText="1"/>
    </xf>
    <xf numFmtId="0" fontId="8" fillId="0" borderId="63" xfId="0" applyFont="1" applyFill="1" applyBorder="1" applyAlignment="1">
      <alignment horizontal="center" wrapText="1"/>
    </xf>
    <xf numFmtId="0" fontId="8" fillId="0" borderId="78" xfId="0" applyFont="1" applyFill="1" applyBorder="1" applyAlignment="1">
      <alignment horizontal="center" wrapText="1"/>
    </xf>
    <xf numFmtId="0" fontId="82" fillId="22" borderId="0" xfId="0" applyFont="1" applyFill="1" applyBorder="1" applyAlignment="1">
      <alignment horizontal="center" wrapText="1"/>
    </xf>
    <xf numFmtId="0" fontId="82" fillId="22" borderId="35" xfId="0" applyFont="1" applyFill="1" applyBorder="1" applyAlignment="1">
      <alignment horizontal="center" wrapText="1"/>
    </xf>
    <xf numFmtId="0" fontId="82" fillId="22" borderId="53" xfId="0" applyFont="1" applyFill="1" applyBorder="1" applyAlignment="1">
      <alignment horizontal="center" wrapText="1"/>
    </xf>
    <xf numFmtId="0" fontId="82" fillId="22" borderId="36" xfId="0" applyFont="1" applyFill="1" applyBorder="1" applyAlignment="1">
      <alignment horizontal="center" wrapText="1"/>
    </xf>
  </cellXfs>
  <cellStyles count="180">
    <cellStyle name="Comma" xfId="1" builtinId="3"/>
    <cellStyle name="Comma 2" xfId="4" xr:uid="{00000000-0005-0000-0000-000001000000}"/>
    <cellStyle name="Comma 2 2" xfId="83" xr:uid="{00000000-0005-0000-0000-000002000000}"/>
    <cellStyle name="Comma 3" xfId="6" xr:uid="{00000000-0005-0000-0000-000003000000}"/>
    <cellStyle name="Comma 3 2" xfId="84" xr:uid="{00000000-0005-0000-0000-000004000000}"/>
    <cellStyle name="Comma 3 2 2" xfId="154" xr:uid="{00000000-0005-0000-0000-000005000000}"/>
    <cellStyle name="Comma 3 2 2 2" xfId="167" xr:uid="{00000000-0005-0000-0000-000006000000}"/>
    <cellStyle name="Comma 3 2 3" xfId="163" xr:uid="{00000000-0005-0000-0000-000007000000}"/>
    <cellStyle name="Comma 3 3" xfId="110" xr:uid="{00000000-0005-0000-0000-000008000000}"/>
    <cellStyle name="Comma 3 3 2" xfId="165" xr:uid="{00000000-0005-0000-0000-000009000000}"/>
    <cellStyle name="Comma 3 4" xfId="161" xr:uid="{00000000-0005-0000-0000-00000A000000}"/>
    <cellStyle name="Comma 3 5" xfId="170" xr:uid="{00000000-0005-0000-0000-00000B000000}"/>
    <cellStyle name="Comma 4" xfId="61" xr:uid="{00000000-0005-0000-0000-00000C000000}"/>
    <cellStyle name="Comma 4 2" xfId="133" xr:uid="{00000000-0005-0000-0000-00000D000000}"/>
    <cellStyle name="Comma 5" xfId="159" xr:uid="{00000000-0005-0000-0000-00000E000000}"/>
    <cellStyle name="Currency 2" xfId="157" xr:uid="{00000000-0005-0000-0000-00000F000000}"/>
    <cellStyle name="Currency 2 2" xfId="173" xr:uid="{00000000-0005-0000-0000-000010000000}"/>
    <cellStyle name="Currency 2 3" xfId="172" xr:uid="{00000000-0005-0000-0000-000011000000}"/>
    <cellStyle name="Currency 3" xfId="174" xr:uid="{00000000-0005-0000-0000-000012000000}"/>
    <cellStyle name="Currency 4" xfId="171" xr:uid="{00000000-0005-0000-0000-000013000000}"/>
    <cellStyle name="F2" xfId="9" xr:uid="{00000000-0005-0000-0000-000014000000}"/>
    <cellStyle name="F2 2" xfId="10" xr:uid="{00000000-0005-0000-0000-000015000000}"/>
    <cellStyle name="F3" xfId="11" xr:uid="{00000000-0005-0000-0000-000016000000}"/>
    <cellStyle name="F3 2" xfId="12" xr:uid="{00000000-0005-0000-0000-000017000000}"/>
    <cellStyle name="F8" xfId="13" xr:uid="{00000000-0005-0000-0000-000018000000}"/>
    <cellStyle name="F8 2" xfId="14" xr:uid="{00000000-0005-0000-0000-000019000000}"/>
    <cellStyle name="Hyperlink" xfId="179" builtinId="8"/>
    <cellStyle name="Hyperlink 2" xfId="15" xr:uid="{00000000-0005-0000-0000-00001B000000}"/>
    <cellStyle name="Hyperlink 3" xfId="16" xr:uid="{00000000-0005-0000-0000-00001C000000}"/>
    <cellStyle name="Hyperlink 4" xfId="17" xr:uid="{00000000-0005-0000-0000-00001D000000}"/>
    <cellStyle name="Hyperlink 5" xfId="18" xr:uid="{00000000-0005-0000-0000-00001E000000}"/>
    <cellStyle name="Hyperlink 6" xfId="19" xr:uid="{00000000-0005-0000-0000-00001F000000}"/>
    <cellStyle name="Normal" xfId="0" builtinId="0"/>
    <cellStyle name="Normal 10" xfId="20" xr:uid="{00000000-0005-0000-0000-000021000000}"/>
    <cellStyle name="Normal 10 2" xfId="21" xr:uid="{00000000-0005-0000-0000-000022000000}"/>
    <cellStyle name="Normal 10 2 2" xfId="86" xr:uid="{00000000-0005-0000-0000-000023000000}"/>
    <cellStyle name="Normal 10 3" xfId="85" xr:uid="{00000000-0005-0000-0000-000024000000}"/>
    <cellStyle name="Normal 11" xfId="22" xr:uid="{00000000-0005-0000-0000-000025000000}"/>
    <cellStyle name="Normal 11 2" xfId="23" xr:uid="{00000000-0005-0000-0000-000026000000}"/>
    <cellStyle name="Normal 11 2 2" xfId="88" xr:uid="{00000000-0005-0000-0000-000027000000}"/>
    <cellStyle name="Normal 11 3" xfId="87" xr:uid="{00000000-0005-0000-0000-000028000000}"/>
    <cellStyle name="Normal 12" xfId="24" xr:uid="{00000000-0005-0000-0000-000029000000}"/>
    <cellStyle name="Normal 12 2" xfId="25" xr:uid="{00000000-0005-0000-0000-00002A000000}"/>
    <cellStyle name="Normal 12 2 2" xfId="90" xr:uid="{00000000-0005-0000-0000-00002B000000}"/>
    <cellStyle name="Normal 12 3" xfId="89" xr:uid="{00000000-0005-0000-0000-00002C000000}"/>
    <cellStyle name="Normal 13" xfId="26" xr:uid="{00000000-0005-0000-0000-00002D000000}"/>
    <cellStyle name="Normal 13 2" xfId="27" xr:uid="{00000000-0005-0000-0000-00002E000000}"/>
    <cellStyle name="Normal 13 2 2" xfId="92" xr:uid="{00000000-0005-0000-0000-00002F000000}"/>
    <cellStyle name="Normal 13 3" xfId="91" xr:uid="{00000000-0005-0000-0000-000030000000}"/>
    <cellStyle name="Normal 14" xfId="28" xr:uid="{00000000-0005-0000-0000-000031000000}"/>
    <cellStyle name="Normal 14 2" xfId="93" xr:uid="{00000000-0005-0000-0000-000032000000}"/>
    <cellStyle name="Normal 14 2 2" xfId="155" xr:uid="{00000000-0005-0000-0000-000033000000}"/>
    <cellStyle name="Normal 14 2 2 2" xfId="168" xr:uid="{00000000-0005-0000-0000-000034000000}"/>
    <cellStyle name="Normal 14 2 3" xfId="164" xr:uid="{00000000-0005-0000-0000-000035000000}"/>
    <cellStyle name="Normal 14 3" xfId="113" xr:uid="{00000000-0005-0000-0000-000036000000}"/>
    <cellStyle name="Normal 14 3 2" xfId="166" xr:uid="{00000000-0005-0000-0000-000037000000}"/>
    <cellStyle name="Normal 14 4" xfId="162" xr:uid="{00000000-0005-0000-0000-000038000000}"/>
    <cellStyle name="Normal 15" xfId="29" xr:uid="{00000000-0005-0000-0000-000039000000}"/>
    <cellStyle name="Normal 15 2" xfId="94" xr:uid="{00000000-0005-0000-0000-00003A000000}"/>
    <cellStyle name="Normal 16" xfId="30" xr:uid="{00000000-0005-0000-0000-00003B000000}"/>
    <cellStyle name="Normal 16 2" xfId="95" xr:uid="{00000000-0005-0000-0000-00003C000000}"/>
    <cellStyle name="Normal 17" xfId="8" xr:uid="{00000000-0005-0000-0000-00003D000000}"/>
    <cellStyle name="Normal 17 2" xfId="64" xr:uid="{00000000-0005-0000-0000-00003E000000}"/>
    <cellStyle name="Normal 17 2 2" xfId="136" xr:uid="{00000000-0005-0000-0000-00003F000000}"/>
    <cellStyle name="Normal 17 3" xfId="112" xr:uid="{00000000-0005-0000-0000-000040000000}"/>
    <cellStyle name="Normal 18" xfId="42" xr:uid="{00000000-0005-0000-0000-000041000000}"/>
    <cellStyle name="Normal 18 2" xfId="65" xr:uid="{00000000-0005-0000-0000-000042000000}"/>
    <cellStyle name="Normal 18 2 2" xfId="137" xr:uid="{00000000-0005-0000-0000-000043000000}"/>
    <cellStyle name="Normal 18 3" xfId="115" xr:uid="{00000000-0005-0000-0000-000044000000}"/>
    <cellStyle name="Normal 19" xfId="44" xr:uid="{00000000-0005-0000-0000-000045000000}"/>
    <cellStyle name="Normal 19 2" xfId="66" xr:uid="{00000000-0005-0000-0000-000046000000}"/>
    <cellStyle name="Normal 19 2 2" xfId="138" xr:uid="{00000000-0005-0000-0000-000047000000}"/>
    <cellStyle name="Normal 19 3" xfId="116" xr:uid="{00000000-0005-0000-0000-000048000000}"/>
    <cellStyle name="Normal 2" xfId="3" xr:uid="{00000000-0005-0000-0000-000049000000}"/>
    <cellStyle name="Normal 2 2" xfId="32" xr:uid="{00000000-0005-0000-0000-00004A000000}"/>
    <cellStyle name="Normal 2 2 2" xfId="97" xr:uid="{00000000-0005-0000-0000-00004B000000}"/>
    <cellStyle name="Normal 2 3" xfId="31" xr:uid="{00000000-0005-0000-0000-00004C000000}"/>
    <cellStyle name="Normal 2 3 2" xfId="114" xr:uid="{00000000-0005-0000-0000-00004D000000}"/>
    <cellStyle name="Normal 2 4" xfId="96" xr:uid="{00000000-0005-0000-0000-00004E000000}"/>
    <cellStyle name="Normal 2 5" xfId="109" xr:uid="{00000000-0005-0000-0000-00004F000000}"/>
    <cellStyle name="Normal 2 6" xfId="175" xr:uid="{00000000-0005-0000-0000-000050000000}"/>
    <cellStyle name="Normal 20" xfId="45" xr:uid="{00000000-0005-0000-0000-000051000000}"/>
    <cellStyle name="Normal 20 2" xfId="67" xr:uid="{00000000-0005-0000-0000-000052000000}"/>
    <cellStyle name="Normal 20 2 2" xfId="139" xr:uid="{00000000-0005-0000-0000-000053000000}"/>
    <cellStyle name="Normal 20 3" xfId="117" xr:uid="{00000000-0005-0000-0000-000054000000}"/>
    <cellStyle name="Normal 21" xfId="7" xr:uid="{00000000-0005-0000-0000-000055000000}"/>
    <cellStyle name="Normal 21 2" xfId="63" xr:uid="{00000000-0005-0000-0000-000056000000}"/>
    <cellStyle name="Normal 21 2 2" xfId="135" xr:uid="{00000000-0005-0000-0000-000057000000}"/>
    <cellStyle name="Normal 21 3" xfId="111" xr:uid="{00000000-0005-0000-0000-000058000000}"/>
    <cellStyle name="Normal 22" xfId="46" xr:uid="{00000000-0005-0000-0000-000059000000}"/>
    <cellStyle name="Normal 22 2" xfId="68" xr:uid="{00000000-0005-0000-0000-00005A000000}"/>
    <cellStyle name="Normal 22 2 2" xfId="140" xr:uid="{00000000-0005-0000-0000-00005B000000}"/>
    <cellStyle name="Normal 22 3" xfId="118" xr:uid="{00000000-0005-0000-0000-00005C000000}"/>
    <cellStyle name="Normal 23" xfId="47" xr:uid="{00000000-0005-0000-0000-00005D000000}"/>
    <cellStyle name="Normal 23 2" xfId="69" xr:uid="{00000000-0005-0000-0000-00005E000000}"/>
    <cellStyle name="Normal 23 2 2" xfId="141" xr:uid="{00000000-0005-0000-0000-00005F000000}"/>
    <cellStyle name="Normal 23 3" xfId="119" xr:uid="{00000000-0005-0000-0000-000060000000}"/>
    <cellStyle name="Normal 24" xfId="48" xr:uid="{00000000-0005-0000-0000-000061000000}"/>
    <cellStyle name="Normal 24 2" xfId="70" xr:uid="{00000000-0005-0000-0000-000062000000}"/>
    <cellStyle name="Normal 24 2 2" xfId="142" xr:uid="{00000000-0005-0000-0000-000063000000}"/>
    <cellStyle name="Normal 24 3" xfId="120" xr:uid="{00000000-0005-0000-0000-000064000000}"/>
    <cellStyle name="Normal 25" xfId="49" xr:uid="{00000000-0005-0000-0000-000065000000}"/>
    <cellStyle name="Normal 25 2" xfId="71" xr:uid="{00000000-0005-0000-0000-000066000000}"/>
    <cellStyle name="Normal 25 2 2" xfId="143" xr:uid="{00000000-0005-0000-0000-000067000000}"/>
    <cellStyle name="Normal 25 3" xfId="121" xr:uid="{00000000-0005-0000-0000-000068000000}"/>
    <cellStyle name="Normal 26" xfId="50" xr:uid="{00000000-0005-0000-0000-000069000000}"/>
    <cellStyle name="Normal 26 2" xfId="72" xr:uid="{00000000-0005-0000-0000-00006A000000}"/>
    <cellStyle name="Normal 26 2 2" xfId="144" xr:uid="{00000000-0005-0000-0000-00006B000000}"/>
    <cellStyle name="Normal 26 3" xfId="122" xr:uid="{00000000-0005-0000-0000-00006C000000}"/>
    <cellStyle name="Normal 27" xfId="51" xr:uid="{00000000-0005-0000-0000-00006D000000}"/>
    <cellStyle name="Normal 27 2" xfId="73" xr:uid="{00000000-0005-0000-0000-00006E000000}"/>
    <cellStyle name="Normal 27 2 2" xfId="145" xr:uid="{00000000-0005-0000-0000-00006F000000}"/>
    <cellStyle name="Normal 27 3" xfId="123" xr:uid="{00000000-0005-0000-0000-000070000000}"/>
    <cellStyle name="Normal 28" xfId="52" xr:uid="{00000000-0005-0000-0000-000071000000}"/>
    <cellStyle name="Normal 28 2" xfId="74" xr:uid="{00000000-0005-0000-0000-000072000000}"/>
    <cellStyle name="Normal 28 2 2" xfId="146" xr:uid="{00000000-0005-0000-0000-000073000000}"/>
    <cellStyle name="Normal 28 3" xfId="124" xr:uid="{00000000-0005-0000-0000-000074000000}"/>
    <cellStyle name="Normal 29" xfId="53" xr:uid="{00000000-0005-0000-0000-000075000000}"/>
    <cellStyle name="Normal 29 2" xfId="75" xr:uid="{00000000-0005-0000-0000-000076000000}"/>
    <cellStyle name="Normal 29 2 2" xfId="147" xr:uid="{00000000-0005-0000-0000-000077000000}"/>
    <cellStyle name="Normal 29 3" xfId="125" xr:uid="{00000000-0005-0000-0000-000078000000}"/>
    <cellStyle name="Normal 3" xfId="33" xr:uid="{00000000-0005-0000-0000-000079000000}"/>
    <cellStyle name="Normal 3 2" xfId="98" xr:uid="{00000000-0005-0000-0000-00007A000000}"/>
    <cellStyle name="Normal 30" xfId="54" xr:uid="{00000000-0005-0000-0000-00007B000000}"/>
    <cellStyle name="Normal 30 2" xfId="76" xr:uid="{00000000-0005-0000-0000-00007C000000}"/>
    <cellStyle name="Normal 30 2 2" xfId="148" xr:uid="{00000000-0005-0000-0000-00007D000000}"/>
    <cellStyle name="Normal 30 3" xfId="126" xr:uid="{00000000-0005-0000-0000-00007E000000}"/>
    <cellStyle name="Normal 31" xfId="55" xr:uid="{00000000-0005-0000-0000-00007F000000}"/>
    <cellStyle name="Normal 31 2" xfId="77" xr:uid="{00000000-0005-0000-0000-000080000000}"/>
    <cellStyle name="Normal 31 2 2" xfId="149" xr:uid="{00000000-0005-0000-0000-000081000000}"/>
    <cellStyle name="Normal 31 3" xfId="127" xr:uid="{00000000-0005-0000-0000-000082000000}"/>
    <cellStyle name="Normal 32" xfId="56" xr:uid="{00000000-0005-0000-0000-000083000000}"/>
    <cellStyle name="Normal 32 2" xfId="78" xr:uid="{00000000-0005-0000-0000-000084000000}"/>
    <cellStyle name="Normal 32 2 2" xfId="150" xr:uid="{00000000-0005-0000-0000-000085000000}"/>
    <cellStyle name="Normal 32 3" xfId="128" xr:uid="{00000000-0005-0000-0000-000086000000}"/>
    <cellStyle name="Normal 33" xfId="58" xr:uid="{00000000-0005-0000-0000-000087000000}"/>
    <cellStyle name="Normal 33 2" xfId="80" xr:uid="{00000000-0005-0000-0000-000088000000}"/>
    <cellStyle name="Normal 33 2 2" xfId="152" xr:uid="{00000000-0005-0000-0000-000089000000}"/>
    <cellStyle name="Normal 33 3" xfId="130" xr:uid="{00000000-0005-0000-0000-00008A000000}"/>
    <cellStyle name="Normal 34" xfId="57" xr:uid="{00000000-0005-0000-0000-00008B000000}"/>
    <cellStyle name="Normal 34 2" xfId="79" xr:uid="{00000000-0005-0000-0000-00008C000000}"/>
    <cellStyle name="Normal 34 2 2" xfId="151" xr:uid="{00000000-0005-0000-0000-00008D000000}"/>
    <cellStyle name="Normal 34 3" xfId="129" xr:uid="{00000000-0005-0000-0000-00008E000000}"/>
    <cellStyle name="Normal 35" xfId="59" xr:uid="{00000000-0005-0000-0000-00008F000000}"/>
    <cellStyle name="Normal 35 2" xfId="81" xr:uid="{00000000-0005-0000-0000-000090000000}"/>
    <cellStyle name="Normal 35 2 2" xfId="153" xr:uid="{00000000-0005-0000-0000-000091000000}"/>
    <cellStyle name="Normal 35 3" xfId="131" xr:uid="{00000000-0005-0000-0000-000092000000}"/>
    <cellStyle name="Normal 36" xfId="60" xr:uid="{00000000-0005-0000-0000-000093000000}"/>
    <cellStyle name="Normal 36 2" xfId="132" xr:uid="{00000000-0005-0000-0000-000094000000}"/>
    <cellStyle name="Normal 37" xfId="82" xr:uid="{00000000-0005-0000-0000-000095000000}"/>
    <cellStyle name="Normal 38" xfId="158" xr:uid="{00000000-0005-0000-0000-000096000000}"/>
    <cellStyle name="Normal 39" xfId="156" xr:uid="{00000000-0005-0000-0000-000097000000}"/>
    <cellStyle name="Normal 4" xfId="34" xr:uid="{00000000-0005-0000-0000-000098000000}"/>
    <cellStyle name="Normal 4 2" xfId="99" xr:uid="{00000000-0005-0000-0000-000099000000}"/>
    <cellStyle name="Normal 4 3" xfId="176" xr:uid="{00000000-0005-0000-0000-00009A000000}"/>
    <cellStyle name="Normal 40" xfId="169" xr:uid="{00000000-0005-0000-0000-00009B000000}"/>
    <cellStyle name="Normal 5" xfId="35" xr:uid="{00000000-0005-0000-0000-00009C000000}"/>
    <cellStyle name="Normal 5 2" xfId="100" xr:uid="{00000000-0005-0000-0000-00009D000000}"/>
    <cellStyle name="Normal 5 3" xfId="177" xr:uid="{00000000-0005-0000-0000-00009E000000}"/>
    <cellStyle name="Normal 6" xfId="36" xr:uid="{00000000-0005-0000-0000-00009F000000}"/>
    <cellStyle name="Normal 6 2" xfId="37" xr:uid="{00000000-0005-0000-0000-0000A0000000}"/>
    <cellStyle name="Normal 6 2 2" xfId="102" xr:uid="{00000000-0005-0000-0000-0000A1000000}"/>
    <cellStyle name="Normal 6 3" xfId="101" xr:uid="{00000000-0005-0000-0000-0000A2000000}"/>
    <cellStyle name="Normal 7" xfId="38" xr:uid="{00000000-0005-0000-0000-0000A3000000}"/>
    <cellStyle name="Normal 7 2" xfId="39" xr:uid="{00000000-0005-0000-0000-0000A4000000}"/>
    <cellStyle name="Normal 7 2 2" xfId="104" xr:uid="{00000000-0005-0000-0000-0000A5000000}"/>
    <cellStyle name="Normal 7 3" xfId="103" xr:uid="{00000000-0005-0000-0000-0000A6000000}"/>
    <cellStyle name="Normal 8" xfId="40" xr:uid="{00000000-0005-0000-0000-0000A7000000}"/>
    <cellStyle name="Normal 8 2" xfId="105" xr:uid="{00000000-0005-0000-0000-0000A8000000}"/>
    <cellStyle name="Normal 9" xfId="41" xr:uid="{00000000-0005-0000-0000-0000A9000000}"/>
    <cellStyle name="Normal 9 2" xfId="106" xr:uid="{00000000-0005-0000-0000-0000AA000000}"/>
    <cellStyle name="Percent" xfId="2" builtinId="5"/>
    <cellStyle name="Percent 2" xfId="5" xr:uid="{00000000-0005-0000-0000-0000AC000000}"/>
    <cellStyle name="Percent 2 2" xfId="107" xr:uid="{00000000-0005-0000-0000-0000AD000000}"/>
    <cellStyle name="Percent 3" xfId="43" xr:uid="{00000000-0005-0000-0000-0000AE000000}"/>
    <cellStyle name="Percent 3 2" xfId="108" xr:uid="{00000000-0005-0000-0000-0000AF000000}"/>
    <cellStyle name="Percent 4" xfId="62" xr:uid="{00000000-0005-0000-0000-0000B0000000}"/>
    <cellStyle name="Percent 4 2" xfId="134" xr:uid="{00000000-0005-0000-0000-0000B1000000}"/>
    <cellStyle name="Percent 5" xfId="160" xr:uid="{00000000-0005-0000-0000-0000B2000000}"/>
    <cellStyle name="Percent 6" xfId="178" xr:uid="{00000000-0005-0000-0000-0000B3000000}"/>
  </cellStyles>
  <dxfs count="0"/>
  <tableStyles count="0" defaultTableStyle="TableStyleMedium9" defaultPivotStyle="PivotStyleLight16"/>
  <colors>
    <mruColors>
      <color rgb="FFFFFFCC"/>
      <color rgb="FF76DA4E"/>
      <color rgb="FF00FFFF"/>
      <color rgb="FFCC99FF"/>
      <color rgb="FF1CBE06"/>
      <color rgb="FFFF99FF"/>
      <color rgb="FFFFFF00"/>
      <color rgb="FF0066FF"/>
      <color rgb="FFFF33CC"/>
      <color rgb="FF4EE6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 DSM </a:t>
            </a:r>
          </a:p>
          <a:p>
            <a:pPr>
              <a:defRPr/>
            </a:pPr>
            <a:r>
              <a:rPr lang="en-US"/>
              <a:t>Incremental Energy Savings</a:t>
            </a:r>
          </a:p>
        </c:rich>
      </c:tx>
      <c:overlay val="0"/>
    </c:title>
    <c:autoTitleDeleted val="0"/>
    <c:plotArea>
      <c:layout>
        <c:manualLayout>
          <c:layoutTarget val="inner"/>
          <c:xMode val="edge"/>
          <c:yMode val="edge"/>
          <c:x val="9.2086444481190619E-2"/>
          <c:y val="0.25104675362797102"/>
          <c:w val="0.88843591325882287"/>
          <c:h val="0.516970338410077"/>
        </c:manualLayout>
      </c:layout>
      <c:barChart>
        <c:barDir val="col"/>
        <c:grouping val="stacked"/>
        <c:varyColors val="0"/>
        <c:ser>
          <c:idx val="0"/>
          <c:order val="0"/>
          <c:tx>
            <c:v>Programs Existing Prior to 2007</c:v>
          </c:tx>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Summary'!$BT$109:$BT$136</c:f>
              <c:numCache>
                <c:formatCode>_(* #,##0.0_);_(* \(#,##0.0\);_(* "-"??_);_(@_)</c:formatCode>
                <c:ptCount val="28"/>
                <c:pt idx="0">
                  <c:v>10.219314997420327</c:v>
                </c:pt>
                <c:pt idx="1">
                  <c:v>16.706120349419592</c:v>
                </c:pt>
                <c:pt idx="2">
                  <c:v>17.18898005531895</c:v>
                </c:pt>
                <c:pt idx="3">
                  <c:v>18.247668312045505</c:v>
                </c:pt>
                <c:pt idx="4">
                  <c:v>17.582159079318956</c:v>
                </c:pt>
                <c:pt idx="5">
                  <c:v>17.573360652542135</c:v>
                </c:pt>
                <c:pt idx="6">
                  <c:v>13.541133311936903</c:v>
                </c:pt>
                <c:pt idx="7">
                  <c:v>15.390447143429071</c:v>
                </c:pt>
                <c:pt idx="8">
                  <c:v>16.498023140906184</c:v>
                </c:pt>
                <c:pt idx="9">
                  <c:v>15.970018830000015</c:v>
                </c:pt>
                <c:pt idx="10">
                  <c:v>9.9409423588595018</c:v>
                </c:pt>
                <c:pt idx="11">
                  <c:v>8.1921952192460594</c:v>
                </c:pt>
                <c:pt idx="12">
                  <c:v>8.4869260400000144</c:v>
                </c:pt>
                <c:pt idx="13">
                  <c:v>9.9253146626255671</c:v>
                </c:pt>
                <c:pt idx="14">
                  <c:v>12.562879773883708</c:v>
                </c:pt>
                <c:pt idx="15">
                  <c:v>13.929035999999996</c:v>
                </c:pt>
                <c:pt idx="16">
                  <c:v>14.975411290000011</c:v>
                </c:pt>
                <c:pt idx="17">
                  <c:v>16.213668310000003</c:v>
                </c:pt>
                <c:pt idx="18">
                  <c:v>15.657739442858258</c:v>
                </c:pt>
                <c:pt idx="19">
                  <c:v>24.01882170615022</c:v>
                </c:pt>
                <c:pt idx="20">
                  <c:v>12.630355862982015</c:v>
                </c:pt>
                <c:pt idx="21">
                  <c:v>6.0536013120001826</c:v>
                </c:pt>
                <c:pt idx="22">
                  <c:v>2.0891291519999413</c:v>
                </c:pt>
                <c:pt idx="23">
                  <c:v>1.255504799999926</c:v>
                </c:pt>
                <c:pt idx="24">
                  <c:v>1.2063744000000725</c:v>
                </c:pt>
                <c:pt idx="25">
                  <c:v>1.167038400000024</c:v>
                </c:pt>
                <c:pt idx="26">
                  <c:v>1.167038400000024</c:v>
                </c:pt>
                <c:pt idx="27">
                  <c:v>1.127860799999894</c:v>
                </c:pt>
              </c:numCache>
            </c:numRef>
          </c:val>
          <c:extLst>
            <c:ext xmlns:c16="http://schemas.microsoft.com/office/drawing/2014/chart" uri="{C3380CC4-5D6E-409C-BE32-E72D297353CC}">
              <c16:uniqueId val="{00000000-DDF4-4937-BB32-3D240901247B}"/>
            </c:ext>
          </c:extLst>
        </c:ser>
        <c:ser>
          <c:idx val="1"/>
          <c:order val="1"/>
          <c:tx>
            <c:v>New Programs since 2007</c:v>
          </c:tx>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Summary'!$BU$109:$BU$136</c:f>
              <c:numCache>
                <c:formatCode>_(* #,##0.0_);_(* \(#,##0.0\);_(* "-"??_);_(@_)</c:formatCode>
                <c:ptCount val="28"/>
                <c:pt idx="0">
                  <c:v>0</c:v>
                </c:pt>
                <c:pt idx="1">
                  <c:v>0</c:v>
                </c:pt>
                <c:pt idx="2">
                  <c:v>0</c:v>
                </c:pt>
                <c:pt idx="3">
                  <c:v>0</c:v>
                </c:pt>
                <c:pt idx="4">
                  <c:v>0</c:v>
                </c:pt>
                <c:pt idx="5">
                  <c:v>0</c:v>
                </c:pt>
                <c:pt idx="6">
                  <c:v>0</c:v>
                </c:pt>
                <c:pt idx="7">
                  <c:v>0</c:v>
                </c:pt>
                <c:pt idx="8">
                  <c:v>0</c:v>
                </c:pt>
                <c:pt idx="9">
                  <c:v>0</c:v>
                </c:pt>
                <c:pt idx="10">
                  <c:v>0</c:v>
                </c:pt>
                <c:pt idx="11">
                  <c:v>0</c:v>
                </c:pt>
                <c:pt idx="12">
                  <c:v>9.6497100000021874E-2</c:v>
                </c:pt>
                <c:pt idx="13">
                  <c:v>0.11643092999997862</c:v>
                </c:pt>
                <c:pt idx="14">
                  <c:v>0.35512806695652444</c:v>
                </c:pt>
                <c:pt idx="15">
                  <c:v>0.7338173299999653</c:v>
                </c:pt>
                <c:pt idx="16">
                  <c:v>1.1226232100000857</c:v>
                </c:pt>
                <c:pt idx="17">
                  <c:v>2.5979312099998992</c:v>
                </c:pt>
                <c:pt idx="18">
                  <c:v>4.6166672660870063</c:v>
                </c:pt>
                <c:pt idx="19">
                  <c:v>9.2406848159998844</c:v>
                </c:pt>
                <c:pt idx="20">
                  <c:v>9.140874842293556</c:v>
                </c:pt>
                <c:pt idx="21">
                  <c:v>13.129801871999916</c:v>
                </c:pt>
                <c:pt idx="22">
                  <c:v>10.168023360000007</c:v>
                </c:pt>
                <c:pt idx="23">
                  <c:v>10.334377152000229</c:v>
                </c:pt>
                <c:pt idx="24">
                  <c:v>11.078202431999671</c:v>
                </c:pt>
                <c:pt idx="25">
                  <c:v>11.496346751999909</c:v>
                </c:pt>
                <c:pt idx="26">
                  <c:v>11.496346752000477</c:v>
                </c:pt>
                <c:pt idx="27">
                  <c:v>11.496346751999909</c:v>
                </c:pt>
              </c:numCache>
            </c:numRef>
          </c:val>
          <c:extLst>
            <c:ext xmlns:c16="http://schemas.microsoft.com/office/drawing/2014/chart" uri="{C3380CC4-5D6E-409C-BE32-E72D297353CC}">
              <c16:uniqueId val="{00000001-DDF4-4937-BB32-3D240901247B}"/>
            </c:ext>
          </c:extLst>
        </c:ser>
        <c:dLbls>
          <c:showLegendKey val="0"/>
          <c:showVal val="0"/>
          <c:showCatName val="0"/>
          <c:showSerName val="0"/>
          <c:showPercent val="0"/>
          <c:showBubbleSize val="0"/>
        </c:dLbls>
        <c:gapWidth val="150"/>
        <c:overlap val="100"/>
        <c:axId val="373591424"/>
        <c:axId val="373617792"/>
      </c:barChart>
      <c:catAx>
        <c:axId val="373591424"/>
        <c:scaling>
          <c:orientation val="minMax"/>
        </c:scaling>
        <c:delete val="0"/>
        <c:axPos val="b"/>
        <c:numFmt formatCode="General" sourceLinked="1"/>
        <c:majorTickMark val="out"/>
        <c:minorTickMark val="none"/>
        <c:tickLblPos val="nextTo"/>
        <c:crossAx val="373617792"/>
        <c:crosses val="autoZero"/>
        <c:auto val="1"/>
        <c:lblAlgn val="ctr"/>
        <c:lblOffset val="100"/>
        <c:noMultiLvlLbl val="0"/>
      </c:catAx>
      <c:valAx>
        <c:axId val="373617792"/>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73591424"/>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Energy Change from Forcst09-Forcst08</a:t>
            </a:r>
          </a:p>
        </c:rich>
      </c:tx>
      <c:overlay val="0"/>
      <c:spPr>
        <a:noFill/>
        <a:ln w="25400">
          <a:noFill/>
        </a:ln>
      </c:spPr>
    </c:title>
    <c:autoTitleDeleted val="0"/>
    <c:plotArea>
      <c:layout>
        <c:manualLayout>
          <c:layoutTarget val="inner"/>
          <c:xMode val="edge"/>
          <c:yMode val="edge"/>
          <c:x val="0"/>
          <c:y val="0.2013888888888889"/>
          <c:w val="0"/>
          <c:h val="0.60416666666666663"/>
        </c:manualLayout>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CompareFcsts!#REF!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0E8-431B-B9C3-7F6CBCFE9C4A}"/>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CompareFcsts!#REF!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0E8-431B-B9C3-7F6CBCFE9C4A}"/>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CompareFcsts!#REF!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0E8-431B-B9C3-7F6CBCFE9C4A}"/>
            </c:ext>
          </c:extLst>
        </c:ser>
        <c:ser>
          <c:idx val="3"/>
          <c:order val="3"/>
          <c:spPr>
            <a:ln w="12700">
              <a:solidFill>
                <a:srgbClr val="00FFFF"/>
              </a:solidFill>
              <a:prstDash val="solid"/>
            </a:ln>
          </c:spPr>
          <c:marker>
            <c:symbol val="x"/>
            <c:size val="5"/>
            <c:spPr>
              <a:noFill/>
              <a:ln>
                <a:solidFill>
                  <a:srgbClr val="00FFFF"/>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CompareFcsts!#REF!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30E8-431B-B9C3-7F6CBCFE9C4A}"/>
            </c:ext>
          </c:extLst>
        </c:ser>
        <c:ser>
          <c:idx val="4"/>
          <c:order val="4"/>
          <c:spPr>
            <a:ln w="12700">
              <a:solidFill>
                <a:srgbClr val="800080"/>
              </a:solidFill>
              <a:prstDash val="solid"/>
            </a:ln>
          </c:spPr>
          <c:marker>
            <c:symbol val="star"/>
            <c:size val="5"/>
            <c:spPr>
              <a:noFill/>
              <a:ln>
                <a:solidFill>
                  <a:srgbClr val="800080"/>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CompareFcsts!#REF!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4-30E8-431B-B9C3-7F6CBCFE9C4A}"/>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CompareFcsts!#REF!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5-30E8-431B-B9C3-7F6CBCFE9C4A}"/>
            </c:ext>
          </c:extLst>
        </c:ser>
        <c:dLbls>
          <c:showLegendKey val="0"/>
          <c:showVal val="0"/>
          <c:showCatName val="0"/>
          <c:showSerName val="0"/>
          <c:showPercent val="0"/>
          <c:showBubbleSize val="0"/>
        </c:dLbls>
        <c:marker val="1"/>
        <c:smooth val="0"/>
        <c:axId val="141853440"/>
        <c:axId val="141855360"/>
      </c:lineChart>
      <c:catAx>
        <c:axId val="1418534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855360"/>
        <c:crosses val="autoZero"/>
        <c:auto val="1"/>
        <c:lblAlgn val="ctr"/>
        <c:lblOffset val="100"/>
        <c:tickLblSkip val="1"/>
        <c:tickMarkSkip val="1"/>
        <c:noMultiLvlLbl val="0"/>
      </c:catAx>
      <c:valAx>
        <c:axId val="14185536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418534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Demand Change from Forcst09-Forcst08</a:t>
            </a:r>
          </a:p>
        </c:rich>
      </c:tx>
      <c:overlay val="0"/>
      <c:spPr>
        <a:noFill/>
        <a:ln w="25400">
          <a:noFill/>
        </a:ln>
      </c:spPr>
    </c:title>
    <c:autoTitleDeleted val="0"/>
    <c:plotArea>
      <c:layout>
        <c:manualLayout>
          <c:layoutTarget val="inner"/>
          <c:xMode val="edge"/>
          <c:yMode val="edge"/>
          <c:x val="0"/>
          <c:y val="8.3102493074792241E-2"/>
          <c:w val="0"/>
          <c:h val="0.57617728531855961"/>
        </c:manualLayout>
      </c:layout>
      <c:lineChart>
        <c:grouping val="standard"/>
        <c:varyColors val="0"/>
        <c:ser>
          <c:idx val="0"/>
          <c:order val="0"/>
          <c:tx>
            <c:v>Conservation Winter Peak MW</c:v>
          </c:tx>
          <c:spPr>
            <a:ln w="12700">
              <a:solidFill>
                <a:srgbClr val="000080"/>
              </a:solidFill>
              <a:prstDash val="solid"/>
            </a:ln>
          </c:spPr>
          <c:marker>
            <c:symbol val="diamond"/>
            <c:size val="5"/>
            <c:spPr>
              <a:solidFill>
                <a:srgbClr val="000080"/>
              </a:solidFill>
              <a:ln>
                <a:solidFill>
                  <a:srgbClr val="000080"/>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0A7-4908-80F2-A9EEF9DABF1E}"/>
            </c:ext>
          </c:extLst>
        </c:ser>
        <c:ser>
          <c:idx val="1"/>
          <c:order val="1"/>
          <c:tx>
            <c:v>Conservation Summer Peak MW</c:v>
          </c:tx>
          <c:spPr>
            <a:ln w="12700">
              <a:solidFill>
                <a:srgbClr val="FF00FF"/>
              </a:solidFill>
              <a:prstDash val="solid"/>
            </a:ln>
          </c:spPr>
          <c:marker>
            <c:symbol val="square"/>
            <c:size val="5"/>
            <c:spPr>
              <a:solidFill>
                <a:srgbClr val="FF00FF"/>
              </a:solidFill>
              <a:ln>
                <a:solidFill>
                  <a:srgbClr val="FF00FF"/>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0A7-4908-80F2-A9EEF9DABF1E}"/>
            </c:ext>
          </c:extLst>
        </c:ser>
        <c:ser>
          <c:idx val="2"/>
          <c:order val="2"/>
          <c:tx>
            <c:v>LM Winter Peak MW</c:v>
          </c:tx>
          <c:spPr>
            <a:ln w="12700">
              <a:solidFill>
                <a:srgbClr val="FFFF00"/>
              </a:solidFill>
              <a:prstDash val="solid"/>
            </a:ln>
          </c:spPr>
          <c:marker>
            <c:symbol val="triangle"/>
            <c:size val="5"/>
            <c:spPr>
              <a:solidFill>
                <a:srgbClr val="FFFF00"/>
              </a:solidFill>
              <a:ln>
                <a:solidFill>
                  <a:srgbClr val="FFFF00"/>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0A7-4908-80F2-A9EEF9DABF1E}"/>
            </c:ext>
          </c:extLst>
        </c:ser>
        <c:ser>
          <c:idx val="3"/>
          <c:order val="3"/>
          <c:tx>
            <c:v>LM Summer Peak MW</c:v>
          </c:tx>
          <c:spPr>
            <a:ln w="12700">
              <a:solidFill>
                <a:srgbClr val="00FFFF"/>
              </a:solidFill>
              <a:prstDash val="solid"/>
            </a:ln>
          </c:spPr>
          <c:marker>
            <c:symbol val="x"/>
            <c:size val="5"/>
            <c:spPr>
              <a:noFill/>
              <a:ln>
                <a:solidFill>
                  <a:srgbClr val="00FFFF"/>
                </a:solidFill>
                <a:prstDash val="solid"/>
              </a:ln>
            </c:spPr>
          </c:marker>
          <c:val>
            <c:numRef>
              <c:f>CompareFcsts!#REF!</c:f>
              <c:numCache>
                <c:formatCode>General</c:formatCode>
                <c:ptCount val="1"/>
                <c:pt idx="0">
                  <c:v>1</c:v>
                </c:pt>
              </c:numCache>
            </c:numRef>
          </c:val>
          <c:smooth val="0"/>
          <c:extLst>
            <c:ext xmlns:c15="http://schemas.microsoft.com/office/drawing/2012/chart" uri="{02D57815-91ED-43cb-92C2-25804820EDAC}">
              <c15:filteredCategoryTitle>
                <c15:cat>
                  <c:numRef>
                    <c:extLst>
                      <c:ext uri="{02D57815-91ED-43cb-92C2-25804820EDAC}">
                        <c15:formulaRef>
                          <c15:sqref>CompareFcsts!#REF!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3-B0A7-4908-80F2-A9EEF9DABF1E}"/>
            </c:ext>
          </c:extLst>
        </c:ser>
        <c:dLbls>
          <c:showLegendKey val="0"/>
          <c:showVal val="0"/>
          <c:showCatName val="0"/>
          <c:showSerName val="0"/>
          <c:showPercent val="0"/>
          <c:showBubbleSize val="0"/>
        </c:dLbls>
        <c:marker val="1"/>
        <c:smooth val="0"/>
        <c:axId val="142997760"/>
        <c:axId val="146874752"/>
      </c:lineChart>
      <c:catAx>
        <c:axId val="14299776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low"/>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46874752"/>
        <c:crosses val="autoZero"/>
        <c:auto val="1"/>
        <c:lblAlgn val="ctr"/>
        <c:lblOffset val="100"/>
        <c:tickLblSkip val="1"/>
        <c:tickMarkSkip val="1"/>
        <c:noMultiLvlLbl val="0"/>
      </c:catAx>
      <c:valAx>
        <c:axId val="14687475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429977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Change in GWHs </a:t>
            </a:r>
          </a:p>
        </c:rich>
      </c:tx>
      <c:layout>
        <c:manualLayout>
          <c:xMode val="edge"/>
          <c:yMode val="edge"/>
          <c:x val="0.3331502166880303"/>
          <c:y val="5.5555555555555552E-2"/>
        </c:manualLayout>
      </c:layout>
      <c:overlay val="0"/>
    </c:title>
    <c:autoTitleDeleted val="0"/>
    <c:plotArea>
      <c:layout>
        <c:manualLayout>
          <c:layoutTarget val="inner"/>
          <c:xMode val="edge"/>
          <c:yMode val="edge"/>
          <c:x val="9.8571741032370958E-2"/>
          <c:y val="0.20244240303295422"/>
          <c:w val="0.86480183727034121"/>
          <c:h val="0.51283256259634213"/>
        </c:manualLayout>
      </c:layout>
      <c:lineChart>
        <c:grouping val="standard"/>
        <c:varyColors val="0"/>
        <c:ser>
          <c:idx val="0"/>
          <c:order val="0"/>
          <c:tx>
            <c:v>RES</c:v>
          </c:tx>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CompareFcsts!$B$64:$B$88</c:f>
              <c:numCache>
                <c:formatCode>0.0_);[Red]\(0.0\)</c:formatCode>
                <c:ptCount val="25"/>
                <c:pt idx="0">
                  <c:v>0</c:v>
                </c:pt>
                <c:pt idx="1">
                  <c:v>0</c:v>
                </c:pt>
                <c:pt idx="2">
                  <c:v>0</c:v>
                </c:pt>
                <c:pt idx="3">
                  <c:v>0</c:v>
                </c:pt>
                <c:pt idx="4">
                  <c:v>0</c:v>
                </c:pt>
                <c:pt idx="5">
                  <c:v>0</c:v>
                </c:pt>
                <c:pt idx="6">
                  <c:v>0</c:v>
                </c:pt>
                <c:pt idx="7">
                  <c:v>0</c:v>
                </c:pt>
                <c:pt idx="8">
                  <c:v>0</c:v>
                </c:pt>
                <c:pt idx="9">
                  <c:v>0</c:v>
                </c:pt>
                <c:pt idx="10">
                  <c:v>1.3637289600001168</c:v>
                </c:pt>
                <c:pt idx="11">
                  <c:v>2.7274579200001199</c:v>
                </c:pt>
                <c:pt idx="12">
                  <c:v>2.7274579200002336</c:v>
                </c:pt>
                <c:pt idx="13">
                  <c:v>2.7274579200000062</c:v>
                </c:pt>
                <c:pt idx="14">
                  <c:v>2.7274579199998925</c:v>
                </c:pt>
                <c:pt idx="15">
                  <c:v>2.7274579200002336</c:v>
                </c:pt>
                <c:pt idx="16">
                  <c:v>2.7274579200000062</c:v>
                </c:pt>
                <c:pt idx="17">
                  <c:v>2.7274579200001199</c:v>
                </c:pt>
                <c:pt idx="18">
                  <c:v>2.7274579199998925</c:v>
                </c:pt>
                <c:pt idx="19">
                  <c:v>2.7274579200001199</c:v>
                </c:pt>
                <c:pt idx="20">
                  <c:v>2.7274579200001199</c:v>
                </c:pt>
                <c:pt idx="21">
                  <c:v>2.7274579200001199</c:v>
                </c:pt>
                <c:pt idx="22">
                  <c:v>2.7274579199998925</c:v>
                </c:pt>
                <c:pt idx="23">
                  <c:v>2.7274579200002336</c:v>
                </c:pt>
                <c:pt idx="24">
                  <c:v>2.7274579200000062</c:v>
                </c:pt>
              </c:numCache>
            </c:numRef>
          </c:val>
          <c:smooth val="0"/>
          <c:extLst>
            <c:ext xmlns:c16="http://schemas.microsoft.com/office/drawing/2014/chart" uri="{C3380CC4-5D6E-409C-BE32-E72D297353CC}">
              <c16:uniqueId val="{00000000-9275-4F1B-83E3-EA88C0D7F4C2}"/>
            </c:ext>
          </c:extLst>
        </c:ser>
        <c:ser>
          <c:idx val="1"/>
          <c:order val="1"/>
          <c:tx>
            <c:v>COM</c:v>
          </c:tx>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CompareFcsts!$C$64:$C$88</c:f>
              <c:numCache>
                <c:formatCode>0.0_);[Red]\(0.0\)</c:formatCode>
                <c:ptCount val="25"/>
                <c:pt idx="0">
                  <c:v>0</c:v>
                </c:pt>
                <c:pt idx="1">
                  <c:v>0</c:v>
                </c:pt>
                <c:pt idx="2">
                  <c:v>0</c:v>
                </c:pt>
                <c:pt idx="3">
                  <c:v>0</c:v>
                </c:pt>
                <c:pt idx="4">
                  <c:v>0</c:v>
                </c:pt>
                <c:pt idx="5">
                  <c:v>0</c:v>
                </c:pt>
                <c:pt idx="6">
                  <c:v>0</c:v>
                </c:pt>
                <c:pt idx="7">
                  <c:v>0</c:v>
                </c:pt>
                <c:pt idx="8">
                  <c:v>0</c:v>
                </c:pt>
                <c:pt idx="9">
                  <c:v>0</c:v>
                </c:pt>
                <c:pt idx="10">
                  <c:v>-1.6664094984749909</c:v>
                </c:pt>
                <c:pt idx="11">
                  <c:v>-0.68968158111994171</c:v>
                </c:pt>
                <c:pt idx="12">
                  <c:v>-5.0030244953201191</c:v>
                </c:pt>
                <c:pt idx="13">
                  <c:v>-9.5225804495198645</c:v>
                </c:pt>
                <c:pt idx="14">
                  <c:v>-14.942190520719919</c:v>
                </c:pt>
                <c:pt idx="15">
                  <c:v>-21.055641668919975</c:v>
                </c:pt>
                <c:pt idx="16">
                  <c:v>-27.169092817120031</c:v>
                </c:pt>
                <c:pt idx="17">
                  <c:v>-33.28254396531986</c:v>
                </c:pt>
                <c:pt idx="18">
                  <c:v>-39.395995113519916</c:v>
                </c:pt>
                <c:pt idx="19">
                  <c:v>-45.509446261719916</c:v>
                </c:pt>
                <c:pt idx="20">
                  <c:v>-51.609294734319974</c:v>
                </c:pt>
                <c:pt idx="21">
                  <c:v>-57.722745882519973</c:v>
                </c:pt>
                <c:pt idx="22">
                  <c:v>-63.836197030719973</c:v>
                </c:pt>
                <c:pt idx="23">
                  <c:v>-69.949648178919972</c:v>
                </c:pt>
                <c:pt idx="24">
                  <c:v>-76.063099327119915</c:v>
                </c:pt>
              </c:numCache>
            </c:numRef>
          </c:val>
          <c:smooth val="0"/>
          <c:extLst>
            <c:ext xmlns:c16="http://schemas.microsoft.com/office/drawing/2014/chart" uri="{C3380CC4-5D6E-409C-BE32-E72D297353CC}">
              <c16:uniqueId val="{00000001-9275-4F1B-83E3-EA88C0D7F4C2}"/>
            </c:ext>
          </c:extLst>
        </c:ser>
        <c:ser>
          <c:idx val="2"/>
          <c:order val="2"/>
          <c:tx>
            <c:v>IND</c:v>
          </c:tx>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CompareFcsts!$D$64:$D$88</c:f>
              <c:numCache>
                <c:formatCode>0.0_);[Red]\(0.0\)</c:formatCode>
                <c:ptCount val="25"/>
                <c:pt idx="0">
                  <c:v>0</c:v>
                </c:pt>
                <c:pt idx="1">
                  <c:v>0</c:v>
                </c:pt>
                <c:pt idx="2">
                  <c:v>0</c:v>
                </c:pt>
                <c:pt idx="3">
                  <c:v>0</c:v>
                </c:pt>
                <c:pt idx="4">
                  <c:v>0</c:v>
                </c:pt>
                <c:pt idx="5">
                  <c:v>0</c:v>
                </c:pt>
                <c:pt idx="6">
                  <c:v>0</c:v>
                </c:pt>
                <c:pt idx="7">
                  <c:v>0</c:v>
                </c:pt>
                <c:pt idx="8">
                  <c:v>0</c:v>
                </c:pt>
                <c:pt idx="9">
                  <c:v>0</c:v>
                </c:pt>
                <c:pt idx="10">
                  <c:v>-0.15815527760832992</c:v>
                </c:pt>
                <c:pt idx="11">
                  <c:v>-3.5254198124427205E-2</c:v>
                </c:pt>
                <c:pt idx="12">
                  <c:v>-0.51451452192445402</c:v>
                </c:pt>
                <c:pt idx="13">
                  <c:v>-1.0166874057244399</c:v>
                </c:pt>
                <c:pt idx="14">
                  <c:v>-1.6188663025244381</c:v>
                </c:pt>
                <c:pt idx="15">
                  <c:v>-2.2981386523244396</c:v>
                </c:pt>
                <c:pt idx="16">
                  <c:v>-2.9774110021244411</c:v>
                </c:pt>
                <c:pt idx="17">
                  <c:v>-3.6566833519244426</c:v>
                </c:pt>
                <c:pt idx="18">
                  <c:v>-4.335955701724437</c:v>
                </c:pt>
                <c:pt idx="19">
                  <c:v>-5.0152280515244385</c:v>
                </c:pt>
                <c:pt idx="20">
                  <c:v>-5.692988992924441</c:v>
                </c:pt>
                <c:pt idx="21">
                  <c:v>-6.3722613427244426</c:v>
                </c:pt>
                <c:pt idx="22">
                  <c:v>-7.051533692524437</c:v>
                </c:pt>
                <c:pt idx="23">
                  <c:v>-7.7308060423244314</c:v>
                </c:pt>
                <c:pt idx="24">
                  <c:v>-8.41007839212444</c:v>
                </c:pt>
              </c:numCache>
            </c:numRef>
          </c:val>
          <c:smooth val="0"/>
          <c:extLst>
            <c:ext xmlns:c16="http://schemas.microsoft.com/office/drawing/2014/chart" uri="{C3380CC4-5D6E-409C-BE32-E72D297353CC}">
              <c16:uniqueId val="{00000002-9275-4F1B-83E3-EA88C0D7F4C2}"/>
            </c:ext>
          </c:extLst>
        </c:ser>
        <c:dLbls>
          <c:showLegendKey val="0"/>
          <c:showVal val="0"/>
          <c:showCatName val="0"/>
          <c:showSerName val="0"/>
          <c:showPercent val="0"/>
          <c:showBubbleSize val="0"/>
        </c:dLbls>
        <c:marker val="1"/>
        <c:smooth val="0"/>
        <c:axId val="147012608"/>
        <c:axId val="147014400"/>
      </c:lineChart>
      <c:catAx>
        <c:axId val="147012608"/>
        <c:scaling>
          <c:orientation val="minMax"/>
        </c:scaling>
        <c:delete val="0"/>
        <c:axPos val="b"/>
        <c:majorGridlines/>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47014400"/>
        <c:crosses val="autoZero"/>
        <c:auto val="1"/>
        <c:lblAlgn val="ctr"/>
        <c:lblOffset val="100"/>
        <c:noMultiLvlLbl val="0"/>
      </c:catAx>
      <c:valAx>
        <c:axId val="147014400"/>
        <c:scaling>
          <c:orientation val="minMax"/>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012608"/>
        <c:crosses val="autoZero"/>
        <c:crossBetween val="between"/>
        <c:majorUnit val="50"/>
      </c:valAx>
    </c:plotArea>
    <c:legend>
      <c:legendPos val="r"/>
      <c:layout>
        <c:manualLayout>
          <c:xMode val="edge"/>
          <c:yMode val="edge"/>
          <c:x val="9.1731469612810021E-2"/>
          <c:y val="0.83624546931633548"/>
          <c:w val="0.83527294553297105"/>
          <c:h val="0.12486839145106862"/>
        </c:manualLayout>
      </c:layout>
      <c:overlay val="0"/>
      <c:txPr>
        <a:bodyPr/>
        <a:lstStyle/>
        <a:p>
          <a:pPr>
            <a:defRPr sz="14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Change in MWs </a:t>
            </a:r>
          </a:p>
        </c:rich>
      </c:tx>
      <c:layout>
        <c:manualLayout>
          <c:xMode val="edge"/>
          <c:yMode val="edge"/>
          <c:x val="0.32807544890222057"/>
          <c:y val="5.9259259259259262E-2"/>
        </c:manualLayout>
      </c:layout>
      <c:overlay val="0"/>
    </c:title>
    <c:autoTitleDeleted val="0"/>
    <c:plotArea>
      <c:layout>
        <c:manualLayout>
          <c:layoutTarget val="inner"/>
          <c:xMode val="edge"/>
          <c:yMode val="edge"/>
          <c:x val="9.8571741032370985E-2"/>
          <c:y val="0.20244240303295433"/>
          <c:w val="0.86480183727034166"/>
          <c:h val="0.49240220371814547"/>
        </c:manualLayout>
      </c:layout>
      <c:lineChart>
        <c:grouping val="standard"/>
        <c:varyColors val="0"/>
        <c:ser>
          <c:idx val="5"/>
          <c:order val="0"/>
          <c:tx>
            <c:v>CONSERVATION_WinterPeak</c:v>
          </c:tx>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CompareFcsts!$G$64:$G$88</c:f>
              <c:numCache>
                <c:formatCode>0.0_);[Red]\(0.0\)</c:formatCode>
                <c:ptCount val="25"/>
                <c:pt idx="0">
                  <c:v>0</c:v>
                </c:pt>
                <c:pt idx="1">
                  <c:v>0</c:v>
                </c:pt>
                <c:pt idx="2">
                  <c:v>0</c:v>
                </c:pt>
                <c:pt idx="3">
                  <c:v>0</c:v>
                </c:pt>
                <c:pt idx="4">
                  <c:v>0</c:v>
                </c:pt>
                <c:pt idx="5">
                  <c:v>0</c:v>
                </c:pt>
                <c:pt idx="6">
                  <c:v>0</c:v>
                </c:pt>
                <c:pt idx="7">
                  <c:v>0</c:v>
                </c:pt>
                <c:pt idx="8">
                  <c:v>0</c:v>
                </c:pt>
                <c:pt idx="9">
                  <c:v>0</c:v>
                </c:pt>
                <c:pt idx="10">
                  <c:v>-1.2469801400000051</c:v>
                </c:pt>
                <c:pt idx="11">
                  <c:v>2.0247910109997065</c:v>
                </c:pt>
                <c:pt idx="12">
                  <c:v>1.6357925109998632</c:v>
                </c:pt>
                <c:pt idx="13">
                  <c:v>1.2467940109999063</c:v>
                </c:pt>
                <c:pt idx="14">
                  <c:v>0.77401451099979113</c:v>
                </c:pt>
                <c:pt idx="15">
                  <c:v>7.7498010999988765E-2</c:v>
                </c:pt>
                <c:pt idx="16">
                  <c:v>-0.6190184889998136</c:v>
                </c:pt>
                <c:pt idx="17">
                  <c:v>-1.3155349889998433</c:v>
                </c:pt>
                <c:pt idx="18">
                  <c:v>-2.0120514889997594</c:v>
                </c:pt>
                <c:pt idx="19">
                  <c:v>-2.7085679890002439</c:v>
                </c:pt>
                <c:pt idx="20">
                  <c:v>-3.4050844890001599</c:v>
                </c:pt>
                <c:pt idx="21">
                  <c:v>-4.101600989000076</c:v>
                </c:pt>
                <c:pt idx="22">
                  <c:v>-4.7981174890002194</c:v>
                </c:pt>
                <c:pt idx="23">
                  <c:v>-5.4946339890001354</c:v>
                </c:pt>
                <c:pt idx="24">
                  <c:v>-6.1911504889999378</c:v>
                </c:pt>
              </c:numCache>
            </c:numRef>
          </c:val>
          <c:smooth val="0"/>
          <c:extLst>
            <c:ext xmlns:c16="http://schemas.microsoft.com/office/drawing/2014/chart" uri="{C3380CC4-5D6E-409C-BE32-E72D297353CC}">
              <c16:uniqueId val="{00000000-197A-4391-807F-2107E0690193}"/>
            </c:ext>
          </c:extLst>
        </c:ser>
        <c:ser>
          <c:idx val="6"/>
          <c:order val="1"/>
          <c:tx>
            <c:v>CONSERVATION_SummerPeak</c:v>
          </c:tx>
          <c:spPr>
            <a:ln>
              <a:solidFill>
                <a:schemeClr val="accent6">
                  <a:lumMod val="50000"/>
                </a:schemeClr>
              </a:solidFill>
            </a:ln>
          </c:spPr>
          <c:marker>
            <c:symbol val="none"/>
          </c:marker>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CompareFcsts!$H$64:$H$88</c:f>
              <c:numCache>
                <c:formatCode>0.0_);[Red]\(0.0\)</c:formatCode>
                <c:ptCount val="25"/>
                <c:pt idx="0">
                  <c:v>0</c:v>
                </c:pt>
                <c:pt idx="1">
                  <c:v>0</c:v>
                </c:pt>
                <c:pt idx="2">
                  <c:v>0</c:v>
                </c:pt>
                <c:pt idx="3">
                  <c:v>0</c:v>
                </c:pt>
                <c:pt idx="4">
                  <c:v>0</c:v>
                </c:pt>
                <c:pt idx="5">
                  <c:v>0</c:v>
                </c:pt>
                <c:pt idx="6">
                  <c:v>0</c:v>
                </c:pt>
                <c:pt idx="7">
                  <c:v>0</c:v>
                </c:pt>
                <c:pt idx="8">
                  <c:v>0</c:v>
                </c:pt>
                <c:pt idx="9">
                  <c:v>0</c:v>
                </c:pt>
                <c:pt idx="10">
                  <c:v>4.5698060499972826E-2</c:v>
                </c:pt>
                <c:pt idx="11">
                  <c:v>0.72156031599993753</c:v>
                </c:pt>
                <c:pt idx="12">
                  <c:v>-0.13329478399995764</c:v>
                </c:pt>
                <c:pt idx="13">
                  <c:v>-1.0419976340000119</c:v>
                </c:pt>
                <c:pt idx="14">
                  <c:v>-2.0804379840000138</c:v>
                </c:pt>
                <c:pt idx="15">
                  <c:v>-3.1947680839999748</c:v>
                </c:pt>
                <c:pt idx="16">
                  <c:v>-4.3090981839999927</c:v>
                </c:pt>
                <c:pt idx="17">
                  <c:v>-5.4234282840000105</c:v>
                </c:pt>
                <c:pt idx="18">
                  <c:v>-6.5377583839999716</c:v>
                </c:pt>
                <c:pt idx="19">
                  <c:v>-7.6520884839999894</c:v>
                </c:pt>
                <c:pt idx="20">
                  <c:v>-8.7664185839998936</c:v>
                </c:pt>
                <c:pt idx="21">
                  <c:v>-9.8807486840000252</c:v>
                </c:pt>
                <c:pt idx="22">
                  <c:v>-10.995078784000043</c:v>
                </c:pt>
                <c:pt idx="23">
                  <c:v>-12.109408884000004</c:v>
                </c:pt>
                <c:pt idx="24">
                  <c:v>-13.223738983999965</c:v>
                </c:pt>
              </c:numCache>
            </c:numRef>
          </c:val>
          <c:smooth val="0"/>
          <c:extLst>
            <c:ext xmlns:c16="http://schemas.microsoft.com/office/drawing/2014/chart" uri="{C3380CC4-5D6E-409C-BE32-E72D297353CC}">
              <c16:uniqueId val="{00000001-197A-4391-807F-2107E0690193}"/>
            </c:ext>
          </c:extLst>
        </c:ser>
        <c:ser>
          <c:idx val="8"/>
          <c:order val="2"/>
          <c:tx>
            <c:v>LOADMGMT_WinterPeak</c:v>
          </c:tx>
          <c:spPr>
            <a:ln>
              <a:solidFill>
                <a:srgbClr val="7030A0"/>
              </a:solidFill>
            </a:ln>
          </c:spPr>
          <c:marker>
            <c:symbol val="circle"/>
            <c:size val="7"/>
            <c:spPr>
              <a:solidFill>
                <a:srgbClr val="7030A0"/>
              </a:solidFill>
            </c:spPr>
          </c:marker>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CompareFcsts!$J$64:$J$88</c:f>
              <c:numCache>
                <c:formatCode>0.0_);[Red]\(0.0\)</c:formatCode>
                <c:ptCount val="25"/>
                <c:pt idx="0">
                  <c:v>0</c:v>
                </c:pt>
                <c:pt idx="1">
                  <c:v>0</c:v>
                </c:pt>
                <c:pt idx="2">
                  <c:v>0</c:v>
                </c:pt>
                <c:pt idx="3">
                  <c:v>0</c:v>
                </c:pt>
                <c:pt idx="4">
                  <c:v>0</c:v>
                </c:pt>
                <c:pt idx="5">
                  <c:v>0</c:v>
                </c:pt>
                <c:pt idx="6">
                  <c:v>0</c:v>
                </c:pt>
                <c:pt idx="7">
                  <c:v>0</c:v>
                </c:pt>
                <c:pt idx="8">
                  <c:v>0</c:v>
                </c:pt>
                <c:pt idx="9">
                  <c:v>0</c:v>
                </c:pt>
                <c:pt idx="10">
                  <c:v>0.57021056565656636</c:v>
                </c:pt>
                <c:pt idx="11">
                  <c:v>-3.2179032082828343</c:v>
                </c:pt>
                <c:pt idx="12">
                  <c:v>-3.2179032082828343</c:v>
                </c:pt>
                <c:pt idx="13">
                  <c:v>-3.2179032082828343</c:v>
                </c:pt>
                <c:pt idx="14">
                  <c:v>-3.2179032082828343</c:v>
                </c:pt>
                <c:pt idx="15">
                  <c:v>-3.2179032082828201</c:v>
                </c:pt>
                <c:pt idx="16">
                  <c:v>-3.2179032082828485</c:v>
                </c:pt>
                <c:pt idx="17">
                  <c:v>-3.2179032082828201</c:v>
                </c:pt>
                <c:pt idx="18">
                  <c:v>-3.2179032082828201</c:v>
                </c:pt>
                <c:pt idx="19">
                  <c:v>-3.2179032082828201</c:v>
                </c:pt>
                <c:pt idx="20">
                  <c:v>-3.2179032082828485</c:v>
                </c:pt>
                <c:pt idx="21">
                  <c:v>-3.2179032082828485</c:v>
                </c:pt>
                <c:pt idx="22">
                  <c:v>-3.2179032082828485</c:v>
                </c:pt>
                <c:pt idx="23">
                  <c:v>-3.2179032082828485</c:v>
                </c:pt>
                <c:pt idx="24">
                  <c:v>-3.2179032082828201</c:v>
                </c:pt>
              </c:numCache>
            </c:numRef>
          </c:val>
          <c:smooth val="0"/>
          <c:extLst>
            <c:ext xmlns:c16="http://schemas.microsoft.com/office/drawing/2014/chart" uri="{C3380CC4-5D6E-409C-BE32-E72D297353CC}">
              <c16:uniqueId val="{00000002-197A-4391-807F-2107E0690193}"/>
            </c:ext>
          </c:extLst>
        </c:ser>
        <c:ser>
          <c:idx val="9"/>
          <c:order val="3"/>
          <c:tx>
            <c:v>LOADMGMT_SummerPeak</c:v>
          </c:tx>
          <c:marker>
            <c:symbol val="none"/>
          </c:marker>
          <c:cat>
            <c:numRef>
              <c:f>CompareFcsts!$A$64:$A$88</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CompareFcsts!$K$64:$K$88</c:f>
              <c:numCache>
                <c:formatCode>0.0_);[Red]\(0.0\)</c:formatCode>
                <c:ptCount val="25"/>
                <c:pt idx="0">
                  <c:v>0</c:v>
                </c:pt>
                <c:pt idx="1">
                  <c:v>0</c:v>
                </c:pt>
                <c:pt idx="2">
                  <c:v>0</c:v>
                </c:pt>
                <c:pt idx="3">
                  <c:v>0</c:v>
                </c:pt>
                <c:pt idx="4">
                  <c:v>0</c:v>
                </c:pt>
                <c:pt idx="5">
                  <c:v>0</c:v>
                </c:pt>
                <c:pt idx="6">
                  <c:v>0</c:v>
                </c:pt>
                <c:pt idx="7">
                  <c:v>0</c:v>
                </c:pt>
                <c:pt idx="8">
                  <c:v>0</c:v>
                </c:pt>
                <c:pt idx="9">
                  <c:v>0</c:v>
                </c:pt>
                <c:pt idx="10">
                  <c:v>-0.14751406261166267</c:v>
                </c:pt>
                <c:pt idx="11">
                  <c:v>-2.3585232491001165</c:v>
                </c:pt>
                <c:pt idx="12">
                  <c:v>-2.5591482491000903</c:v>
                </c:pt>
                <c:pt idx="13">
                  <c:v>-2.7597732491001068</c:v>
                </c:pt>
                <c:pt idx="14">
                  <c:v>-2.9603982491001091</c:v>
                </c:pt>
                <c:pt idx="15">
                  <c:v>-3.1610232491001256</c:v>
                </c:pt>
                <c:pt idx="16">
                  <c:v>-3.3616482491000994</c:v>
                </c:pt>
                <c:pt idx="17">
                  <c:v>-3.5622732491000875</c:v>
                </c:pt>
                <c:pt idx="18">
                  <c:v>-3.7628982491001182</c:v>
                </c:pt>
                <c:pt idx="19">
                  <c:v>-3.963523249100092</c:v>
                </c:pt>
                <c:pt idx="20">
                  <c:v>-4.1641482491001227</c:v>
                </c:pt>
                <c:pt idx="21">
                  <c:v>-4.3647732491000966</c:v>
                </c:pt>
                <c:pt idx="22">
                  <c:v>-4.5653982491001273</c:v>
                </c:pt>
                <c:pt idx="23">
                  <c:v>-4.7660232491001011</c:v>
                </c:pt>
                <c:pt idx="24">
                  <c:v>-4.9666482491001318</c:v>
                </c:pt>
              </c:numCache>
            </c:numRef>
          </c:val>
          <c:smooth val="0"/>
          <c:extLst>
            <c:ext xmlns:c16="http://schemas.microsoft.com/office/drawing/2014/chart" uri="{C3380CC4-5D6E-409C-BE32-E72D297353CC}">
              <c16:uniqueId val="{00000003-197A-4391-807F-2107E0690193}"/>
            </c:ext>
          </c:extLst>
        </c:ser>
        <c:dLbls>
          <c:showLegendKey val="0"/>
          <c:showVal val="0"/>
          <c:showCatName val="0"/>
          <c:showSerName val="0"/>
          <c:showPercent val="0"/>
          <c:showBubbleSize val="0"/>
        </c:dLbls>
        <c:marker val="1"/>
        <c:smooth val="0"/>
        <c:axId val="147063552"/>
        <c:axId val="147065088"/>
      </c:lineChart>
      <c:catAx>
        <c:axId val="147063552"/>
        <c:scaling>
          <c:orientation val="minMax"/>
        </c:scaling>
        <c:delete val="0"/>
        <c:axPos val="b"/>
        <c:majorGridlines/>
        <c:numFmt formatCode="General" sourceLinked="1"/>
        <c:majorTickMark val="none"/>
        <c:minorTickMark val="none"/>
        <c:tickLblPos val="low"/>
        <c:txPr>
          <a:bodyPr rot="0" vert="horz"/>
          <a:lstStyle/>
          <a:p>
            <a:pPr>
              <a:defRPr sz="1000" b="0" i="0" u="none" strike="noStrike" baseline="0">
                <a:solidFill>
                  <a:srgbClr val="000000"/>
                </a:solidFill>
                <a:latin typeface="Calibri"/>
                <a:ea typeface="Calibri"/>
                <a:cs typeface="Calibri"/>
              </a:defRPr>
            </a:pPr>
            <a:endParaRPr lang="en-US"/>
          </a:p>
        </c:txPr>
        <c:crossAx val="147065088"/>
        <c:crosses val="autoZero"/>
        <c:auto val="1"/>
        <c:lblAlgn val="ctr"/>
        <c:lblOffset val="100"/>
        <c:noMultiLvlLbl val="0"/>
      </c:catAx>
      <c:valAx>
        <c:axId val="147065088"/>
        <c:scaling>
          <c:orientation val="minMax"/>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063552"/>
        <c:crosses val="autoZero"/>
        <c:crossBetween val="between"/>
        <c:majorUnit val="50"/>
      </c:valAx>
    </c:plotArea>
    <c:legend>
      <c:legendPos val="r"/>
      <c:layout>
        <c:manualLayout>
          <c:xMode val="edge"/>
          <c:yMode val="edge"/>
          <c:x val="6.3652513164455693E-2"/>
          <c:y val="0.78869864909058895"/>
          <c:w val="0.87707286067320922"/>
          <c:h val="0.21130135090941107"/>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2017 Forecast </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Conservation and Load Management Energy Savings (GWH)</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7089979137223232"/>
          <c:y val="0.30382458566616849"/>
          <c:w val="0.70066491688538934"/>
          <c:h val="0.54092510390875359"/>
        </c:manualLayout>
      </c:layout>
      <c:bar3DChart>
        <c:barDir val="col"/>
        <c:grouping val="clustered"/>
        <c:varyColors val="0"/>
        <c:ser>
          <c:idx val="3"/>
          <c:order val="0"/>
          <c:tx>
            <c:v>RES, Last Year</c:v>
          </c:tx>
          <c:spPr>
            <a:gradFill>
              <a:gsLst>
                <a:gs pos="0">
                  <a:srgbClr val="1F497D">
                    <a:lumMod val="60000"/>
                    <a:lumOff val="40000"/>
                    <a:alpha val="50000"/>
                  </a:srgbClr>
                </a:gs>
                <a:gs pos="50000">
                  <a:srgbClr val="4F81BD">
                    <a:tint val="44500"/>
                    <a:satMod val="160000"/>
                  </a:srgbClr>
                </a:gs>
                <a:gs pos="100000">
                  <a:srgbClr val="4F81BD">
                    <a:tint val="23500"/>
                    <a:satMod val="160000"/>
                  </a:srgbClr>
                </a:gs>
              </a:gsLst>
              <a:lin ang="5400000" scaled="0"/>
            </a:gradFill>
          </c:spPr>
          <c:invertIfNegative val="0"/>
          <c:val>
            <c:numRef>
              <c:f>CompareFcsts!$S$10</c:f>
              <c:numCache>
                <c:formatCode>0</c:formatCode>
                <c:ptCount val="1"/>
                <c:pt idx="0">
                  <c:v>597.16796908627987</c:v>
                </c:pt>
              </c:numCache>
            </c:numRef>
          </c:val>
          <c:extLst>
            <c:ext xmlns:c16="http://schemas.microsoft.com/office/drawing/2014/chart" uri="{C3380CC4-5D6E-409C-BE32-E72D297353CC}">
              <c16:uniqueId val="{00000000-AD17-4578-B1B6-67478785382D}"/>
            </c:ext>
          </c:extLst>
        </c:ser>
        <c:ser>
          <c:idx val="0"/>
          <c:order val="1"/>
          <c:tx>
            <c:v>RES, This Year</c:v>
          </c:tx>
          <c:invertIfNegative val="0"/>
          <c:val>
            <c:numRef>
              <c:f>CompareFcsts!$S$6</c:f>
              <c:numCache>
                <c:formatCode>0</c:formatCode>
                <c:ptCount val="1"/>
                <c:pt idx="0">
                  <c:v>599.89542700627999</c:v>
                </c:pt>
              </c:numCache>
            </c:numRef>
          </c:val>
          <c:extLst>
            <c:ext xmlns:c16="http://schemas.microsoft.com/office/drawing/2014/chart" uri="{C3380CC4-5D6E-409C-BE32-E72D297353CC}">
              <c16:uniqueId val="{00000001-AD17-4578-B1B6-67478785382D}"/>
            </c:ext>
          </c:extLst>
        </c:ser>
        <c:ser>
          <c:idx val="4"/>
          <c:order val="2"/>
          <c:tx>
            <c:v>COM, Last Year</c:v>
          </c:tx>
          <c:spPr>
            <a:gradFill>
              <a:gsLst>
                <a:gs pos="0">
                  <a:srgbClr val="C0504D">
                    <a:lumMod val="75000"/>
                    <a:alpha val="50000"/>
                  </a:srgbClr>
                </a:gs>
                <a:gs pos="50000">
                  <a:srgbClr val="4F81BD">
                    <a:tint val="44500"/>
                    <a:satMod val="160000"/>
                  </a:srgbClr>
                </a:gs>
                <a:gs pos="100000">
                  <a:srgbClr val="4F81BD">
                    <a:tint val="23500"/>
                    <a:satMod val="160000"/>
                  </a:srgbClr>
                </a:gs>
              </a:gsLst>
              <a:lin ang="5400000" scaled="0"/>
            </a:gradFill>
          </c:spPr>
          <c:invertIfNegative val="0"/>
          <c:dPt>
            <c:idx val="0"/>
            <c:invertIfNegative val="0"/>
            <c:bubble3D val="0"/>
            <c:spPr>
              <a:gradFill>
                <a:gsLst>
                  <a:gs pos="0">
                    <a:schemeClr val="accent2">
                      <a:lumMod val="75000"/>
                    </a:schemeClr>
                  </a:gs>
                  <a:gs pos="50000">
                    <a:srgbClr val="4F81BD">
                      <a:tint val="44500"/>
                      <a:satMod val="160000"/>
                    </a:srgbClr>
                  </a:gs>
                  <a:gs pos="100000">
                    <a:srgbClr val="4F81BD">
                      <a:tint val="23500"/>
                      <a:satMod val="160000"/>
                    </a:srgbClr>
                  </a:gs>
                </a:gsLst>
                <a:lin ang="5400000" scaled="0"/>
              </a:gradFill>
            </c:spPr>
            <c:extLst>
              <c:ext xmlns:c16="http://schemas.microsoft.com/office/drawing/2014/chart" uri="{C3380CC4-5D6E-409C-BE32-E72D297353CC}">
                <c16:uniqueId val="{00000003-AD17-4578-B1B6-67478785382D}"/>
              </c:ext>
            </c:extLst>
          </c:dPt>
          <c:val>
            <c:numRef>
              <c:f>CompareFcsts!$T$10</c:f>
              <c:numCache>
                <c:formatCode>0</c:formatCode>
                <c:ptCount val="1"/>
                <c:pt idx="0">
                  <c:v>317.43985039288009</c:v>
                </c:pt>
              </c:numCache>
            </c:numRef>
          </c:val>
          <c:extLst>
            <c:ext xmlns:c16="http://schemas.microsoft.com/office/drawing/2014/chart" uri="{C3380CC4-5D6E-409C-BE32-E72D297353CC}">
              <c16:uniqueId val="{00000004-AD17-4578-B1B6-67478785382D}"/>
            </c:ext>
          </c:extLst>
        </c:ser>
        <c:ser>
          <c:idx val="1"/>
          <c:order val="3"/>
          <c:tx>
            <c:v>COM, This Year</c:v>
          </c:tx>
          <c:invertIfNegative val="0"/>
          <c:val>
            <c:numRef>
              <c:f>CompareFcsts!$T$6</c:f>
              <c:numCache>
                <c:formatCode>0</c:formatCode>
                <c:ptCount val="1"/>
                <c:pt idx="0">
                  <c:v>316.75016881176015</c:v>
                </c:pt>
              </c:numCache>
            </c:numRef>
          </c:val>
          <c:extLst>
            <c:ext xmlns:c16="http://schemas.microsoft.com/office/drawing/2014/chart" uri="{C3380CC4-5D6E-409C-BE32-E72D297353CC}">
              <c16:uniqueId val="{00000005-AD17-4578-B1B6-67478785382D}"/>
            </c:ext>
          </c:extLst>
        </c:ser>
        <c:ser>
          <c:idx val="5"/>
          <c:order val="4"/>
          <c:tx>
            <c:v>IND, Last Year</c:v>
          </c:tx>
          <c:spPr>
            <a:gradFill>
              <a:gsLst>
                <a:gs pos="0">
                  <a:schemeClr val="accent3">
                    <a:lumMod val="75000"/>
                  </a:schemeClr>
                </a:gs>
                <a:gs pos="50000">
                  <a:srgbClr val="4F81BD">
                    <a:tint val="44500"/>
                    <a:satMod val="160000"/>
                  </a:srgbClr>
                </a:gs>
                <a:gs pos="100000">
                  <a:srgbClr val="4F81BD">
                    <a:tint val="23500"/>
                    <a:satMod val="160000"/>
                  </a:srgbClr>
                </a:gs>
              </a:gsLst>
              <a:lin ang="5400000" scaled="0"/>
            </a:gradFill>
          </c:spPr>
          <c:invertIfNegative val="0"/>
          <c:val>
            <c:numRef>
              <c:f>CompareFcsts!$U$10</c:f>
              <c:numCache>
                <c:formatCode>0</c:formatCode>
                <c:ptCount val="1"/>
                <c:pt idx="0">
                  <c:v>33.980262514902925</c:v>
                </c:pt>
              </c:numCache>
            </c:numRef>
          </c:val>
          <c:extLst>
            <c:ext xmlns:c16="http://schemas.microsoft.com/office/drawing/2014/chart" uri="{C3380CC4-5D6E-409C-BE32-E72D297353CC}">
              <c16:uniqueId val="{00000006-AD17-4578-B1B6-67478785382D}"/>
            </c:ext>
          </c:extLst>
        </c:ser>
        <c:ser>
          <c:idx val="2"/>
          <c:order val="5"/>
          <c:tx>
            <c:v>IND, This Year</c:v>
          </c:tx>
          <c:invertIfNegative val="0"/>
          <c:val>
            <c:numRef>
              <c:f>CompareFcsts!$U$6</c:f>
              <c:numCache>
                <c:formatCode>0</c:formatCode>
                <c:ptCount val="1"/>
                <c:pt idx="0">
                  <c:v>33.945008316778498</c:v>
                </c:pt>
              </c:numCache>
            </c:numRef>
          </c:val>
          <c:extLst>
            <c:ext xmlns:c16="http://schemas.microsoft.com/office/drawing/2014/chart" uri="{C3380CC4-5D6E-409C-BE32-E72D297353CC}">
              <c16:uniqueId val="{00000007-AD17-4578-B1B6-67478785382D}"/>
            </c:ext>
          </c:extLst>
        </c:ser>
        <c:dLbls>
          <c:showLegendKey val="0"/>
          <c:showVal val="0"/>
          <c:showCatName val="0"/>
          <c:showSerName val="0"/>
          <c:showPercent val="0"/>
          <c:showBubbleSize val="0"/>
        </c:dLbls>
        <c:gapWidth val="150"/>
        <c:shape val="box"/>
        <c:axId val="147109760"/>
        <c:axId val="147111296"/>
        <c:axId val="0"/>
      </c:bar3DChart>
      <c:catAx>
        <c:axId val="147109760"/>
        <c:scaling>
          <c:orientation val="minMax"/>
        </c:scaling>
        <c:delete val="1"/>
        <c:axPos val="b"/>
        <c:majorTickMark val="out"/>
        <c:minorTickMark val="none"/>
        <c:tickLblPos val="nextTo"/>
        <c:crossAx val="147111296"/>
        <c:crosses val="autoZero"/>
        <c:auto val="1"/>
        <c:lblAlgn val="ctr"/>
        <c:lblOffset val="100"/>
        <c:noMultiLvlLbl val="0"/>
      </c:catAx>
      <c:valAx>
        <c:axId val="147111296"/>
        <c:scaling>
          <c:orientation val="minMax"/>
          <c:max val="80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109760"/>
        <c:crosses val="autoZero"/>
        <c:crossBetween val="between"/>
      </c:valAx>
      <c:spPr>
        <a:noFill/>
        <a:ln w="25400">
          <a:noFill/>
        </a:ln>
      </c:spPr>
    </c:plotArea>
    <c:legend>
      <c:legendPos val="r"/>
      <c:layout>
        <c:manualLayout>
          <c:xMode val="edge"/>
          <c:yMode val="edge"/>
          <c:x val="5.128205128205128E-2"/>
          <c:y val="0.85282505409203457"/>
          <c:w val="0.9195174641631334"/>
          <c:h val="0.12334173525759705"/>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2026 Forecast </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Conservation and Load Management Energy Savings (GWH)</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1000959681801885E-2"/>
          <c:y val="0.28803610596834034"/>
          <c:w val="0.75144495704556757"/>
          <c:h val="0.54915928710044382"/>
        </c:manualLayout>
      </c:layout>
      <c:bar3DChart>
        <c:barDir val="col"/>
        <c:grouping val="clustered"/>
        <c:varyColors val="0"/>
        <c:ser>
          <c:idx val="3"/>
          <c:order val="0"/>
          <c:tx>
            <c:v>RES, Last Year</c:v>
          </c:tx>
          <c:spPr>
            <a:gradFill>
              <a:gsLst>
                <a:gs pos="0">
                  <a:srgbClr val="4F81BD">
                    <a:lumMod val="75000"/>
                    <a:alpha val="50000"/>
                  </a:srgbClr>
                </a:gs>
                <a:gs pos="50000">
                  <a:srgbClr val="4F81BD">
                    <a:tint val="44500"/>
                    <a:satMod val="160000"/>
                  </a:srgbClr>
                </a:gs>
                <a:gs pos="100000">
                  <a:srgbClr val="4F81BD">
                    <a:tint val="23500"/>
                    <a:satMod val="160000"/>
                  </a:srgbClr>
                </a:gs>
              </a:gsLst>
              <a:lin ang="5400000" scaled="0"/>
            </a:gradFill>
          </c:spPr>
          <c:invertIfNegative val="0"/>
          <c:val>
            <c:numRef>
              <c:f>CompareFcsts!$S$11</c:f>
              <c:numCache>
                <c:formatCode>0</c:formatCode>
                <c:ptCount val="1"/>
                <c:pt idx="0">
                  <c:v>709.09845993427996</c:v>
                </c:pt>
              </c:numCache>
            </c:numRef>
          </c:val>
          <c:extLst>
            <c:ext xmlns:c16="http://schemas.microsoft.com/office/drawing/2014/chart" uri="{C3380CC4-5D6E-409C-BE32-E72D297353CC}">
              <c16:uniqueId val="{00000000-C85D-4308-98C4-BB977033D712}"/>
            </c:ext>
          </c:extLst>
        </c:ser>
        <c:ser>
          <c:idx val="0"/>
          <c:order val="1"/>
          <c:tx>
            <c:v>RES, This Year</c:v>
          </c:tx>
          <c:invertIfNegative val="0"/>
          <c:val>
            <c:numRef>
              <c:f>CompareFcsts!$S$7</c:f>
              <c:numCache>
                <c:formatCode>0</c:formatCode>
                <c:ptCount val="1"/>
                <c:pt idx="0">
                  <c:v>711.82591785428008</c:v>
                </c:pt>
              </c:numCache>
            </c:numRef>
          </c:val>
          <c:extLst>
            <c:ext xmlns:c16="http://schemas.microsoft.com/office/drawing/2014/chart" uri="{C3380CC4-5D6E-409C-BE32-E72D297353CC}">
              <c16:uniqueId val="{00000001-C85D-4308-98C4-BB977033D712}"/>
            </c:ext>
          </c:extLst>
        </c:ser>
        <c:ser>
          <c:idx val="4"/>
          <c:order val="2"/>
          <c:tx>
            <c:v>COM, Last Year</c:v>
          </c:tx>
          <c:spPr>
            <a:gradFill>
              <a:gsLst>
                <a:gs pos="0">
                  <a:schemeClr val="accent2">
                    <a:lumMod val="75000"/>
                  </a:schemeClr>
                </a:gs>
                <a:gs pos="50000">
                  <a:srgbClr val="4F81BD">
                    <a:tint val="44500"/>
                    <a:satMod val="160000"/>
                  </a:srgbClr>
                </a:gs>
                <a:gs pos="100000">
                  <a:srgbClr val="4F81BD">
                    <a:tint val="23500"/>
                    <a:satMod val="160000"/>
                  </a:srgbClr>
                </a:gs>
              </a:gsLst>
              <a:lin ang="5400000" scaled="0"/>
            </a:gradFill>
          </c:spPr>
          <c:invertIfNegative val="0"/>
          <c:val>
            <c:numRef>
              <c:f>CompareFcsts!$T$11</c:f>
              <c:numCache>
                <c:formatCode>0</c:formatCode>
                <c:ptCount val="1"/>
                <c:pt idx="0">
                  <c:v>416.49489451293465</c:v>
                </c:pt>
              </c:numCache>
            </c:numRef>
          </c:val>
          <c:extLst>
            <c:ext xmlns:c16="http://schemas.microsoft.com/office/drawing/2014/chart" uri="{C3380CC4-5D6E-409C-BE32-E72D297353CC}">
              <c16:uniqueId val="{00000002-C85D-4308-98C4-BB977033D712}"/>
            </c:ext>
          </c:extLst>
        </c:ser>
        <c:ser>
          <c:idx val="1"/>
          <c:order val="3"/>
          <c:tx>
            <c:v>COM, This Year</c:v>
          </c:tx>
          <c:invertIfNegative val="0"/>
          <c:val>
            <c:numRef>
              <c:f>CompareFcsts!$T$7</c:f>
              <c:numCache>
                <c:formatCode>0</c:formatCode>
                <c:ptCount val="1"/>
                <c:pt idx="0">
                  <c:v>364.88559977861468</c:v>
                </c:pt>
              </c:numCache>
            </c:numRef>
          </c:val>
          <c:extLst>
            <c:ext xmlns:c16="http://schemas.microsoft.com/office/drawing/2014/chart" uri="{C3380CC4-5D6E-409C-BE32-E72D297353CC}">
              <c16:uniqueId val="{00000003-C85D-4308-98C4-BB977033D712}"/>
            </c:ext>
          </c:extLst>
        </c:ser>
        <c:ser>
          <c:idx val="5"/>
          <c:order val="4"/>
          <c:tx>
            <c:v>IND, Last Year</c:v>
          </c:tx>
          <c:spPr>
            <a:gradFill>
              <a:gsLst>
                <a:gs pos="0">
                  <a:schemeClr val="accent3">
                    <a:lumMod val="75000"/>
                  </a:schemeClr>
                </a:gs>
                <a:gs pos="50000">
                  <a:srgbClr val="4F81BD">
                    <a:tint val="44500"/>
                    <a:satMod val="160000"/>
                  </a:srgbClr>
                </a:gs>
                <a:gs pos="100000">
                  <a:srgbClr val="4F81BD">
                    <a:tint val="23500"/>
                    <a:satMod val="160000"/>
                  </a:srgbClr>
                </a:gs>
              </a:gsLst>
              <a:lin ang="5400000" scaled="0"/>
            </a:gradFill>
          </c:spPr>
          <c:invertIfNegative val="0"/>
          <c:val>
            <c:numRef>
              <c:f>CompareFcsts!$U$11</c:f>
              <c:numCache>
                <c:formatCode>0</c:formatCode>
                <c:ptCount val="1"/>
                <c:pt idx="0">
                  <c:v>44.702022928242329</c:v>
                </c:pt>
              </c:numCache>
            </c:numRef>
          </c:val>
          <c:extLst>
            <c:ext xmlns:c16="http://schemas.microsoft.com/office/drawing/2014/chart" uri="{C3380CC4-5D6E-409C-BE32-E72D297353CC}">
              <c16:uniqueId val="{00000004-C85D-4308-98C4-BB977033D712}"/>
            </c:ext>
          </c:extLst>
        </c:ser>
        <c:ser>
          <c:idx val="2"/>
          <c:order val="5"/>
          <c:tx>
            <c:v>IND, This Year</c:v>
          </c:tx>
          <c:invertIfNegative val="0"/>
          <c:val>
            <c:numRef>
              <c:f>CompareFcsts!$U$7</c:f>
              <c:numCache>
                <c:formatCode>0</c:formatCode>
                <c:ptCount val="1"/>
                <c:pt idx="0">
                  <c:v>39.009033935317888</c:v>
                </c:pt>
              </c:numCache>
            </c:numRef>
          </c:val>
          <c:extLst>
            <c:ext xmlns:c16="http://schemas.microsoft.com/office/drawing/2014/chart" uri="{C3380CC4-5D6E-409C-BE32-E72D297353CC}">
              <c16:uniqueId val="{00000005-C85D-4308-98C4-BB977033D712}"/>
            </c:ext>
          </c:extLst>
        </c:ser>
        <c:dLbls>
          <c:showLegendKey val="0"/>
          <c:showVal val="0"/>
          <c:showCatName val="0"/>
          <c:showSerName val="0"/>
          <c:showPercent val="0"/>
          <c:showBubbleSize val="0"/>
        </c:dLbls>
        <c:gapWidth val="150"/>
        <c:shape val="box"/>
        <c:axId val="147798272"/>
        <c:axId val="147808256"/>
        <c:axId val="0"/>
      </c:bar3DChart>
      <c:catAx>
        <c:axId val="147798272"/>
        <c:scaling>
          <c:orientation val="minMax"/>
        </c:scaling>
        <c:delete val="1"/>
        <c:axPos val="b"/>
        <c:majorTickMark val="out"/>
        <c:minorTickMark val="none"/>
        <c:tickLblPos val="nextTo"/>
        <c:crossAx val="147808256"/>
        <c:crosses val="autoZero"/>
        <c:auto val="1"/>
        <c:lblAlgn val="ctr"/>
        <c:lblOffset val="100"/>
        <c:noMultiLvlLbl val="0"/>
      </c:catAx>
      <c:valAx>
        <c:axId val="147808256"/>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798272"/>
        <c:crosses val="autoZero"/>
        <c:crossBetween val="between"/>
        <c:majorUnit val="200"/>
      </c:valAx>
      <c:spPr>
        <a:noFill/>
        <a:ln w="25400">
          <a:noFill/>
        </a:ln>
      </c:spPr>
    </c:plotArea>
    <c:legend>
      <c:legendPos val="r"/>
      <c:layout>
        <c:manualLayout>
          <c:xMode val="edge"/>
          <c:yMode val="edge"/>
          <c:x val="4.8458149779735685E-2"/>
          <c:y val="0.85680563300692225"/>
          <c:w val="0.89867933909142406"/>
          <c:h val="0.10808592268742612"/>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2017 Forecast </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Conservation and Load Management Demand Savings (MW)</a:t>
            </a:r>
            <a:endParaRPr lang="en-US"/>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6255221302465397"/>
          <c:y val="0.27159827080438476"/>
          <c:w val="0.72793974471139822"/>
          <c:h val="0.59466635788173527"/>
        </c:manualLayout>
      </c:layout>
      <c:bar3DChart>
        <c:barDir val="col"/>
        <c:grouping val="clustered"/>
        <c:varyColors val="0"/>
        <c:ser>
          <c:idx val="3"/>
          <c:order val="0"/>
          <c:tx>
            <c:v>Winter, Last Year</c:v>
          </c:tx>
          <c:spPr>
            <a:gradFill>
              <a:gsLst>
                <a:gs pos="0">
                  <a:srgbClr val="1F497D">
                    <a:lumMod val="60000"/>
                    <a:lumOff val="40000"/>
                    <a:alpha val="50000"/>
                  </a:srgbClr>
                </a:gs>
                <a:gs pos="50000">
                  <a:srgbClr val="4F81BD">
                    <a:tint val="44500"/>
                    <a:satMod val="160000"/>
                  </a:srgbClr>
                </a:gs>
                <a:gs pos="100000">
                  <a:srgbClr val="4F81BD">
                    <a:tint val="23500"/>
                    <a:satMod val="160000"/>
                  </a:srgbClr>
                </a:gs>
              </a:gsLst>
              <a:lin ang="5400000" scaled="0"/>
            </a:gradFill>
          </c:spPr>
          <c:invertIfNegative val="0"/>
          <c:val>
            <c:numRef>
              <c:f>CompareFcsts!$AD$10</c:f>
              <c:numCache>
                <c:formatCode>0</c:formatCode>
                <c:ptCount val="1"/>
                <c:pt idx="0">
                  <c:v>706.66857444968366</c:v>
                </c:pt>
              </c:numCache>
            </c:numRef>
          </c:val>
          <c:extLst>
            <c:ext xmlns:c16="http://schemas.microsoft.com/office/drawing/2014/chart" uri="{C3380CC4-5D6E-409C-BE32-E72D297353CC}">
              <c16:uniqueId val="{00000000-4D83-4FC1-BDAE-1167EC69E0A7}"/>
            </c:ext>
          </c:extLst>
        </c:ser>
        <c:ser>
          <c:idx val="0"/>
          <c:order val="1"/>
          <c:tx>
            <c:v>Winter, This Year</c:v>
          </c:tx>
          <c:invertIfNegative val="0"/>
          <c:val>
            <c:numRef>
              <c:f>CompareFcsts!$AD$6</c:f>
              <c:numCache>
                <c:formatCode>0</c:formatCode>
                <c:ptCount val="1"/>
                <c:pt idx="0">
                  <c:v>705.47546225240058</c:v>
                </c:pt>
              </c:numCache>
            </c:numRef>
          </c:val>
          <c:extLst>
            <c:ext xmlns:c16="http://schemas.microsoft.com/office/drawing/2014/chart" uri="{C3380CC4-5D6E-409C-BE32-E72D297353CC}">
              <c16:uniqueId val="{00000001-4D83-4FC1-BDAE-1167EC69E0A7}"/>
            </c:ext>
          </c:extLst>
        </c:ser>
        <c:ser>
          <c:idx val="4"/>
          <c:order val="2"/>
          <c:tx>
            <c:v>Summer, Last Year</c:v>
          </c:tx>
          <c:spPr>
            <a:gradFill>
              <a:gsLst>
                <a:gs pos="0">
                  <a:srgbClr val="C0504D">
                    <a:lumMod val="75000"/>
                    <a:alpha val="50000"/>
                  </a:srgbClr>
                </a:gs>
                <a:gs pos="50000">
                  <a:srgbClr val="4F81BD">
                    <a:tint val="44500"/>
                    <a:satMod val="160000"/>
                  </a:srgbClr>
                </a:gs>
                <a:gs pos="100000">
                  <a:srgbClr val="4F81BD">
                    <a:tint val="23500"/>
                    <a:satMod val="160000"/>
                  </a:srgbClr>
                </a:gs>
              </a:gsLst>
              <a:lin ang="5400000" scaled="0"/>
            </a:gradFill>
          </c:spPr>
          <c:invertIfNegative val="0"/>
          <c:dPt>
            <c:idx val="0"/>
            <c:invertIfNegative val="0"/>
            <c:bubble3D val="0"/>
            <c:spPr>
              <a:gradFill>
                <a:gsLst>
                  <a:gs pos="0">
                    <a:schemeClr val="accent2">
                      <a:lumMod val="75000"/>
                    </a:schemeClr>
                  </a:gs>
                  <a:gs pos="50000">
                    <a:srgbClr val="4F81BD">
                      <a:tint val="44500"/>
                      <a:satMod val="160000"/>
                    </a:srgbClr>
                  </a:gs>
                  <a:gs pos="100000">
                    <a:srgbClr val="4F81BD">
                      <a:tint val="23500"/>
                      <a:satMod val="160000"/>
                    </a:srgbClr>
                  </a:gs>
                </a:gsLst>
                <a:lin ang="5400000" scaled="0"/>
              </a:gradFill>
            </c:spPr>
            <c:extLst>
              <c:ext xmlns:c16="http://schemas.microsoft.com/office/drawing/2014/chart" uri="{C3380CC4-5D6E-409C-BE32-E72D297353CC}">
                <c16:uniqueId val="{00000003-4D83-4FC1-BDAE-1167EC69E0A7}"/>
              </c:ext>
            </c:extLst>
          </c:dPt>
          <c:val>
            <c:numRef>
              <c:f>CompareFcsts!$AE$10</c:f>
              <c:numCache>
                <c:formatCode>0</c:formatCode>
                <c:ptCount val="1"/>
                <c:pt idx="0">
                  <c:v>351.53470842902789</c:v>
                </c:pt>
              </c:numCache>
            </c:numRef>
          </c:val>
          <c:extLst>
            <c:ext xmlns:c16="http://schemas.microsoft.com/office/drawing/2014/chart" uri="{C3380CC4-5D6E-409C-BE32-E72D297353CC}">
              <c16:uniqueId val="{00000004-4D83-4FC1-BDAE-1167EC69E0A7}"/>
            </c:ext>
          </c:extLst>
        </c:ser>
        <c:ser>
          <c:idx val="1"/>
          <c:order val="3"/>
          <c:tx>
            <c:v>Summer, This Year</c:v>
          </c:tx>
          <c:invertIfNegative val="0"/>
          <c:val>
            <c:numRef>
              <c:f>CompareFcsts!$AE$6</c:f>
              <c:numCache>
                <c:formatCode>0</c:formatCode>
                <c:ptCount val="1"/>
                <c:pt idx="0">
                  <c:v>349.89774549592772</c:v>
                </c:pt>
              </c:numCache>
            </c:numRef>
          </c:val>
          <c:extLst>
            <c:ext xmlns:c16="http://schemas.microsoft.com/office/drawing/2014/chart" uri="{C3380CC4-5D6E-409C-BE32-E72D297353CC}">
              <c16:uniqueId val="{00000005-4D83-4FC1-BDAE-1167EC69E0A7}"/>
            </c:ext>
          </c:extLst>
        </c:ser>
        <c:dLbls>
          <c:showLegendKey val="0"/>
          <c:showVal val="0"/>
          <c:showCatName val="0"/>
          <c:showSerName val="0"/>
          <c:showPercent val="0"/>
          <c:showBubbleSize val="0"/>
        </c:dLbls>
        <c:gapWidth val="150"/>
        <c:shape val="box"/>
        <c:axId val="147846272"/>
        <c:axId val="147847808"/>
        <c:axId val="0"/>
      </c:bar3DChart>
      <c:catAx>
        <c:axId val="147846272"/>
        <c:scaling>
          <c:orientation val="minMax"/>
        </c:scaling>
        <c:delete val="1"/>
        <c:axPos val="b"/>
        <c:majorTickMark val="out"/>
        <c:minorTickMark val="none"/>
        <c:tickLblPos val="nextTo"/>
        <c:crossAx val="147847808"/>
        <c:crosses val="autoZero"/>
        <c:auto val="1"/>
        <c:lblAlgn val="ctr"/>
        <c:lblOffset val="100"/>
        <c:noMultiLvlLbl val="0"/>
      </c:catAx>
      <c:valAx>
        <c:axId val="147847808"/>
        <c:scaling>
          <c:orientation val="minMax"/>
          <c:max val="1000"/>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846272"/>
        <c:crosses val="autoZero"/>
        <c:crossBetween val="between"/>
      </c:valAx>
      <c:spPr>
        <a:noFill/>
        <a:ln w="25400">
          <a:noFill/>
        </a:ln>
      </c:spPr>
    </c:plotArea>
    <c:legend>
      <c:legendPos val="r"/>
      <c:layout>
        <c:manualLayout>
          <c:xMode val="edge"/>
          <c:yMode val="edge"/>
          <c:x val="0.12606860039930906"/>
          <c:y val="0.85648726262158403"/>
          <c:w val="0.74359131390627464"/>
          <c:h val="0.11745530338119498"/>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2026 Forecast </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Conservation and Load Management Demand Savings (MW)</a:t>
            </a:r>
            <a:endParaRPr lang="en-US"/>
          </a:p>
        </c:rich>
      </c:tx>
      <c:layout>
        <c:manualLayout>
          <c:xMode val="edge"/>
          <c:yMode val="edge"/>
          <c:x val="0.10998517493005681"/>
          <c:y val="7.8431372549019607E-3"/>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6113062790228144"/>
          <c:y val="0.25199042766712987"/>
          <c:w val="0.73502373741743821"/>
          <c:h val="0.58290165199938238"/>
        </c:manualLayout>
      </c:layout>
      <c:bar3DChart>
        <c:barDir val="col"/>
        <c:grouping val="clustered"/>
        <c:varyColors val="0"/>
        <c:ser>
          <c:idx val="3"/>
          <c:order val="0"/>
          <c:tx>
            <c:v>Winter, Last Year</c:v>
          </c:tx>
          <c:spPr>
            <a:gradFill>
              <a:gsLst>
                <a:gs pos="0">
                  <a:srgbClr val="4F81BD">
                    <a:lumMod val="75000"/>
                    <a:alpha val="50000"/>
                  </a:srgbClr>
                </a:gs>
                <a:gs pos="50000">
                  <a:srgbClr val="4F81BD">
                    <a:tint val="44500"/>
                    <a:satMod val="160000"/>
                  </a:srgbClr>
                </a:gs>
                <a:gs pos="100000">
                  <a:srgbClr val="4F81BD">
                    <a:tint val="23500"/>
                    <a:satMod val="160000"/>
                  </a:srgbClr>
                </a:gs>
              </a:gsLst>
              <a:lin ang="5400000" scaled="0"/>
            </a:gradFill>
          </c:spPr>
          <c:invertIfNegative val="0"/>
          <c:val>
            <c:numRef>
              <c:f>CompareFcsts!$AD$11</c:f>
              <c:numCache>
                <c:formatCode>0</c:formatCode>
                <c:ptCount val="1"/>
                <c:pt idx="0">
                  <c:v>795.95960944659259</c:v>
                </c:pt>
              </c:numCache>
            </c:numRef>
          </c:val>
          <c:extLst>
            <c:ext xmlns:c16="http://schemas.microsoft.com/office/drawing/2014/chart" uri="{C3380CC4-5D6E-409C-BE32-E72D297353CC}">
              <c16:uniqueId val="{00000000-2DB3-41D5-9436-BAD2B70AC4D8}"/>
            </c:ext>
          </c:extLst>
        </c:ser>
        <c:ser>
          <c:idx val="0"/>
          <c:order val="1"/>
          <c:tx>
            <c:v>Winter, This Year</c:v>
          </c:tx>
          <c:invertIfNegative val="0"/>
          <c:val>
            <c:numRef>
              <c:f>CompareFcsts!$AD$7</c:f>
              <c:numCache>
                <c:formatCode>0</c:formatCode>
                <c:ptCount val="1"/>
                <c:pt idx="0">
                  <c:v>789.33662174930953</c:v>
                </c:pt>
              </c:numCache>
            </c:numRef>
          </c:val>
          <c:extLst>
            <c:ext xmlns:c16="http://schemas.microsoft.com/office/drawing/2014/chart" uri="{C3380CC4-5D6E-409C-BE32-E72D297353CC}">
              <c16:uniqueId val="{00000001-2DB3-41D5-9436-BAD2B70AC4D8}"/>
            </c:ext>
          </c:extLst>
        </c:ser>
        <c:ser>
          <c:idx val="4"/>
          <c:order val="2"/>
          <c:tx>
            <c:v>Summer, Last Year</c:v>
          </c:tx>
          <c:spPr>
            <a:gradFill>
              <a:gsLst>
                <a:gs pos="0">
                  <a:schemeClr val="accent2">
                    <a:lumMod val="75000"/>
                  </a:schemeClr>
                </a:gs>
                <a:gs pos="50000">
                  <a:srgbClr val="4F81BD">
                    <a:tint val="44500"/>
                    <a:satMod val="160000"/>
                  </a:srgbClr>
                </a:gs>
                <a:gs pos="100000">
                  <a:srgbClr val="4F81BD">
                    <a:tint val="23500"/>
                    <a:satMod val="160000"/>
                  </a:srgbClr>
                </a:gs>
              </a:gsLst>
              <a:lin ang="5400000" scaled="0"/>
            </a:gradFill>
          </c:spPr>
          <c:invertIfNegative val="0"/>
          <c:val>
            <c:numRef>
              <c:f>CompareFcsts!$AE$11</c:f>
              <c:numCache>
                <c:formatCode>0</c:formatCode>
                <c:ptCount val="1"/>
                <c:pt idx="0">
                  <c:v>442.30511419302786</c:v>
                </c:pt>
              </c:numCache>
            </c:numRef>
          </c:val>
          <c:extLst>
            <c:ext xmlns:c16="http://schemas.microsoft.com/office/drawing/2014/chart" uri="{C3380CC4-5D6E-409C-BE32-E72D297353CC}">
              <c16:uniqueId val="{00000002-2DB3-41D5-9436-BAD2B70AC4D8}"/>
            </c:ext>
          </c:extLst>
        </c:ser>
        <c:ser>
          <c:idx val="1"/>
          <c:order val="3"/>
          <c:tx>
            <c:v>Summer, This Year</c:v>
          </c:tx>
          <c:invertIfNegative val="0"/>
          <c:val>
            <c:numRef>
              <c:f>CompareFcsts!$AE$7</c:f>
              <c:numCache>
                <c:formatCode>0</c:formatCode>
                <c:ptCount val="1"/>
                <c:pt idx="0">
                  <c:v>429.37454735992782</c:v>
                </c:pt>
              </c:numCache>
            </c:numRef>
          </c:val>
          <c:extLst>
            <c:ext xmlns:c16="http://schemas.microsoft.com/office/drawing/2014/chart" uri="{C3380CC4-5D6E-409C-BE32-E72D297353CC}">
              <c16:uniqueId val="{00000003-2DB3-41D5-9436-BAD2B70AC4D8}"/>
            </c:ext>
          </c:extLst>
        </c:ser>
        <c:dLbls>
          <c:showLegendKey val="0"/>
          <c:showVal val="0"/>
          <c:showCatName val="0"/>
          <c:showSerName val="0"/>
          <c:showPercent val="0"/>
          <c:showBubbleSize val="0"/>
        </c:dLbls>
        <c:gapWidth val="150"/>
        <c:shape val="box"/>
        <c:axId val="147872768"/>
        <c:axId val="147886848"/>
        <c:axId val="0"/>
      </c:bar3DChart>
      <c:catAx>
        <c:axId val="147872768"/>
        <c:scaling>
          <c:orientation val="minMax"/>
        </c:scaling>
        <c:delete val="1"/>
        <c:axPos val="b"/>
        <c:majorTickMark val="out"/>
        <c:minorTickMark val="none"/>
        <c:tickLblPos val="nextTo"/>
        <c:crossAx val="147886848"/>
        <c:crosses val="autoZero"/>
        <c:auto val="1"/>
        <c:lblAlgn val="ctr"/>
        <c:lblOffset val="100"/>
        <c:noMultiLvlLbl val="0"/>
      </c:catAx>
      <c:valAx>
        <c:axId val="147886848"/>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872768"/>
        <c:crosses val="autoZero"/>
        <c:crossBetween val="between"/>
      </c:valAx>
      <c:spPr>
        <a:noFill/>
        <a:ln w="25400">
          <a:noFill/>
        </a:ln>
      </c:spPr>
    </c:plotArea>
    <c:legend>
      <c:legendPos val="r"/>
      <c:layout>
        <c:manualLayout>
          <c:xMode val="edge"/>
          <c:yMode val="edge"/>
          <c:x val="0.11428571428571428"/>
          <c:y val="0.860408831249035"/>
          <c:w val="0.76483516483516478"/>
          <c:h val="0.11353373475374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44" l="0.7000000000000004" r="0.7000000000000004" t="0.75000000000000044" header="0.30000000000000021" footer="0.3000000000000002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 DSM</a:t>
            </a:r>
          </a:p>
        </c:rich>
      </c:tx>
      <c:overlay val="0"/>
    </c:title>
    <c:autoTitleDeleted val="0"/>
    <c:plotArea>
      <c:layout/>
      <c:lineChart>
        <c:grouping val="standard"/>
        <c:varyColors val="0"/>
        <c:ser>
          <c:idx val="0"/>
          <c:order val="0"/>
          <c:tx>
            <c:v>This Year</c:v>
          </c:tx>
          <c:cat>
            <c:numRef>
              <c:f>CompareFcsts!$A$5:$A$29</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CompareFcsts!$B$5:$B$29</c:f>
              <c:numCache>
                <c:formatCode>0.0</c:formatCode>
                <c:ptCount val="25"/>
                <c:pt idx="0">
                  <c:v>412.03406345044323</c:v>
                </c:pt>
                <c:pt idx="1">
                  <c:v>420.61748659044326</c:v>
                </c:pt>
                <c:pt idx="2">
                  <c:v>430.65923218306881</c:v>
                </c:pt>
                <c:pt idx="3">
                  <c:v>443.57724002390904</c:v>
                </c:pt>
                <c:pt idx="4">
                  <c:v>458.240093353909</c:v>
                </c:pt>
                <c:pt idx="5">
                  <c:v>474.3381278539091</c:v>
                </c:pt>
                <c:pt idx="6">
                  <c:v>493.149727373909</c:v>
                </c:pt>
                <c:pt idx="7">
                  <c:v>513.42413408285427</c:v>
                </c:pt>
                <c:pt idx="8">
                  <c:v>546.68364060500437</c:v>
                </c:pt>
                <c:pt idx="9">
                  <c:v>568.45487131027994</c:v>
                </c:pt>
                <c:pt idx="10">
                  <c:v>587.63827449428004</c:v>
                </c:pt>
                <c:pt idx="11">
                  <c:v>599.89542700627999</c:v>
                </c:pt>
                <c:pt idx="12">
                  <c:v>611.48530895828014</c:v>
                </c:pt>
                <c:pt idx="13">
                  <c:v>623.76988579027989</c:v>
                </c:pt>
                <c:pt idx="14">
                  <c:v>636.43327094227982</c:v>
                </c:pt>
                <c:pt idx="15">
                  <c:v>649.09665609428032</c:v>
                </c:pt>
                <c:pt idx="16">
                  <c:v>661.72086364628012</c:v>
                </c:pt>
                <c:pt idx="17">
                  <c:v>674.28630479828007</c:v>
                </c:pt>
                <c:pt idx="18">
                  <c:v>686.81256835028012</c:v>
                </c:pt>
                <c:pt idx="19">
                  <c:v>699.3192431022801</c:v>
                </c:pt>
                <c:pt idx="20">
                  <c:v>711.82591785428008</c:v>
                </c:pt>
                <c:pt idx="21">
                  <c:v>724.33259260627995</c:v>
                </c:pt>
                <c:pt idx="22">
                  <c:v>736.83926735827981</c:v>
                </c:pt>
                <c:pt idx="23">
                  <c:v>749.34594211028025</c:v>
                </c:pt>
                <c:pt idx="24">
                  <c:v>761.85261686228012</c:v>
                </c:pt>
              </c:numCache>
            </c:numRef>
          </c:val>
          <c:smooth val="0"/>
          <c:extLst>
            <c:ext xmlns:c16="http://schemas.microsoft.com/office/drawing/2014/chart" uri="{C3380CC4-5D6E-409C-BE32-E72D297353CC}">
              <c16:uniqueId val="{00000000-FF3E-485A-B379-8C01B5E2F473}"/>
            </c:ext>
          </c:extLst>
        </c:ser>
        <c:ser>
          <c:idx val="1"/>
          <c:order val="1"/>
          <c:tx>
            <c:v>Last Year</c:v>
          </c:tx>
          <c:spPr>
            <a:ln>
              <a:solidFill>
                <a:schemeClr val="accent1"/>
              </a:solidFill>
              <a:prstDash val="sysDot"/>
            </a:ln>
          </c:spPr>
          <c:marker>
            <c:symbol val="none"/>
          </c:marker>
          <c:cat>
            <c:numRef>
              <c:f>CompareFcsts!$A$5:$A$29</c:f>
              <c:numCache>
                <c:formatCode>General</c:formatCode>
                <c:ptCount val="2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numCache>
            </c:numRef>
          </c:cat>
          <c:val>
            <c:numRef>
              <c:f>CompareFcsts!$B$35:$B$59</c:f>
              <c:numCache>
                <c:formatCode>0.0</c:formatCode>
                <c:ptCount val="25"/>
                <c:pt idx="0">
                  <c:v>412.03406345044323</c:v>
                </c:pt>
                <c:pt idx="1">
                  <c:v>420.61748659044326</c:v>
                </c:pt>
                <c:pt idx="2">
                  <c:v>430.65923218306881</c:v>
                </c:pt>
                <c:pt idx="3">
                  <c:v>443.57724002390904</c:v>
                </c:pt>
                <c:pt idx="4">
                  <c:v>458.240093353909</c:v>
                </c:pt>
                <c:pt idx="5">
                  <c:v>474.3381278539091</c:v>
                </c:pt>
                <c:pt idx="6">
                  <c:v>493.149727373909</c:v>
                </c:pt>
                <c:pt idx="7">
                  <c:v>513.42413408285427</c:v>
                </c:pt>
                <c:pt idx="8">
                  <c:v>546.68364060500437</c:v>
                </c:pt>
                <c:pt idx="9">
                  <c:v>568.45487131027994</c:v>
                </c:pt>
                <c:pt idx="10">
                  <c:v>586.27454553427992</c:v>
                </c:pt>
                <c:pt idx="11">
                  <c:v>597.16796908627987</c:v>
                </c:pt>
                <c:pt idx="12">
                  <c:v>608.75785103827991</c:v>
                </c:pt>
                <c:pt idx="13">
                  <c:v>621.04242787027988</c:v>
                </c:pt>
                <c:pt idx="14">
                  <c:v>633.70581302227993</c:v>
                </c:pt>
                <c:pt idx="15">
                  <c:v>646.36919817428009</c:v>
                </c:pt>
                <c:pt idx="16">
                  <c:v>658.99340572628012</c:v>
                </c:pt>
                <c:pt idx="17">
                  <c:v>671.55884687827995</c:v>
                </c:pt>
                <c:pt idx="18">
                  <c:v>684.08511043028022</c:v>
                </c:pt>
                <c:pt idx="19">
                  <c:v>696.59178518227998</c:v>
                </c:pt>
                <c:pt idx="20">
                  <c:v>709.09845993427996</c:v>
                </c:pt>
                <c:pt idx="21">
                  <c:v>721.60513468627983</c:v>
                </c:pt>
                <c:pt idx="22">
                  <c:v>734.11180943827992</c:v>
                </c:pt>
                <c:pt idx="23">
                  <c:v>746.61848419028001</c:v>
                </c:pt>
                <c:pt idx="24">
                  <c:v>759.12515894228011</c:v>
                </c:pt>
              </c:numCache>
            </c:numRef>
          </c:val>
          <c:smooth val="0"/>
          <c:extLst>
            <c:ext xmlns:c16="http://schemas.microsoft.com/office/drawing/2014/chart" uri="{C3380CC4-5D6E-409C-BE32-E72D297353CC}">
              <c16:uniqueId val="{00000001-FF3E-485A-B379-8C01B5E2F473}"/>
            </c:ext>
          </c:extLst>
        </c:ser>
        <c:dLbls>
          <c:showLegendKey val="0"/>
          <c:showVal val="0"/>
          <c:showCatName val="0"/>
          <c:showSerName val="0"/>
          <c:showPercent val="0"/>
          <c:showBubbleSize val="0"/>
        </c:dLbls>
        <c:marker val="1"/>
        <c:smooth val="0"/>
        <c:axId val="147998976"/>
        <c:axId val="148008960"/>
      </c:lineChart>
      <c:catAx>
        <c:axId val="147998976"/>
        <c:scaling>
          <c:orientation val="minMax"/>
        </c:scaling>
        <c:delete val="0"/>
        <c:axPos val="b"/>
        <c:numFmt formatCode="General" sourceLinked="1"/>
        <c:majorTickMark val="out"/>
        <c:minorTickMark val="none"/>
        <c:tickLblPos val="nextTo"/>
        <c:txPr>
          <a:bodyPr/>
          <a:lstStyle/>
          <a:p>
            <a:pPr>
              <a:defRPr sz="800"/>
            </a:pPr>
            <a:endParaRPr lang="en-US"/>
          </a:p>
        </c:txPr>
        <c:crossAx val="148008960"/>
        <c:crosses val="autoZero"/>
        <c:auto val="1"/>
        <c:lblAlgn val="ctr"/>
        <c:lblOffset val="100"/>
        <c:noMultiLvlLbl val="0"/>
      </c:catAx>
      <c:valAx>
        <c:axId val="148008960"/>
        <c:scaling>
          <c:orientation val="minMax"/>
          <c:min val="300"/>
        </c:scaling>
        <c:delete val="0"/>
        <c:axPos val="l"/>
        <c:majorGridlines/>
        <c:title>
          <c:tx>
            <c:rich>
              <a:bodyPr rot="-5400000" vert="horz"/>
              <a:lstStyle/>
              <a:p>
                <a:pPr>
                  <a:defRPr sz="1200"/>
                </a:pPr>
                <a:r>
                  <a:rPr lang="en-US" sz="1200"/>
                  <a:t>GWH Savings</a:t>
                </a:r>
              </a:p>
            </c:rich>
          </c:tx>
          <c:layout>
            <c:manualLayout>
              <c:xMode val="edge"/>
              <c:yMode val="edge"/>
              <c:x val="1.9444444444444445E-2"/>
              <c:y val="0.31763414989792943"/>
            </c:manualLayout>
          </c:layout>
          <c:overlay val="0"/>
        </c:title>
        <c:numFmt formatCode="0" sourceLinked="0"/>
        <c:majorTickMark val="out"/>
        <c:minorTickMark val="none"/>
        <c:tickLblPos val="nextTo"/>
        <c:crossAx val="147998976"/>
        <c:crosses val="autoZero"/>
        <c:crossBetween val="between"/>
      </c:valAx>
    </c:plotArea>
    <c:legend>
      <c:legendPos val="b"/>
      <c:overlay val="0"/>
    </c:legend>
    <c:plotVisOnly val="1"/>
    <c:dispBlanksAs val="gap"/>
    <c:showDLblsOverMax val="0"/>
  </c:chart>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Commercial / Industrial</a:t>
            </a:r>
            <a:r>
              <a:rPr lang="en-US" baseline="0"/>
              <a:t> </a:t>
            </a:r>
            <a:r>
              <a:rPr lang="en-US"/>
              <a:t> DSM</a:t>
            </a:r>
          </a:p>
        </c:rich>
      </c:tx>
      <c:overlay val="0"/>
    </c:title>
    <c:autoTitleDeleted val="0"/>
    <c:plotArea>
      <c:layout/>
      <c:lineChart>
        <c:grouping val="standard"/>
        <c:varyColors val="0"/>
        <c:ser>
          <c:idx val="0"/>
          <c:order val="0"/>
          <c:tx>
            <c:v>Current</c:v>
          </c:tx>
          <c:cat>
            <c:numRef>
              <c:f>CompareFcsts!$A$5:$A$18</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CompareFcsts!$AJ$5:$AJ$18</c:f>
              <c:numCache>
                <c:formatCode>0.0</c:formatCode>
                <c:ptCount val="14"/>
                <c:pt idx="0">
                  <c:v>192.50236548152463</c:v>
                </c:pt>
                <c:pt idx="1">
                  <c:v>202.61801968519126</c:v>
                </c:pt>
                <c:pt idx="2">
                  <c:v>218.31384435445796</c:v>
                </c:pt>
                <c:pt idx="3">
                  <c:v>239.34787916064198</c:v>
                </c:pt>
                <c:pt idx="4">
                  <c:v>252.26504577297538</c:v>
                </c:pt>
                <c:pt idx="5">
                  <c:v>266.9536877339753</c:v>
                </c:pt>
                <c:pt idx="6">
                  <c:v>282.25872719564194</c:v>
                </c:pt>
                <c:pt idx="7">
                  <c:v>303.57599746491991</c:v>
                </c:pt>
                <c:pt idx="8">
                  <c:v>315.21111379017509</c:v>
                </c:pt>
                <c:pt idx="9">
                  <c:v>325.89575219578728</c:v>
                </c:pt>
                <c:pt idx="10">
                  <c:v>340.05505397576701</c:v>
                </c:pt>
                <c:pt idx="11">
                  <c:v>350.69517712853866</c:v>
                </c:pt>
                <c:pt idx="12">
                  <c:v>355.48023783647119</c:v>
                </c:pt>
                <c:pt idx="13">
                  <c:v>360.84496948040402</c:v>
                </c:pt>
              </c:numCache>
            </c:numRef>
          </c:val>
          <c:smooth val="0"/>
          <c:extLst>
            <c:ext xmlns:c16="http://schemas.microsoft.com/office/drawing/2014/chart" uri="{C3380CC4-5D6E-409C-BE32-E72D297353CC}">
              <c16:uniqueId val="{00000000-F64C-4FF9-9D55-93E2AD0A723A}"/>
            </c:ext>
          </c:extLst>
        </c:ser>
        <c:ser>
          <c:idx val="1"/>
          <c:order val="1"/>
          <c:tx>
            <c:v>Previous</c:v>
          </c:tx>
          <c:spPr>
            <a:ln>
              <a:solidFill>
                <a:schemeClr val="accent1"/>
              </a:solidFill>
              <a:prstDash val="sysDot"/>
            </a:ln>
          </c:spPr>
          <c:marker>
            <c:symbol val="none"/>
          </c:marker>
          <c:val>
            <c:numRef>
              <c:f>CompareFcsts!$AJ$35:$AJ$48</c:f>
              <c:numCache>
                <c:formatCode>0.0</c:formatCode>
                <c:ptCount val="14"/>
                <c:pt idx="0">
                  <c:v>192.50236548152463</c:v>
                </c:pt>
                <c:pt idx="1">
                  <c:v>202.61801968519126</c:v>
                </c:pt>
                <c:pt idx="2">
                  <c:v>218.31384435445796</c:v>
                </c:pt>
                <c:pt idx="3">
                  <c:v>239.34787916064198</c:v>
                </c:pt>
                <c:pt idx="4">
                  <c:v>252.26504577297538</c:v>
                </c:pt>
                <c:pt idx="5">
                  <c:v>266.9536877339753</c:v>
                </c:pt>
                <c:pt idx="6">
                  <c:v>282.25872719564194</c:v>
                </c:pt>
                <c:pt idx="7">
                  <c:v>303.57599746491991</c:v>
                </c:pt>
                <c:pt idx="8">
                  <c:v>315.21111379017509</c:v>
                </c:pt>
                <c:pt idx="9">
                  <c:v>325.89575219578728</c:v>
                </c:pt>
                <c:pt idx="10">
                  <c:v>341.87961875185033</c:v>
                </c:pt>
                <c:pt idx="11">
                  <c:v>351.42011290778299</c:v>
                </c:pt>
                <c:pt idx="12">
                  <c:v>360.99777685371578</c:v>
                </c:pt>
                <c:pt idx="13">
                  <c:v>371.38423733564832</c:v>
                </c:pt>
              </c:numCache>
            </c:numRef>
          </c:val>
          <c:smooth val="0"/>
          <c:extLst>
            <c:ext xmlns:c16="http://schemas.microsoft.com/office/drawing/2014/chart" uri="{C3380CC4-5D6E-409C-BE32-E72D297353CC}">
              <c16:uniqueId val="{00000001-F64C-4FF9-9D55-93E2AD0A723A}"/>
            </c:ext>
          </c:extLst>
        </c:ser>
        <c:dLbls>
          <c:showLegendKey val="0"/>
          <c:showVal val="0"/>
          <c:showCatName val="0"/>
          <c:showSerName val="0"/>
          <c:showPercent val="0"/>
          <c:showBubbleSize val="0"/>
        </c:dLbls>
        <c:marker val="1"/>
        <c:smooth val="0"/>
        <c:axId val="148035456"/>
        <c:axId val="148036992"/>
      </c:lineChart>
      <c:catAx>
        <c:axId val="148035456"/>
        <c:scaling>
          <c:orientation val="minMax"/>
        </c:scaling>
        <c:delete val="0"/>
        <c:axPos val="b"/>
        <c:numFmt formatCode="General" sourceLinked="1"/>
        <c:majorTickMark val="out"/>
        <c:minorTickMark val="none"/>
        <c:tickLblPos val="nextTo"/>
        <c:txPr>
          <a:bodyPr/>
          <a:lstStyle/>
          <a:p>
            <a:pPr>
              <a:defRPr sz="800"/>
            </a:pPr>
            <a:endParaRPr lang="en-US"/>
          </a:p>
        </c:txPr>
        <c:crossAx val="148036992"/>
        <c:crosses val="autoZero"/>
        <c:auto val="1"/>
        <c:lblAlgn val="ctr"/>
        <c:lblOffset val="100"/>
        <c:noMultiLvlLbl val="0"/>
      </c:catAx>
      <c:valAx>
        <c:axId val="148036992"/>
        <c:scaling>
          <c:orientation val="minMax"/>
        </c:scaling>
        <c:delete val="0"/>
        <c:axPos val="l"/>
        <c:majorGridlines/>
        <c:title>
          <c:tx>
            <c:rich>
              <a:bodyPr rot="-5400000" vert="horz"/>
              <a:lstStyle/>
              <a:p>
                <a:pPr>
                  <a:defRPr sz="1200"/>
                </a:pPr>
                <a:r>
                  <a:rPr lang="en-US" sz="1200"/>
                  <a:t>GWH Savings</a:t>
                </a:r>
              </a:p>
            </c:rich>
          </c:tx>
          <c:layout>
            <c:manualLayout>
              <c:xMode val="edge"/>
              <c:yMode val="edge"/>
              <c:x val="1.9444444444444445E-2"/>
              <c:y val="0.31763414989792943"/>
            </c:manualLayout>
          </c:layout>
          <c:overlay val="0"/>
        </c:title>
        <c:numFmt formatCode="0" sourceLinked="0"/>
        <c:majorTickMark val="out"/>
        <c:minorTickMark val="none"/>
        <c:tickLblPos val="nextTo"/>
        <c:crossAx val="148035456"/>
        <c:crosses val="autoZero"/>
        <c:crossBetween val="between"/>
      </c:valAx>
    </c:plotArea>
    <c:legend>
      <c:legendPos val="b"/>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DSM </a:t>
            </a:r>
          </a:p>
          <a:p>
            <a:pPr>
              <a:defRPr/>
            </a:pPr>
            <a:r>
              <a:rPr lang="en-US"/>
              <a:t>Incremental Energy Savings</a:t>
            </a:r>
          </a:p>
        </c:rich>
      </c:tx>
      <c:overlay val="0"/>
    </c:title>
    <c:autoTitleDeleted val="0"/>
    <c:plotArea>
      <c:layout/>
      <c:barChart>
        <c:barDir val="col"/>
        <c:grouping val="stacked"/>
        <c:varyColors val="0"/>
        <c:ser>
          <c:idx val="0"/>
          <c:order val="0"/>
          <c:tx>
            <c:v>Programs Existing Prior to 2007</c:v>
          </c:tx>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Summary'!$BV$109:$BV$136</c:f>
              <c:numCache>
                <c:formatCode>_(* #,##0.0_);_(* \(#,##0.0\);_(* "-"??_);_(@_)</c:formatCode>
                <c:ptCount val="28"/>
                <c:pt idx="0">
                  <c:v>18.50457013275377</c:v>
                </c:pt>
                <c:pt idx="1">
                  <c:v>31.774993987764674</c:v>
                </c:pt>
                <c:pt idx="2">
                  <c:v>37.967134634922786</c:v>
                </c:pt>
                <c:pt idx="3">
                  <c:v>32.788464757545455</c:v>
                </c:pt>
                <c:pt idx="4">
                  <c:v>34.197672682318967</c:v>
                </c:pt>
                <c:pt idx="5">
                  <c:v>41.993263834301615</c:v>
                </c:pt>
                <c:pt idx="6">
                  <c:v>21.468677356703552</c:v>
                </c:pt>
                <c:pt idx="7">
                  <c:v>31.113368753709779</c:v>
                </c:pt>
                <c:pt idx="8">
                  <c:v>31.026902889498729</c:v>
                </c:pt>
                <c:pt idx="9">
                  <c:v>31.599738389666641</c:v>
                </c:pt>
                <c:pt idx="10">
                  <c:v>21.155106031119089</c:v>
                </c:pt>
                <c:pt idx="11">
                  <c:v>17.124835481662785</c:v>
                </c:pt>
                <c:pt idx="12">
                  <c:v>18.602580243666694</c:v>
                </c:pt>
                <c:pt idx="13">
                  <c:v>24.076517521892129</c:v>
                </c:pt>
                <c:pt idx="14">
                  <c:v>30.392111382935582</c:v>
                </c:pt>
                <c:pt idx="15">
                  <c:v>22.590028370333357</c:v>
                </c:pt>
                <c:pt idx="16">
                  <c:v>16.45211955100001</c:v>
                </c:pt>
                <c:pt idx="17">
                  <c:v>25.616428359666656</c:v>
                </c:pt>
                <c:pt idx="18">
                  <c:v>29.261541128531462</c:v>
                </c:pt>
                <c:pt idx="19">
                  <c:v>32.275535763405401</c:v>
                </c:pt>
                <c:pt idx="20">
                  <c:v>17.259831941773996</c:v>
                </c:pt>
                <c:pt idx="21">
                  <c:v>6.1737721539800532</c:v>
                </c:pt>
                <c:pt idx="22">
                  <c:v>2.0499737187715255</c:v>
                </c:pt>
                <c:pt idx="23">
                  <c:v>1.5917679679325829</c:v>
                </c:pt>
                <c:pt idx="24">
                  <c:v>1.542637567932843</c:v>
                </c:pt>
                <c:pt idx="25">
                  <c:v>1.5033015679325672</c:v>
                </c:pt>
                <c:pt idx="26">
                  <c:v>1.5033015679327946</c:v>
                </c:pt>
                <c:pt idx="27">
                  <c:v>1.4641239679325508</c:v>
                </c:pt>
              </c:numCache>
            </c:numRef>
          </c:val>
          <c:extLst>
            <c:ext xmlns:c16="http://schemas.microsoft.com/office/drawing/2014/chart" uri="{C3380CC4-5D6E-409C-BE32-E72D297353CC}">
              <c16:uniqueId val="{00000000-186C-4933-8317-7AAF026547F2}"/>
            </c:ext>
          </c:extLst>
        </c:ser>
        <c:ser>
          <c:idx val="1"/>
          <c:order val="1"/>
          <c:tx>
            <c:v>New Programs since 2007</c:v>
          </c:tx>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Summary'!$BW$109:$BW$136</c:f>
              <c:numCache>
                <c:formatCode>_(* #,##0.0_);_(* \(#,##0.0\);_(* "-"??_);_(@_)</c:formatCode>
                <c:ptCount val="28"/>
                <c:pt idx="12">
                  <c:v>9.6497100000021874E-2</c:v>
                </c:pt>
                <c:pt idx="13">
                  <c:v>1.6610527399999739</c:v>
                </c:pt>
                <c:pt idx="14">
                  <c:v>3.5599312640887604</c:v>
                </c:pt>
                <c:pt idx="15">
                  <c:v>4.9899915720000081</c:v>
                </c:pt>
                <c:pt idx="16">
                  <c:v>14.334556910000003</c:v>
                </c:pt>
                <c:pt idx="17">
                  <c:v>8.5002106219998836</c:v>
                </c:pt>
                <c:pt idx="18">
                  <c:v>12.330135849691715</c:v>
                </c:pt>
                <c:pt idx="19">
                  <c:v>12.619087083999943</c:v>
                </c:pt>
                <c:pt idx="20">
                  <c:v>15.196037169113652</c:v>
                </c:pt>
                <c:pt idx="21">
                  <c:v>27.168932809999944</c:v>
                </c:pt>
                <c:pt idx="22">
                  <c:v>20.847301945999959</c:v>
                </c:pt>
                <c:pt idx="23">
                  <c:v>14.783174692000159</c:v>
                </c:pt>
                <c:pt idx="24">
                  <c:v>16.106670907999785</c:v>
                </c:pt>
                <c:pt idx="25">
                  <c:v>17.204364095999836</c:v>
                </c:pt>
                <c:pt idx="26">
                  <c:v>17.324486716000479</c:v>
                </c:pt>
                <c:pt idx="27">
                  <c:v>17.331289473999846</c:v>
                </c:pt>
              </c:numCache>
            </c:numRef>
          </c:val>
          <c:extLst>
            <c:ext xmlns:c16="http://schemas.microsoft.com/office/drawing/2014/chart" uri="{C3380CC4-5D6E-409C-BE32-E72D297353CC}">
              <c16:uniqueId val="{00000001-186C-4933-8317-7AAF026547F2}"/>
            </c:ext>
          </c:extLst>
        </c:ser>
        <c:dLbls>
          <c:showLegendKey val="0"/>
          <c:showVal val="0"/>
          <c:showCatName val="0"/>
          <c:showSerName val="0"/>
          <c:showPercent val="0"/>
          <c:showBubbleSize val="0"/>
        </c:dLbls>
        <c:gapWidth val="150"/>
        <c:overlap val="100"/>
        <c:axId val="378645120"/>
        <c:axId val="378794368"/>
      </c:barChart>
      <c:catAx>
        <c:axId val="378645120"/>
        <c:scaling>
          <c:orientation val="minMax"/>
        </c:scaling>
        <c:delete val="0"/>
        <c:axPos val="b"/>
        <c:numFmt formatCode="General" sourceLinked="1"/>
        <c:majorTickMark val="out"/>
        <c:minorTickMark val="none"/>
        <c:tickLblPos val="nextTo"/>
        <c:crossAx val="378794368"/>
        <c:crosses val="autoZero"/>
        <c:auto val="1"/>
        <c:lblAlgn val="ctr"/>
        <c:lblOffset val="100"/>
        <c:noMultiLvlLbl val="0"/>
      </c:catAx>
      <c:valAx>
        <c:axId val="378794368"/>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78645120"/>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Winter DSM</a:t>
            </a:r>
          </a:p>
        </c:rich>
      </c:tx>
      <c:overlay val="0"/>
    </c:title>
    <c:autoTitleDeleted val="0"/>
    <c:plotArea>
      <c:layout/>
      <c:lineChart>
        <c:grouping val="standard"/>
        <c:varyColors val="0"/>
        <c:ser>
          <c:idx val="0"/>
          <c:order val="0"/>
          <c:tx>
            <c:v>Current</c:v>
          </c:tx>
          <c:cat>
            <c:numRef>
              <c:f>CompareFcsts!$A$5:$A$18</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CompareFcsts!$M$5:$M$18</c:f>
              <c:numCache>
                <c:formatCode>0.0</c:formatCode>
                <c:ptCount val="14"/>
                <c:pt idx="0">
                  <c:v>643.79561354459668</c:v>
                </c:pt>
                <c:pt idx="1">
                  <c:v>616.81454023459662</c:v>
                </c:pt>
                <c:pt idx="2">
                  <c:v>698.80843646601488</c:v>
                </c:pt>
                <c:pt idx="3">
                  <c:v>674.70154066589043</c:v>
                </c:pt>
                <c:pt idx="4">
                  <c:v>713.03264494789835</c:v>
                </c:pt>
                <c:pt idx="5">
                  <c:v>705.06187330504974</c:v>
                </c:pt>
                <c:pt idx="6">
                  <c:v>718.94923928383548</c:v>
                </c:pt>
                <c:pt idx="7">
                  <c:v>723.75320133056357</c:v>
                </c:pt>
                <c:pt idx="8">
                  <c:v>740.54385433701145</c:v>
                </c:pt>
                <c:pt idx="9">
                  <c:v>733.27527620165301</c:v>
                </c:pt>
                <c:pt idx="10">
                  <c:v>718.85071676231723</c:v>
                </c:pt>
                <c:pt idx="11">
                  <c:v>705.47546225240058</c:v>
                </c:pt>
                <c:pt idx="12">
                  <c:v>713.67863850205708</c:v>
                </c:pt>
                <c:pt idx="13">
                  <c:v>722.04703529171377</c:v>
                </c:pt>
              </c:numCache>
            </c:numRef>
          </c:val>
          <c:smooth val="0"/>
          <c:extLst>
            <c:ext xmlns:c16="http://schemas.microsoft.com/office/drawing/2014/chart" uri="{C3380CC4-5D6E-409C-BE32-E72D297353CC}">
              <c16:uniqueId val="{00000000-2EF4-4EA0-86E4-94F62E1F8733}"/>
            </c:ext>
          </c:extLst>
        </c:ser>
        <c:ser>
          <c:idx val="1"/>
          <c:order val="1"/>
          <c:tx>
            <c:v>Previous</c:v>
          </c:tx>
          <c:spPr>
            <a:ln>
              <a:solidFill>
                <a:schemeClr val="accent1"/>
              </a:solidFill>
              <a:prstDash val="sysDot"/>
            </a:ln>
          </c:spPr>
          <c:marker>
            <c:symbol val="none"/>
          </c:marker>
          <c:val>
            <c:numRef>
              <c:f>CompareFcsts!$M$35:$M$48</c:f>
              <c:numCache>
                <c:formatCode>0.0</c:formatCode>
                <c:ptCount val="14"/>
                <c:pt idx="0">
                  <c:v>643.79561354459668</c:v>
                </c:pt>
                <c:pt idx="1">
                  <c:v>616.81454023459662</c:v>
                </c:pt>
                <c:pt idx="2">
                  <c:v>698.80843646601488</c:v>
                </c:pt>
                <c:pt idx="3">
                  <c:v>674.70154066589043</c:v>
                </c:pt>
                <c:pt idx="4">
                  <c:v>713.03264494789835</c:v>
                </c:pt>
                <c:pt idx="5">
                  <c:v>705.06187330504974</c:v>
                </c:pt>
                <c:pt idx="6">
                  <c:v>718.94923928383548</c:v>
                </c:pt>
                <c:pt idx="7">
                  <c:v>723.75320133056357</c:v>
                </c:pt>
                <c:pt idx="8">
                  <c:v>740.54385433701145</c:v>
                </c:pt>
                <c:pt idx="9">
                  <c:v>733.27527620165301</c:v>
                </c:pt>
                <c:pt idx="10">
                  <c:v>719.52748633666067</c:v>
                </c:pt>
                <c:pt idx="11">
                  <c:v>706.66857444968366</c:v>
                </c:pt>
                <c:pt idx="12">
                  <c:v>715.26074919934013</c:v>
                </c:pt>
                <c:pt idx="13">
                  <c:v>724.01814448899665</c:v>
                </c:pt>
              </c:numCache>
            </c:numRef>
          </c:val>
          <c:smooth val="0"/>
          <c:extLst>
            <c:ext xmlns:c16="http://schemas.microsoft.com/office/drawing/2014/chart" uri="{C3380CC4-5D6E-409C-BE32-E72D297353CC}">
              <c16:uniqueId val="{00000001-2EF4-4EA0-86E4-94F62E1F8733}"/>
            </c:ext>
          </c:extLst>
        </c:ser>
        <c:dLbls>
          <c:showLegendKey val="0"/>
          <c:showVal val="0"/>
          <c:showCatName val="0"/>
          <c:showSerName val="0"/>
          <c:showPercent val="0"/>
          <c:showBubbleSize val="0"/>
        </c:dLbls>
        <c:marker val="1"/>
        <c:smooth val="0"/>
        <c:axId val="148055552"/>
        <c:axId val="148057088"/>
      </c:lineChart>
      <c:catAx>
        <c:axId val="148055552"/>
        <c:scaling>
          <c:orientation val="minMax"/>
        </c:scaling>
        <c:delete val="0"/>
        <c:axPos val="b"/>
        <c:numFmt formatCode="General" sourceLinked="1"/>
        <c:majorTickMark val="out"/>
        <c:minorTickMark val="none"/>
        <c:tickLblPos val="nextTo"/>
        <c:txPr>
          <a:bodyPr/>
          <a:lstStyle/>
          <a:p>
            <a:pPr>
              <a:defRPr sz="800"/>
            </a:pPr>
            <a:endParaRPr lang="en-US"/>
          </a:p>
        </c:txPr>
        <c:crossAx val="148057088"/>
        <c:crosses val="autoZero"/>
        <c:auto val="1"/>
        <c:lblAlgn val="ctr"/>
        <c:lblOffset val="100"/>
        <c:noMultiLvlLbl val="0"/>
      </c:catAx>
      <c:valAx>
        <c:axId val="148057088"/>
        <c:scaling>
          <c:orientation val="minMax"/>
          <c:min val="600"/>
        </c:scaling>
        <c:delete val="0"/>
        <c:axPos val="l"/>
        <c:majorGridlines/>
        <c:title>
          <c:tx>
            <c:rich>
              <a:bodyPr rot="-5400000" vert="horz"/>
              <a:lstStyle/>
              <a:p>
                <a:pPr>
                  <a:defRPr sz="1200"/>
                </a:pPr>
                <a:r>
                  <a:rPr lang="en-US" sz="1200"/>
                  <a:t>MW  Savings</a:t>
                </a:r>
              </a:p>
            </c:rich>
          </c:tx>
          <c:layout>
            <c:manualLayout>
              <c:xMode val="edge"/>
              <c:yMode val="edge"/>
              <c:x val="1.9444444444444445E-2"/>
              <c:y val="0.31763414989792943"/>
            </c:manualLayout>
          </c:layout>
          <c:overlay val="0"/>
        </c:title>
        <c:numFmt formatCode="0" sourceLinked="0"/>
        <c:majorTickMark val="out"/>
        <c:minorTickMark val="none"/>
        <c:tickLblPos val="nextTo"/>
        <c:crossAx val="148055552"/>
        <c:crosses val="autoZero"/>
        <c:crossBetween val="between"/>
      </c:valAx>
    </c:plotArea>
    <c:legend>
      <c:legendPos val="b"/>
      <c:overlay val="0"/>
    </c:legend>
    <c:plotVisOnly val="1"/>
    <c:dispBlanksAs val="gap"/>
    <c:showDLblsOverMax val="0"/>
  </c:chart>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Summer DSM</a:t>
            </a:r>
          </a:p>
        </c:rich>
      </c:tx>
      <c:overlay val="0"/>
    </c:title>
    <c:autoTitleDeleted val="0"/>
    <c:plotArea>
      <c:layout/>
      <c:lineChart>
        <c:grouping val="standard"/>
        <c:varyColors val="0"/>
        <c:ser>
          <c:idx val="0"/>
          <c:order val="0"/>
          <c:tx>
            <c:v>Current</c:v>
          </c:tx>
          <c:cat>
            <c:numRef>
              <c:f>CompareFcsts!$A$5:$A$18</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cat>
          <c:val>
            <c:numRef>
              <c:f>CompareFcsts!$N$5:$N$18</c:f>
              <c:numCache>
                <c:formatCode>0.0</c:formatCode>
                <c:ptCount val="14"/>
                <c:pt idx="0">
                  <c:v>222.4676163207607</c:v>
                </c:pt>
                <c:pt idx="1">
                  <c:v>221.23972849076068</c:v>
                </c:pt>
                <c:pt idx="2">
                  <c:v>264.1754052831493</c:v>
                </c:pt>
                <c:pt idx="3">
                  <c:v>282.83374090083862</c:v>
                </c:pt>
                <c:pt idx="4">
                  <c:v>287.89491698567969</c:v>
                </c:pt>
                <c:pt idx="5">
                  <c:v>299.40397191498494</c:v>
                </c:pt>
                <c:pt idx="6">
                  <c:v>320.6298712936931</c:v>
                </c:pt>
                <c:pt idx="7">
                  <c:v>331.46427123156855</c:v>
                </c:pt>
                <c:pt idx="8">
                  <c:v>348.54498202172641</c:v>
                </c:pt>
                <c:pt idx="9">
                  <c:v>354.8008910296229</c:v>
                </c:pt>
                <c:pt idx="10">
                  <c:v>343.01586134591616</c:v>
                </c:pt>
                <c:pt idx="11">
                  <c:v>349.89774549592772</c:v>
                </c:pt>
                <c:pt idx="12">
                  <c:v>357.69695539692776</c:v>
                </c:pt>
                <c:pt idx="13">
                  <c:v>366.22670126792775</c:v>
                </c:pt>
              </c:numCache>
            </c:numRef>
          </c:val>
          <c:smooth val="0"/>
          <c:extLst>
            <c:ext xmlns:c16="http://schemas.microsoft.com/office/drawing/2014/chart" uri="{C3380CC4-5D6E-409C-BE32-E72D297353CC}">
              <c16:uniqueId val="{00000000-BC49-477A-9438-B069D7668BF7}"/>
            </c:ext>
          </c:extLst>
        </c:ser>
        <c:ser>
          <c:idx val="1"/>
          <c:order val="1"/>
          <c:tx>
            <c:v>Previous</c:v>
          </c:tx>
          <c:spPr>
            <a:ln>
              <a:solidFill>
                <a:schemeClr val="accent1"/>
              </a:solidFill>
              <a:prstDash val="sysDot"/>
            </a:ln>
          </c:spPr>
          <c:marker>
            <c:symbol val="none"/>
          </c:marker>
          <c:val>
            <c:numRef>
              <c:f>CompareFcsts!$N$35:$N$48</c:f>
              <c:numCache>
                <c:formatCode>0.0</c:formatCode>
                <c:ptCount val="14"/>
                <c:pt idx="0">
                  <c:v>222.4676163207607</c:v>
                </c:pt>
                <c:pt idx="1">
                  <c:v>221.23972849076068</c:v>
                </c:pt>
                <c:pt idx="2">
                  <c:v>264.1754052831493</c:v>
                </c:pt>
                <c:pt idx="3">
                  <c:v>282.83374090083862</c:v>
                </c:pt>
                <c:pt idx="4">
                  <c:v>287.89491698567969</c:v>
                </c:pt>
                <c:pt idx="5">
                  <c:v>299.40397191498494</c:v>
                </c:pt>
                <c:pt idx="6">
                  <c:v>320.6298712936931</c:v>
                </c:pt>
                <c:pt idx="7">
                  <c:v>331.46427123156855</c:v>
                </c:pt>
                <c:pt idx="8">
                  <c:v>348.54498202172641</c:v>
                </c:pt>
                <c:pt idx="9">
                  <c:v>354.8008910296229</c:v>
                </c:pt>
                <c:pt idx="10">
                  <c:v>343.11767734802783</c:v>
                </c:pt>
                <c:pt idx="11">
                  <c:v>351.53470842902789</c:v>
                </c:pt>
                <c:pt idx="12">
                  <c:v>360.38939843002782</c:v>
                </c:pt>
                <c:pt idx="13">
                  <c:v>370.02847215102781</c:v>
                </c:pt>
              </c:numCache>
            </c:numRef>
          </c:val>
          <c:smooth val="0"/>
          <c:extLst>
            <c:ext xmlns:c16="http://schemas.microsoft.com/office/drawing/2014/chart" uri="{C3380CC4-5D6E-409C-BE32-E72D297353CC}">
              <c16:uniqueId val="{00000001-BC49-477A-9438-B069D7668BF7}"/>
            </c:ext>
          </c:extLst>
        </c:ser>
        <c:dLbls>
          <c:showLegendKey val="0"/>
          <c:showVal val="0"/>
          <c:showCatName val="0"/>
          <c:showSerName val="0"/>
          <c:showPercent val="0"/>
          <c:showBubbleSize val="0"/>
        </c:dLbls>
        <c:marker val="1"/>
        <c:smooth val="0"/>
        <c:axId val="148096128"/>
        <c:axId val="148097664"/>
      </c:lineChart>
      <c:catAx>
        <c:axId val="148096128"/>
        <c:scaling>
          <c:orientation val="minMax"/>
        </c:scaling>
        <c:delete val="0"/>
        <c:axPos val="b"/>
        <c:numFmt formatCode="General" sourceLinked="1"/>
        <c:majorTickMark val="out"/>
        <c:minorTickMark val="none"/>
        <c:tickLblPos val="nextTo"/>
        <c:txPr>
          <a:bodyPr/>
          <a:lstStyle/>
          <a:p>
            <a:pPr>
              <a:defRPr sz="800"/>
            </a:pPr>
            <a:endParaRPr lang="en-US"/>
          </a:p>
        </c:txPr>
        <c:crossAx val="148097664"/>
        <c:crosses val="autoZero"/>
        <c:auto val="1"/>
        <c:lblAlgn val="ctr"/>
        <c:lblOffset val="100"/>
        <c:noMultiLvlLbl val="0"/>
      </c:catAx>
      <c:valAx>
        <c:axId val="148097664"/>
        <c:scaling>
          <c:orientation val="minMax"/>
          <c:min val="200"/>
        </c:scaling>
        <c:delete val="0"/>
        <c:axPos val="l"/>
        <c:majorGridlines/>
        <c:title>
          <c:tx>
            <c:rich>
              <a:bodyPr rot="-5400000" vert="horz"/>
              <a:lstStyle/>
              <a:p>
                <a:pPr>
                  <a:defRPr sz="1200"/>
                </a:pPr>
                <a:r>
                  <a:rPr lang="en-US" sz="1200"/>
                  <a:t>MW  Savings</a:t>
                </a:r>
              </a:p>
            </c:rich>
          </c:tx>
          <c:layout>
            <c:manualLayout>
              <c:xMode val="edge"/>
              <c:yMode val="edge"/>
              <c:x val="1.9444444444444445E-2"/>
              <c:y val="0.31763414989792943"/>
            </c:manualLayout>
          </c:layout>
          <c:overlay val="0"/>
        </c:title>
        <c:numFmt formatCode="0" sourceLinked="0"/>
        <c:majorTickMark val="out"/>
        <c:minorTickMark val="none"/>
        <c:tickLblPos val="nextTo"/>
        <c:crossAx val="148096128"/>
        <c:crosses val="autoZero"/>
        <c:crossBetween val="between"/>
      </c:valAx>
    </c:plotArea>
    <c:legend>
      <c:legendPos val="b"/>
      <c:overlay val="0"/>
    </c:legend>
    <c:plotVisOnly val="1"/>
    <c:dispBlanksAs val="gap"/>
    <c:showDLblsOverMax val="0"/>
  </c:chart>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Summer
kw/Customer Savings</a:t>
            </a:r>
          </a:p>
        </c:rich>
      </c:tx>
      <c:layout>
        <c:manualLayout>
          <c:xMode val="edge"/>
          <c:yMode val="edge"/>
          <c:x val="0.34191215859109758"/>
          <c:y val="3.4055727554179564E-2"/>
        </c:manualLayout>
      </c:layout>
      <c:overlay val="0"/>
      <c:spPr>
        <a:noFill/>
        <a:ln w="25400">
          <a:noFill/>
        </a:ln>
      </c:spPr>
    </c:title>
    <c:autoTitleDeleted val="0"/>
    <c:plotArea>
      <c:layout>
        <c:manualLayout>
          <c:layoutTarget val="inner"/>
          <c:xMode val="edge"/>
          <c:yMode val="edge"/>
          <c:x val="0.12316187525300441"/>
          <c:y val="0.21362229102167182"/>
          <c:w val="0.84926546816250803"/>
          <c:h val="0.52941176470588236"/>
        </c:manualLayout>
      </c:layout>
      <c:lineChart>
        <c:grouping val="standard"/>
        <c:varyColors val="0"/>
        <c:ser>
          <c:idx val="0"/>
          <c:order val="0"/>
          <c:tx>
            <c:v>kW/New Participant</c:v>
          </c:tx>
          <c:spPr>
            <a:ln w="12700">
              <a:solidFill>
                <a:srgbClr val="000080"/>
              </a:solidFill>
              <a:prstDash val="solid"/>
            </a:ln>
          </c:spPr>
          <c:marker>
            <c:symbol val="diamond"/>
            <c:size val="7"/>
            <c:spPr>
              <a:solidFill>
                <a:srgbClr val="000080"/>
              </a:solidFill>
              <a:ln>
                <a:solidFill>
                  <a:srgbClr val="000080"/>
                </a:solidFill>
                <a:prstDash val="solid"/>
              </a:ln>
            </c:spPr>
          </c:marker>
          <c:cat>
            <c:numRef>
              <c:f>'RES Prime Time'!$A$8:$A$29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'RES Prime Time'!$E$8:$E$29</c:f>
              <c:numCache>
                <c:formatCode>_(* #,##0.000_);_(* \(#,##0.000\);_(* "-"??_);_(@_)</c:formatCode>
                <c:ptCount val="22"/>
                <c:pt idx="0">
                  <c:v>1.2259194395796849</c:v>
                </c:pt>
                <c:pt idx="1">
                  <c:v>1.22</c:v>
                </c:pt>
                <c:pt idx="2">
                  <c:v>1.1500000000000001</c:v>
                </c:pt>
                <c:pt idx="3">
                  <c:v>1.1500000000000001</c:v>
                </c:pt>
                <c:pt idx="4">
                  <c:v>1.1499999999999999</c:v>
                </c:pt>
                <c:pt idx="5">
                  <c:v>1.29</c:v>
                </c:pt>
                <c:pt idx="6">
                  <c:v>1.1700000000000002</c:v>
                </c:pt>
                <c:pt idx="7">
                  <c:v>1.28</c:v>
                </c:pt>
                <c:pt idx="8">
                  <c:v>1.2279986568166554</c:v>
                </c:pt>
                <c:pt idx="9">
                  <c:v>0.85694540428472699</c:v>
                </c:pt>
                <c:pt idx="10">
                  <c:v>0</c:v>
                </c:pt>
                <c:pt idx="11">
                  <c:v>0</c:v>
                </c:pt>
                <c:pt idx="12">
                  <c:v>0</c:v>
                </c:pt>
                <c:pt idx="13">
                  <c:v>0</c:v>
                </c:pt>
                <c:pt idx="14">
                  <c:v>0</c:v>
                </c:pt>
                <c:pt idx="15">
                  <c:v>1.024</c:v>
                </c:pt>
                <c:pt idx="16">
                  <c:v>1.029313783735283</c:v>
                </c:pt>
                <c:pt idx="17">
                  <c:v>1.0267299691906433</c:v>
                </c:pt>
                <c:pt idx="18">
                  <c:v>0.93258331453680388</c:v>
                </c:pt>
                <c:pt idx="19">
                  <c:v>0.93258331453680388</c:v>
                </c:pt>
                <c:pt idx="20">
                  <c:v>0.93258331453680388</c:v>
                </c:pt>
                <c:pt idx="21">
                  <c:v>0.93258331453680388</c:v>
                </c:pt>
              </c:numCache>
            </c:numRef>
          </c:val>
          <c:smooth val="0"/>
          <c:extLst>
            <c:ext xmlns:c16="http://schemas.microsoft.com/office/drawing/2014/chart" uri="{C3380CC4-5D6E-409C-BE32-E72D297353CC}">
              <c16:uniqueId val="{00000000-B669-4718-9B20-87FC555D0560}"/>
            </c:ext>
          </c:extLst>
        </c:ser>
        <c:ser>
          <c:idx val="1"/>
          <c:order val="1"/>
          <c:tx>
            <c:v>kW/Cumulative Participants</c:v>
          </c:tx>
          <c:spPr>
            <a:ln w="12700">
              <a:solidFill>
                <a:srgbClr val="FF00FF"/>
              </a:solidFill>
              <a:prstDash val="solid"/>
            </a:ln>
          </c:spPr>
          <c:marker>
            <c:symbol val="square"/>
            <c:size val="5"/>
            <c:spPr>
              <a:solidFill>
                <a:srgbClr val="FF00FF"/>
              </a:solidFill>
              <a:ln>
                <a:solidFill>
                  <a:srgbClr val="FF00FF"/>
                </a:solidFill>
                <a:prstDash val="solid"/>
              </a:ln>
            </c:spPr>
          </c:marker>
          <c:cat>
            <c:numRef>
              <c:f>'RES Prime Time'!$A$8:$A$29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'RES Prime Time'!$L$8:$L$29</c:f>
              <c:numCache>
                <c:formatCode>0.00</c:formatCode>
                <c:ptCount val="22"/>
                <c:pt idx="0">
                  <c:v>1.3199441666327871</c:v>
                </c:pt>
                <c:pt idx="1">
                  <c:v>1.3032654854297847</c:v>
                </c:pt>
                <c:pt idx="2">
                  <c:v>1.1479935794542535</c:v>
                </c:pt>
                <c:pt idx="3">
                  <c:v>1.2883066323459731</c:v>
                </c:pt>
                <c:pt idx="4">
                  <c:v>1.1875258157786039</c:v>
                </c:pt>
                <c:pt idx="5">
                  <c:v>0.96185303932473987</c:v>
                </c:pt>
                <c:pt idx="6">
                  <c:v>1.1237149005127116</c:v>
                </c:pt>
                <c:pt idx="7">
                  <c:v>1.2380888918504698</c:v>
                </c:pt>
                <c:pt idx="8">
                  <c:v>0.79897945481401911</c:v>
                </c:pt>
                <c:pt idx="9">
                  <c:v>1.223759377796132</c:v>
                </c:pt>
                <c:pt idx="10">
                  <c:v>1.075466699472591</c:v>
                </c:pt>
                <c:pt idx="11">
                  <c:v>1.2191813341472513</c:v>
                </c:pt>
                <c:pt idx="12">
                  <c:v>1.1833132771760932</c:v>
                </c:pt>
                <c:pt idx="13">
                  <c:v>1.2283839859742711</c:v>
                </c:pt>
                <c:pt idx="14">
                  <c:v>1.0521389503587606</c:v>
                </c:pt>
                <c:pt idx="15">
                  <c:v>0.99305476001700643</c:v>
                </c:pt>
                <c:pt idx="16">
                  <c:v>1.029313783735283</c:v>
                </c:pt>
                <c:pt idx="17">
                  <c:v>1.0267299691906433</c:v>
                </c:pt>
                <c:pt idx="18">
                  <c:v>0.93258331453680388</c:v>
                </c:pt>
                <c:pt idx="19">
                  <c:v>0.93258331453680388</c:v>
                </c:pt>
                <c:pt idx="20">
                  <c:v>0.93258331453680388</c:v>
                </c:pt>
                <c:pt idx="21">
                  <c:v>0.93258331453680388</c:v>
                </c:pt>
              </c:numCache>
            </c:numRef>
          </c:val>
          <c:smooth val="0"/>
          <c:extLst>
            <c:ext xmlns:c16="http://schemas.microsoft.com/office/drawing/2014/chart" uri="{C3380CC4-5D6E-409C-BE32-E72D297353CC}">
              <c16:uniqueId val="{00000001-B669-4718-9B20-87FC555D0560}"/>
            </c:ext>
          </c:extLst>
        </c:ser>
        <c:dLbls>
          <c:showLegendKey val="0"/>
          <c:showVal val="0"/>
          <c:showCatName val="0"/>
          <c:showSerName val="0"/>
          <c:showPercent val="0"/>
          <c:showBubbleSize val="0"/>
        </c:dLbls>
        <c:marker val="1"/>
        <c:smooth val="0"/>
        <c:axId val="149478016"/>
        <c:axId val="149484288"/>
      </c:lineChart>
      <c:catAx>
        <c:axId val="14947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75" b="0" i="0" u="none" strike="noStrike" baseline="0">
                <a:solidFill>
                  <a:srgbClr val="000000"/>
                </a:solidFill>
                <a:latin typeface="Arial"/>
                <a:ea typeface="Arial"/>
                <a:cs typeface="Arial"/>
              </a:defRPr>
            </a:pPr>
            <a:endParaRPr lang="en-US"/>
          </a:p>
        </c:txPr>
        <c:crossAx val="149484288"/>
        <c:crosses val="autoZero"/>
        <c:auto val="1"/>
        <c:lblAlgn val="ctr"/>
        <c:lblOffset val="100"/>
        <c:tickLblSkip val="2"/>
        <c:tickMarkSkip val="1"/>
        <c:noMultiLvlLbl val="0"/>
      </c:catAx>
      <c:valAx>
        <c:axId val="149484288"/>
        <c:scaling>
          <c:orientation val="minMax"/>
          <c:min val="0.6"/>
        </c:scaling>
        <c:delete val="0"/>
        <c:axPos val="l"/>
        <c:majorGridlines>
          <c:spPr>
            <a:ln w="3175">
              <a:solidFill>
                <a:srgbClr val="000000"/>
              </a:solidFill>
              <a:prstDash val="solid"/>
            </a:ln>
          </c:spPr>
        </c:majorGridlines>
        <c:numFmt formatCode="_(* #,##0.000_);_(* \(#,##0.000\);_(* &quot;-&quot;??_);_(@_)"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49478016"/>
        <c:crosses val="autoZero"/>
        <c:crossBetween val="between"/>
      </c:valAx>
      <c:spPr>
        <a:solidFill>
          <a:srgbClr val="C0C0C0"/>
        </a:solidFill>
        <a:ln w="12700">
          <a:solidFill>
            <a:srgbClr val="808080"/>
          </a:solidFill>
          <a:prstDash val="solid"/>
        </a:ln>
      </c:spPr>
    </c:plotArea>
    <c:legend>
      <c:legendPos val="r"/>
      <c:layout>
        <c:manualLayout>
          <c:xMode val="edge"/>
          <c:yMode val="edge"/>
          <c:x val="0.23890802898784408"/>
          <c:y val="0.90092879256965941"/>
          <c:w val="0.61433500846523881"/>
          <c:h val="7.4303405572755388E-2"/>
        </c:manualLayout>
      </c:layout>
      <c:overlay val="0"/>
      <c:spPr>
        <a:solidFill>
          <a:srgbClr val="FFFFFF"/>
        </a:solidFill>
        <a:ln w="3175">
          <a:solidFill>
            <a:srgbClr val="000000"/>
          </a:solidFill>
          <a:prstDash val="solid"/>
        </a:ln>
      </c:spPr>
      <c:txPr>
        <a:bodyPr/>
        <a:lstStyle/>
        <a:p>
          <a:pPr>
            <a:defRPr sz="3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US"/>
              <a:t>Winter
kw/Customer Savings</a:t>
            </a:r>
          </a:p>
        </c:rich>
      </c:tx>
      <c:layout>
        <c:manualLayout>
          <c:xMode val="edge"/>
          <c:yMode val="edge"/>
          <c:x val="0.36231934776268904"/>
          <c:y val="3.3333333333333333E-2"/>
        </c:manualLayout>
      </c:layout>
      <c:overlay val="0"/>
      <c:spPr>
        <a:noFill/>
        <a:ln w="25400">
          <a:noFill/>
        </a:ln>
      </c:spPr>
    </c:title>
    <c:autoTitleDeleted val="0"/>
    <c:plotArea>
      <c:layout>
        <c:manualLayout>
          <c:layoutTarget val="inner"/>
          <c:xMode val="edge"/>
          <c:yMode val="edge"/>
          <c:x val="0.11916282829299438"/>
          <c:y val="0.22121277584273155"/>
          <c:w val="0.85668411691720281"/>
          <c:h val="0.51212272763591271"/>
        </c:manualLayout>
      </c:layout>
      <c:lineChart>
        <c:grouping val="standard"/>
        <c:varyColors val="0"/>
        <c:ser>
          <c:idx val="0"/>
          <c:order val="0"/>
          <c:tx>
            <c:v>kW/New Participant</c:v>
          </c:tx>
          <c:spPr>
            <a:ln w="12700">
              <a:solidFill>
                <a:srgbClr val="000080"/>
              </a:solidFill>
              <a:prstDash val="solid"/>
            </a:ln>
          </c:spPr>
          <c:marker>
            <c:symbol val="diamond"/>
            <c:size val="7"/>
            <c:spPr>
              <a:solidFill>
                <a:srgbClr val="000080"/>
              </a:solidFill>
              <a:ln>
                <a:solidFill>
                  <a:srgbClr val="000080"/>
                </a:solidFill>
                <a:prstDash val="solid"/>
              </a:ln>
            </c:spPr>
          </c:marker>
          <c:cat>
            <c:numRef>
              <c:f>'RES Prime Time'!$A$8:$A$29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'RES Prime Time'!$F$8:$F$29</c:f>
              <c:numCache>
                <c:formatCode>_(* #,##0.000_);_(* \(#,##0.000\);_(* "-"??_);_(@_)</c:formatCode>
                <c:ptCount val="22"/>
                <c:pt idx="0">
                  <c:v>2.9947460595446587</c:v>
                </c:pt>
                <c:pt idx="1">
                  <c:v>2.99</c:v>
                </c:pt>
                <c:pt idx="2">
                  <c:v>2.81</c:v>
                </c:pt>
                <c:pt idx="3">
                  <c:v>2.81</c:v>
                </c:pt>
                <c:pt idx="4">
                  <c:v>2.81</c:v>
                </c:pt>
                <c:pt idx="5">
                  <c:v>2.98</c:v>
                </c:pt>
                <c:pt idx="6">
                  <c:v>2.76</c:v>
                </c:pt>
                <c:pt idx="7">
                  <c:v>2.9399999999999995</c:v>
                </c:pt>
                <c:pt idx="8">
                  <c:v>2.8</c:v>
                </c:pt>
                <c:pt idx="9">
                  <c:v>1.9004837595024189</c:v>
                </c:pt>
                <c:pt idx="10">
                  <c:v>0</c:v>
                </c:pt>
                <c:pt idx="11">
                  <c:v>0</c:v>
                </c:pt>
                <c:pt idx="12">
                  <c:v>0</c:v>
                </c:pt>
                <c:pt idx="13">
                  <c:v>0</c:v>
                </c:pt>
                <c:pt idx="14">
                  <c:v>0</c:v>
                </c:pt>
                <c:pt idx="15">
                  <c:v>2.1869999999999998</c:v>
                </c:pt>
                <c:pt idx="16">
                  <c:v>2.181</c:v>
                </c:pt>
                <c:pt idx="17">
                  <c:v>2.181</c:v>
                </c:pt>
                <c:pt idx="18">
                  <c:v>1.5915874192365795</c:v>
                </c:pt>
                <c:pt idx="19">
                  <c:v>1.5915874192365795</c:v>
                </c:pt>
                <c:pt idx="20">
                  <c:v>1.5915874192365795</c:v>
                </c:pt>
                <c:pt idx="21">
                  <c:v>1.5915874192365795</c:v>
                </c:pt>
              </c:numCache>
            </c:numRef>
          </c:val>
          <c:smooth val="0"/>
          <c:extLst>
            <c:ext xmlns:c16="http://schemas.microsoft.com/office/drawing/2014/chart" uri="{C3380CC4-5D6E-409C-BE32-E72D297353CC}">
              <c16:uniqueId val="{00000000-5488-4C09-8344-0009C6A7CD36}"/>
            </c:ext>
          </c:extLst>
        </c:ser>
        <c:ser>
          <c:idx val="1"/>
          <c:order val="1"/>
          <c:tx>
            <c:v>kW/Cumulative Participants</c:v>
          </c:tx>
          <c:spPr>
            <a:ln w="12700">
              <a:solidFill>
                <a:srgbClr val="FF00FF"/>
              </a:solidFill>
              <a:prstDash val="solid"/>
            </a:ln>
          </c:spPr>
          <c:marker>
            <c:symbol val="square"/>
            <c:size val="5"/>
            <c:spPr>
              <a:solidFill>
                <a:srgbClr val="FF00FF"/>
              </a:solidFill>
              <a:ln>
                <a:solidFill>
                  <a:srgbClr val="FF00FF"/>
                </a:solidFill>
                <a:prstDash val="solid"/>
              </a:ln>
            </c:spPr>
          </c:marker>
          <c:cat>
            <c:numRef>
              <c:f>'RES Prime Time'!$A$8:$A$29</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'RES Prime Time'!$R$8:$R$29</c:f>
              <c:numCache>
                <c:formatCode>0.00</c:formatCode>
                <c:ptCount val="22"/>
                <c:pt idx="0">
                  <c:v>3.101198438481068</c:v>
                </c:pt>
                <c:pt idx="1">
                  <c:v>3.3167001139013941</c:v>
                </c:pt>
                <c:pt idx="2">
                  <c:v>2.0032998583919035</c:v>
                </c:pt>
                <c:pt idx="3">
                  <c:v>1.9229785056294779</c:v>
                </c:pt>
                <c:pt idx="4">
                  <c:v>3.2148182425831662</c:v>
                </c:pt>
                <c:pt idx="5">
                  <c:v>2.5490348692403488</c:v>
                </c:pt>
                <c:pt idx="6">
                  <c:v>2.4294433239741107</c:v>
                </c:pt>
                <c:pt idx="7">
                  <c:v>2.1973636956145834</c:v>
                </c:pt>
                <c:pt idx="8">
                  <c:v>2.6342519579802732</c:v>
                </c:pt>
                <c:pt idx="9">
                  <c:v>1.743329513832051</c:v>
                </c:pt>
                <c:pt idx="10">
                  <c:v>2.4916080282026432</c:v>
                </c:pt>
                <c:pt idx="11">
                  <c:v>1.9495061788067733</c:v>
                </c:pt>
                <c:pt idx="12">
                  <c:v>1.5881120481715583</c:v>
                </c:pt>
                <c:pt idx="13">
                  <c:v>2.263925009822815</c:v>
                </c:pt>
                <c:pt idx="14">
                  <c:v>1.945127130824968</c:v>
                </c:pt>
                <c:pt idx="15">
                  <c:v>2.1335836098711236</c:v>
                </c:pt>
                <c:pt idx="16">
                  <c:v>1.8186471287110173</c:v>
                </c:pt>
                <c:pt idx="17">
                  <c:v>1.8472940529867083</c:v>
                </c:pt>
                <c:pt idx="18">
                  <c:v>1.5915874192365795</c:v>
                </c:pt>
                <c:pt idx="19">
                  <c:v>1.5915874192365795</c:v>
                </c:pt>
                <c:pt idx="20">
                  <c:v>1.5915874192365795</c:v>
                </c:pt>
                <c:pt idx="21">
                  <c:v>1.5915874192365795</c:v>
                </c:pt>
              </c:numCache>
            </c:numRef>
          </c:val>
          <c:smooth val="0"/>
          <c:extLst>
            <c:ext xmlns:c16="http://schemas.microsoft.com/office/drawing/2014/chart" uri="{C3380CC4-5D6E-409C-BE32-E72D297353CC}">
              <c16:uniqueId val="{00000001-5488-4C09-8344-0009C6A7CD36}"/>
            </c:ext>
          </c:extLst>
        </c:ser>
        <c:dLbls>
          <c:showLegendKey val="0"/>
          <c:showVal val="0"/>
          <c:showCatName val="0"/>
          <c:showSerName val="0"/>
          <c:showPercent val="0"/>
          <c:showBubbleSize val="0"/>
        </c:dLbls>
        <c:marker val="1"/>
        <c:smooth val="0"/>
        <c:axId val="148768640"/>
        <c:axId val="149286912"/>
      </c:lineChart>
      <c:catAx>
        <c:axId val="148768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25" b="0" i="0" u="none" strike="noStrike" baseline="0">
                <a:solidFill>
                  <a:srgbClr val="000000"/>
                </a:solidFill>
                <a:latin typeface="Arial"/>
                <a:ea typeface="Arial"/>
                <a:cs typeface="Arial"/>
              </a:defRPr>
            </a:pPr>
            <a:endParaRPr lang="en-US"/>
          </a:p>
        </c:txPr>
        <c:crossAx val="149286912"/>
        <c:crosses val="autoZero"/>
        <c:auto val="1"/>
        <c:lblAlgn val="ctr"/>
        <c:lblOffset val="100"/>
        <c:tickLblSkip val="1"/>
        <c:tickMarkSkip val="1"/>
        <c:noMultiLvlLbl val="0"/>
      </c:catAx>
      <c:valAx>
        <c:axId val="149286912"/>
        <c:scaling>
          <c:orientation val="minMax"/>
          <c:min val="0.6"/>
        </c:scaling>
        <c:delete val="0"/>
        <c:axPos val="l"/>
        <c:majorGridlines>
          <c:spPr>
            <a:ln w="3175">
              <a:solidFill>
                <a:srgbClr val="000000"/>
              </a:solidFill>
              <a:prstDash val="solid"/>
            </a:ln>
          </c:spPr>
        </c:majorGridlines>
        <c:numFmt formatCode="_(* #,##0.000_);_(* \(#,##0.000\);_(* &quot;-&quot;??_);_(@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148768640"/>
        <c:crosses val="autoZero"/>
        <c:crossBetween val="between"/>
      </c:valAx>
      <c:spPr>
        <a:solidFill>
          <a:srgbClr val="C0C0C0"/>
        </a:solidFill>
        <a:ln w="12700">
          <a:solidFill>
            <a:srgbClr val="808080"/>
          </a:solidFill>
          <a:prstDash val="solid"/>
        </a:ln>
      </c:spPr>
    </c:plotArea>
    <c:legend>
      <c:legendPos val="r"/>
      <c:layout>
        <c:manualLayout>
          <c:xMode val="edge"/>
          <c:yMode val="edge"/>
          <c:x val="0.23993592588366067"/>
          <c:y val="0.89697224210610038"/>
          <c:w val="0.60547605462360676"/>
          <c:h val="7.5757893899626172E-2"/>
        </c:manualLayout>
      </c:layout>
      <c:overlay val="0"/>
      <c:spPr>
        <a:solidFill>
          <a:srgbClr val="FFFFFF"/>
        </a:solidFill>
        <a:ln w="3175">
          <a:solidFill>
            <a:srgbClr val="000000"/>
          </a:solidFill>
          <a:prstDash val="solid"/>
        </a:ln>
      </c:spPr>
      <c:txPr>
        <a:bodyPr/>
        <a:lstStyle/>
        <a:p>
          <a:pPr>
            <a:defRPr sz="39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 DSM </a:t>
            </a:r>
          </a:p>
          <a:p>
            <a:pPr>
              <a:defRPr/>
            </a:pPr>
            <a:r>
              <a:rPr lang="en-US"/>
              <a:t>Incremental Summer Savings</a:t>
            </a:r>
          </a:p>
        </c:rich>
      </c:tx>
      <c:overlay val="0"/>
    </c:title>
    <c:autoTitleDeleted val="0"/>
    <c:plotArea>
      <c:layout/>
      <c:barChart>
        <c:barDir val="col"/>
        <c:grouping val="stacked"/>
        <c:varyColors val="0"/>
        <c:ser>
          <c:idx val="0"/>
          <c:order val="0"/>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Summary'!$V$109:$V$136</c:f>
              <c:numCache>
                <c:formatCode>_(* #,##0.0_);_(* \(#,##0.0\);_(* "-"??_);_(@_)</c:formatCode>
                <c:ptCount val="28"/>
                <c:pt idx="0">
                  <c:v>10.521286883156307</c:v>
                </c:pt>
                <c:pt idx="1">
                  <c:v>1.528956998128649</c:v>
                </c:pt>
                <c:pt idx="2">
                  <c:v>-5.0876844567044088</c:v>
                </c:pt>
                <c:pt idx="3">
                  <c:v>16.680660899098569</c:v>
                </c:pt>
                <c:pt idx="4">
                  <c:v>-4.8516269165888275</c:v>
                </c:pt>
                <c:pt idx="5">
                  <c:v>-15.369147528368643</c:v>
                </c:pt>
                <c:pt idx="6">
                  <c:v>15.453605464998901</c:v>
                </c:pt>
                <c:pt idx="7">
                  <c:v>13.299558903262408</c:v>
                </c:pt>
                <c:pt idx="8">
                  <c:v>-30.606710592800283</c:v>
                </c:pt>
                <c:pt idx="9">
                  <c:v>36.20770269999997</c:v>
                </c:pt>
                <c:pt idx="10">
                  <c:v>-13.986007954914157</c:v>
                </c:pt>
                <c:pt idx="11">
                  <c:v>2.8113370418819557</c:v>
                </c:pt>
                <c:pt idx="12">
                  <c:v>-3.8331014800000105</c:v>
                </c:pt>
                <c:pt idx="13">
                  <c:v>3.6502816173886004</c:v>
                </c:pt>
                <c:pt idx="14">
                  <c:v>-7.1212841084196157</c:v>
                </c:pt>
                <c:pt idx="15">
                  <c:v>0.57201790484111825</c:v>
                </c:pt>
                <c:pt idx="16">
                  <c:v>4.5487900293052519</c:v>
                </c:pt>
                <c:pt idx="17">
                  <c:v>4.8990619390529275</c:v>
                </c:pt>
                <c:pt idx="18">
                  <c:v>4.9977977793948867</c:v>
                </c:pt>
                <c:pt idx="19">
                  <c:v>7.8616641773992626</c:v>
                </c:pt>
                <c:pt idx="20">
                  <c:v>-3.7734462769442132</c:v>
                </c:pt>
                <c:pt idx="21">
                  <c:v>-14.744731717040111</c:v>
                </c:pt>
                <c:pt idx="22">
                  <c:v>4.8638934414999824</c:v>
                </c:pt>
                <c:pt idx="23">
                  <c:v>4.6878157510000449</c:v>
                </c:pt>
                <c:pt idx="24">
                  <c:v>5.1003306009999676</c:v>
                </c:pt>
                <c:pt idx="25">
                  <c:v>5.4497262259999957</c:v>
                </c:pt>
                <c:pt idx="26">
                  <c:v>5.4497262260000525</c:v>
                </c:pt>
                <c:pt idx="27">
                  <c:v>5.4387816259999795</c:v>
                </c:pt>
              </c:numCache>
            </c:numRef>
          </c:val>
          <c:extLst>
            <c:ext xmlns:c16="http://schemas.microsoft.com/office/drawing/2014/chart" uri="{C3380CC4-5D6E-409C-BE32-E72D297353CC}">
              <c16:uniqueId val="{00000000-8581-4AED-B2CE-D3FE22890DB0}"/>
            </c:ext>
          </c:extLst>
        </c:ser>
        <c:dLbls>
          <c:showLegendKey val="0"/>
          <c:showVal val="0"/>
          <c:showCatName val="0"/>
          <c:showSerName val="0"/>
          <c:showPercent val="0"/>
          <c:showBubbleSize val="0"/>
        </c:dLbls>
        <c:gapWidth val="150"/>
        <c:overlap val="100"/>
        <c:axId val="379139200"/>
        <c:axId val="379140736"/>
      </c:barChart>
      <c:catAx>
        <c:axId val="379139200"/>
        <c:scaling>
          <c:orientation val="minMax"/>
        </c:scaling>
        <c:delete val="0"/>
        <c:axPos val="b"/>
        <c:numFmt formatCode="General" sourceLinked="1"/>
        <c:majorTickMark val="out"/>
        <c:minorTickMark val="none"/>
        <c:tickLblPos val="nextTo"/>
        <c:crossAx val="379140736"/>
        <c:crosses val="autoZero"/>
        <c:auto val="1"/>
        <c:lblAlgn val="ctr"/>
        <c:lblOffset val="100"/>
        <c:noMultiLvlLbl val="0"/>
      </c:catAx>
      <c:valAx>
        <c:axId val="379140736"/>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79139200"/>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 DSM </a:t>
            </a:r>
          </a:p>
          <a:p>
            <a:pPr>
              <a:defRPr/>
            </a:pPr>
            <a:r>
              <a:rPr lang="en-US"/>
              <a:t>Incremental Winter Savings</a:t>
            </a:r>
          </a:p>
        </c:rich>
      </c:tx>
      <c:overlay val="0"/>
    </c:title>
    <c:autoTitleDeleted val="0"/>
    <c:plotArea>
      <c:layout/>
      <c:barChart>
        <c:barDir val="col"/>
        <c:grouping val="stacked"/>
        <c:varyColors val="0"/>
        <c:ser>
          <c:idx val="0"/>
          <c:order val="0"/>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Summary'!$AS$109:$AS$136</c:f>
              <c:numCache>
                <c:formatCode>_(* #,##0.0_);_(* \(#,##0.0\);_(* "-"??_);_(@_)</c:formatCode>
                <c:ptCount val="28"/>
                <c:pt idx="0">
                  <c:v>83.696934509863524</c:v>
                </c:pt>
                <c:pt idx="1">
                  <c:v>31.824104367375867</c:v>
                </c:pt>
                <c:pt idx="2">
                  <c:v>-74.021296401687323</c:v>
                </c:pt>
                <c:pt idx="3">
                  <c:v>12.155518255776769</c:v>
                </c:pt>
                <c:pt idx="4">
                  <c:v>124.19326571522959</c:v>
                </c:pt>
                <c:pt idx="5">
                  <c:v>-41.639981577054982</c:v>
                </c:pt>
                <c:pt idx="6">
                  <c:v>-5.6166448114482819</c:v>
                </c:pt>
                <c:pt idx="7">
                  <c:v>-10.688804666030251</c:v>
                </c:pt>
                <c:pt idx="8">
                  <c:v>43.111770857177135</c:v>
                </c:pt>
                <c:pt idx="9">
                  <c:v>-64.939215730290471</c:v>
                </c:pt>
                <c:pt idx="10">
                  <c:v>58.83087470472401</c:v>
                </c:pt>
                <c:pt idx="11">
                  <c:v>-56.107482800196294</c:v>
                </c:pt>
                <c:pt idx="12">
                  <c:v>-28.406245660000081</c:v>
                </c:pt>
                <c:pt idx="13">
                  <c:v>37.595574506418302</c:v>
                </c:pt>
                <c:pt idx="14">
                  <c:v>-18.667621693501815</c:v>
                </c:pt>
                <c:pt idx="15">
                  <c:v>13.058811902007847</c:v>
                </c:pt>
                <c:pt idx="16">
                  <c:v>-12.071618042848627</c:v>
                </c:pt>
                <c:pt idx="17">
                  <c:v>3.6773760537856788</c:v>
                </c:pt>
                <c:pt idx="18">
                  <c:v>-1.6863383674034367</c:v>
                </c:pt>
                <c:pt idx="19">
                  <c:v>6.1553674919650803</c:v>
                </c:pt>
                <c:pt idx="20">
                  <c:v>-7.2083887148456824</c:v>
                </c:pt>
                <c:pt idx="21">
                  <c:v>-14.092355242366125</c:v>
                </c:pt>
                <c:pt idx="22">
                  <c:v>-13.519677381633755</c:v>
                </c:pt>
                <c:pt idx="23">
                  <c:v>6.8135693139998921</c:v>
                </c:pt>
                <c:pt idx="24">
                  <c:v>6.9787898540000697</c:v>
                </c:pt>
                <c:pt idx="25">
                  <c:v>8.0509421839999504</c:v>
                </c:pt>
                <c:pt idx="26">
                  <c:v>8.0509421840000641</c:v>
                </c:pt>
                <c:pt idx="27">
                  <c:v>8.0509421839999504</c:v>
                </c:pt>
              </c:numCache>
            </c:numRef>
          </c:val>
          <c:extLst>
            <c:ext xmlns:c16="http://schemas.microsoft.com/office/drawing/2014/chart" uri="{C3380CC4-5D6E-409C-BE32-E72D297353CC}">
              <c16:uniqueId val="{00000000-B701-4FCB-9D74-066F92E7B2A0}"/>
            </c:ext>
          </c:extLst>
        </c:ser>
        <c:dLbls>
          <c:showLegendKey val="0"/>
          <c:showVal val="0"/>
          <c:showCatName val="0"/>
          <c:showSerName val="0"/>
          <c:showPercent val="0"/>
          <c:showBubbleSize val="0"/>
        </c:dLbls>
        <c:gapWidth val="150"/>
        <c:overlap val="100"/>
        <c:axId val="379153024"/>
        <c:axId val="379159296"/>
      </c:barChart>
      <c:catAx>
        <c:axId val="379153024"/>
        <c:scaling>
          <c:orientation val="minMax"/>
        </c:scaling>
        <c:delete val="0"/>
        <c:axPos val="b"/>
        <c:numFmt formatCode="General" sourceLinked="1"/>
        <c:majorTickMark val="out"/>
        <c:minorTickMark val="none"/>
        <c:tickLblPos val="nextTo"/>
        <c:crossAx val="379159296"/>
        <c:crosses val="autoZero"/>
        <c:auto val="1"/>
        <c:lblAlgn val="ctr"/>
        <c:lblOffset val="100"/>
        <c:noMultiLvlLbl val="0"/>
      </c:catAx>
      <c:valAx>
        <c:axId val="379159296"/>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7915302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Residential DSM </a:t>
            </a:r>
          </a:p>
          <a:p>
            <a:pPr>
              <a:defRPr/>
            </a:pPr>
            <a:r>
              <a:rPr lang="en-US"/>
              <a:t> Energy Savings</a:t>
            </a:r>
          </a:p>
        </c:rich>
      </c:tx>
      <c:overlay val="0"/>
    </c:title>
    <c:autoTitleDeleted val="0"/>
    <c:plotArea>
      <c:layout/>
      <c:barChart>
        <c:barDir val="col"/>
        <c:grouping val="stacked"/>
        <c:varyColors val="0"/>
        <c:ser>
          <c:idx val="0"/>
          <c:order val="0"/>
          <c:invertIfNegative val="0"/>
          <c:cat>
            <c:numRef>
              <c:f>'Res Summary'!$AU$59:$AU$86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Summary'!$BT$59:$BT$86</c:f>
              <c:numCache>
                <c:formatCode>0.00</c:formatCode>
                <c:ptCount val="28"/>
                <c:pt idx="0">
                  <c:v>245.20301499742035</c:v>
                </c:pt>
                <c:pt idx="1">
                  <c:v>261.90913534683995</c:v>
                </c:pt>
                <c:pt idx="2">
                  <c:v>279.0981154021589</c:v>
                </c:pt>
                <c:pt idx="3">
                  <c:v>297.3457837142044</c:v>
                </c:pt>
                <c:pt idx="4">
                  <c:v>314.92794279352336</c:v>
                </c:pt>
                <c:pt idx="5">
                  <c:v>332.50130344606549</c:v>
                </c:pt>
                <c:pt idx="6">
                  <c:v>346.0424367580024</c:v>
                </c:pt>
                <c:pt idx="7">
                  <c:v>361.43288390143147</c:v>
                </c:pt>
                <c:pt idx="8">
                  <c:v>377.93090704233765</c:v>
                </c:pt>
                <c:pt idx="9">
                  <c:v>393.90092587233767</c:v>
                </c:pt>
                <c:pt idx="10">
                  <c:v>403.84186823119717</c:v>
                </c:pt>
                <c:pt idx="11">
                  <c:v>412.03406345044323</c:v>
                </c:pt>
                <c:pt idx="12">
                  <c:v>420.52098949044324</c:v>
                </c:pt>
                <c:pt idx="13">
                  <c:v>430.44630415306881</c:v>
                </c:pt>
                <c:pt idx="14">
                  <c:v>443.00918392695252</c:v>
                </c:pt>
                <c:pt idx="15">
                  <c:v>456.93821992695251</c:v>
                </c:pt>
                <c:pt idx="16">
                  <c:v>471.91363121695252</c:v>
                </c:pt>
                <c:pt idx="17">
                  <c:v>488.12729952695253</c:v>
                </c:pt>
                <c:pt idx="18">
                  <c:v>503.78503896981078</c:v>
                </c:pt>
                <c:pt idx="19">
                  <c:v>527.803860675961</c:v>
                </c:pt>
                <c:pt idx="20">
                  <c:v>540.43421653894302</c:v>
                </c:pt>
                <c:pt idx="21" formatCode="0.000">
                  <c:v>546.4878178509432</c:v>
                </c:pt>
                <c:pt idx="22">
                  <c:v>548.57694700294314</c:v>
                </c:pt>
                <c:pt idx="23">
                  <c:v>549.83245180294307</c:v>
                </c:pt>
                <c:pt idx="24">
                  <c:v>551.03882620294314</c:v>
                </c:pt>
                <c:pt idx="25">
                  <c:v>552.20586460294317</c:v>
                </c:pt>
                <c:pt idx="26">
                  <c:v>553.37290300294319</c:v>
                </c:pt>
                <c:pt idx="27">
                  <c:v>554.50076380294308</c:v>
                </c:pt>
              </c:numCache>
            </c:numRef>
          </c:val>
          <c:extLst>
            <c:ext xmlns:c16="http://schemas.microsoft.com/office/drawing/2014/chart" uri="{C3380CC4-5D6E-409C-BE32-E72D297353CC}">
              <c16:uniqueId val="{00000000-0824-4532-B0C8-2C34858ECC94}"/>
            </c:ext>
          </c:extLst>
        </c:ser>
        <c:ser>
          <c:idx val="1"/>
          <c:order val="1"/>
          <c:invertIfNegative val="0"/>
          <c:cat>
            <c:numRef>
              <c:f>'Res Summary'!$AU$59:$AU$86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Summary'!$BU$59:$BU$86</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9.6497100000021874E-2</c:v>
                </c:pt>
                <c:pt idx="13">
                  <c:v>0.21292803000000049</c:v>
                </c:pt>
                <c:pt idx="14">
                  <c:v>0.56805609695652493</c:v>
                </c:pt>
                <c:pt idx="15">
                  <c:v>1.3018734269564902</c:v>
                </c:pt>
                <c:pt idx="16">
                  <c:v>2.4244966369565759</c:v>
                </c:pt>
                <c:pt idx="17">
                  <c:v>5.0224278469564752</c:v>
                </c:pt>
                <c:pt idx="18">
                  <c:v>9.6390951130434814</c:v>
                </c:pt>
                <c:pt idx="19">
                  <c:v>18.879779929043366</c:v>
                </c:pt>
                <c:pt idx="20">
                  <c:v>28.020654771336922</c:v>
                </c:pt>
                <c:pt idx="21" formatCode="0.000">
                  <c:v>41.150456643336838</c:v>
                </c:pt>
                <c:pt idx="22">
                  <c:v>51.318480003336845</c:v>
                </c:pt>
                <c:pt idx="23">
                  <c:v>61.652857155337074</c:v>
                </c:pt>
                <c:pt idx="24">
                  <c:v>72.731059587336745</c:v>
                </c:pt>
                <c:pt idx="25">
                  <c:v>84.227406339336653</c:v>
                </c:pt>
                <c:pt idx="26">
                  <c:v>95.72375309133713</c:v>
                </c:pt>
                <c:pt idx="27">
                  <c:v>107.22009984333704</c:v>
                </c:pt>
              </c:numCache>
            </c:numRef>
          </c:val>
          <c:extLst>
            <c:ext xmlns:c16="http://schemas.microsoft.com/office/drawing/2014/chart" uri="{C3380CC4-5D6E-409C-BE32-E72D297353CC}">
              <c16:uniqueId val="{00000001-0824-4532-B0C8-2C34858ECC94}"/>
            </c:ext>
          </c:extLst>
        </c:ser>
        <c:dLbls>
          <c:showLegendKey val="0"/>
          <c:showVal val="0"/>
          <c:showCatName val="0"/>
          <c:showSerName val="0"/>
          <c:showPercent val="0"/>
          <c:showBubbleSize val="0"/>
        </c:dLbls>
        <c:gapWidth val="150"/>
        <c:overlap val="100"/>
        <c:axId val="381354752"/>
        <c:axId val="381357056"/>
      </c:barChart>
      <c:catAx>
        <c:axId val="381354752"/>
        <c:scaling>
          <c:orientation val="minMax"/>
        </c:scaling>
        <c:delete val="0"/>
        <c:axPos val="b"/>
        <c:numFmt formatCode="General" sourceLinked="1"/>
        <c:majorTickMark val="out"/>
        <c:minorTickMark val="none"/>
        <c:tickLblPos val="nextTo"/>
        <c:crossAx val="381357056"/>
        <c:crosses val="autoZero"/>
        <c:auto val="1"/>
        <c:lblAlgn val="ctr"/>
        <c:lblOffset val="100"/>
        <c:noMultiLvlLbl val="0"/>
      </c:catAx>
      <c:valAx>
        <c:axId val="381357056"/>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81354752"/>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DSM </a:t>
            </a:r>
          </a:p>
          <a:p>
            <a:pPr>
              <a:defRPr/>
            </a:pPr>
            <a:r>
              <a:rPr lang="en-US"/>
              <a:t> Energy Savings</a:t>
            </a:r>
          </a:p>
        </c:rich>
      </c:tx>
      <c:overlay val="0"/>
    </c:title>
    <c:autoTitleDeleted val="0"/>
    <c:plotArea>
      <c:layout/>
      <c:barChart>
        <c:barDir val="col"/>
        <c:grouping val="stacked"/>
        <c:varyColors val="0"/>
        <c:ser>
          <c:idx val="0"/>
          <c:order val="0"/>
          <c:invertIfNegative val="0"/>
          <c:cat>
            <c:numRef>
              <c:f>'Res Summary'!$AU$59:$AU$86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Summary'!$BV$59:$BV$86</c:f>
              <c:numCache>
                <c:formatCode>0.00</c:formatCode>
                <c:ptCount val="28"/>
                <c:pt idx="0">
                  <c:v>272.32627013275379</c:v>
                </c:pt>
                <c:pt idx="1">
                  <c:v>304.10126412051847</c:v>
                </c:pt>
                <c:pt idx="2">
                  <c:v>342.06839875544125</c:v>
                </c:pt>
                <c:pt idx="3">
                  <c:v>374.85686351298671</c:v>
                </c:pt>
                <c:pt idx="4">
                  <c:v>409.05453619530567</c:v>
                </c:pt>
                <c:pt idx="5">
                  <c:v>451.04780002960729</c:v>
                </c:pt>
                <c:pt idx="6">
                  <c:v>472.51647738631084</c:v>
                </c:pt>
                <c:pt idx="7">
                  <c:v>503.62984614002062</c:v>
                </c:pt>
                <c:pt idx="8">
                  <c:v>534.65674902951935</c:v>
                </c:pt>
                <c:pt idx="9">
                  <c:v>566.25648741918599</c:v>
                </c:pt>
                <c:pt idx="10">
                  <c:v>587.41159345030508</c:v>
                </c:pt>
                <c:pt idx="11">
                  <c:v>604.53642893196786</c:v>
                </c:pt>
                <c:pt idx="12">
                  <c:v>623.13900917563456</c:v>
                </c:pt>
                <c:pt idx="13">
                  <c:v>647.21552669752668</c:v>
                </c:pt>
                <c:pt idx="14">
                  <c:v>677.60763808046227</c:v>
                </c:pt>
                <c:pt idx="15">
                  <c:v>700.19766645079562</c:v>
                </c:pt>
                <c:pt idx="16">
                  <c:v>716.64978600179563</c:v>
                </c:pt>
                <c:pt idx="17">
                  <c:v>742.26621436146229</c:v>
                </c:pt>
                <c:pt idx="18">
                  <c:v>771.52775548999375</c:v>
                </c:pt>
                <c:pt idx="19">
                  <c:v>803.80329125339915</c:v>
                </c:pt>
                <c:pt idx="20">
                  <c:v>821.06312319517315</c:v>
                </c:pt>
                <c:pt idx="21" formatCode="0.000">
                  <c:v>827.2368953491532</c:v>
                </c:pt>
                <c:pt idx="22">
                  <c:v>829.28686906792473</c:v>
                </c:pt>
                <c:pt idx="23">
                  <c:v>830.87863703585731</c:v>
                </c:pt>
                <c:pt idx="24">
                  <c:v>832.42127460379015</c:v>
                </c:pt>
                <c:pt idx="25">
                  <c:v>833.92457617172272</c:v>
                </c:pt>
                <c:pt idx="26">
                  <c:v>835.42787773965551</c:v>
                </c:pt>
                <c:pt idx="27">
                  <c:v>836.89200170758807</c:v>
                </c:pt>
              </c:numCache>
            </c:numRef>
          </c:val>
          <c:extLst>
            <c:ext xmlns:c16="http://schemas.microsoft.com/office/drawing/2014/chart" uri="{C3380CC4-5D6E-409C-BE32-E72D297353CC}">
              <c16:uniqueId val="{00000000-BF79-4C7F-9991-5F284609BC3A}"/>
            </c:ext>
          </c:extLst>
        </c:ser>
        <c:ser>
          <c:idx val="1"/>
          <c:order val="1"/>
          <c:invertIfNegative val="0"/>
          <c:cat>
            <c:numRef>
              <c:f>'Res Summary'!$AU$59:$AU$86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'Res Summary'!$BW$59:$BW$86</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9.6497100000021874E-2</c:v>
                </c:pt>
                <c:pt idx="13">
                  <c:v>1.7575498399999958</c:v>
                </c:pt>
                <c:pt idx="14">
                  <c:v>5.3174811040887562</c:v>
                </c:pt>
                <c:pt idx="15">
                  <c:v>10.307472676088764</c:v>
                </c:pt>
                <c:pt idx="16">
                  <c:v>24.642029586088768</c:v>
                </c:pt>
                <c:pt idx="17">
                  <c:v>33.142240208088651</c:v>
                </c:pt>
                <c:pt idx="18">
                  <c:v>45.472376057780366</c:v>
                </c:pt>
                <c:pt idx="19">
                  <c:v>58.091463141780309</c:v>
                </c:pt>
                <c:pt idx="20">
                  <c:v>73.287500310893961</c:v>
                </c:pt>
                <c:pt idx="21" formatCode="0.000">
                  <c:v>100.45643312089391</c:v>
                </c:pt>
                <c:pt idx="22">
                  <c:v>121.30373506689386</c:v>
                </c:pt>
                <c:pt idx="23">
                  <c:v>136.08690975889402</c:v>
                </c:pt>
                <c:pt idx="24">
                  <c:v>152.19358066689381</c:v>
                </c:pt>
                <c:pt idx="25">
                  <c:v>169.39794476289364</c:v>
                </c:pt>
                <c:pt idx="26">
                  <c:v>186.72243147889412</c:v>
                </c:pt>
                <c:pt idx="27">
                  <c:v>204.05372095289397</c:v>
                </c:pt>
              </c:numCache>
            </c:numRef>
          </c:val>
          <c:extLst>
            <c:ext xmlns:c16="http://schemas.microsoft.com/office/drawing/2014/chart" uri="{C3380CC4-5D6E-409C-BE32-E72D297353CC}">
              <c16:uniqueId val="{00000001-BF79-4C7F-9991-5F284609BC3A}"/>
            </c:ext>
          </c:extLst>
        </c:ser>
        <c:dLbls>
          <c:showLegendKey val="0"/>
          <c:showVal val="0"/>
          <c:showCatName val="0"/>
          <c:showSerName val="0"/>
          <c:showPercent val="0"/>
          <c:showBubbleSize val="0"/>
        </c:dLbls>
        <c:gapWidth val="150"/>
        <c:overlap val="100"/>
        <c:axId val="381475072"/>
        <c:axId val="381546880"/>
      </c:barChart>
      <c:catAx>
        <c:axId val="381475072"/>
        <c:scaling>
          <c:orientation val="minMax"/>
        </c:scaling>
        <c:delete val="0"/>
        <c:axPos val="b"/>
        <c:numFmt formatCode="General" sourceLinked="1"/>
        <c:majorTickMark val="out"/>
        <c:minorTickMark val="none"/>
        <c:tickLblPos val="nextTo"/>
        <c:crossAx val="381546880"/>
        <c:crosses val="autoZero"/>
        <c:auto val="1"/>
        <c:lblAlgn val="ctr"/>
        <c:lblOffset val="100"/>
        <c:noMultiLvlLbl val="0"/>
      </c:catAx>
      <c:valAx>
        <c:axId val="381546880"/>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81475072"/>
        <c:crosses val="autoZero"/>
        <c:crossBetween val="between"/>
      </c:valAx>
    </c:plotArea>
    <c:legend>
      <c:legendPos val="b"/>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Incremental DSM Energy Savings</a:t>
            </a:r>
          </a:p>
          <a:p>
            <a:pPr>
              <a:defRPr/>
            </a:pPr>
            <a:r>
              <a:rPr lang="en-US"/>
              <a:t> (GWH)</a:t>
            </a:r>
          </a:p>
        </c:rich>
      </c:tx>
      <c:overlay val="0"/>
    </c:title>
    <c:autoTitleDeleted val="0"/>
    <c:plotArea>
      <c:layout/>
      <c:barChart>
        <c:barDir val="col"/>
        <c:grouping val="stacked"/>
        <c:varyColors val="0"/>
        <c:ser>
          <c:idx val="0"/>
          <c:order val="0"/>
          <c:tx>
            <c:v>Existing Programs</c:v>
          </c:tx>
          <c:invertIfNegative val="0"/>
          <c:cat>
            <c:numRef>
              <c:f>'ComInd Summary'!$BS$108:$BS$135</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'ComInd Summary'!$DA$108:$DA$135</c:f>
              <c:numCache>
                <c:formatCode>_(* #,##0.0_);_(* \(#,##0.0\);_(* "-"??_);_(@_)</c:formatCode>
                <c:ptCount val="28"/>
                <c:pt idx="0">
                  <c:v>8.2852551353334434</c:v>
                </c:pt>
                <c:pt idx="1">
                  <c:v>15.068873638345075</c:v>
                </c:pt>
                <c:pt idx="2">
                  <c:v>20.778154579603815</c:v>
                </c:pt>
                <c:pt idx="3">
                  <c:v>14.540796445499986</c:v>
                </c:pt>
                <c:pt idx="4">
                  <c:v>16.615513603000025</c:v>
                </c:pt>
                <c:pt idx="5">
                  <c:v>24.419903181759423</c:v>
                </c:pt>
                <c:pt idx="6">
                  <c:v>7.9275440447666625</c:v>
                </c:pt>
                <c:pt idx="7">
                  <c:v>15.722921610280693</c:v>
                </c:pt>
                <c:pt idx="8">
                  <c:v>14.528879748592573</c:v>
                </c:pt>
                <c:pt idx="9">
                  <c:v>15.629719559666654</c:v>
                </c:pt>
                <c:pt idx="10">
                  <c:v>11.214163672259559</c:v>
                </c:pt>
                <c:pt idx="11">
                  <c:v>8.9326402624166974</c:v>
                </c:pt>
                <c:pt idx="12">
                  <c:v>10.115654203666651</c:v>
                </c:pt>
                <c:pt idx="13">
                  <c:v>14.151202859266675</c:v>
                </c:pt>
                <c:pt idx="14">
                  <c:v>17.829231609051817</c:v>
                </c:pt>
                <c:pt idx="15">
                  <c:v>8.6609923703333607</c:v>
                </c:pt>
                <c:pt idx="16">
                  <c:v>1.4767082609999989</c:v>
                </c:pt>
                <c:pt idx="17">
                  <c:v>9.4027600496666537</c:v>
                </c:pt>
                <c:pt idx="18">
                  <c:v>13.603801685673204</c:v>
                </c:pt>
                <c:pt idx="19">
                  <c:v>8.2567140572551807</c:v>
                </c:pt>
                <c:pt idx="20">
                  <c:v>4.6294760787920382</c:v>
                </c:pt>
                <c:pt idx="21">
                  <c:v>0.12017084197975691</c:v>
                </c:pt>
                <c:pt idx="22">
                  <c:v>-3.9155433228302172E-2</c:v>
                </c:pt>
                <c:pt idx="23">
                  <c:v>0.33626316793260003</c:v>
                </c:pt>
                <c:pt idx="24">
                  <c:v>0.33626316793271371</c:v>
                </c:pt>
                <c:pt idx="25">
                  <c:v>0.33626316793265687</c:v>
                </c:pt>
                <c:pt idx="26">
                  <c:v>0.33626316793271371</c:v>
                </c:pt>
                <c:pt idx="27" formatCode="0.00">
                  <c:v>0.3362631679326622</c:v>
                </c:pt>
              </c:numCache>
            </c:numRef>
          </c:val>
          <c:extLst>
            <c:ext xmlns:c16="http://schemas.microsoft.com/office/drawing/2014/chart" uri="{C3380CC4-5D6E-409C-BE32-E72D297353CC}">
              <c16:uniqueId val="{00000000-120E-4703-9C75-7FCFDE513E7B}"/>
            </c:ext>
          </c:extLst>
        </c:ser>
        <c:ser>
          <c:idx val="1"/>
          <c:order val="1"/>
          <c:tx>
            <c:v>New Programs</c:v>
          </c:tx>
          <c:invertIfNegative val="0"/>
          <c:cat>
            <c:numRef>
              <c:f>'ComInd Summary'!$BS$108:$BS$135</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'ComInd Summary'!$DB$108:$DB$135</c:f>
              <c:numCache>
                <c:formatCode>_(* #,##0.0_);_(* \(#,##0.0\);_(* "-"??_);_(@_)</c:formatCode>
                <c:ptCount val="28"/>
                <c:pt idx="13">
                  <c:v>1.5446218099999953</c:v>
                </c:pt>
                <c:pt idx="14">
                  <c:v>3.2048031971322359</c:v>
                </c:pt>
                <c:pt idx="15">
                  <c:v>4.2561742420000428</c:v>
                </c:pt>
                <c:pt idx="16">
                  <c:v>13.211933699999918</c:v>
                </c:pt>
                <c:pt idx="17">
                  <c:v>5.9022794119999844</c:v>
                </c:pt>
                <c:pt idx="18">
                  <c:v>7.7134685836047083</c:v>
                </c:pt>
                <c:pt idx="19">
                  <c:v>3.3784022680000589</c:v>
                </c:pt>
                <c:pt idx="20">
                  <c:v>6.0551623268200956</c:v>
                </c:pt>
                <c:pt idx="21">
                  <c:v>14.039130938000028</c:v>
                </c:pt>
                <c:pt idx="22">
                  <c:v>10.679278585999953</c:v>
                </c:pt>
                <c:pt idx="23">
                  <c:v>4.44879753999993</c:v>
                </c:pt>
                <c:pt idx="24">
                  <c:v>5.0284684760001142</c:v>
                </c:pt>
                <c:pt idx="25">
                  <c:v>5.7080173439999271</c:v>
                </c:pt>
                <c:pt idx="26">
                  <c:v>5.8281399640000018</c:v>
                </c:pt>
                <c:pt idx="27">
                  <c:v>5.834942721999937</c:v>
                </c:pt>
              </c:numCache>
            </c:numRef>
          </c:val>
          <c:extLst>
            <c:ext xmlns:c16="http://schemas.microsoft.com/office/drawing/2014/chart" uri="{C3380CC4-5D6E-409C-BE32-E72D297353CC}">
              <c16:uniqueId val="{00000001-120E-4703-9C75-7FCFDE513E7B}"/>
            </c:ext>
          </c:extLst>
        </c:ser>
        <c:dLbls>
          <c:showLegendKey val="0"/>
          <c:showVal val="0"/>
          <c:showCatName val="0"/>
          <c:showSerName val="0"/>
          <c:showPercent val="0"/>
          <c:showBubbleSize val="0"/>
        </c:dLbls>
        <c:gapWidth val="150"/>
        <c:overlap val="100"/>
        <c:axId val="141472128"/>
        <c:axId val="141473664"/>
      </c:barChart>
      <c:catAx>
        <c:axId val="141472128"/>
        <c:scaling>
          <c:orientation val="minMax"/>
        </c:scaling>
        <c:delete val="0"/>
        <c:axPos val="b"/>
        <c:numFmt formatCode="General" sourceLinked="1"/>
        <c:majorTickMark val="out"/>
        <c:minorTickMark val="none"/>
        <c:tickLblPos val="nextTo"/>
        <c:crossAx val="141473664"/>
        <c:crosses val="autoZero"/>
        <c:auto val="1"/>
        <c:lblAlgn val="ctr"/>
        <c:lblOffset val="100"/>
        <c:noMultiLvlLbl val="0"/>
      </c:catAx>
      <c:valAx>
        <c:axId val="141473664"/>
        <c:scaling>
          <c:orientation val="minMax"/>
        </c:scaling>
        <c:delete val="0"/>
        <c:axPos val="l"/>
        <c:majorGridlines/>
        <c:numFmt formatCode="#,##0" sourceLinked="0"/>
        <c:majorTickMark val="out"/>
        <c:minorTickMark val="none"/>
        <c:tickLblPos val="nextTo"/>
        <c:crossAx val="1414721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Commercial/Industrial DSM </a:t>
            </a:r>
          </a:p>
          <a:p>
            <a:pPr>
              <a:defRPr/>
            </a:pPr>
            <a:r>
              <a:rPr lang="en-US"/>
              <a:t>Incremental Winter Savings</a:t>
            </a:r>
          </a:p>
        </c:rich>
      </c:tx>
      <c:overlay val="0"/>
    </c:title>
    <c:autoTitleDeleted val="0"/>
    <c:plotArea>
      <c:layout/>
      <c:barChart>
        <c:barDir val="col"/>
        <c:grouping val="stacked"/>
        <c:varyColors val="0"/>
        <c:ser>
          <c:idx val="0"/>
          <c:order val="0"/>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'ComInd Summary'!$BQ$108:$BQ$135</c:f>
              <c:numCache>
                <c:formatCode>_(* #,##0.0_);_(* \(#,##0.0\);_(* "-"??_);_(@_)</c:formatCode>
                <c:ptCount val="28"/>
                <c:pt idx="0">
                  <c:v>5.4819629767409381</c:v>
                </c:pt>
                <c:pt idx="1">
                  <c:v>7.7604657551638923E-2</c:v>
                </c:pt>
                <c:pt idx="2">
                  <c:v>12.583848227049181</c:v>
                </c:pt>
                <c:pt idx="3">
                  <c:v>1.2027177800000004</c:v>
                </c:pt>
                <c:pt idx="4">
                  <c:v>-0.70902413999999681</c:v>
                </c:pt>
                <c:pt idx="5">
                  <c:v>4.4088887198156854</c:v>
                </c:pt>
                <c:pt idx="6">
                  <c:v>2.2502917499999953</c:v>
                </c:pt>
                <c:pt idx="7">
                  <c:v>2.4325665000000072</c:v>
                </c:pt>
                <c:pt idx="8">
                  <c:v>-0.12504520000000241</c:v>
                </c:pt>
                <c:pt idx="9">
                  <c:v>-0.52908134999999845</c:v>
                </c:pt>
                <c:pt idx="10">
                  <c:v>-1.1717981999999978</c:v>
                </c:pt>
                <c:pt idx="11">
                  <c:v>1.5720393999999942</c:v>
                </c:pt>
                <c:pt idx="12">
                  <c:v>1.4251723499999969</c:v>
                </c:pt>
                <c:pt idx="13">
                  <c:v>44.398321725000002</c:v>
                </c:pt>
                <c:pt idx="14">
                  <c:v>-5.4392741066226478</c:v>
                </c:pt>
                <c:pt idx="15">
                  <c:v>25.272292380000025</c:v>
                </c:pt>
                <c:pt idx="16">
                  <c:v>4.1008463999999663</c:v>
                </c:pt>
                <c:pt idx="17">
                  <c:v>10.209989925000002</c:v>
                </c:pt>
                <c:pt idx="18">
                  <c:v>6.4903004141317808</c:v>
                </c:pt>
                <c:pt idx="19">
                  <c:v>10.635285514482746</c:v>
                </c:pt>
                <c:pt idx="20">
                  <c:v>-6.0189420512813285E-2</c:v>
                </c:pt>
                <c:pt idx="21">
                  <c:v>-0.33220419696968406</c:v>
                </c:pt>
                <c:pt idx="22">
                  <c:v>0.14442287171718249</c:v>
                </c:pt>
                <c:pt idx="23">
                  <c:v>1.389606935656559</c:v>
                </c:pt>
                <c:pt idx="24">
                  <c:v>1.389606935656559</c:v>
                </c:pt>
                <c:pt idx="25">
                  <c:v>1.5771950556565741</c:v>
                </c:pt>
                <c:pt idx="26">
                  <c:v>1.6357775556565741</c:v>
                </c:pt>
                <c:pt idx="27">
                  <c:v>1.6357775556565457</c:v>
                </c:pt>
              </c:numCache>
            </c:numRef>
          </c:val>
          <c:extLst>
            <c:ext xmlns:c16="http://schemas.microsoft.com/office/drawing/2014/chart" uri="{C3380CC4-5D6E-409C-BE32-E72D297353CC}">
              <c16:uniqueId val="{00000000-A857-4693-BC01-12A2EAFA8E2A}"/>
            </c:ext>
          </c:extLst>
        </c:ser>
        <c:dLbls>
          <c:showLegendKey val="0"/>
          <c:showVal val="0"/>
          <c:showCatName val="0"/>
          <c:showSerName val="0"/>
          <c:showPercent val="0"/>
          <c:showBubbleSize val="0"/>
        </c:dLbls>
        <c:gapWidth val="150"/>
        <c:overlap val="100"/>
        <c:axId val="145864960"/>
        <c:axId val="145866752"/>
      </c:barChart>
      <c:catAx>
        <c:axId val="145864960"/>
        <c:scaling>
          <c:orientation val="minMax"/>
        </c:scaling>
        <c:delete val="0"/>
        <c:axPos val="b"/>
        <c:numFmt formatCode="General" sourceLinked="1"/>
        <c:majorTickMark val="out"/>
        <c:minorTickMark val="none"/>
        <c:tickLblPos val="nextTo"/>
        <c:crossAx val="145866752"/>
        <c:crosses val="autoZero"/>
        <c:auto val="1"/>
        <c:lblAlgn val="ctr"/>
        <c:lblOffset val="100"/>
        <c:noMultiLvlLbl val="0"/>
      </c:catAx>
      <c:valAx>
        <c:axId val="145866752"/>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145864960"/>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Commercial/Industrial DSM </a:t>
            </a:r>
          </a:p>
          <a:p>
            <a:pPr>
              <a:defRPr/>
            </a:pPr>
            <a:r>
              <a:rPr lang="en-US"/>
              <a:t>Incremental Summer Savings</a:t>
            </a:r>
          </a:p>
        </c:rich>
      </c:tx>
      <c:layout>
        <c:manualLayout>
          <c:xMode val="edge"/>
          <c:yMode val="edge"/>
          <c:x val="0.25108140205549667"/>
          <c:y val="2.3154837492239937E-2"/>
        </c:manualLayout>
      </c:layout>
      <c:overlay val="0"/>
    </c:title>
    <c:autoTitleDeleted val="0"/>
    <c:plotArea>
      <c:layout/>
      <c:barChart>
        <c:barDir val="col"/>
        <c:grouping val="stacked"/>
        <c:varyColors val="0"/>
        <c:ser>
          <c:idx val="0"/>
          <c:order val="0"/>
          <c:invertIfNegative val="0"/>
          <c:cat>
            <c:numRef>
              <c:f>'Res Summary'!$AU$109:$AU$136</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'ComInd Summary'!$AH$108:$AH$135</c:f>
              <c:numCache>
                <c:formatCode>_(* #,##0.0_);_(* \(#,##0.0\);_(* "-"??_);_(@_)</c:formatCode>
                <c:ptCount val="28"/>
                <c:pt idx="0">
                  <c:v>5.5834368940409149</c:v>
                </c:pt>
                <c:pt idx="1">
                  <c:v>6.0731822976933358</c:v>
                </c:pt>
                <c:pt idx="2">
                  <c:v>11.748349444754098</c:v>
                </c:pt>
                <c:pt idx="3">
                  <c:v>3.1904276799999991</c:v>
                </c:pt>
                <c:pt idx="4">
                  <c:v>1.8063566400000042</c:v>
                </c:pt>
                <c:pt idx="5">
                  <c:v>8.9209348426825343</c:v>
                </c:pt>
                <c:pt idx="6">
                  <c:v>2.7180542035714339</c:v>
                </c:pt>
                <c:pt idx="7">
                  <c:v>2.6261352013157762</c:v>
                </c:pt>
                <c:pt idx="8">
                  <c:v>2.0156913805555661</c:v>
                </c:pt>
                <c:pt idx="9">
                  <c:v>2.3055279750000039</c:v>
                </c:pt>
                <c:pt idx="10">
                  <c:v>0.8939662377049018</c:v>
                </c:pt>
                <c:pt idx="11">
                  <c:v>0.29682208229168339</c:v>
                </c:pt>
                <c:pt idx="12">
                  <c:v>2.6052136499999961</c:v>
                </c:pt>
                <c:pt idx="13">
                  <c:v>39.285395174999991</c:v>
                </c:pt>
                <c:pt idx="14">
                  <c:v>25.779619726108962</c:v>
                </c:pt>
                <c:pt idx="15">
                  <c:v>4.4891581799999756</c:v>
                </c:pt>
                <c:pt idx="16">
                  <c:v>6.9602648999999985</c:v>
                </c:pt>
                <c:pt idx="17">
                  <c:v>16.326837439655208</c:v>
                </c:pt>
                <c:pt idx="18">
                  <c:v>5.8366021584805594</c:v>
                </c:pt>
                <c:pt idx="19">
                  <c:v>9.2190466127586035</c:v>
                </c:pt>
                <c:pt idx="20">
                  <c:v>10.029355284840705</c:v>
                </c:pt>
                <c:pt idx="21">
                  <c:v>2.9597020333333433</c:v>
                </c:pt>
                <c:pt idx="22">
                  <c:v>2.0179907085115758</c:v>
                </c:pt>
                <c:pt idx="23">
                  <c:v>3.1113941500000237</c:v>
                </c:pt>
                <c:pt idx="24">
                  <c:v>3.4294152699999927</c:v>
                </c:pt>
                <c:pt idx="25">
                  <c:v>3.5735453400000097</c:v>
                </c:pt>
                <c:pt idx="26">
                  <c:v>3.5977540899999667</c:v>
                </c:pt>
                <c:pt idx="27">
                  <c:v>3.5981831600000191</c:v>
                </c:pt>
              </c:numCache>
            </c:numRef>
          </c:val>
          <c:extLst>
            <c:ext xmlns:c16="http://schemas.microsoft.com/office/drawing/2014/chart" uri="{C3380CC4-5D6E-409C-BE32-E72D297353CC}">
              <c16:uniqueId val="{00000000-B566-41BA-9C1F-4DB7157BE9AD}"/>
            </c:ext>
          </c:extLst>
        </c:ser>
        <c:dLbls>
          <c:showLegendKey val="0"/>
          <c:showVal val="0"/>
          <c:showCatName val="0"/>
          <c:showSerName val="0"/>
          <c:showPercent val="0"/>
          <c:showBubbleSize val="0"/>
        </c:dLbls>
        <c:gapWidth val="150"/>
        <c:overlap val="100"/>
        <c:axId val="379036032"/>
        <c:axId val="379037568"/>
      </c:barChart>
      <c:catAx>
        <c:axId val="379036032"/>
        <c:scaling>
          <c:orientation val="minMax"/>
        </c:scaling>
        <c:delete val="0"/>
        <c:axPos val="b"/>
        <c:numFmt formatCode="General" sourceLinked="1"/>
        <c:majorTickMark val="out"/>
        <c:minorTickMark val="none"/>
        <c:tickLblPos val="nextTo"/>
        <c:crossAx val="379037568"/>
        <c:crosses val="autoZero"/>
        <c:auto val="1"/>
        <c:lblAlgn val="ctr"/>
        <c:lblOffset val="100"/>
        <c:noMultiLvlLbl val="0"/>
      </c:catAx>
      <c:valAx>
        <c:axId val="379037568"/>
        <c:scaling>
          <c:orientation val="minMax"/>
        </c:scaling>
        <c:delete val="0"/>
        <c:axPos val="l"/>
        <c:majorGridlines/>
        <c:title>
          <c:tx>
            <c:rich>
              <a:bodyPr rot="-5400000" vert="horz"/>
              <a:lstStyle/>
              <a:p>
                <a:pPr>
                  <a:defRPr sz="1400"/>
                </a:pPr>
                <a:r>
                  <a:rPr lang="en-US" sz="1400"/>
                  <a:t>GWH</a:t>
                </a:r>
              </a:p>
            </c:rich>
          </c:tx>
          <c:overlay val="0"/>
        </c:title>
        <c:numFmt formatCode="#,##0" sourceLinked="0"/>
        <c:majorTickMark val="out"/>
        <c:minorTickMark val="none"/>
        <c:tickLblPos val="nextTo"/>
        <c:crossAx val="37903603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24</xdr:col>
      <xdr:colOff>419100</xdr:colOff>
      <xdr:row>137</xdr:row>
      <xdr:rowOff>19050</xdr:rowOff>
    </xdr:from>
    <xdr:to>
      <xdr:col>38</xdr:col>
      <xdr:colOff>285751</xdr:colOff>
      <xdr:row>157</xdr:row>
      <xdr:rowOff>80964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247651</xdr:colOff>
      <xdr:row>137</xdr:row>
      <xdr:rowOff>33339</xdr:rowOff>
    </xdr:from>
    <xdr:to>
      <xdr:col>59</xdr:col>
      <xdr:colOff>104777</xdr:colOff>
      <xdr:row>157</xdr:row>
      <xdr:rowOff>95253</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104775</xdr:colOff>
      <xdr:row>136</xdr:row>
      <xdr:rowOff>133350</xdr:rowOff>
    </xdr:from>
    <xdr:to>
      <xdr:col>12</xdr:col>
      <xdr:colOff>400051</xdr:colOff>
      <xdr:row>157</xdr:row>
      <xdr:rowOff>23814</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457200</xdr:colOff>
      <xdr:row>137</xdr:row>
      <xdr:rowOff>0</xdr:rowOff>
    </xdr:from>
    <xdr:to>
      <xdr:col>24</xdr:col>
      <xdr:colOff>333376</xdr:colOff>
      <xdr:row>157</xdr:row>
      <xdr:rowOff>52389</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409575</xdr:colOff>
      <xdr:row>137</xdr:row>
      <xdr:rowOff>47625</xdr:rowOff>
    </xdr:from>
    <xdr:to>
      <xdr:col>50</xdr:col>
      <xdr:colOff>171451</xdr:colOff>
      <xdr:row>157</xdr:row>
      <xdr:rowOff>100014</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190500</xdr:colOff>
      <xdr:row>137</xdr:row>
      <xdr:rowOff>66675</xdr:rowOff>
    </xdr:from>
    <xdr:to>
      <xdr:col>67</xdr:col>
      <xdr:colOff>438151</xdr:colOff>
      <xdr:row>157</xdr:row>
      <xdr:rowOff>119064</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75</xdr:col>
      <xdr:colOff>333375</xdr:colOff>
      <xdr:row>136</xdr:row>
      <xdr:rowOff>47625</xdr:rowOff>
    </xdr:from>
    <xdr:to>
      <xdr:col>90</xdr:col>
      <xdr:colOff>285751</xdr:colOff>
      <xdr:row>155</xdr:row>
      <xdr:rowOff>109539</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0</xdr:colOff>
      <xdr:row>137</xdr:row>
      <xdr:rowOff>0</xdr:rowOff>
    </xdr:from>
    <xdr:to>
      <xdr:col>49</xdr:col>
      <xdr:colOff>247651</xdr:colOff>
      <xdr:row>157</xdr:row>
      <xdr:rowOff>52389</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137</xdr:row>
      <xdr:rowOff>0</xdr:rowOff>
    </xdr:from>
    <xdr:to>
      <xdr:col>14</xdr:col>
      <xdr:colOff>76201</xdr:colOff>
      <xdr:row>157</xdr:row>
      <xdr:rowOff>52389</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30</xdr:row>
      <xdr:rowOff>0</xdr:rowOff>
    </xdr:from>
    <xdr:to>
      <xdr:col>0</xdr:col>
      <xdr:colOff>0</xdr:colOff>
      <xdr:row>34</xdr:row>
      <xdr:rowOff>142875</xdr:rowOff>
    </xdr:to>
    <xdr:graphicFrame macro="">
      <xdr:nvGraphicFramePr>
        <xdr:cNvPr id="1603467" name="Chart 1">
          <a:extLst>
            <a:ext uri="{FF2B5EF4-FFF2-40B4-BE49-F238E27FC236}">
              <a16:creationId xmlns:a16="http://schemas.microsoft.com/office/drawing/2014/main" id="{00000000-0008-0000-0700-00008B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161925</xdr:rowOff>
    </xdr:from>
    <xdr:to>
      <xdr:col>0</xdr:col>
      <xdr:colOff>0</xdr:colOff>
      <xdr:row>56</xdr:row>
      <xdr:rowOff>0</xdr:rowOff>
    </xdr:to>
    <xdr:graphicFrame macro="">
      <xdr:nvGraphicFramePr>
        <xdr:cNvPr id="1603468" name="Chart 2">
          <a:extLst>
            <a:ext uri="{FF2B5EF4-FFF2-40B4-BE49-F238E27FC236}">
              <a16:creationId xmlns:a16="http://schemas.microsoft.com/office/drawing/2014/main" id="{00000000-0008-0000-0700-00008C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19050</xdr:colOff>
      <xdr:row>90</xdr:row>
      <xdr:rowOff>180975</xdr:rowOff>
    </xdr:from>
    <xdr:to>
      <xdr:col>24</xdr:col>
      <xdr:colOff>9525</xdr:colOff>
      <xdr:row>106</xdr:row>
      <xdr:rowOff>152400</xdr:rowOff>
    </xdr:to>
    <xdr:graphicFrame macro="">
      <xdr:nvGraphicFramePr>
        <xdr:cNvPr id="1603469" name="Chart 5">
          <a:extLst>
            <a:ext uri="{FF2B5EF4-FFF2-40B4-BE49-F238E27FC236}">
              <a16:creationId xmlns:a16="http://schemas.microsoft.com/office/drawing/2014/main" id="{00000000-0008-0000-0700-00008D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0</xdr:colOff>
      <xdr:row>90</xdr:row>
      <xdr:rowOff>200025</xdr:rowOff>
    </xdr:from>
    <xdr:to>
      <xdr:col>33</xdr:col>
      <xdr:colOff>57150</xdr:colOff>
      <xdr:row>107</xdr:row>
      <xdr:rowOff>9525</xdr:rowOff>
    </xdr:to>
    <xdr:graphicFrame macro="">
      <xdr:nvGraphicFramePr>
        <xdr:cNvPr id="1603470" name="Chart 6">
          <a:extLst>
            <a:ext uri="{FF2B5EF4-FFF2-40B4-BE49-F238E27FC236}">
              <a16:creationId xmlns:a16="http://schemas.microsoft.com/office/drawing/2014/main" id="{00000000-0008-0000-0700-00008E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38100</xdr:colOff>
      <xdr:row>22</xdr:row>
      <xdr:rowOff>161925</xdr:rowOff>
    </xdr:from>
    <xdr:to>
      <xdr:col>24</xdr:col>
      <xdr:colOff>9525</xdr:colOff>
      <xdr:row>39</xdr:row>
      <xdr:rowOff>142875</xdr:rowOff>
    </xdr:to>
    <xdr:graphicFrame macro="">
      <xdr:nvGraphicFramePr>
        <xdr:cNvPr id="1603471" name="Chart 5">
          <a:extLst>
            <a:ext uri="{FF2B5EF4-FFF2-40B4-BE49-F238E27FC236}">
              <a16:creationId xmlns:a16="http://schemas.microsoft.com/office/drawing/2014/main" id="{00000000-0008-0000-0700-00008F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28575</xdr:colOff>
      <xdr:row>23</xdr:row>
      <xdr:rowOff>9525</xdr:rowOff>
    </xdr:from>
    <xdr:to>
      <xdr:col>33</xdr:col>
      <xdr:colOff>47625</xdr:colOff>
      <xdr:row>40</xdr:row>
      <xdr:rowOff>0</xdr:rowOff>
    </xdr:to>
    <xdr:graphicFrame macro="">
      <xdr:nvGraphicFramePr>
        <xdr:cNvPr id="1603472" name="Chart 6">
          <a:extLst>
            <a:ext uri="{FF2B5EF4-FFF2-40B4-BE49-F238E27FC236}">
              <a16:creationId xmlns:a16="http://schemas.microsoft.com/office/drawing/2014/main" id="{00000000-0008-0000-0700-000090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40</xdr:row>
      <xdr:rowOff>57150</xdr:rowOff>
    </xdr:from>
    <xdr:to>
      <xdr:col>23</xdr:col>
      <xdr:colOff>609600</xdr:colOff>
      <xdr:row>60</xdr:row>
      <xdr:rowOff>28575</xdr:rowOff>
    </xdr:to>
    <xdr:graphicFrame macro="">
      <xdr:nvGraphicFramePr>
        <xdr:cNvPr id="1603473" name="Chart 7">
          <a:extLst>
            <a:ext uri="{FF2B5EF4-FFF2-40B4-BE49-F238E27FC236}">
              <a16:creationId xmlns:a16="http://schemas.microsoft.com/office/drawing/2014/main" id="{00000000-0008-0000-0700-000091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619125</xdr:colOff>
      <xdr:row>40</xdr:row>
      <xdr:rowOff>66675</xdr:rowOff>
    </xdr:from>
    <xdr:to>
      <xdr:col>33</xdr:col>
      <xdr:colOff>9525</xdr:colOff>
      <xdr:row>60</xdr:row>
      <xdr:rowOff>38100</xdr:rowOff>
    </xdr:to>
    <xdr:graphicFrame macro="">
      <xdr:nvGraphicFramePr>
        <xdr:cNvPr id="1603474" name="Chart 8">
          <a:extLst>
            <a:ext uri="{FF2B5EF4-FFF2-40B4-BE49-F238E27FC236}">
              <a16:creationId xmlns:a16="http://schemas.microsoft.com/office/drawing/2014/main" id="{00000000-0008-0000-0700-00009277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19050</xdr:colOff>
      <xdr:row>60</xdr:row>
      <xdr:rowOff>128587</xdr:rowOff>
    </xdr:from>
    <xdr:to>
      <xdr:col>23</xdr:col>
      <xdr:colOff>628650</xdr:colOff>
      <xdr:row>74</xdr:row>
      <xdr:rowOff>23812</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628650</xdr:colOff>
      <xdr:row>60</xdr:row>
      <xdr:rowOff>123825</xdr:rowOff>
    </xdr:from>
    <xdr:to>
      <xdr:col>33</xdr:col>
      <xdr:colOff>47625</xdr:colOff>
      <xdr:row>74</xdr:row>
      <xdr:rowOff>19050</xdr:rowOff>
    </xdr:to>
    <xdr:graphicFrame macro="">
      <xdr:nvGraphicFramePr>
        <xdr:cNvPr id="13" name="Chart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74</xdr:row>
      <xdr:rowOff>28575</xdr:rowOff>
    </xdr:from>
    <xdr:to>
      <xdr:col>24</xdr:col>
      <xdr:colOff>0</xdr:colOff>
      <xdr:row>90</xdr:row>
      <xdr:rowOff>161925</xdr:rowOff>
    </xdr:to>
    <xdr:graphicFrame macro="">
      <xdr:nvGraphicFramePr>
        <xdr:cNvPr id="14" name="Chart 13">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0</xdr:colOff>
      <xdr:row>74</xdr:row>
      <xdr:rowOff>47625</xdr:rowOff>
    </xdr:from>
    <xdr:to>
      <xdr:col>33</xdr:col>
      <xdr:colOff>76200</xdr:colOff>
      <xdr:row>90</xdr:row>
      <xdr:rowOff>171450</xdr:rowOff>
    </xdr:to>
    <xdr:graphicFrame macro="">
      <xdr:nvGraphicFramePr>
        <xdr:cNvPr id="15" name="Chart 14">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485775</xdr:colOff>
      <xdr:row>63</xdr:row>
      <xdr:rowOff>66675</xdr:rowOff>
    </xdr:from>
    <xdr:to>
      <xdr:col>9</xdr:col>
      <xdr:colOff>800100</xdr:colOff>
      <xdr:row>82</xdr:row>
      <xdr:rowOff>66675</xdr:rowOff>
    </xdr:to>
    <xdr:graphicFrame macro="">
      <xdr:nvGraphicFramePr>
        <xdr:cNvPr id="2050203" name="Chart 51">
          <a:extLst>
            <a:ext uri="{FF2B5EF4-FFF2-40B4-BE49-F238E27FC236}">
              <a16:creationId xmlns:a16="http://schemas.microsoft.com/office/drawing/2014/main" id="{00000000-0008-0000-1600-00009B481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63</xdr:row>
      <xdr:rowOff>76200</xdr:rowOff>
    </xdr:from>
    <xdr:to>
      <xdr:col>17</xdr:col>
      <xdr:colOff>285750</xdr:colOff>
      <xdr:row>82</xdr:row>
      <xdr:rowOff>142875</xdr:rowOff>
    </xdr:to>
    <xdr:graphicFrame macro="">
      <xdr:nvGraphicFramePr>
        <xdr:cNvPr id="2050204" name="Chart 52">
          <a:extLst>
            <a:ext uri="{FF2B5EF4-FFF2-40B4-BE49-F238E27FC236}">
              <a16:creationId xmlns:a16="http://schemas.microsoft.com/office/drawing/2014/main" id="{00000000-0008-0000-1600-00009C481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71"/>
  <sheetViews>
    <sheetView workbookViewId="0"/>
  </sheetViews>
  <sheetFormatPr defaultRowHeight="12.75" x14ac:dyDescent="0.2"/>
  <cols>
    <col min="1" max="1" width="16.7109375" bestFit="1" customWidth="1"/>
  </cols>
  <sheetData>
    <row r="1" spans="1:16384" x14ac:dyDescent="0.2">
      <c r="A1" s="1319" t="s">
        <v>483</v>
      </c>
      <c r="B1" s="531"/>
      <c r="C1" s="531"/>
      <c r="D1" s="531"/>
    </row>
    <row r="2" spans="1:16384" x14ac:dyDescent="0.2">
      <c r="A2" s="45"/>
    </row>
    <row r="4" spans="1:16384" x14ac:dyDescent="0.2">
      <c r="A4" s="531" t="s">
        <v>482</v>
      </c>
      <c r="B4" s="531"/>
      <c r="C4" s="531"/>
      <c r="D4" s="531"/>
      <c r="E4" s="531"/>
      <c r="F4" s="531"/>
      <c r="G4" s="531"/>
      <c r="H4" s="531"/>
      <c r="I4" s="531"/>
      <c r="J4" s="531"/>
      <c r="K4" s="531"/>
    </row>
    <row r="5" spans="1:16384" x14ac:dyDescent="0.2">
      <c r="A5" s="531"/>
      <c r="B5" s="531"/>
      <c r="C5" s="531"/>
      <c r="D5" s="531"/>
      <c r="E5" s="531"/>
      <c r="F5" s="531"/>
      <c r="G5" s="531"/>
      <c r="H5" s="531"/>
      <c r="I5" s="531"/>
      <c r="J5" s="531"/>
      <c r="K5" s="531"/>
    </row>
    <row r="6" spans="1:16384" x14ac:dyDescent="0.2">
      <c r="A6" s="531" t="s">
        <v>481</v>
      </c>
      <c r="B6" s="531"/>
      <c r="C6" s="531"/>
      <c r="D6" s="531"/>
      <c r="E6" s="531"/>
      <c r="F6" s="531"/>
      <c r="G6" s="531"/>
      <c r="H6" s="531"/>
      <c r="I6" s="531"/>
      <c r="J6" s="531"/>
      <c r="K6" s="531"/>
    </row>
    <row r="9" spans="1:16384" s="1259" customFormat="1" ht="14.25" x14ac:dyDescent="0.2">
      <c r="A9" s="1258">
        <v>42579</v>
      </c>
      <c r="B9" s="1403" t="s">
        <v>473</v>
      </c>
      <c r="C9" s="1403"/>
      <c r="D9" s="1403"/>
      <c r="E9" s="1403"/>
      <c r="F9" s="1403"/>
      <c r="G9" s="1403"/>
      <c r="H9" s="1403"/>
      <c r="I9" s="1403"/>
      <c r="J9" s="1403"/>
      <c r="K9" s="1403"/>
      <c r="L9" s="1403"/>
      <c r="M9" s="1403"/>
      <c r="N9" s="1403"/>
      <c r="O9" s="1403"/>
      <c r="P9" s="1403"/>
      <c r="Q9" s="1403"/>
      <c r="R9" s="1403"/>
      <c r="S9" s="1403"/>
      <c r="T9" s="1403"/>
      <c r="U9" s="1403"/>
      <c r="V9" s="1403"/>
      <c r="W9" s="1403"/>
    </row>
    <row r="10" spans="1:16384" s="1259" customFormat="1" ht="14.25" x14ac:dyDescent="0.2">
      <c r="A10" s="1258"/>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row>
    <row r="11" spans="1:16384" s="956" customFormat="1" ht="15.75" customHeight="1" x14ac:dyDescent="0.2">
      <c r="A11" s="1407" t="s">
        <v>467</v>
      </c>
      <c r="B11" s="1407"/>
      <c r="C11" s="1407"/>
      <c r="D11" s="1407"/>
      <c r="E11" s="1407"/>
      <c r="F11" s="1407"/>
      <c r="G11" s="1407"/>
      <c r="H11" s="1407"/>
      <c r="I11" s="1407"/>
      <c r="J11" s="1407"/>
      <c r="K11" s="1407"/>
      <c r="L11" s="1407"/>
      <c r="M11" s="1407"/>
      <c r="N11" s="1318"/>
      <c r="O11" s="1318"/>
      <c r="P11" s="1318"/>
      <c r="Q11" s="1318"/>
      <c r="R11" s="1318"/>
      <c r="S11" s="1318"/>
      <c r="T11" s="1318"/>
      <c r="U11" s="1318"/>
      <c r="V11" s="1318"/>
      <c r="W11" s="1318"/>
      <c r="X11" s="1318"/>
      <c r="Y11" s="1318"/>
      <c r="Z11" s="1318"/>
      <c r="AA11" s="1402"/>
      <c r="AB11" s="1402"/>
      <c r="AC11" s="1402"/>
      <c r="AD11" s="1402"/>
      <c r="AE11" s="1402"/>
      <c r="AF11" s="1402"/>
      <c r="AG11" s="1402"/>
      <c r="AH11" s="1402"/>
      <c r="AI11" s="1402"/>
      <c r="AJ11" s="1402"/>
      <c r="AK11" s="1402"/>
      <c r="AL11" s="1402"/>
      <c r="AM11" s="1402"/>
      <c r="AN11" s="1402"/>
      <c r="AO11" s="1402"/>
      <c r="AP11" s="1402"/>
      <c r="AQ11" s="1402"/>
      <c r="AR11" s="1402"/>
      <c r="AS11" s="1402"/>
      <c r="AT11" s="1402"/>
      <c r="AU11" s="1402"/>
      <c r="AV11" s="1402"/>
      <c r="AW11" s="1402"/>
      <c r="AX11" s="1402"/>
      <c r="AY11" s="1402"/>
      <c r="AZ11" s="1402"/>
      <c r="BA11" s="1402"/>
      <c r="BB11" s="1402"/>
      <c r="BC11" s="1402"/>
      <c r="BD11" s="1402"/>
      <c r="BE11" s="1402"/>
      <c r="BF11" s="1402"/>
      <c r="BG11" s="1402"/>
      <c r="BH11" s="1402"/>
      <c r="BI11" s="1402"/>
      <c r="BJ11" s="1402"/>
      <c r="BK11" s="1402"/>
      <c r="BL11" s="1402"/>
      <c r="BM11" s="1402"/>
      <c r="BN11" s="1402"/>
      <c r="BO11" s="1402"/>
      <c r="BP11" s="1402"/>
      <c r="BQ11" s="1402"/>
      <c r="BR11" s="1402"/>
      <c r="BS11" s="1402"/>
      <c r="BT11" s="1402"/>
      <c r="BU11" s="1402"/>
      <c r="BV11" s="1402"/>
      <c r="BW11" s="1402"/>
      <c r="BX11" s="1402"/>
      <c r="BY11" s="1402"/>
      <c r="BZ11" s="1402"/>
      <c r="CA11" s="1402"/>
      <c r="CB11" s="1402"/>
      <c r="CC11" s="1402"/>
      <c r="CD11" s="1402"/>
      <c r="CE11" s="1402"/>
      <c r="CF11" s="1402"/>
      <c r="CG11" s="1402"/>
      <c r="CH11" s="1402"/>
      <c r="CI11" s="1402"/>
      <c r="CJ11" s="1402"/>
      <c r="CK11" s="1402"/>
      <c r="CL11" s="1402"/>
      <c r="CM11" s="1402"/>
      <c r="CN11" s="1402"/>
      <c r="CO11" s="1402"/>
      <c r="CP11" s="1402"/>
      <c r="CQ11" s="1402"/>
      <c r="CR11" s="1402"/>
      <c r="CS11" s="1402"/>
      <c r="CT11" s="1402"/>
      <c r="CU11" s="1402"/>
      <c r="CV11" s="1402"/>
      <c r="CW11" s="1402"/>
      <c r="CX11" s="1402"/>
      <c r="CY11" s="1402"/>
      <c r="CZ11" s="1402"/>
      <c r="DA11" s="1402"/>
      <c r="DB11" s="1402"/>
      <c r="DC11" s="1402"/>
      <c r="DD11" s="1402"/>
      <c r="DE11" s="1402"/>
      <c r="DF11" s="1402"/>
      <c r="DG11" s="1402"/>
      <c r="DH11" s="1402"/>
      <c r="DI11" s="1402"/>
      <c r="DJ11" s="1402"/>
      <c r="DK11" s="1402"/>
      <c r="DL11" s="1402"/>
      <c r="DM11" s="1402"/>
      <c r="DN11" s="1402"/>
      <c r="DO11" s="1402"/>
      <c r="DP11" s="1402"/>
      <c r="DQ11" s="1402"/>
      <c r="DR11" s="1402"/>
      <c r="DS11" s="1402"/>
      <c r="DT11" s="1402"/>
      <c r="DU11" s="1402"/>
      <c r="DV11" s="1402"/>
      <c r="DW11" s="1402"/>
      <c r="DX11" s="1402"/>
      <c r="DY11" s="1402"/>
      <c r="DZ11" s="1402"/>
      <c r="EA11" s="1402"/>
      <c r="EB11" s="1402"/>
      <c r="EC11" s="1402"/>
      <c r="ED11" s="1402"/>
      <c r="EE11" s="1402"/>
      <c r="EF11" s="1402"/>
      <c r="EG11" s="1402"/>
      <c r="EH11" s="1402"/>
      <c r="EI11" s="1402"/>
      <c r="EJ11" s="1402"/>
      <c r="EK11" s="1402"/>
      <c r="EL11" s="1402"/>
      <c r="EM11" s="1402"/>
      <c r="EN11" s="1402"/>
      <c r="EO11" s="1402"/>
      <c r="EP11" s="1402"/>
      <c r="EQ11" s="1402"/>
      <c r="ER11" s="1402"/>
      <c r="ES11" s="1402"/>
      <c r="ET11" s="1402"/>
      <c r="EU11" s="1402"/>
      <c r="EV11" s="1402"/>
      <c r="EW11" s="1402"/>
      <c r="EX11" s="1402"/>
      <c r="EY11" s="1402"/>
      <c r="EZ11" s="1402"/>
      <c r="FA11" s="1402"/>
      <c r="FB11" s="1402"/>
      <c r="FC11" s="1402"/>
      <c r="FD11" s="1402"/>
      <c r="FE11" s="1402"/>
      <c r="FF11" s="1402"/>
      <c r="FG11" s="1402"/>
      <c r="FH11" s="1402"/>
      <c r="FI11" s="1402"/>
      <c r="FJ11" s="1402"/>
      <c r="FK11" s="1402"/>
      <c r="FL11" s="1402"/>
      <c r="FM11" s="1402"/>
      <c r="FN11" s="1402"/>
      <c r="FO11" s="1402"/>
      <c r="FP11" s="1402"/>
      <c r="FQ11" s="1402"/>
      <c r="FR11" s="1402"/>
      <c r="FS11" s="1402"/>
      <c r="FT11" s="1402"/>
      <c r="FU11" s="1402"/>
      <c r="FV11" s="1402"/>
      <c r="FW11" s="1402"/>
      <c r="FX11" s="1402"/>
      <c r="FY11" s="1402"/>
      <c r="FZ11" s="1402"/>
      <c r="GA11" s="1402"/>
      <c r="GB11" s="1402"/>
      <c r="GC11" s="1402"/>
      <c r="GD11" s="1402"/>
      <c r="GE11" s="1402"/>
      <c r="GF11" s="1402"/>
      <c r="GG11" s="1402"/>
      <c r="GH11" s="1402"/>
      <c r="GI11" s="1402"/>
      <c r="GJ11" s="1402"/>
      <c r="GK11" s="1402"/>
      <c r="GL11" s="1402"/>
      <c r="GM11" s="1402"/>
      <c r="GN11" s="1402"/>
      <c r="GO11" s="1402"/>
      <c r="GP11" s="1402"/>
      <c r="GQ11" s="1402"/>
      <c r="GR11" s="1402"/>
      <c r="GS11" s="1402"/>
      <c r="GT11" s="1402"/>
      <c r="GU11" s="1402"/>
      <c r="GV11" s="1402"/>
      <c r="GW11" s="1402"/>
      <c r="GX11" s="1402"/>
      <c r="GY11" s="1402"/>
      <c r="GZ11" s="1402"/>
      <c r="HA11" s="1402"/>
      <c r="HB11" s="1402"/>
      <c r="HC11" s="1402"/>
      <c r="HD11" s="1402"/>
      <c r="HE11" s="1402"/>
      <c r="HF11" s="1402"/>
      <c r="HG11" s="1402"/>
      <c r="HH11" s="1402"/>
      <c r="HI11" s="1402"/>
      <c r="HJ11" s="1402"/>
      <c r="HK11" s="1402"/>
      <c r="HL11" s="1402"/>
      <c r="HM11" s="1402"/>
      <c r="HN11" s="1402"/>
      <c r="HO11" s="1402"/>
      <c r="HP11" s="1402"/>
      <c r="HQ11" s="1402"/>
      <c r="HR11" s="1402"/>
      <c r="HS11" s="1402"/>
      <c r="HT11" s="1402"/>
      <c r="HU11" s="1402"/>
      <c r="HV11" s="1402"/>
      <c r="HW11" s="1402"/>
      <c r="HX11" s="1402"/>
      <c r="HY11" s="1402"/>
      <c r="HZ11" s="1402"/>
      <c r="IA11" s="1402"/>
      <c r="IB11" s="1402"/>
      <c r="IC11" s="1402"/>
      <c r="ID11" s="1402"/>
      <c r="IE11" s="1402"/>
      <c r="IF11" s="1402"/>
      <c r="IG11" s="1402"/>
      <c r="IH11" s="1402"/>
      <c r="II11" s="1402"/>
      <c r="IJ11" s="1402"/>
      <c r="IK11" s="1402"/>
      <c r="IL11" s="1402"/>
      <c r="IM11" s="1402"/>
      <c r="IN11" s="1402"/>
      <c r="IO11" s="1402"/>
      <c r="IP11" s="1402"/>
      <c r="IQ11" s="1402"/>
      <c r="IR11" s="1402"/>
      <c r="IS11" s="1402"/>
      <c r="IT11" s="1402"/>
      <c r="IU11" s="1402"/>
      <c r="IV11" s="1402"/>
      <c r="IW11" s="1402"/>
      <c r="IX11" s="1402"/>
      <c r="IY11" s="1402"/>
      <c r="IZ11" s="1402"/>
      <c r="JA11" s="1402"/>
      <c r="JB11" s="1402"/>
      <c r="JC11" s="1402"/>
      <c r="JD11" s="1402"/>
      <c r="JE11" s="1402"/>
      <c r="JF11" s="1402"/>
      <c r="JG11" s="1402"/>
      <c r="JH11" s="1402"/>
      <c r="JI11" s="1402"/>
      <c r="JJ11" s="1402"/>
      <c r="JK11" s="1402"/>
      <c r="JL11" s="1402"/>
      <c r="JM11" s="1402"/>
      <c r="JN11" s="1402"/>
      <c r="JO11" s="1402"/>
      <c r="JP11" s="1402"/>
      <c r="JQ11" s="1402"/>
      <c r="JR11" s="1402"/>
      <c r="JS11" s="1402"/>
      <c r="JT11" s="1402"/>
      <c r="JU11" s="1402"/>
      <c r="JV11" s="1402"/>
      <c r="JW11" s="1402"/>
      <c r="JX11" s="1402"/>
      <c r="JY11" s="1402"/>
      <c r="JZ11" s="1402"/>
      <c r="KA11" s="1402"/>
      <c r="KB11" s="1402"/>
      <c r="KC11" s="1402"/>
      <c r="KD11" s="1402"/>
      <c r="KE11" s="1402"/>
      <c r="KF11" s="1402"/>
      <c r="KG11" s="1402"/>
      <c r="KH11" s="1402"/>
      <c r="KI11" s="1402"/>
      <c r="KJ11" s="1402"/>
      <c r="KK11" s="1402"/>
      <c r="KL11" s="1402"/>
      <c r="KM11" s="1402"/>
      <c r="KN11" s="1402"/>
      <c r="KO11" s="1402"/>
      <c r="KP11" s="1402"/>
      <c r="KQ11" s="1402"/>
      <c r="KR11" s="1402"/>
      <c r="KS11" s="1402"/>
      <c r="KT11" s="1402"/>
      <c r="KU11" s="1402"/>
      <c r="KV11" s="1402"/>
      <c r="KW11" s="1402"/>
      <c r="KX11" s="1402"/>
      <c r="KY11" s="1402"/>
      <c r="KZ11" s="1402"/>
      <c r="LA11" s="1402"/>
      <c r="LB11" s="1402"/>
      <c r="LC11" s="1402"/>
      <c r="LD11" s="1402"/>
      <c r="LE11" s="1402"/>
      <c r="LF11" s="1402"/>
      <c r="LG11" s="1402"/>
      <c r="LH11" s="1402"/>
      <c r="LI11" s="1402"/>
      <c r="LJ11" s="1402"/>
      <c r="LK11" s="1402"/>
      <c r="LL11" s="1402"/>
      <c r="LM11" s="1402"/>
      <c r="LN11" s="1402"/>
      <c r="LO11" s="1402"/>
      <c r="LP11" s="1402"/>
      <c r="LQ11" s="1402"/>
      <c r="LR11" s="1402"/>
      <c r="LS11" s="1402"/>
      <c r="LT11" s="1402"/>
      <c r="LU11" s="1402"/>
      <c r="LV11" s="1402"/>
      <c r="LW11" s="1402"/>
      <c r="LX11" s="1402"/>
      <c r="LY11" s="1402"/>
      <c r="LZ11" s="1402"/>
      <c r="MA11" s="1402"/>
      <c r="MB11" s="1402"/>
      <c r="MC11" s="1402"/>
      <c r="MD11" s="1402"/>
      <c r="ME11" s="1402"/>
      <c r="MF11" s="1402"/>
      <c r="MG11" s="1402"/>
      <c r="MH11" s="1402"/>
      <c r="MI11" s="1402"/>
      <c r="MJ11" s="1402"/>
      <c r="MK11" s="1402"/>
      <c r="ML11" s="1402"/>
      <c r="MM11" s="1402"/>
      <c r="MN11" s="1402"/>
      <c r="MO11" s="1402"/>
      <c r="MP11" s="1402"/>
      <c r="MQ11" s="1402"/>
      <c r="MR11" s="1402"/>
      <c r="MS11" s="1402"/>
      <c r="MT11" s="1402"/>
      <c r="MU11" s="1402"/>
      <c r="MV11" s="1402"/>
      <c r="MW11" s="1402"/>
      <c r="MX11" s="1402"/>
      <c r="MY11" s="1402"/>
      <c r="MZ11" s="1402"/>
      <c r="NA11" s="1402"/>
      <c r="NB11" s="1402"/>
      <c r="NC11" s="1402"/>
      <c r="ND11" s="1402"/>
      <c r="NE11" s="1402"/>
      <c r="NF11" s="1402"/>
      <c r="NG11" s="1402"/>
      <c r="NH11" s="1402"/>
      <c r="NI11" s="1402"/>
      <c r="NJ11" s="1402"/>
      <c r="NK11" s="1402"/>
      <c r="NL11" s="1402"/>
      <c r="NM11" s="1402"/>
      <c r="NN11" s="1402"/>
      <c r="NO11" s="1402"/>
      <c r="NP11" s="1402"/>
      <c r="NQ11" s="1402"/>
      <c r="NR11" s="1402"/>
      <c r="NS11" s="1402"/>
      <c r="NT11" s="1402"/>
      <c r="NU11" s="1402"/>
      <c r="NV11" s="1402"/>
      <c r="NW11" s="1402"/>
      <c r="NX11" s="1402"/>
      <c r="NY11" s="1402"/>
      <c r="NZ11" s="1402"/>
      <c r="OA11" s="1402"/>
      <c r="OB11" s="1402"/>
      <c r="OC11" s="1402"/>
      <c r="OD11" s="1402"/>
      <c r="OE11" s="1402"/>
      <c r="OF11" s="1402"/>
      <c r="OG11" s="1402"/>
      <c r="OH11" s="1402"/>
      <c r="OI11" s="1402"/>
      <c r="OJ11" s="1402"/>
      <c r="OK11" s="1402"/>
      <c r="OL11" s="1402"/>
      <c r="OM11" s="1402"/>
      <c r="ON11" s="1402"/>
      <c r="OO11" s="1402"/>
      <c r="OP11" s="1402"/>
      <c r="OQ11" s="1402"/>
      <c r="OR11" s="1402"/>
      <c r="OS11" s="1402"/>
      <c r="OT11" s="1402"/>
      <c r="OU11" s="1402"/>
      <c r="OV11" s="1402"/>
      <c r="OW11" s="1402"/>
      <c r="OX11" s="1402"/>
      <c r="OY11" s="1402"/>
      <c r="OZ11" s="1402"/>
      <c r="PA11" s="1402"/>
      <c r="PB11" s="1402"/>
      <c r="PC11" s="1402"/>
      <c r="PD11" s="1402"/>
      <c r="PE11" s="1402"/>
      <c r="PF11" s="1402"/>
      <c r="PG11" s="1402"/>
      <c r="PH11" s="1402"/>
      <c r="PI11" s="1402"/>
      <c r="PJ11" s="1402"/>
      <c r="PK11" s="1402"/>
      <c r="PL11" s="1402"/>
      <c r="PM11" s="1402"/>
      <c r="PN11" s="1402"/>
      <c r="PO11" s="1402"/>
      <c r="PP11" s="1402"/>
      <c r="PQ11" s="1402"/>
      <c r="PR11" s="1402"/>
      <c r="PS11" s="1402"/>
      <c r="PT11" s="1402"/>
      <c r="PU11" s="1402"/>
      <c r="PV11" s="1402"/>
      <c r="PW11" s="1402"/>
      <c r="PX11" s="1402"/>
      <c r="PY11" s="1402"/>
      <c r="PZ11" s="1402"/>
      <c r="QA11" s="1402"/>
      <c r="QB11" s="1402"/>
      <c r="QC11" s="1402"/>
      <c r="QD11" s="1402"/>
      <c r="QE11" s="1402"/>
      <c r="QF11" s="1402"/>
      <c r="QG11" s="1402"/>
      <c r="QH11" s="1402"/>
      <c r="QI11" s="1402"/>
      <c r="QJ11" s="1402"/>
      <c r="QK11" s="1402"/>
      <c r="QL11" s="1402"/>
      <c r="QM11" s="1402"/>
      <c r="QN11" s="1402"/>
      <c r="QO11" s="1402"/>
      <c r="QP11" s="1402"/>
      <c r="QQ11" s="1402"/>
      <c r="QR11" s="1402"/>
      <c r="QS11" s="1402"/>
      <c r="QT11" s="1402"/>
      <c r="QU11" s="1402"/>
      <c r="QV11" s="1402"/>
      <c r="QW11" s="1402"/>
      <c r="QX11" s="1402"/>
      <c r="QY11" s="1402"/>
      <c r="QZ11" s="1402"/>
      <c r="RA11" s="1402"/>
      <c r="RB11" s="1402"/>
      <c r="RC11" s="1402"/>
      <c r="RD11" s="1402"/>
      <c r="RE11" s="1402"/>
      <c r="RF11" s="1402"/>
      <c r="RG11" s="1402"/>
      <c r="RH11" s="1402"/>
      <c r="RI11" s="1402"/>
      <c r="RJ11" s="1402"/>
      <c r="RK11" s="1402"/>
      <c r="RL11" s="1402"/>
      <c r="RM11" s="1402"/>
      <c r="RN11" s="1402"/>
      <c r="RO11" s="1402"/>
      <c r="RP11" s="1402"/>
      <c r="RQ11" s="1402"/>
      <c r="RR11" s="1402"/>
      <c r="RS11" s="1402"/>
      <c r="RT11" s="1402"/>
      <c r="RU11" s="1402"/>
      <c r="RV11" s="1402"/>
      <c r="RW11" s="1402"/>
      <c r="RX11" s="1402"/>
      <c r="RY11" s="1402"/>
      <c r="RZ11" s="1402"/>
      <c r="SA11" s="1402"/>
      <c r="SB11" s="1402"/>
      <c r="SC11" s="1402"/>
      <c r="SD11" s="1402"/>
      <c r="SE11" s="1402"/>
      <c r="SF11" s="1402"/>
      <c r="SG11" s="1402"/>
      <c r="SH11" s="1402"/>
      <c r="SI11" s="1402"/>
      <c r="SJ11" s="1402"/>
      <c r="SK11" s="1402"/>
      <c r="SL11" s="1402"/>
      <c r="SM11" s="1402"/>
      <c r="SN11" s="1402"/>
      <c r="SO11" s="1402"/>
      <c r="SP11" s="1402"/>
      <c r="SQ11" s="1402"/>
      <c r="SR11" s="1402"/>
      <c r="SS11" s="1402"/>
      <c r="ST11" s="1402"/>
      <c r="SU11" s="1402"/>
      <c r="SV11" s="1402"/>
      <c r="SW11" s="1402"/>
      <c r="SX11" s="1402"/>
      <c r="SY11" s="1402"/>
      <c r="SZ11" s="1402"/>
      <c r="TA11" s="1402"/>
      <c r="TB11" s="1402"/>
      <c r="TC11" s="1402"/>
      <c r="TD11" s="1402"/>
      <c r="TE11" s="1402"/>
      <c r="TF11" s="1402"/>
      <c r="TG11" s="1402"/>
      <c r="TH11" s="1402"/>
      <c r="TI11" s="1402"/>
      <c r="TJ11" s="1402"/>
      <c r="TK11" s="1402"/>
      <c r="TL11" s="1402"/>
      <c r="TM11" s="1402"/>
      <c r="TN11" s="1402"/>
      <c r="TO11" s="1402"/>
      <c r="TP11" s="1402"/>
      <c r="TQ11" s="1402"/>
      <c r="TR11" s="1402"/>
      <c r="TS11" s="1402"/>
      <c r="TT11" s="1402"/>
      <c r="TU11" s="1402"/>
      <c r="TV11" s="1402"/>
      <c r="TW11" s="1402"/>
      <c r="TX11" s="1402"/>
      <c r="TY11" s="1402"/>
      <c r="TZ11" s="1402"/>
      <c r="UA11" s="1402"/>
      <c r="UB11" s="1402"/>
      <c r="UC11" s="1402"/>
      <c r="UD11" s="1402"/>
      <c r="UE11" s="1402"/>
      <c r="UF11" s="1402"/>
      <c r="UG11" s="1402"/>
      <c r="UH11" s="1402"/>
      <c r="UI11" s="1402"/>
      <c r="UJ11" s="1402"/>
      <c r="UK11" s="1402"/>
      <c r="UL11" s="1402"/>
      <c r="UM11" s="1402"/>
      <c r="UN11" s="1402"/>
      <c r="UO11" s="1402"/>
      <c r="UP11" s="1402"/>
      <c r="UQ11" s="1402"/>
      <c r="UR11" s="1402"/>
      <c r="US11" s="1402"/>
      <c r="UT11" s="1402"/>
      <c r="UU11" s="1402"/>
      <c r="UV11" s="1402"/>
      <c r="UW11" s="1402"/>
      <c r="UX11" s="1402"/>
      <c r="UY11" s="1402"/>
      <c r="UZ11" s="1402"/>
      <c r="VA11" s="1402"/>
      <c r="VB11" s="1402"/>
      <c r="VC11" s="1402"/>
      <c r="VD11" s="1402"/>
      <c r="VE11" s="1402"/>
      <c r="VF11" s="1402"/>
      <c r="VG11" s="1402"/>
      <c r="VH11" s="1402"/>
      <c r="VI11" s="1402"/>
      <c r="VJ11" s="1402"/>
      <c r="VK11" s="1402"/>
      <c r="VL11" s="1402"/>
      <c r="VM11" s="1402"/>
      <c r="VN11" s="1402"/>
      <c r="VO11" s="1402"/>
      <c r="VP11" s="1402"/>
      <c r="VQ11" s="1402"/>
      <c r="VR11" s="1402"/>
      <c r="VS11" s="1402"/>
      <c r="VT11" s="1402"/>
      <c r="VU11" s="1402"/>
      <c r="VV11" s="1402"/>
      <c r="VW11" s="1402"/>
      <c r="VX11" s="1402"/>
      <c r="VY11" s="1402"/>
      <c r="VZ11" s="1402"/>
      <c r="WA11" s="1402"/>
      <c r="WB11" s="1402"/>
      <c r="WC11" s="1402"/>
      <c r="WD11" s="1402"/>
      <c r="WE11" s="1402"/>
      <c r="WF11" s="1402"/>
      <c r="WG11" s="1402"/>
      <c r="WH11" s="1402"/>
      <c r="WI11" s="1402"/>
      <c r="WJ11" s="1402"/>
      <c r="WK11" s="1402"/>
      <c r="WL11" s="1402"/>
      <c r="WM11" s="1402"/>
      <c r="WN11" s="1402"/>
      <c r="WO11" s="1402"/>
      <c r="WP11" s="1402"/>
      <c r="WQ11" s="1402"/>
      <c r="WR11" s="1402"/>
      <c r="WS11" s="1402"/>
      <c r="WT11" s="1402"/>
      <c r="WU11" s="1402"/>
      <c r="WV11" s="1402"/>
      <c r="WW11" s="1402"/>
      <c r="WX11" s="1402"/>
      <c r="WY11" s="1402"/>
      <c r="WZ11" s="1402"/>
      <c r="XA11" s="1402"/>
      <c r="XB11" s="1402"/>
      <c r="XC11" s="1402"/>
      <c r="XD11" s="1402"/>
      <c r="XE11" s="1402"/>
      <c r="XF11" s="1402"/>
      <c r="XG11" s="1402"/>
      <c r="XH11" s="1402"/>
      <c r="XI11" s="1402"/>
      <c r="XJ11" s="1402"/>
      <c r="XK11" s="1402"/>
      <c r="XL11" s="1402"/>
      <c r="XM11" s="1402"/>
      <c r="XN11" s="1402"/>
      <c r="XO11" s="1402"/>
      <c r="XP11" s="1402"/>
      <c r="XQ11" s="1402"/>
      <c r="XR11" s="1402"/>
      <c r="XS11" s="1402"/>
      <c r="XT11" s="1402"/>
      <c r="XU11" s="1402"/>
      <c r="XV11" s="1402"/>
      <c r="XW11" s="1402"/>
      <c r="XX11" s="1402"/>
      <c r="XY11" s="1402"/>
      <c r="XZ11" s="1402"/>
      <c r="YA11" s="1402"/>
      <c r="YB11" s="1402"/>
      <c r="YC11" s="1402"/>
      <c r="YD11" s="1402"/>
      <c r="YE11" s="1402"/>
      <c r="YF11" s="1402"/>
      <c r="YG11" s="1402"/>
      <c r="YH11" s="1402"/>
      <c r="YI11" s="1402"/>
      <c r="YJ11" s="1402"/>
      <c r="YK11" s="1402"/>
      <c r="YL11" s="1402"/>
      <c r="YM11" s="1402"/>
      <c r="YN11" s="1402"/>
      <c r="YO11" s="1402"/>
      <c r="YP11" s="1402"/>
      <c r="YQ11" s="1402"/>
      <c r="YR11" s="1402"/>
      <c r="YS11" s="1402"/>
      <c r="YT11" s="1402"/>
      <c r="YU11" s="1402"/>
      <c r="YV11" s="1402"/>
      <c r="YW11" s="1402"/>
      <c r="YX11" s="1402"/>
      <c r="YY11" s="1402"/>
      <c r="YZ11" s="1402"/>
      <c r="ZA11" s="1402"/>
      <c r="ZB11" s="1402"/>
      <c r="ZC11" s="1402"/>
      <c r="ZD11" s="1402"/>
      <c r="ZE11" s="1402"/>
      <c r="ZF11" s="1402"/>
      <c r="ZG11" s="1402"/>
      <c r="ZH11" s="1402"/>
      <c r="ZI11" s="1402"/>
      <c r="ZJ11" s="1402"/>
      <c r="ZK11" s="1402"/>
      <c r="ZL11" s="1402"/>
      <c r="ZM11" s="1402"/>
      <c r="ZN11" s="1402"/>
      <c r="ZO11" s="1402"/>
      <c r="ZP11" s="1402"/>
      <c r="ZQ11" s="1402"/>
      <c r="ZR11" s="1402"/>
      <c r="ZS11" s="1402"/>
      <c r="ZT11" s="1402"/>
      <c r="ZU11" s="1402"/>
      <c r="ZV11" s="1402"/>
      <c r="ZW11" s="1402"/>
      <c r="ZX11" s="1402"/>
      <c r="ZY11" s="1402"/>
      <c r="ZZ11" s="1402"/>
      <c r="AAA11" s="1402"/>
      <c r="AAB11" s="1402"/>
      <c r="AAC11" s="1402"/>
      <c r="AAD11" s="1402"/>
      <c r="AAE11" s="1402"/>
      <c r="AAF11" s="1402"/>
      <c r="AAG11" s="1402"/>
      <c r="AAH11" s="1402"/>
      <c r="AAI11" s="1402"/>
      <c r="AAJ11" s="1402"/>
      <c r="AAK11" s="1402"/>
      <c r="AAL11" s="1402"/>
      <c r="AAM11" s="1402"/>
      <c r="AAN11" s="1402"/>
      <c r="AAO11" s="1402"/>
      <c r="AAP11" s="1402"/>
      <c r="AAQ11" s="1402"/>
      <c r="AAR11" s="1402"/>
      <c r="AAS11" s="1402"/>
      <c r="AAT11" s="1402"/>
      <c r="AAU11" s="1402"/>
      <c r="AAV11" s="1402"/>
      <c r="AAW11" s="1402"/>
      <c r="AAX11" s="1402"/>
      <c r="AAY11" s="1402"/>
      <c r="AAZ11" s="1402"/>
      <c r="ABA11" s="1402"/>
      <c r="ABB11" s="1402"/>
      <c r="ABC11" s="1402"/>
      <c r="ABD11" s="1402"/>
      <c r="ABE11" s="1402"/>
      <c r="ABF11" s="1402"/>
      <c r="ABG11" s="1402"/>
      <c r="ABH11" s="1402"/>
      <c r="ABI11" s="1402"/>
      <c r="ABJ11" s="1402"/>
      <c r="ABK11" s="1402"/>
      <c r="ABL11" s="1402"/>
      <c r="ABM11" s="1402"/>
      <c r="ABN11" s="1402"/>
      <c r="ABO11" s="1402"/>
      <c r="ABP11" s="1402"/>
      <c r="ABQ11" s="1402"/>
      <c r="ABR11" s="1402"/>
      <c r="ABS11" s="1402"/>
      <c r="ABT11" s="1402"/>
      <c r="ABU11" s="1402"/>
      <c r="ABV11" s="1402"/>
      <c r="ABW11" s="1402"/>
      <c r="ABX11" s="1402"/>
      <c r="ABY11" s="1402"/>
      <c r="ABZ11" s="1402"/>
      <c r="ACA11" s="1402"/>
      <c r="ACB11" s="1402"/>
      <c r="ACC11" s="1402"/>
      <c r="ACD11" s="1402"/>
      <c r="ACE11" s="1402"/>
      <c r="ACF11" s="1402"/>
      <c r="ACG11" s="1402"/>
      <c r="ACH11" s="1402"/>
      <c r="ACI11" s="1402"/>
      <c r="ACJ11" s="1402"/>
      <c r="ACK11" s="1402"/>
      <c r="ACL11" s="1402"/>
      <c r="ACM11" s="1402"/>
      <c r="ACN11" s="1402"/>
      <c r="ACO11" s="1402"/>
      <c r="ACP11" s="1402"/>
      <c r="ACQ11" s="1402"/>
      <c r="ACR11" s="1402"/>
      <c r="ACS11" s="1402"/>
      <c r="ACT11" s="1402"/>
      <c r="ACU11" s="1402"/>
      <c r="ACV11" s="1402"/>
      <c r="ACW11" s="1402"/>
      <c r="ACX11" s="1402"/>
      <c r="ACY11" s="1402"/>
      <c r="ACZ11" s="1402"/>
      <c r="ADA11" s="1402"/>
      <c r="ADB11" s="1402"/>
      <c r="ADC11" s="1402"/>
      <c r="ADD11" s="1402"/>
      <c r="ADE11" s="1402"/>
      <c r="ADF11" s="1402"/>
      <c r="ADG11" s="1402"/>
      <c r="ADH11" s="1402"/>
      <c r="ADI11" s="1402"/>
      <c r="ADJ11" s="1402"/>
      <c r="ADK11" s="1402"/>
      <c r="ADL11" s="1402"/>
      <c r="ADM11" s="1402"/>
      <c r="ADN11" s="1402"/>
      <c r="ADO11" s="1402"/>
      <c r="ADP11" s="1402"/>
      <c r="ADQ11" s="1402"/>
      <c r="ADR11" s="1402"/>
      <c r="ADS11" s="1402"/>
      <c r="ADT11" s="1402"/>
      <c r="ADU11" s="1402"/>
      <c r="ADV11" s="1402"/>
      <c r="ADW11" s="1402"/>
      <c r="ADX11" s="1402"/>
      <c r="ADY11" s="1402"/>
      <c r="ADZ11" s="1402"/>
      <c r="AEA11" s="1402"/>
      <c r="AEB11" s="1402"/>
      <c r="AEC11" s="1402"/>
      <c r="AED11" s="1402"/>
      <c r="AEE11" s="1402"/>
      <c r="AEF11" s="1402"/>
      <c r="AEG11" s="1402"/>
      <c r="AEH11" s="1402"/>
      <c r="AEI11" s="1402"/>
      <c r="AEJ11" s="1402"/>
      <c r="AEK11" s="1402"/>
      <c r="AEL11" s="1402"/>
      <c r="AEM11" s="1402"/>
      <c r="AEN11" s="1402"/>
      <c r="AEO11" s="1402"/>
      <c r="AEP11" s="1402"/>
      <c r="AEQ11" s="1402"/>
      <c r="AER11" s="1402"/>
      <c r="AES11" s="1402"/>
      <c r="AET11" s="1402"/>
      <c r="AEU11" s="1402"/>
      <c r="AEV11" s="1402"/>
      <c r="AEW11" s="1402"/>
      <c r="AEX11" s="1402"/>
      <c r="AEY11" s="1402"/>
      <c r="AEZ11" s="1402"/>
      <c r="AFA11" s="1402"/>
      <c r="AFB11" s="1402"/>
      <c r="AFC11" s="1402"/>
      <c r="AFD11" s="1402"/>
      <c r="AFE11" s="1402"/>
      <c r="AFF11" s="1402"/>
      <c r="AFG11" s="1402"/>
      <c r="AFH11" s="1402"/>
      <c r="AFI11" s="1402"/>
      <c r="AFJ11" s="1402"/>
      <c r="AFK11" s="1402"/>
      <c r="AFL11" s="1402"/>
      <c r="AFM11" s="1402"/>
      <c r="AFN11" s="1402"/>
      <c r="AFO11" s="1402"/>
      <c r="AFP11" s="1402"/>
      <c r="AFQ11" s="1402"/>
      <c r="AFR11" s="1402"/>
      <c r="AFS11" s="1402"/>
      <c r="AFT11" s="1402"/>
      <c r="AFU11" s="1402"/>
      <c r="AFV11" s="1402"/>
      <c r="AFW11" s="1402"/>
      <c r="AFX11" s="1402"/>
      <c r="AFY11" s="1402"/>
      <c r="AFZ11" s="1402"/>
      <c r="AGA11" s="1402"/>
      <c r="AGB11" s="1402"/>
      <c r="AGC11" s="1402"/>
      <c r="AGD11" s="1402"/>
      <c r="AGE11" s="1402"/>
      <c r="AGF11" s="1402"/>
      <c r="AGG11" s="1402"/>
      <c r="AGH11" s="1402"/>
      <c r="AGI11" s="1402"/>
      <c r="AGJ11" s="1402"/>
      <c r="AGK11" s="1402"/>
      <c r="AGL11" s="1402"/>
      <c r="AGM11" s="1402"/>
      <c r="AGN11" s="1402"/>
      <c r="AGO11" s="1402"/>
      <c r="AGP11" s="1402"/>
      <c r="AGQ11" s="1402"/>
      <c r="AGR11" s="1402"/>
      <c r="AGS11" s="1402"/>
      <c r="AGT11" s="1402"/>
      <c r="AGU11" s="1402"/>
      <c r="AGV11" s="1402"/>
      <c r="AGW11" s="1402"/>
      <c r="AGX11" s="1402"/>
      <c r="AGY11" s="1402"/>
      <c r="AGZ11" s="1402"/>
      <c r="AHA11" s="1402"/>
      <c r="AHB11" s="1402"/>
      <c r="AHC11" s="1402"/>
      <c r="AHD11" s="1402"/>
      <c r="AHE11" s="1402"/>
      <c r="AHF11" s="1402"/>
      <c r="AHG11" s="1402"/>
      <c r="AHH11" s="1402"/>
      <c r="AHI11" s="1402"/>
      <c r="AHJ11" s="1402"/>
      <c r="AHK11" s="1402"/>
      <c r="AHL11" s="1402"/>
      <c r="AHM11" s="1402"/>
      <c r="AHN11" s="1402"/>
      <c r="AHO11" s="1402"/>
      <c r="AHP11" s="1402"/>
      <c r="AHQ11" s="1402"/>
      <c r="AHR11" s="1402"/>
      <c r="AHS11" s="1402"/>
      <c r="AHT11" s="1402"/>
      <c r="AHU11" s="1402"/>
      <c r="AHV11" s="1402"/>
      <c r="AHW11" s="1402"/>
      <c r="AHX11" s="1402"/>
      <c r="AHY11" s="1402"/>
      <c r="AHZ11" s="1402"/>
      <c r="AIA11" s="1402"/>
      <c r="AIB11" s="1402"/>
      <c r="AIC11" s="1402"/>
      <c r="AID11" s="1402"/>
      <c r="AIE11" s="1402"/>
      <c r="AIF11" s="1402"/>
      <c r="AIG11" s="1402"/>
      <c r="AIH11" s="1402"/>
      <c r="AII11" s="1402"/>
      <c r="AIJ11" s="1402"/>
      <c r="AIK11" s="1402"/>
      <c r="AIL11" s="1402"/>
      <c r="AIM11" s="1402"/>
      <c r="AIN11" s="1402"/>
      <c r="AIO11" s="1402"/>
      <c r="AIP11" s="1402"/>
      <c r="AIQ11" s="1402"/>
      <c r="AIR11" s="1402"/>
      <c r="AIS11" s="1402"/>
      <c r="AIT11" s="1402"/>
      <c r="AIU11" s="1402"/>
      <c r="AIV11" s="1402"/>
      <c r="AIW11" s="1402"/>
      <c r="AIX11" s="1402"/>
      <c r="AIY11" s="1402"/>
      <c r="AIZ11" s="1402"/>
      <c r="AJA11" s="1402"/>
      <c r="AJB11" s="1402"/>
      <c r="AJC11" s="1402"/>
      <c r="AJD11" s="1402"/>
      <c r="AJE11" s="1402"/>
      <c r="AJF11" s="1402"/>
      <c r="AJG11" s="1402"/>
      <c r="AJH11" s="1402"/>
      <c r="AJI11" s="1402"/>
      <c r="AJJ11" s="1402"/>
      <c r="AJK11" s="1402"/>
      <c r="AJL11" s="1402"/>
      <c r="AJM11" s="1402"/>
      <c r="AJN11" s="1402"/>
      <c r="AJO11" s="1402"/>
      <c r="AJP11" s="1402"/>
      <c r="AJQ11" s="1402"/>
      <c r="AJR11" s="1402"/>
      <c r="AJS11" s="1402"/>
      <c r="AJT11" s="1402"/>
      <c r="AJU11" s="1402"/>
      <c r="AJV11" s="1402"/>
      <c r="AJW11" s="1402"/>
      <c r="AJX11" s="1402"/>
      <c r="AJY11" s="1402"/>
      <c r="AJZ11" s="1402"/>
      <c r="AKA11" s="1402"/>
      <c r="AKB11" s="1402"/>
      <c r="AKC11" s="1402"/>
      <c r="AKD11" s="1402"/>
      <c r="AKE11" s="1402"/>
      <c r="AKF11" s="1402"/>
      <c r="AKG11" s="1402"/>
      <c r="AKH11" s="1402"/>
      <c r="AKI11" s="1402"/>
      <c r="AKJ11" s="1402"/>
      <c r="AKK11" s="1402"/>
      <c r="AKL11" s="1402"/>
      <c r="AKM11" s="1402"/>
      <c r="AKN11" s="1402"/>
      <c r="AKO11" s="1402"/>
      <c r="AKP11" s="1402"/>
      <c r="AKQ11" s="1402"/>
      <c r="AKR11" s="1402"/>
      <c r="AKS11" s="1402"/>
      <c r="AKT11" s="1402"/>
      <c r="AKU11" s="1402"/>
      <c r="AKV11" s="1402"/>
      <c r="AKW11" s="1402"/>
      <c r="AKX11" s="1402"/>
      <c r="AKY11" s="1402"/>
      <c r="AKZ11" s="1402"/>
      <c r="ALA11" s="1402"/>
      <c r="ALB11" s="1402"/>
      <c r="ALC11" s="1402"/>
      <c r="ALD11" s="1402"/>
      <c r="ALE11" s="1402"/>
      <c r="ALF11" s="1402"/>
      <c r="ALG11" s="1402"/>
      <c r="ALH11" s="1402"/>
      <c r="ALI11" s="1402"/>
      <c r="ALJ11" s="1402"/>
      <c r="ALK11" s="1402"/>
      <c r="ALL11" s="1402"/>
      <c r="ALM11" s="1402"/>
      <c r="ALN11" s="1402"/>
      <c r="ALO11" s="1402"/>
      <c r="ALP11" s="1402"/>
      <c r="ALQ11" s="1402"/>
      <c r="ALR11" s="1402"/>
      <c r="ALS11" s="1402"/>
      <c r="ALT11" s="1402"/>
      <c r="ALU11" s="1402"/>
      <c r="ALV11" s="1402"/>
      <c r="ALW11" s="1402"/>
      <c r="ALX11" s="1402"/>
      <c r="ALY11" s="1402"/>
      <c r="ALZ11" s="1402"/>
      <c r="AMA11" s="1402"/>
      <c r="AMB11" s="1402"/>
      <c r="AMC11" s="1402"/>
      <c r="AMD11" s="1402"/>
      <c r="AME11" s="1402"/>
      <c r="AMF11" s="1402"/>
      <c r="AMG11" s="1402"/>
      <c r="AMH11" s="1402"/>
      <c r="AMI11" s="1402"/>
      <c r="AMJ11" s="1402"/>
      <c r="AMK11" s="1402"/>
      <c r="AML11" s="1402"/>
      <c r="AMM11" s="1402"/>
      <c r="AMN11" s="1402"/>
      <c r="AMO11" s="1402"/>
      <c r="AMP11" s="1402"/>
      <c r="AMQ11" s="1402"/>
      <c r="AMR11" s="1402"/>
      <c r="AMS11" s="1402"/>
      <c r="AMT11" s="1402"/>
      <c r="AMU11" s="1402"/>
      <c r="AMV11" s="1402"/>
      <c r="AMW11" s="1402"/>
      <c r="AMX11" s="1402"/>
      <c r="AMY11" s="1402"/>
      <c r="AMZ11" s="1402"/>
      <c r="ANA11" s="1402"/>
      <c r="ANB11" s="1402"/>
      <c r="ANC11" s="1402"/>
      <c r="AND11" s="1402"/>
      <c r="ANE11" s="1402"/>
      <c r="ANF11" s="1402"/>
      <c r="ANG11" s="1402"/>
      <c r="ANH11" s="1402"/>
      <c r="ANI11" s="1402"/>
      <c r="ANJ11" s="1402"/>
      <c r="ANK11" s="1402"/>
      <c r="ANL11" s="1402"/>
      <c r="ANM11" s="1402"/>
      <c r="ANN11" s="1402"/>
      <c r="ANO11" s="1402"/>
      <c r="ANP11" s="1402"/>
      <c r="ANQ11" s="1402"/>
      <c r="ANR11" s="1402"/>
      <c r="ANS11" s="1402"/>
      <c r="ANT11" s="1402"/>
      <c r="ANU11" s="1402"/>
      <c r="ANV11" s="1402"/>
      <c r="ANW11" s="1402"/>
      <c r="ANX11" s="1402"/>
      <c r="ANY11" s="1402"/>
      <c r="ANZ11" s="1402"/>
      <c r="AOA11" s="1402"/>
      <c r="AOB11" s="1402"/>
      <c r="AOC11" s="1402"/>
      <c r="AOD11" s="1402"/>
      <c r="AOE11" s="1402"/>
      <c r="AOF11" s="1402"/>
      <c r="AOG11" s="1402"/>
      <c r="AOH11" s="1402"/>
      <c r="AOI11" s="1402"/>
      <c r="AOJ11" s="1402"/>
      <c r="AOK11" s="1402"/>
      <c r="AOL11" s="1402"/>
      <c r="AOM11" s="1402"/>
      <c r="AON11" s="1402"/>
      <c r="AOO11" s="1402"/>
      <c r="AOP11" s="1402"/>
      <c r="AOQ11" s="1402"/>
      <c r="AOR11" s="1402"/>
      <c r="AOS11" s="1402"/>
      <c r="AOT11" s="1402"/>
      <c r="AOU11" s="1402"/>
      <c r="AOV11" s="1402"/>
      <c r="AOW11" s="1402"/>
      <c r="AOX11" s="1402"/>
      <c r="AOY11" s="1402"/>
      <c r="AOZ11" s="1402"/>
      <c r="APA11" s="1402"/>
      <c r="APB11" s="1402"/>
      <c r="APC11" s="1402"/>
      <c r="APD11" s="1402"/>
      <c r="APE11" s="1402"/>
      <c r="APF11" s="1402"/>
      <c r="APG11" s="1402"/>
      <c r="APH11" s="1402"/>
      <c r="API11" s="1402"/>
      <c r="APJ11" s="1402"/>
      <c r="APK11" s="1402"/>
      <c r="APL11" s="1402"/>
      <c r="APM11" s="1402"/>
      <c r="APN11" s="1402"/>
      <c r="APO11" s="1402"/>
      <c r="APP11" s="1402"/>
      <c r="APQ11" s="1402"/>
      <c r="APR11" s="1402"/>
      <c r="APS11" s="1402"/>
      <c r="APT11" s="1402"/>
      <c r="APU11" s="1402"/>
      <c r="APV11" s="1402"/>
      <c r="APW11" s="1402"/>
      <c r="APX11" s="1402"/>
      <c r="APY11" s="1402"/>
      <c r="APZ11" s="1402"/>
      <c r="AQA11" s="1402"/>
      <c r="AQB11" s="1402"/>
      <c r="AQC11" s="1402"/>
      <c r="AQD11" s="1402"/>
      <c r="AQE11" s="1402"/>
      <c r="AQF11" s="1402"/>
      <c r="AQG11" s="1402"/>
      <c r="AQH11" s="1402"/>
      <c r="AQI11" s="1402"/>
      <c r="AQJ11" s="1402"/>
      <c r="AQK11" s="1402"/>
      <c r="AQL11" s="1402"/>
      <c r="AQM11" s="1402"/>
      <c r="AQN11" s="1402"/>
      <c r="AQO11" s="1402"/>
      <c r="AQP11" s="1402"/>
      <c r="AQQ11" s="1402"/>
      <c r="AQR11" s="1402"/>
      <c r="AQS11" s="1402"/>
      <c r="AQT11" s="1402"/>
      <c r="AQU11" s="1402"/>
      <c r="AQV11" s="1402"/>
      <c r="AQW11" s="1402"/>
      <c r="AQX11" s="1402"/>
      <c r="AQY11" s="1402"/>
      <c r="AQZ11" s="1402"/>
      <c r="ARA11" s="1402"/>
      <c r="ARB11" s="1402"/>
      <c r="ARC11" s="1402"/>
      <c r="ARD11" s="1402"/>
      <c r="ARE11" s="1402"/>
      <c r="ARF11" s="1402"/>
      <c r="ARG11" s="1402"/>
      <c r="ARH11" s="1402"/>
      <c r="ARI11" s="1402"/>
      <c r="ARJ11" s="1402"/>
      <c r="ARK11" s="1402"/>
      <c r="ARL11" s="1402"/>
      <c r="ARM11" s="1402"/>
      <c r="ARN11" s="1402"/>
      <c r="ARO11" s="1402"/>
      <c r="ARP11" s="1402"/>
      <c r="ARQ11" s="1402"/>
      <c r="ARR11" s="1402"/>
      <c r="ARS11" s="1402"/>
      <c r="ART11" s="1402"/>
      <c r="ARU11" s="1402"/>
      <c r="ARV11" s="1402"/>
      <c r="ARW11" s="1402"/>
      <c r="ARX11" s="1402"/>
      <c r="ARY11" s="1402"/>
      <c r="ARZ11" s="1402"/>
      <c r="ASA11" s="1402"/>
      <c r="ASB11" s="1402"/>
      <c r="ASC11" s="1402"/>
      <c r="ASD11" s="1402"/>
      <c r="ASE11" s="1402"/>
      <c r="ASF11" s="1402"/>
      <c r="ASG11" s="1402"/>
      <c r="ASH11" s="1402"/>
      <c r="ASI11" s="1402"/>
      <c r="ASJ11" s="1402"/>
      <c r="ASK11" s="1402"/>
      <c r="ASL11" s="1402"/>
      <c r="ASM11" s="1402"/>
      <c r="ASN11" s="1402"/>
      <c r="ASO11" s="1402"/>
      <c r="ASP11" s="1402"/>
      <c r="ASQ11" s="1402"/>
      <c r="ASR11" s="1402"/>
      <c r="ASS11" s="1402"/>
      <c r="AST11" s="1402"/>
      <c r="ASU11" s="1402"/>
      <c r="ASV11" s="1402"/>
      <c r="ASW11" s="1402"/>
      <c r="ASX11" s="1402"/>
      <c r="ASY11" s="1402"/>
      <c r="ASZ11" s="1402"/>
      <c r="ATA11" s="1402"/>
      <c r="ATB11" s="1402"/>
      <c r="ATC11" s="1402"/>
      <c r="ATD11" s="1402"/>
      <c r="ATE11" s="1402"/>
      <c r="ATF11" s="1402"/>
      <c r="ATG11" s="1402"/>
      <c r="ATH11" s="1402"/>
      <c r="ATI11" s="1402"/>
      <c r="ATJ11" s="1402"/>
      <c r="ATK11" s="1402"/>
      <c r="ATL11" s="1402"/>
      <c r="ATM11" s="1402"/>
      <c r="ATN11" s="1402"/>
      <c r="ATO11" s="1402"/>
      <c r="ATP11" s="1402"/>
      <c r="ATQ11" s="1402"/>
      <c r="ATR11" s="1402"/>
      <c r="ATS11" s="1402"/>
      <c r="ATT11" s="1402"/>
      <c r="ATU11" s="1402"/>
      <c r="ATV11" s="1402"/>
      <c r="ATW11" s="1402"/>
      <c r="ATX11" s="1402"/>
      <c r="ATY11" s="1402"/>
      <c r="ATZ11" s="1402"/>
      <c r="AUA11" s="1402"/>
      <c r="AUB11" s="1402"/>
      <c r="AUC11" s="1402"/>
      <c r="AUD11" s="1402"/>
      <c r="AUE11" s="1402"/>
      <c r="AUF11" s="1402"/>
      <c r="AUG11" s="1402"/>
      <c r="AUH11" s="1402"/>
      <c r="AUI11" s="1402"/>
      <c r="AUJ11" s="1402"/>
      <c r="AUK11" s="1402"/>
      <c r="AUL11" s="1402"/>
      <c r="AUM11" s="1402"/>
      <c r="AUN11" s="1402"/>
      <c r="AUO11" s="1402"/>
      <c r="AUP11" s="1402"/>
      <c r="AUQ11" s="1402"/>
      <c r="AUR11" s="1402"/>
      <c r="AUS11" s="1402"/>
      <c r="AUT11" s="1402"/>
      <c r="AUU11" s="1402"/>
      <c r="AUV11" s="1402"/>
      <c r="AUW11" s="1402"/>
      <c r="AUX11" s="1402"/>
      <c r="AUY11" s="1402"/>
      <c r="AUZ11" s="1402"/>
      <c r="AVA11" s="1402"/>
      <c r="AVB11" s="1402"/>
      <c r="AVC11" s="1402"/>
      <c r="AVD11" s="1402"/>
      <c r="AVE11" s="1402"/>
      <c r="AVF11" s="1402"/>
      <c r="AVG11" s="1402"/>
      <c r="AVH11" s="1402"/>
      <c r="AVI11" s="1402"/>
      <c r="AVJ11" s="1402"/>
      <c r="AVK11" s="1402"/>
      <c r="AVL11" s="1402"/>
      <c r="AVM11" s="1402"/>
      <c r="AVN11" s="1402"/>
      <c r="AVO11" s="1402"/>
      <c r="AVP11" s="1402"/>
      <c r="AVQ11" s="1402"/>
      <c r="AVR11" s="1402"/>
      <c r="AVS11" s="1402"/>
      <c r="AVT11" s="1402"/>
      <c r="AVU11" s="1402"/>
      <c r="AVV11" s="1402"/>
      <c r="AVW11" s="1402"/>
      <c r="AVX11" s="1402"/>
      <c r="AVY11" s="1402"/>
      <c r="AVZ11" s="1402"/>
      <c r="AWA11" s="1402"/>
      <c r="AWB11" s="1402"/>
      <c r="AWC11" s="1402"/>
      <c r="AWD11" s="1402"/>
      <c r="AWE11" s="1402"/>
      <c r="AWF11" s="1402"/>
      <c r="AWG11" s="1402"/>
      <c r="AWH11" s="1402"/>
      <c r="AWI11" s="1402"/>
      <c r="AWJ11" s="1402"/>
      <c r="AWK11" s="1402"/>
      <c r="AWL11" s="1402"/>
      <c r="AWM11" s="1402"/>
      <c r="AWN11" s="1402"/>
      <c r="AWO11" s="1402"/>
      <c r="AWP11" s="1402"/>
      <c r="AWQ11" s="1402"/>
      <c r="AWR11" s="1402"/>
      <c r="AWS11" s="1402"/>
      <c r="AWT11" s="1402"/>
      <c r="AWU11" s="1402"/>
      <c r="AWV11" s="1402"/>
      <c r="AWW11" s="1402"/>
      <c r="AWX11" s="1402"/>
      <c r="AWY11" s="1402"/>
      <c r="AWZ11" s="1402"/>
      <c r="AXA11" s="1402"/>
      <c r="AXB11" s="1402"/>
      <c r="AXC11" s="1402"/>
      <c r="AXD11" s="1402"/>
      <c r="AXE11" s="1402"/>
      <c r="AXF11" s="1402"/>
      <c r="AXG11" s="1402"/>
      <c r="AXH11" s="1402"/>
      <c r="AXI11" s="1402"/>
      <c r="AXJ11" s="1402"/>
      <c r="AXK11" s="1402"/>
      <c r="AXL11" s="1402"/>
      <c r="AXM11" s="1402"/>
      <c r="AXN11" s="1402"/>
      <c r="AXO11" s="1402"/>
      <c r="AXP11" s="1402"/>
      <c r="AXQ11" s="1402"/>
      <c r="AXR11" s="1402"/>
      <c r="AXS11" s="1402"/>
      <c r="AXT11" s="1402"/>
      <c r="AXU11" s="1402"/>
      <c r="AXV11" s="1402"/>
      <c r="AXW11" s="1402"/>
      <c r="AXX11" s="1402"/>
      <c r="AXY11" s="1402"/>
      <c r="AXZ11" s="1402"/>
      <c r="AYA11" s="1402"/>
      <c r="AYB11" s="1402"/>
      <c r="AYC11" s="1402"/>
      <c r="AYD11" s="1402"/>
      <c r="AYE11" s="1402"/>
      <c r="AYF11" s="1402"/>
      <c r="AYG11" s="1402"/>
      <c r="AYH11" s="1402"/>
      <c r="AYI11" s="1402"/>
      <c r="AYJ11" s="1402"/>
      <c r="AYK11" s="1402"/>
      <c r="AYL11" s="1402"/>
      <c r="AYM11" s="1402"/>
      <c r="AYN11" s="1402"/>
      <c r="AYO11" s="1402"/>
      <c r="AYP11" s="1402"/>
      <c r="AYQ11" s="1402"/>
      <c r="AYR11" s="1402"/>
      <c r="AYS11" s="1402"/>
      <c r="AYT11" s="1402"/>
      <c r="AYU11" s="1402"/>
      <c r="AYV11" s="1402"/>
      <c r="AYW11" s="1402"/>
      <c r="AYX11" s="1402"/>
      <c r="AYY11" s="1402"/>
      <c r="AYZ11" s="1402"/>
      <c r="AZA11" s="1402"/>
      <c r="AZB11" s="1402"/>
      <c r="AZC11" s="1402"/>
      <c r="AZD11" s="1402"/>
      <c r="AZE11" s="1402"/>
      <c r="AZF11" s="1402"/>
      <c r="AZG11" s="1402"/>
      <c r="AZH11" s="1402"/>
      <c r="AZI11" s="1402"/>
      <c r="AZJ11" s="1402"/>
      <c r="AZK11" s="1402"/>
      <c r="AZL11" s="1402"/>
      <c r="AZM11" s="1402"/>
      <c r="AZN11" s="1402"/>
      <c r="AZO11" s="1402"/>
      <c r="AZP11" s="1402"/>
      <c r="AZQ11" s="1402"/>
      <c r="AZR11" s="1402"/>
      <c r="AZS11" s="1402"/>
      <c r="AZT11" s="1402"/>
      <c r="AZU11" s="1402"/>
      <c r="AZV11" s="1402"/>
      <c r="AZW11" s="1402"/>
      <c r="AZX11" s="1402"/>
      <c r="AZY11" s="1402"/>
      <c r="AZZ11" s="1402"/>
      <c r="BAA11" s="1402"/>
      <c r="BAB11" s="1402"/>
      <c r="BAC11" s="1402"/>
      <c r="BAD11" s="1402"/>
      <c r="BAE11" s="1402"/>
      <c r="BAF11" s="1402"/>
      <c r="BAG11" s="1402"/>
      <c r="BAH11" s="1402"/>
      <c r="BAI11" s="1402"/>
      <c r="BAJ11" s="1402"/>
      <c r="BAK11" s="1402"/>
      <c r="BAL11" s="1402"/>
      <c r="BAM11" s="1402"/>
      <c r="BAN11" s="1402"/>
      <c r="BAO11" s="1402"/>
      <c r="BAP11" s="1402"/>
      <c r="BAQ11" s="1402"/>
      <c r="BAR11" s="1402"/>
      <c r="BAS11" s="1402"/>
      <c r="BAT11" s="1402"/>
      <c r="BAU11" s="1402"/>
      <c r="BAV11" s="1402"/>
      <c r="BAW11" s="1402"/>
      <c r="BAX11" s="1402"/>
      <c r="BAY11" s="1402"/>
      <c r="BAZ11" s="1402"/>
      <c r="BBA11" s="1402"/>
      <c r="BBB11" s="1402"/>
      <c r="BBC11" s="1402"/>
      <c r="BBD11" s="1402"/>
      <c r="BBE11" s="1402"/>
      <c r="BBF11" s="1402"/>
      <c r="BBG11" s="1402"/>
      <c r="BBH11" s="1402"/>
      <c r="BBI11" s="1402"/>
      <c r="BBJ11" s="1402"/>
      <c r="BBK11" s="1402"/>
      <c r="BBL11" s="1402"/>
      <c r="BBM11" s="1402"/>
      <c r="BBN11" s="1402"/>
      <c r="BBO11" s="1402"/>
      <c r="BBP11" s="1402"/>
      <c r="BBQ11" s="1402"/>
      <c r="BBR11" s="1402"/>
      <c r="BBS11" s="1402"/>
      <c r="BBT11" s="1402"/>
      <c r="BBU11" s="1402"/>
      <c r="BBV11" s="1402"/>
      <c r="BBW11" s="1402"/>
      <c r="BBX11" s="1402"/>
      <c r="BBY11" s="1402"/>
      <c r="BBZ11" s="1402"/>
      <c r="BCA11" s="1402"/>
      <c r="BCB11" s="1402"/>
      <c r="BCC11" s="1402"/>
      <c r="BCD11" s="1402"/>
      <c r="BCE11" s="1402"/>
      <c r="BCF11" s="1402"/>
      <c r="BCG11" s="1402"/>
      <c r="BCH11" s="1402"/>
      <c r="BCI11" s="1402"/>
      <c r="BCJ11" s="1402"/>
      <c r="BCK11" s="1402"/>
      <c r="BCL11" s="1402"/>
      <c r="BCM11" s="1402"/>
      <c r="BCN11" s="1402"/>
      <c r="BCO11" s="1402"/>
      <c r="BCP11" s="1402"/>
      <c r="BCQ11" s="1402"/>
      <c r="BCR11" s="1402"/>
      <c r="BCS11" s="1402"/>
      <c r="BCT11" s="1402"/>
      <c r="BCU11" s="1402"/>
      <c r="BCV11" s="1402"/>
      <c r="BCW11" s="1402"/>
      <c r="BCX11" s="1402"/>
      <c r="BCY11" s="1402"/>
      <c r="BCZ11" s="1402"/>
      <c r="BDA11" s="1402"/>
      <c r="BDB11" s="1402"/>
      <c r="BDC11" s="1402"/>
      <c r="BDD11" s="1402"/>
      <c r="BDE11" s="1402"/>
      <c r="BDF11" s="1402"/>
      <c r="BDG11" s="1402"/>
      <c r="BDH11" s="1402"/>
      <c r="BDI11" s="1402"/>
      <c r="BDJ11" s="1402"/>
      <c r="BDK11" s="1402"/>
      <c r="BDL11" s="1402"/>
      <c r="BDM11" s="1402"/>
      <c r="BDN11" s="1402"/>
      <c r="BDO11" s="1402"/>
      <c r="BDP11" s="1402"/>
      <c r="BDQ11" s="1402"/>
      <c r="BDR11" s="1402"/>
      <c r="BDS11" s="1402"/>
      <c r="BDT11" s="1402"/>
      <c r="BDU11" s="1402"/>
      <c r="BDV11" s="1402"/>
      <c r="BDW11" s="1402"/>
      <c r="BDX11" s="1402"/>
      <c r="BDY11" s="1402"/>
      <c r="BDZ11" s="1402"/>
      <c r="BEA11" s="1402"/>
      <c r="BEB11" s="1402"/>
      <c r="BEC11" s="1402"/>
      <c r="BED11" s="1402"/>
      <c r="BEE11" s="1402"/>
      <c r="BEF11" s="1402"/>
      <c r="BEG11" s="1402"/>
      <c r="BEH11" s="1402"/>
      <c r="BEI11" s="1402"/>
      <c r="BEJ11" s="1402"/>
      <c r="BEK11" s="1402"/>
      <c r="BEL11" s="1402"/>
      <c r="BEM11" s="1402"/>
      <c r="BEN11" s="1402"/>
      <c r="BEO11" s="1402"/>
      <c r="BEP11" s="1402"/>
      <c r="BEQ11" s="1402"/>
      <c r="BER11" s="1402"/>
      <c r="BES11" s="1402"/>
      <c r="BET11" s="1402"/>
      <c r="BEU11" s="1402"/>
      <c r="BEV11" s="1402"/>
      <c r="BEW11" s="1402"/>
      <c r="BEX11" s="1402"/>
      <c r="BEY11" s="1402"/>
      <c r="BEZ11" s="1402"/>
      <c r="BFA11" s="1402"/>
      <c r="BFB11" s="1402"/>
      <c r="BFC11" s="1402"/>
      <c r="BFD11" s="1402"/>
      <c r="BFE11" s="1402"/>
      <c r="BFF11" s="1402"/>
      <c r="BFG11" s="1402"/>
      <c r="BFH11" s="1402"/>
      <c r="BFI11" s="1402"/>
      <c r="BFJ11" s="1402"/>
      <c r="BFK11" s="1402"/>
      <c r="BFL11" s="1402"/>
      <c r="BFM11" s="1402"/>
      <c r="BFN11" s="1402"/>
      <c r="BFO11" s="1402"/>
      <c r="BFP11" s="1402"/>
      <c r="BFQ11" s="1402"/>
      <c r="BFR11" s="1402"/>
      <c r="BFS11" s="1402"/>
      <c r="BFT11" s="1402"/>
      <c r="BFU11" s="1402"/>
      <c r="BFV11" s="1402"/>
      <c r="BFW11" s="1402"/>
      <c r="BFX11" s="1402"/>
      <c r="BFY11" s="1402"/>
      <c r="BFZ11" s="1402"/>
      <c r="BGA11" s="1402"/>
      <c r="BGB11" s="1402"/>
      <c r="BGC11" s="1402"/>
      <c r="BGD11" s="1402"/>
      <c r="BGE11" s="1402"/>
      <c r="BGF11" s="1402"/>
      <c r="BGG11" s="1402"/>
      <c r="BGH11" s="1402"/>
      <c r="BGI11" s="1402"/>
      <c r="BGJ11" s="1402"/>
      <c r="BGK11" s="1402"/>
      <c r="BGL11" s="1402"/>
      <c r="BGM11" s="1402"/>
      <c r="BGN11" s="1402"/>
      <c r="BGO11" s="1402"/>
      <c r="BGP11" s="1402"/>
      <c r="BGQ11" s="1402"/>
      <c r="BGR11" s="1402"/>
      <c r="BGS11" s="1402"/>
      <c r="BGT11" s="1402"/>
      <c r="BGU11" s="1402"/>
      <c r="BGV11" s="1402"/>
      <c r="BGW11" s="1402"/>
      <c r="BGX11" s="1402"/>
      <c r="BGY11" s="1402"/>
      <c r="BGZ11" s="1402"/>
      <c r="BHA11" s="1402"/>
      <c r="BHB11" s="1402"/>
      <c r="BHC11" s="1402"/>
      <c r="BHD11" s="1402"/>
      <c r="BHE11" s="1402"/>
      <c r="BHF11" s="1402"/>
      <c r="BHG11" s="1402"/>
      <c r="BHH11" s="1402"/>
      <c r="BHI11" s="1402"/>
      <c r="BHJ11" s="1402"/>
      <c r="BHK11" s="1402"/>
      <c r="BHL11" s="1402"/>
      <c r="BHM11" s="1402"/>
      <c r="BHN11" s="1402"/>
      <c r="BHO11" s="1402"/>
      <c r="BHP11" s="1402"/>
      <c r="BHQ11" s="1402"/>
      <c r="BHR11" s="1402"/>
      <c r="BHS11" s="1402"/>
      <c r="BHT11" s="1402"/>
      <c r="BHU11" s="1402"/>
      <c r="BHV11" s="1402"/>
      <c r="BHW11" s="1402"/>
      <c r="BHX11" s="1402"/>
      <c r="BHY11" s="1402"/>
      <c r="BHZ11" s="1402"/>
      <c r="BIA11" s="1402"/>
      <c r="BIB11" s="1402"/>
      <c r="BIC11" s="1402"/>
      <c r="BID11" s="1402"/>
      <c r="BIE11" s="1402"/>
      <c r="BIF11" s="1402"/>
      <c r="BIG11" s="1402"/>
      <c r="BIH11" s="1402"/>
      <c r="BII11" s="1402"/>
      <c r="BIJ11" s="1402"/>
      <c r="BIK11" s="1402"/>
      <c r="BIL11" s="1402"/>
      <c r="BIM11" s="1402"/>
      <c r="BIN11" s="1402"/>
      <c r="BIO11" s="1402"/>
      <c r="BIP11" s="1402"/>
      <c r="BIQ11" s="1402"/>
      <c r="BIR11" s="1402"/>
      <c r="BIS11" s="1402"/>
      <c r="BIT11" s="1402"/>
      <c r="BIU11" s="1402"/>
      <c r="BIV11" s="1402"/>
      <c r="BIW11" s="1402"/>
      <c r="BIX11" s="1402"/>
      <c r="BIY11" s="1402"/>
      <c r="BIZ11" s="1402"/>
      <c r="BJA11" s="1402"/>
      <c r="BJB11" s="1402"/>
      <c r="BJC11" s="1402"/>
      <c r="BJD11" s="1402"/>
      <c r="BJE11" s="1402"/>
      <c r="BJF11" s="1402"/>
      <c r="BJG11" s="1402"/>
      <c r="BJH11" s="1402"/>
      <c r="BJI11" s="1402"/>
      <c r="BJJ11" s="1402"/>
      <c r="BJK11" s="1402"/>
      <c r="BJL11" s="1402"/>
      <c r="BJM11" s="1402"/>
      <c r="BJN11" s="1402"/>
      <c r="BJO11" s="1402"/>
      <c r="BJP11" s="1402"/>
      <c r="BJQ11" s="1402"/>
      <c r="BJR11" s="1402"/>
      <c r="BJS11" s="1402"/>
      <c r="BJT11" s="1402"/>
      <c r="BJU11" s="1402"/>
      <c r="BJV11" s="1402"/>
      <c r="BJW11" s="1402"/>
      <c r="BJX11" s="1402"/>
      <c r="BJY11" s="1402"/>
      <c r="BJZ11" s="1402"/>
      <c r="BKA11" s="1402"/>
      <c r="BKB11" s="1402"/>
      <c r="BKC11" s="1402"/>
      <c r="BKD11" s="1402"/>
      <c r="BKE11" s="1402"/>
      <c r="BKF11" s="1402"/>
      <c r="BKG11" s="1402"/>
      <c r="BKH11" s="1402"/>
      <c r="BKI11" s="1402"/>
      <c r="BKJ11" s="1402"/>
      <c r="BKK11" s="1402"/>
      <c r="BKL11" s="1402"/>
      <c r="BKM11" s="1402"/>
      <c r="BKN11" s="1402"/>
      <c r="BKO11" s="1402"/>
      <c r="BKP11" s="1402"/>
      <c r="BKQ11" s="1402"/>
      <c r="BKR11" s="1402"/>
      <c r="BKS11" s="1402"/>
      <c r="BKT11" s="1402"/>
      <c r="BKU11" s="1402"/>
      <c r="BKV11" s="1402"/>
      <c r="BKW11" s="1402"/>
      <c r="BKX11" s="1402"/>
      <c r="BKY11" s="1402"/>
      <c r="BKZ11" s="1402"/>
      <c r="BLA11" s="1402"/>
      <c r="BLB11" s="1402"/>
      <c r="BLC11" s="1402"/>
      <c r="BLD11" s="1402"/>
      <c r="BLE11" s="1402"/>
      <c r="BLF11" s="1402"/>
      <c r="BLG11" s="1402"/>
      <c r="BLH11" s="1402"/>
      <c r="BLI11" s="1402"/>
      <c r="BLJ11" s="1402"/>
      <c r="BLK11" s="1402"/>
      <c r="BLL11" s="1402"/>
      <c r="BLM11" s="1402"/>
      <c r="BLN11" s="1402"/>
      <c r="BLO11" s="1402"/>
      <c r="BLP11" s="1402"/>
      <c r="BLQ11" s="1402"/>
      <c r="BLR11" s="1402"/>
      <c r="BLS11" s="1402"/>
      <c r="BLT11" s="1402"/>
      <c r="BLU11" s="1402"/>
      <c r="BLV11" s="1402"/>
      <c r="BLW11" s="1402"/>
      <c r="BLX11" s="1402"/>
      <c r="BLY11" s="1402"/>
      <c r="BLZ11" s="1402"/>
      <c r="BMA11" s="1402"/>
      <c r="BMB11" s="1402"/>
      <c r="BMC11" s="1402"/>
      <c r="BMD11" s="1402"/>
      <c r="BME11" s="1402"/>
      <c r="BMF11" s="1402"/>
      <c r="BMG11" s="1402"/>
      <c r="BMH11" s="1402"/>
      <c r="BMI11" s="1402"/>
      <c r="BMJ11" s="1402"/>
      <c r="BMK11" s="1402"/>
      <c r="BML11" s="1402"/>
      <c r="BMM11" s="1402"/>
      <c r="BMN11" s="1402"/>
      <c r="BMO11" s="1402"/>
      <c r="BMP11" s="1402"/>
      <c r="BMQ11" s="1402"/>
      <c r="BMR11" s="1402"/>
      <c r="BMS11" s="1402"/>
      <c r="BMT11" s="1402"/>
      <c r="BMU11" s="1402"/>
      <c r="BMV11" s="1402"/>
      <c r="BMW11" s="1402"/>
      <c r="BMX11" s="1402"/>
      <c r="BMY11" s="1402"/>
      <c r="BMZ11" s="1402"/>
      <c r="BNA11" s="1402"/>
      <c r="BNB11" s="1402"/>
      <c r="BNC11" s="1402"/>
      <c r="BND11" s="1402"/>
      <c r="BNE11" s="1402"/>
      <c r="BNF11" s="1402"/>
      <c r="BNG11" s="1402"/>
      <c r="BNH11" s="1402"/>
      <c r="BNI11" s="1402"/>
      <c r="BNJ11" s="1402"/>
      <c r="BNK11" s="1402"/>
      <c r="BNL11" s="1402"/>
      <c r="BNM11" s="1402"/>
      <c r="BNN11" s="1402"/>
      <c r="BNO11" s="1402"/>
      <c r="BNP11" s="1402"/>
      <c r="BNQ11" s="1402"/>
      <c r="BNR11" s="1402"/>
      <c r="BNS11" s="1402"/>
      <c r="BNT11" s="1402"/>
      <c r="BNU11" s="1402"/>
      <c r="BNV11" s="1402"/>
      <c r="BNW11" s="1402"/>
      <c r="BNX11" s="1402"/>
      <c r="BNY11" s="1402"/>
      <c r="BNZ11" s="1402"/>
      <c r="BOA11" s="1402"/>
      <c r="BOB11" s="1402"/>
      <c r="BOC11" s="1402"/>
      <c r="BOD11" s="1402"/>
      <c r="BOE11" s="1402"/>
      <c r="BOF11" s="1402"/>
      <c r="BOG11" s="1402"/>
      <c r="BOH11" s="1402"/>
      <c r="BOI11" s="1402"/>
      <c r="BOJ11" s="1402"/>
      <c r="BOK11" s="1402"/>
      <c r="BOL11" s="1402"/>
      <c r="BOM11" s="1402"/>
      <c r="BON11" s="1402"/>
      <c r="BOO11" s="1402"/>
      <c r="BOP11" s="1402"/>
      <c r="BOQ11" s="1402"/>
      <c r="BOR11" s="1402"/>
      <c r="BOS11" s="1402"/>
      <c r="BOT11" s="1402"/>
      <c r="BOU11" s="1402"/>
      <c r="BOV11" s="1402"/>
      <c r="BOW11" s="1402"/>
      <c r="BOX11" s="1402"/>
      <c r="BOY11" s="1402"/>
      <c r="BOZ11" s="1402"/>
      <c r="BPA11" s="1402"/>
      <c r="BPB11" s="1402"/>
      <c r="BPC11" s="1402"/>
      <c r="BPD11" s="1402"/>
      <c r="BPE11" s="1402"/>
      <c r="BPF11" s="1402"/>
      <c r="BPG11" s="1402"/>
      <c r="BPH11" s="1402"/>
      <c r="BPI11" s="1402"/>
      <c r="BPJ11" s="1402"/>
      <c r="BPK11" s="1402"/>
      <c r="BPL11" s="1402"/>
      <c r="BPM11" s="1402"/>
      <c r="BPN11" s="1402"/>
      <c r="BPO11" s="1402"/>
      <c r="BPP11" s="1402"/>
      <c r="BPQ11" s="1402"/>
      <c r="BPR11" s="1402"/>
      <c r="BPS11" s="1402"/>
      <c r="BPT11" s="1402"/>
      <c r="BPU11" s="1402"/>
      <c r="BPV11" s="1402"/>
      <c r="BPW11" s="1402"/>
      <c r="BPX11" s="1402"/>
      <c r="BPY11" s="1402"/>
      <c r="BPZ11" s="1402"/>
      <c r="BQA11" s="1402"/>
      <c r="BQB11" s="1402"/>
      <c r="BQC11" s="1402"/>
      <c r="BQD11" s="1402"/>
      <c r="BQE11" s="1402"/>
      <c r="BQF11" s="1402"/>
      <c r="BQG11" s="1402"/>
      <c r="BQH11" s="1402"/>
      <c r="BQI11" s="1402"/>
      <c r="BQJ11" s="1402"/>
      <c r="BQK11" s="1402"/>
      <c r="BQL11" s="1402"/>
      <c r="BQM11" s="1402"/>
      <c r="BQN11" s="1402"/>
      <c r="BQO11" s="1402"/>
      <c r="BQP11" s="1402"/>
      <c r="BQQ11" s="1402"/>
      <c r="BQR11" s="1402"/>
      <c r="BQS11" s="1402"/>
      <c r="BQT11" s="1402"/>
      <c r="BQU11" s="1402"/>
      <c r="BQV11" s="1402"/>
      <c r="BQW11" s="1402"/>
      <c r="BQX11" s="1402"/>
      <c r="BQY11" s="1402"/>
      <c r="BQZ11" s="1402"/>
      <c r="BRA11" s="1402"/>
      <c r="BRB11" s="1402"/>
      <c r="BRC11" s="1402"/>
      <c r="BRD11" s="1402"/>
      <c r="BRE11" s="1402"/>
      <c r="BRF11" s="1402"/>
      <c r="BRG11" s="1402"/>
      <c r="BRH11" s="1402"/>
      <c r="BRI11" s="1402"/>
      <c r="BRJ11" s="1402"/>
      <c r="BRK11" s="1402"/>
      <c r="BRL11" s="1402"/>
      <c r="BRM11" s="1402"/>
      <c r="BRN11" s="1402"/>
      <c r="BRO11" s="1402"/>
      <c r="BRP11" s="1402"/>
      <c r="BRQ11" s="1402"/>
      <c r="BRR11" s="1402"/>
      <c r="BRS11" s="1402"/>
      <c r="BRT11" s="1402"/>
      <c r="BRU11" s="1402"/>
      <c r="BRV11" s="1402"/>
      <c r="BRW11" s="1402"/>
      <c r="BRX11" s="1402"/>
      <c r="BRY11" s="1402"/>
      <c r="BRZ11" s="1402"/>
      <c r="BSA11" s="1402"/>
      <c r="BSB11" s="1402"/>
      <c r="BSC11" s="1402"/>
      <c r="BSD11" s="1402"/>
      <c r="BSE11" s="1402"/>
      <c r="BSF11" s="1402"/>
      <c r="BSG11" s="1402"/>
      <c r="BSH11" s="1402"/>
      <c r="BSI11" s="1402"/>
      <c r="BSJ11" s="1402"/>
      <c r="BSK11" s="1402"/>
      <c r="BSL11" s="1402"/>
      <c r="BSM11" s="1402"/>
      <c r="BSN11" s="1402"/>
      <c r="BSO11" s="1402"/>
      <c r="BSP11" s="1402"/>
      <c r="BSQ11" s="1402"/>
      <c r="BSR11" s="1402"/>
      <c r="BSS11" s="1402"/>
      <c r="BST11" s="1402"/>
      <c r="BSU11" s="1402"/>
      <c r="BSV11" s="1402"/>
      <c r="BSW11" s="1402"/>
      <c r="BSX11" s="1402"/>
      <c r="BSY11" s="1402"/>
      <c r="BSZ11" s="1402"/>
      <c r="BTA11" s="1402"/>
      <c r="BTB11" s="1402"/>
      <c r="BTC11" s="1402"/>
      <c r="BTD11" s="1402"/>
      <c r="BTE11" s="1402"/>
      <c r="BTF11" s="1402"/>
      <c r="BTG11" s="1402"/>
      <c r="BTH11" s="1402"/>
      <c r="BTI11" s="1402"/>
      <c r="BTJ11" s="1402"/>
      <c r="BTK11" s="1402"/>
      <c r="BTL11" s="1402"/>
      <c r="BTM11" s="1402"/>
      <c r="BTN11" s="1402"/>
      <c r="BTO11" s="1402"/>
      <c r="BTP11" s="1402"/>
      <c r="BTQ11" s="1402"/>
      <c r="BTR11" s="1402"/>
      <c r="BTS11" s="1402"/>
      <c r="BTT11" s="1402"/>
      <c r="BTU11" s="1402"/>
      <c r="BTV11" s="1402"/>
      <c r="BTW11" s="1402"/>
      <c r="BTX11" s="1402"/>
      <c r="BTY11" s="1402"/>
      <c r="BTZ11" s="1402"/>
      <c r="BUA11" s="1402"/>
      <c r="BUB11" s="1402"/>
      <c r="BUC11" s="1402"/>
      <c r="BUD11" s="1402"/>
      <c r="BUE11" s="1402"/>
      <c r="BUF11" s="1402"/>
      <c r="BUG11" s="1402"/>
      <c r="BUH11" s="1402"/>
      <c r="BUI11" s="1402"/>
      <c r="BUJ11" s="1402"/>
      <c r="BUK11" s="1402"/>
      <c r="BUL11" s="1402"/>
      <c r="BUM11" s="1402"/>
      <c r="BUN11" s="1402"/>
      <c r="BUO11" s="1402"/>
      <c r="BUP11" s="1402"/>
      <c r="BUQ11" s="1402"/>
      <c r="BUR11" s="1402"/>
      <c r="BUS11" s="1402"/>
      <c r="BUT11" s="1402"/>
      <c r="BUU11" s="1402"/>
      <c r="BUV11" s="1402"/>
      <c r="BUW11" s="1402"/>
      <c r="BUX11" s="1402"/>
      <c r="BUY11" s="1402"/>
      <c r="BUZ11" s="1402"/>
      <c r="BVA11" s="1402"/>
      <c r="BVB11" s="1402"/>
      <c r="BVC11" s="1402"/>
      <c r="BVD11" s="1402"/>
      <c r="BVE11" s="1402"/>
      <c r="BVF11" s="1402"/>
      <c r="BVG11" s="1402"/>
      <c r="BVH11" s="1402"/>
      <c r="BVI11" s="1402"/>
      <c r="BVJ11" s="1402"/>
      <c r="BVK11" s="1402"/>
      <c r="BVL11" s="1402"/>
      <c r="BVM11" s="1402"/>
      <c r="BVN11" s="1402"/>
      <c r="BVO11" s="1402"/>
      <c r="BVP11" s="1402"/>
      <c r="BVQ11" s="1402"/>
      <c r="BVR11" s="1402"/>
      <c r="BVS11" s="1402"/>
      <c r="BVT11" s="1402"/>
      <c r="BVU11" s="1402"/>
      <c r="BVV11" s="1402"/>
      <c r="BVW11" s="1402"/>
      <c r="BVX11" s="1402"/>
      <c r="BVY11" s="1402"/>
      <c r="BVZ11" s="1402"/>
      <c r="BWA11" s="1402"/>
      <c r="BWB11" s="1402"/>
      <c r="BWC11" s="1402"/>
      <c r="BWD11" s="1402"/>
      <c r="BWE11" s="1402"/>
      <c r="BWF11" s="1402"/>
      <c r="BWG11" s="1402"/>
      <c r="BWH11" s="1402"/>
      <c r="BWI11" s="1402"/>
      <c r="BWJ11" s="1402"/>
      <c r="BWK11" s="1402"/>
      <c r="BWL11" s="1402"/>
      <c r="BWM11" s="1402"/>
      <c r="BWN11" s="1402"/>
      <c r="BWO11" s="1402"/>
      <c r="BWP11" s="1402"/>
      <c r="BWQ11" s="1402"/>
      <c r="BWR11" s="1402"/>
      <c r="BWS11" s="1402"/>
      <c r="BWT11" s="1402"/>
      <c r="BWU11" s="1402"/>
      <c r="BWV11" s="1402"/>
      <c r="BWW11" s="1402"/>
      <c r="BWX11" s="1402"/>
      <c r="BWY11" s="1402"/>
      <c r="BWZ11" s="1402"/>
      <c r="BXA11" s="1402"/>
      <c r="BXB11" s="1402"/>
      <c r="BXC11" s="1402"/>
      <c r="BXD11" s="1402"/>
      <c r="BXE11" s="1402"/>
      <c r="BXF11" s="1402"/>
      <c r="BXG11" s="1402"/>
      <c r="BXH11" s="1402"/>
      <c r="BXI11" s="1402"/>
      <c r="BXJ11" s="1402"/>
      <c r="BXK11" s="1402"/>
      <c r="BXL11" s="1402"/>
      <c r="BXM11" s="1402"/>
      <c r="BXN11" s="1402"/>
      <c r="BXO11" s="1402"/>
      <c r="BXP11" s="1402"/>
      <c r="BXQ11" s="1402"/>
      <c r="BXR11" s="1402"/>
      <c r="BXS11" s="1402"/>
      <c r="BXT11" s="1402"/>
      <c r="BXU11" s="1402"/>
      <c r="BXV11" s="1402"/>
      <c r="BXW11" s="1402"/>
      <c r="BXX11" s="1402"/>
      <c r="BXY11" s="1402"/>
      <c r="BXZ11" s="1402"/>
      <c r="BYA11" s="1402"/>
      <c r="BYB11" s="1402"/>
      <c r="BYC11" s="1402"/>
      <c r="BYD11" s="1402"/>
      <c r="BYE11" s="1402"/>
      <c r="BYF11" s="1402"/>
      <c r="BYG11" s="1402"/>
      <c r="BYH11" s="1402"/>
      <c r="BYI11" s="1402"/>
      <c r="BYJ11" s="1402"/>
      <c r="BYK11" s="1402"/>
      <c r="BYL11" s="1402"/>
      <c r="BYM11" s="1402"/>
      <c r="BYN11" s="1402"/>
      <c r="BYO11" s="1402"/>
      <c r="BYP11" s="1402"/>
      <c r="BYQ11" s="1402"/>
      <c r="BYR11" s="1402"/>
      <c r="BYS11" s="1402"/>
      <c r="BYT11" s="1402"/>
      <c r="BYU11" s="1402"/>
      <c r="BYV11" s="1402"/>
      <c r="BYW11" s="1402"/>
      <c r="BYX11" s="1402"/>
      <c r="BYY11" s="1402"/>
      <c r="BYZ11" s="1402"/>
      <c r="BZA11" s="1402"/>
      <c r="BZB11" s="1402"/>
      <c r="BZC11" s="1402"/>
      <c r="BZD11" s="1402"/>
      <c r="BZE11" s="1402"/>
      <c r="BZF11" s="1402"/>
      <c r="BZG11" s="1402"/>
      <c r="BZH11" s="1402"/>
      <c r="BZI11" s="1402"/>
      <c r="BZJ11" s="1402"/>
      <c r="BZK11" s="1402"/>
      <c r="BZL11" s="1402"/>
      <c r="BZM11" s="1402"/>
      <c r="BZN11" s="1402"/>
      <c r="BZO11" s="1402"/>
      <c r="BZP11" s="1402"/>
      <c r="BZQ11" s="1402"/>
      <c r="BZR11" s="1402"/>
      <c r="BZS11" s="1402"/>
      <c r="BZT11" s="1402"/>
      <c r="BZU11" s="1402"/>
      <c r="BZV11" s="1402"/>
      <c r="BZW11" s="1402"/>
      <c r="BZX11" s="1402"/>
      <c r="BZY11" s="1402"/>
      <c r="BZZ11" s="1402"/>
      <c r="CAA11" s="1402"/>
      <c r="CAB11" s="1402"/>
      <c r="CAC11" s="1402"/>
      <c r="CAD11" s="1402"/>
      <c r="CAE11" s="1402"/>
      <c r="CAF11" s="1402"/>
      <c r="CAG11" s="1402"/>
      <c r="CAH11" s="1402"/>
      <c r="CAI11" s="1402"/>
      <c r="CAJ11" s="1402"/>
      <c r="CAK11" s="1402"/>
      <c r="CAL11" s="1402"/>
      <c r="CAM11" s="1402"/>
      <c r="CAN11" s="1402"/>
      <c r="CAO11" s="1402"/>
      <c r="CAP11" s="1402"/>
      <c r="CAQ11" s="1402"/>
      <c r="CAR11" s="1402"/>
      <c r="CAS11" s="1402"/>
      <c r="CAT11" s="1402"/>
      <c r="CAU11" s="1402"/>
      <c r="CAV11" s="1402"/>
      <c r="CAW11" s="1402"/>
      <c r="CAX11" s="1402"/>
      <c r="CAY11" s="1402"/>
      <c r="CAZ11" s="1402"/>
      <c r="CBA11" s="1402"/>
      <c r="CBB11" s="1402"/>
      <c r="CBC11" s="1402"/>
      <c r="CBD11" s="1402"/>
      <c r="CBE11" s="1402"/>
      <c r="CBF11" s="1402"/>
      <c r="CBG11" s="1402"/>
      <c r="CBH11" s="1402"/>
      <c r="CBI11" s="1402"/>
      <c r="CBJ11" s="1402"/>
      <c r="CBK11" s="1402"/>
      <c r="CBL11" s="1402"/>
      <c r="CBM11" s="1402"/>
      <c r="CBN11" s="1402"/>
      <c r="CBO11" s="1402"/>
      <c r="CBP11" s="1402"/>
      <c r="CBQ11" s="1402"/>
      <c r="CBR11" s="1402"/>
      <c r="CBS11" s="1402"/>
      <c r="CBT11" s="1402"/>
      <c r="CBU11" s="1402"/>
      <c r="CBV11" s="1402"/>
      <c r="CBW11" s="1402"/>
      <c r="CBX11" s="1402"/>
      <c r="CBY11" s="1402"/>
      <c r="CBZ11" s="1402"/>
      <c r="CCA11" s="1402"/>
      <c r="CCB11" s="1402"/>
      <c r="CCC11" s="1402"/>
      <c r="CCD11" s="1402"/>
      <c r="CCE11" s="1402"/>
      <c r="CCF11" s="1402"/>
      <c r="CCG11" s="1402"/>
      <c r="CCH11" s="1402"/>
      <c r="CCI11" s="1402"/>
      <c r="CCJ11" s="1402"/>
      <c r="CCK11" s="1402"/>
      <c r="CCL11" s="1402"/>
      <c r="CCM11" s="1402"/>
      <c r="CCN11" s="1402"/>
      <c r="CCO11" s="1402"/>
      <c r="CCP11" s="1402"/>
      <c r="CCQ11" s="1402"/>
      <c r="CCR11" s="1402"/>
      <c r="CCS11" s="1402"/>
      <c r="CCT11" s="1402"/>
      <c r="CCU11" s="1402"/>
      <c r="CCV11" s="1402"/>
      <c r="CCW11" s="1402"/>
      <c r="CCX11" s="1402"/>
      <c r="CCY11" s="1402"/>
      <c r="CCZ11" s="1402"/>
      <c r="CDA11" s="1402"/>
      <c r="CDB11" s="1402"/>
      <c r="CDC11" s="1402"/>
      <c r="CDD11" s="1402"/>
      <c r="CDE11" s="1402"/>
      <c r="CDF11" s="1402"/>
      <c r="CDG11" s="1402"/>
      <c r="CDH11" s="1402"/>
      <c r="CDI11" s="1402"/>
      <c r="CDJ11" s="1402"/>
      <c r="CDK11" s="1402"/>
      <c r="CDL11" s="1402"/>
      <c r="CDM11" s="1402"/>
      <c r="CDN11" s="1402"/>
      <c r="CDO11" s="1402"/>
      <c r="CDP11" s="1402"/>
      <c r="CDQ11" s="1402"/>
      <c r="CDR11" s="1402"/>
      <c r="CDS11" s="1402"/>
      <c r="CDT11" s="1402"/>
      <c r="CDU11" s="1402"/>
      <c r="CDV11" s="1402"/>
      <c r="CDW11" s="1402"/>
      <c r="CDX11" s="1402"/>
      <c r="CDY11" s="1402"/>
      <c r="CDZ11" s="1402"/>
      <c r="CEA11" s="1402"/>
      <c r="CEB11" s="1402"/>
      <c r="CEC11" s="1402"/>
      <c r="CED11" s="1402"/>
      <c r="CEE11" s="1402"/>
      <c r="CEF11" s="1402"/>
      <c r="CEG11" s="1402"/>
      <c r="CEH11" s="1402"/>
      <c r="CEI11" s="1402"/>
      <c r="CEJ11" s="1402"/>
      <c r="CEK11" s="1402"/>
      <c r="CEL11" s="1402"/>
      <c r="CEM11" s="1402"/>
      <c r="CEN11" s="1402"/>
      <c r="CEO11" s="1402"/>
      <c r="CEP11" s="1402"/>
      <c r="CEQ11" s="1402"/>
      <c r="CER11" s="1402"/>
      <c r="CES11" s="1402"/>
      <c r="CET11" s="1402"/>
      <c r="CEU11" s="1402"/>
      <c r="CEV11" s="1402"/>
      <c r="CEW11" s="1402"/>
      <c r="CEX11" s="1402"/>
      <c r="CEY11" s="1402"/>
      <c r="CEZ11" s="1402"/>
      <c r="CFA11" s="1402"/>
      <c r="CFB11" s="1402"/>
      <c r="CFC11" s="1402"/>
      <c r="CFD11" s="1402"/>
      <c r="CFE11" s="1402"/>
      <c r="CFF11" s="1402"/>
      <c r="CFG11" s="1402"/>
      <c r="CFH11" s="1402"/>
      <c r="CFI11" s="1402"/>
      <c r="CFJ11" s="1402"/>
      <c r="CFK11" s="1402"/>
      <c r="CFL11" s="1402"/>
      <c r="CFM11" s="1402"/>
      <c r="CFN11" s="1402"/>
      <c r="CFO11" s="1402"/>
      <c r="CFP11" s="1402"/>
      <c r="CFQ11" s="1402"/>
      <c r="CFR11" s="1402"/>
      <c r="CFS11" s="1402"/>
      <c r="CFT11" s="1402"/>
      <c r="CFU11" s="1402"/>
      <c r="CFV11" s="1402"/>
      <c r="CFW11" s="1402"/>
      <c r="CFX11" s="1402"/>
      <c r="CFY11" s="1402"/>
      <c r="CFZ11" s="1402"/>
      <c r="CGA11" s="1402"/>
      <c r="CGB11" s="1402"/>
      <c r="CGC11" s="1402"/>
      <c r="CGD11" s="1402"/>
      <c r="CGE11" s="1402"/>
      <c r="CGF11" s="1402"/>
      <c r="CGG11" s="1402"/>
      <c r="CGH11" s="1402"/>
      <c r="CGI11" s="1402"/>
      <c r="CGJ11" s="1402"/>
      <c r="CGK11" s="1402"/>
      <c r="CGL11" s="1402"/>
      <c r="CGM11" s="1402"/>
      <c r="CGN11" s="1402"/>
      <c r="CGO11" s="1402"/>
      <c r="CGP11" s="1402"/>
      <c r="CGQ11" s="1402"/>
      <c r="CGR11" s="1402"/>
      <c r="CGS11" s="1402"/>
      <c r="CGT11" s="1402"/>
      <c r="CGU11" s="1402"/>
      <c r="CGV11" s="1402"/>
      <c r="CGW11" s="1402"/>
      <c r="CGX11" s="1402"/>
      <c r="CGY11" s="1402"/>
      <c r="CGZ11" s="1402"/>
      <c r="CHA11" s="1402"/>
      <c r="CHB11" s="1402"/>
      <c r="CHC11" s="1402"/>
      <c r="CHD11" s="1402"/>
      <c r="CHE11" s="1402"/>
      <c r="CHF11" s="1402"/>
      <c r="CHG11" s="1402"/>
      <c r="CHH11" s="1402"/>
      <c r="CHI11" s="1402"/>
      <c r="CHJ11" s="1402"/>
      <c r="CHK11" s="1402"/>
      <c r="CHL11" s="1402"/>
      <c r="CHM11" s="1402"/>
      <c r="CHN11" s="1402"/>
      <c r="CHO11" s="1402"/>
      <c r="CHP11" s="1402"/>
      <c r="CHQ11" s="1402"/>
      <c r="CHR11" s="1402"/>
      <c r="CHS11" s="1402"/>
      <c r="CHT11" s="1402"/>
      <c r="CHU11" s="1402"/>
      <c r="CHV11" s="1402"/>
      <c r="CHW11" s="1402"/>
      <c r="CHX11" s="1402"/>
      <c r="CHY11" s="1402"/>
      <c r="CHZ11" s="1402"/>
      <c r="CIA11" s="1402"/>
      <c r="CIB11" s="1402"/>
      <c r="CIC11" s="1402"/>
      <c r="CID11" s="1402"/>
      <c r="CIE11" s="1402"/>
      <c r="CIF11" s="1402"/>
      <c r="CIG11" s="1402"/>
      <c r="CIH11" s="1402"/>
      <c r="CII11" s="1402"/>
      <c r="CIJ11" s="1402"/>
      <c r="CIK11" s="1402"/>
      <c r="CIL11" s="1402"/>
      <c r="CIM11" s="1402"/>
      <c r="CIN11" s="1402"/>
      <c r="CIO11" s="1402"/>
      <c r="CIP11" s="1402"/>
      <c r="CIQ11" s="1402"/>
      <c r="CIR11" s="1402"/>
      <c r="CIS11" s="1402"/>
      <c r="CIT11" s="1402"/>
      <c r="CIU11" s="1402"/>
      <c r="CIV11" s="1402"/>
      <c r="CIW11" s="1402"/>
      <c r="CIX11" s="1402"/>
      <c r="CIY11" s="1402"/>
      <c r="CIZ11" s="1402"/>
      <c r="CJA11" s="1402"/>
      <c r="CJB11" s="1402"/>
      <c r="CJC11" s="1402"/>
      <c r="CJD11" s="1402"/>
      <c r="CJE11" s="1402"/>
      <c r="CJF11" s="1402"/>
      <c r="CJG11" s="1402"/>
      <c r="CJH11" s="1402"/>
      <c r="CJI11" s="1402"/>
      <c r="CJJ11" s="1402"/>
      <c r="CJK11" s="1402"/>
      <c r="CJL11" s="1402"/>
      <c r="CJM11" s="1402"/>
      <c r="CJN11" s="1402"/>
      <c r="CJO11" s="1402"/>
      <c r="CJP11" s="1402"/>
      <c r="CJQ11" s="1402"/>
      <c r="CJR11" s="1402"/>
      <c r="CJS11" s="1402"/>
      <c r="CJT11" s="1402"/>
      <c r="CJU11" s="1402"/>
      <c r="CJV11" s="1402"/>
      <c r="CJW11" s="1402"/>
      <c r="CJX11" s="1402"/>
      <c r="CJY11" s="1402"/>
      <c r="CJZ11" s="1402"/>
      <c r="CKA11" s="1402"/>
      <c r="CKB11" s="1402"/>
      <c r="CKC11" s="1402"/>
      <c r="CKD11" s="1402"/>
      <c r="CKE11" s="1402"/>
      <c r="CKF11" s="1402"/>
      <c r="CKG11" s="1402"/>
      <c r="CKH11" s="1402"/>
      <c r="CKI11" s="1402"/>
      <c r="CKJ11" s="1402"/>
      <c r="CKK11" s="1402"/>
      <c r="CKL11" s="1402"/>
      <c r="CKM11" s="1402"/>
      <c r="CKN11" s="1402"/>
      <c r="CKO11" s="1402"/>
      <c r="CKP11" s="1402"/>
      <c r="CKQ11" s="1402"/>
      <c r="CKR11" s="1402"/>
      <c r="CKS11" s="1402"/>
      <c r="CKT11" s="1402"/>
      <c r="CKU11" s="1402"/>
      <c r="CKV11" s="1402"/>
      <c r="CKW11" s="1402"/>
      <c r="CKX11" s="1402"/>
      <c r="CKY11" s="1402"/>
      <c r="CKZ11" s="1402"/>
      <c r="CLA11" s="1402"/>
      <c r="CLB11" s="1402"/>
      <c r="CLC11" s="1402"/>
      <c r="CLD11" s="1402"/>
      <c r="CLE11" s="1402"/>
      <c r="CLF11" s="1402"/>
      <c r="CLG11" s="1402"/>
      <c r="CLH11" s="1402"/>
      <c r="CLI11" s="1402"/>
      <c r="CLJ11" s="1402"/>
      <c r="CLK11" s="1402"/>
      <c r="CLL11" s="1402"/>
      <c r="CLM11" s="1402"/>
      <c r="CLN11" s="1402"/>
      <c r="CLO11" s="1402"/>
      <c r="CLP11" s="1402"/>
      <c r="CLQ11" s="1402"/>
      <c r="CLR11" s="1402"/>
      <c r="CLS11" s="1402"/>
      <c r="CLT11" s="1402"/>
      <c r="CLU11" s="1402"/>
      <c r="CLV11" s="1402"/>
      <c r="CLW11" s="1402"/>
      <c r="CLX11" s="1402"/>
      <c r="CLY11" s="1402"/>
      <c r="CLZ11" s="1402"/>
      <c r="CMA11" s="1402"/>
      <c r="CMB11" s="1402"/>
      <c r="CMC11" s="1402"/>
      <c r="CMD11" s="1402"/>
      <c r="CME11" s="1402"/>
      <c r="CMF11" s="1402"/>
      <c r="CMG11" s="1402"/>
      <c r="CMH11" s="1402"/>
      <c r="CMI11" s="1402"/>
      <c r="CMJ11" s="1402"/>
      <c r="CMK11" s="1402"/>
      <c r="CML11" s="1402"/>
      <c r="CMM11" s="1402"/>
      <c r="CMN11" s="1402"/>
      <c r="CMO11" s="1402"/>
      <c r="CMP11" s="1402"/>
      <c r="CMQ11" s="1402"/>
      <c r="CMR11" s="1402"/>
      <c r="CMS11" s="1402"/>
      <c r="CMT11" s="1402"/>
      <c r="CMU11" s="1402"/>
      <c r="CMV11" s="1402"/>
      <c r="CMW11" s="1402"/>
      <c r="CMX11" s="1402"/>
      <c r="CMY11" s="1402"/>
      <c r="CMZ11" s="1402"/>
      <c r="CNA11" s="1402"/>
      <c r="CNB11" s="1402"/>
      <c r="CNC11" s="1402"/>
      <c r="CND11" s="1402"/>
      <c r="CNE11" s="1402"/>
      <c r="CNF11" s="1402"/>
      <c r="CNG11" s="1402"/>
      <c r="CNH11" s="1402"/>
      <c r="CNI11" s="1402"/>
      <c r="CNJ11" s="1402"/>
      <c r="CNK11" s="1402"/>
      <c r="CNL11" s="1402"/>
      <c r="CNM11" s="1402"/>
      <c r="CNN11" s="1402"/>
      <c r="CNO11" s="1402"/>
      <c r="CNP11" s="1402"/>
      <c r="CNQ11" s="1402"/>
      <c r="CNR11" s="1402"/>
      <c r="CNS11" s="1402"/>
      <c r="CNT11" s="1402"/>
      <c r="CNU11" s="1402"/>
      <c r="CNV11" s="1402"/>
      <c r="CNW11" s="1402"/>
      <c r="CNX11" s="1402"/>
      <c r="CNY11" s="1402"/>
      <c r="CNZ11" s="1402"/>
      <c r="COA11" s="1402"/>
      <c r="COB11" s="1402"/>
      <c r="COC11" s="1402"/>
      <c r="COD11" s="1402"/>
      <c r="COE11" s="1402"/>
      <c r="COF11" s="1402"/>
      <c r="COG11" s="1402"/>
      <c r="COH11" s="1402"/>
      <c r="COI11" s="1402"/>
      <c r="COJ11" s="1402"/>
      <c r="COK11" s="1402"/>
      <c r="COL11" s="1402"/>
      <c r="COM11" s="1402"/>
      <c r="CON11" s="1402"/>
      <c r="COO11" s="1402"/>
      <c r="COP11" s="1402"/>
      <c r="COQ11" s="1402"/>
      <c r="COR11" s="1402"/>
      <c r="COS11" s="1402"/>
      <c r="COT11" s="1402"/>
      <c r="COU11" s="1402"/>
      <c r="COV11" s="1402"/>
      <c r="COW11" s="1402"/>
      <c r="COX11" s="1402"/>
      <c r="COY11" s="1402"/>
      <c r="COZ11" s="1402"/>
      <c r="CPA11" s="1402"/>
      <c r="CPB11" s="1402"/>
      <c r="CPC11" s="1402"/>
      <c r="CPD11" s="1402"/>
      <c r="CPE11" s="1402"/>
      <c r="CPF11" s="1402"/>
      <c r="CPG11" s="1402"/>
      <c r="CPH11" s="1402"/>
      <c r="CPI11" s="1402"/>
      <c r="CPJ11" s="1402"/>
      <c r="CPK11" s="1402"/>
      <c r="CPL11" s="1402"/>
      <c r="CPM11" s="1402"/>
      <c r="CPN11" s="1402"/>
      <c r="CPO11" s="1402"/>
      <c r="CPP11" s="1402"/>
      <c r="CPQ11" s="1402"/>
      <c r="CPR11" s="1402"/>
      <c r="CPS11" s="1402"/>
      <c r="CPT11" s="1402"/>
      <c r="CPU11" s="1402"/>
      <c r="CPV11" s="1402"/>
      <c r="CPW11" s="1402"/>
      <c r="CPX11" s="1402"/>
      <c r="CPY11" s="1402"/>
      <c r="CPZ11" s="1402"/>
      <c r="CQA11" s="1402"/>
      <c r="CQB11" s="1402"/>
      <c r="CQC11" s="1402"/>
      <c r="CQD11" s="1402"/>
      <c r="CQE11" s="1402"/>
      <c r="CQF11" s="1402"/>
      <c r="CQG11" s="1402"/>
      <c r="CQH11" s="1402"/>
      <c r="CQI11" s="1402"/>
      <c r="CQJ11" s="1402"/>
      <c r="CQK11" s="1402"/>
      <c r="CQL11" s="1402"/>
      <c r="CQM11" s="1402"/>
      <c r="CQN11" s="1402"/>
      <c r="CQO11" s="1402"/>
      <c r="CQP11" s="1402"/>
      <c r="CQQ11" s="1402"/>
      <c r="CQR11" s="1402"/>
      <c r="CQS11" s="1402"/>
      <c r="CQT11" s="1402"/>
      <c r="CQU11" s="1402"/>
      <c r="CQV11" s="1402"/>
      <c r="CQW11" s="1402"/>
      <c r="CQX11" s="1402"/>
      <c r="CQY11" s="1402"/>
      <c r="CQZ11" s="1402"/>
      <c r="CRA11" s="1402"/>
      <c r="CRB11" s="1402"/>
      <c r="CRC11" s="1402"/>
      <c r="CRD11" s="1402"/>
      <c r="CRE11" s="1402"/>
      <c r="CRF11" s="1402"/>
      <c r="CRG11" s="1402"/>
      <c r="CRH11" s="1402"/>
      <c r="CRI11" s="1402"/>
      <c r="CRJ11" s="1402"/>
      <c r="CRK11" s="1402"/>
      <c r="CRL11" s="1402"/>
      <c r="CRM11" s="1402"/>
      <c r="CRN11" s="1402"/>
      <c r="CRO11" s="1402"/>
      <c r="CRP11" s="1402"/>
      <c r="CRQ11" s="1402"/>
      <c r="CRR11" s="1402"/>
      <c r="CRS11" s="1402"/>
      <c r="CRT11" s="1402"/>
      <c r="CRU11" s="1402"/>
      <c r="CRV11" s="1402"/>
      <c r="CRW11" s="1402"/>
      <c r="CRX11" s="1402"/>
      <c r="CRY11" s="1402"/>
      <c r="CRZ11" s="1402"/>
      <c r="CSA11" s="1402"/>
      <c r="CSB11" s="1402"/>
      <c r="CSC11" s="1402"/>
      <c r="CSD11" s="1402"/>
      <c r="CSE11" s="1402"/>
      <c r="CSF11" s="1402"/>
      <c r="CSG11" s="1402"/>
      <c r="CSH11" s="1402"/>
      <c r="CSI11" s="1402"/>
      <c r="CSJ11" s="1402"/>
      <c r="CSK11" s="1402"/>
      <c r="CSL11" s="1402"/>
      <c r="CSM11" s="1402"/>
      <c r="CSN11" s="1402"/>
      <c r="CSO11" s="1402"/>
      <c r="CSP11" s="1402"/>
      <c r="CSQ11" s="1402"/>
      <c r="CSR11" s="1402"/>
      <c r="CSS11" s="1402"/>
      <c r="CST11" s="1402"/>
      <c r="CSU11" s="1402"/>
      <c r="CSV11" s="1402"/>
      <c r="CSW11" s="1402"/>
      <c r="CSX11" s="1402"/>
      <c r="CSY11" s="1402"/>
      <c r="CSZ11" s="1402"/>
      <c r="CTA11" s="1402"/>
      <c r="CTB11" s="1402"/>
      <c r="CTC11" s="1402"/>
      <c r="CTD11" s="1402"/>
      <c r="CTE11" s="1402"/>
      <c r="CTF11" s="1402"/>
      <c r="CTG11" s="1402"/>
      <c r="CTH11" s="1402"/>
      <c r="CTI11" s="1402"/>
      <c r="CTJ11" s="1402"/>
      <c r="CTK11" s="1402"/>
      <c r="CTL11" s="1402"/>
      <c r="CTM11" s="1402"/>
      <c r="CTN11" s="1402"/>
      <c r="CTO11" s="1402"/>
      <c r="CTP11" s="1402"/>
      <c r="CTQ11" s="1402"/>
      <c r="CTR11" s="1402"/>
      <c r="CTS11" s="1402"/>
      <c r="CTT11" s="1402"/>
      <c r="CTU11" s="1402"/>
      <c r="CTV11" s="1402"/>
      <c r="CTW11" s="1402"/>
      <c r="CTX11" s="1402"/>
      <c r="CTY11" s="1402"/>
      <c r="CTZ11" s="1402"/>
      <c r="CUA11" s="1402"/>
      <c r="CUB11" s="1402"/>
      <c r="CUC11" s="1402"/>
      <c r="CUD11" s="1402"/>
      <c r="CUE11" s="1402"/>
      <c r="CUF11" s="1402"/>
      <c r="CUG11" s="1402"/>
      <c r="CUH11" s="1402"/>
      <c r="CUI11" s="1402"/>
      <c r="CUJ11" s="1402"/>
      <c r="CUK11" s="1402"/>
      <c r="CUL11" s="1402"/>
      <c r="CUM11" s="1402"/>
      <c r="CUN11" s="1402"/>
      <c r="CUO11" s="1402"/>
      <c r="CUP11" s="1402"/>
      <c r="CUQ11" s="1402"/>
      <c r="CUR11" s="1402"/>
      <c r="CUS11" s="1402"/>
      <c r="CUT11" s="1402"/>
      <c r="CUU11" s="1402"/>
      <c r="CUV11" s="1402"/>
      <c r="CUW11" s="1402"/>
      <c r="CUX11" s="1402"/>
      <c r="CUY11" s="1402"/>
      <c r="CUZ11" s="1402"/>
      <c r="CVA11" s="1402"/>
      <c r="CVB11" s="1402"/>
      <c r="CVC11" s="1402"/>
      <c r="CVD11" s="1402"/>
      <c r="CVE11" s="1402"/>
      <c r="CVF11" s="1402"/>
      <c r="CVG11" s="1402"/>
      <c r="CVH11" s="1402"/>
      <c r="CVI11" s="1402"/>
      <c r="CVJ11" s="1402"/>
      <c r="CVK11" s="1402"/>
      <c r="CVL11" s="1402"/>
      <c r="CVM11" s="1402"/>
      <c r="CVN11" s="1402"/>
      <c r="CVO11" s="1402"/>
      <c r="CVP11" s="1402"/>
      <c r="CVQ11" s="1402"/>
      <c r="CVR11" s="1402"/>
      <c r="CVS11" s="1402"/>
      <c r="CVT11" s="1402"/>
      <c r="CVU11" s="1402"/>
      <c r="CVV11" s="1402"/>
      <c r="CVW11" s="1402"/>
      <c r="CVX11" s="1402"/>
      <c r="CVY11" s="1402"/>
      <c r="CVZ11" s="1402"/>
      <c r="CWA11" s="1402"/>
      <c r="CWB11" s="1402"/>
      <c r="CWC11" s="1402"/>
      <c r="CWD11" s="1402"/>
      <c r="CWE11" s="1402"/>
      <c r="CWF11" s="1402"/>
      <c r="CWG11" s="1402"/>
      <c r="CWH11" s="1402"/>
      <c r="CWI11" s="1402"/>
      <c r="CWJ11" s="1402"/>
      <c r="CWK11" s="1402"/>
      <c r="CWL11" s="1402"/>
      <c r="CWM11" s="1402"/>
      <c r="CWN11" s="1402"/>
      <c r="CWO11" s="1402"/>
      <c r="CWP11" s="1402"/>
      <c r="CWQ11" s="1402"/>
      <c r="CWR11" s="1402"/>
      <c r="CWS11" s="1402"/>
      <c r="CWT11" s="1402"/>
      <c r="CWU11" s="1402"/>
      <c r="CWV11" s="1402"/>
      <c r="CWW11" s="1402"/>
      <c r="CWX11" s="1402"/>
      <c r="CWY11" s="1402"/>
      <c r="CWZ11" s="1402"/>
      <c r="CXA11" s="1402"/>
      <c r="CXB11" s="1402"/>
      <c r="CXC11" s="1402"/>
      <c r="CXD11" s="1402"/>
      <c r="CXE11" s="1402"/>
      <c r="CXF11" s="1402"/>
      <c r="CXG11" s="1402"/>
      <c r="CXH11" s="1402"/>
      <c r="CXI11" s="1402"/>
      <c r="CXJ11" s="1402"/>
      <c r="CXK11" s="1402"/>
      <c r="CXL11" s="1402"/>
      <c r="CXM11" s="1402"/>
      <c r="CXN11" s="1402"/>
      <c r="CXO11" s="1402"/>
      <c r="CXP11" s="1402"/>
      <c r="CXQ11" s="1402"/>
      <c r="CXR11" s="1402"/>
      <c r="CXS11" s="1402"/>
      <c r="CXT11" s="1402"/>
      <c r="CXU11" s="1402"/>
      <c r="CXV11" s="1402"/>
      <c r="CXW11" s="1402"/>
      <c r="CXX11" s="1402"/>
      <c r="CXY11" s="1402"/>
      <c r="CXZ11" s="1402"/>
      <c r="CYA11" s="1402"/>
      <c r="CYB11" s="1402"/>
      <c r="CYC11" s="1402"/>
      <c r="CYD11" s="1402"/>
      <c r="CYE11" s="1402"/>
      <c r="CYF11" s="1402"/>
      <c r="CYG11" s="1402"/>
      <c r="CYH11" s="1402"/>
      <c r="CYI11" s="1402"/>
      <c r="CYJ11" s="1402"/>
      <c r="CYK11" s="1402"/>
      <c r="CYL11" s="1402"/>
      <c r="CYM11" s="1402"/>
      <c r="CYN11" s="1402"/>
      <c r="CYO11" s="1402"/>
      <c r="CYP11" s="1402"/>
      <c r="CYQ11" s="1402"/>
      <c r="CYR11" s="1402"/>
      <c r="CYS11" s="1402"/>
      <c r="CYT11" s="1402"/>
      <c r="CYU11" s="1402"/>
      <c r="CYV11" s="1402"/>
      <c r="CYW11" s="1402"/>
      <c r="CYX11" s="1402"/>
      <c r="CYY11" s="1402"/>
      <c r="CYZ11" s="1402"/>
      <c r="CZA11" s="1402"/>
      <c r="CZB11" s="1402"/>
      <c r="CZC11" s="1402"/>
      <c r="CZD11" s="1402"/>
      <c r="CZE11" s="1402"/>
      <c r="CZF11" s="1402"/>
      <c r="CZG11" s="1402"/>
      <c r="CZH11" s="1402"/>
      <c r="CZI11" s="1402"/>
      <c r="CZJ11" s="1402"/>
      <c r="CZK11" s="1402"/>
      <c r="CZL11" s="1402"/>
      <c r="CZM11" s="1402"/>
      <c r="CZN11" s="1402"/>
      <c r="CZO11" s="1402"/>
      <c r="CZP11" s="1402"/>
      <c r="CZQ11" s="1402"/>
      <c r="CZR11" s="1402"/>
      <c r="CZS11" s="1402"/>
      <c r="CZT11" s="1402"/>
      <c r="CZU11" s="1402"/>
      <c r="CZV11" s="1402"/>
      <c r="CZW11" s="1402"/>
      <c r="CZX11" s="1402"/>
      <c r="CZY11" s="1402"/>
      <c r="CZZ11" s="1402"/>
      <c r="DAA11" s="1402"/>
      <c r="DAB11" s="1402"/>
      <c r="DAC11" s="1402"/>
      <c r="DAD11" s="1402"/>
      <c r="DAE11" s="1402"/>
      <c r="DAF11" s="1402"/>
      <c r="DAG11" s="1402"/>
      <c r="DAH11" s="1402"/>
      <c r="DAI11" s="1402"/>
      <c r="DAJ11" s="1402"/>
      <c r="DAK11" s="1402"/>
      <c r="DAL11" s="1402"/>
      <c r="DAM11" s="1402"/>
      <c r="DAN11" s="1402"/>
      <c r="DAO11" s="1402"/>
      <c r="DAP11" s="1402"/>
      <c r="DAQ11" s="1402"/>
      <c r="DAR11" s="1402"/>
      <c r="DAS11" s="1402"/>
      <c r="DAT11" s="1402"/>
      <c r="DAU11" s="1402"/>
      <c r="DAV11" s="1402"/>
      <c r="DAW11" s="1402"/>
      <c r="DAX11" s="1402"/>
      <c r="DAY11" s="1402"/>
      <c r="DAZ11" s="1402"/>
      <c r="DBA11" s="1402"/>
      <c r="DBB11" s="1402"/>
      <c r="DBC11" s="1402"/>
      <c r="DBD11" s="1402"/>
      <c r="DBE11" s="1402"/>
      <c r="DBF11" s="1402"/>
      <c r="DBG11" s="1402"/>
      <c r="DBH11" s="1402"/>
      <c r="DBI11" s="1402"/>
      <c r="DBJ11" s="1402"/>
      <c r="DBK11" s="1402"/>
      <c r="DBL11" s="1402"/>
      <c r="DBM11" s="1402"/>
      <c r="DBN11" s="1402"/>
      <c r="DBO11" s="1402"/>
      <c r="DBP11" s="1402"/>
      <c r="DBQ11" s="1402"/>
      <c r="DBR11" s="1402"/>
      <c r="DBS11" s="1402"/>
      <c r="DBT11" s="1402"/>
      <c r="DBU11" s="1402"/>
      <c r="DBV11" s="1402"/>
      <c r="DBW11" s="1402"/>
      <c r="DBX11" s="1402"/>
      <c r="DBY11" s="1402"/>
      <c r="DBZ11" s="1402"/>
      <c r="DCA11" s="1402"/>
      <c r="DCB11" s="1402"/>
      <c r="DCC11" s="1402"/>
      <c r="DCD11" s="1402"/>
      <c r="DCE11" s="1402"/>
      <c r="DCF11" s="1402"/>
      <c r="DCG11" s="1402"/>
      <c r="DCH11" s="1402"/>
      <c r="DCI11" s="1402"/>
      <c r="DCJ11" s="1402"/>
      <c r="DCK11" s="1402"/>
      <c r="DCL11" s="1402"/>
      <c r="DCM11" s="1402"/>
      <c r="DCN11" s="1402"/>
      <c r="DCO11" s="1402"/>
      <c r="DCP11" s="1402"/>
      <c r="DCQ11" s="1402"/>
      <c r="DCR11" s="1402"/>
      <c r="DCS11" s="1402"/>
      <c r="DCT11" s="1402"/>
      <c r="DCU11" s="1402"/>
      <c r="DCV11" s="1402"/>
      <c r="DCW11" s="1402"/>
      <c r="DCX11" s="1402"/>
      <c r="DCY11" s="1402"/>
      <c r="DCZ11" s="1402"/>
      <c r="DDA11" s="1402"/>
      <c r="DDB11" s="1402"/>
      <c r="DDC11" s="1402"/>
      <c r="DDD11" s="1402"/>
      <c r="DDE11" s="1402"/>
      <c r="DDF11" s="1402"/>
      <c r="DDG11" s="1402"/>
      <c r="DDH11" s="1402"/>
      <c r="DDI11" s="1402"/>
      <c r="DDJ11" s="1402"/>
      <c r="DDK11" s="1402"/>
      <c r="DDL11" s="1402"/>
      <c r="DDM11" s="1402"/>
      <c r="DDN11" s="1402"/>
      <c r="DDO11" s="1402"/>
      <c r="DDP11" s="1402"/>
      <c r="DDQ11" s="1402"/>
      <c r="DDR11" s="1402"/>
      <c r="DDS11" s="1402"/>
      <c r="DDT11" s="1402"/>
      <c r="DDU11" s="1402"/>
      <c r="DDV11" s="1402"/>
      <c r="DDW11" s="1402"/>
      <c r="DDX11" s="1402"/>
      <c r="DDY11" s="1402"/>
      <c r="DDZ11" s="1402"/>
      <c r="DEA11" s="1402"/>
      <c r="DEB11" s="1402"/>
      <c r="DEC11" s="1402"/>
      <c r="DED11" s="1402"/>
      <c r="DEE11" s="1402"/>
      <c r="DEF11" s="1402"/>
      <c r="DEG11" s="1402"/>
      <c r="DEH11" s="1402"/>
      <c r="DEI11" s="1402"/>
      <c r="DEJ11" s="1402"/>
      <c r="DEK11" s="1402"/>
      <c r="DEL11" s="1402"/>
      <c r="DEM11" s="1402"/>
      <c r="DEN11" s="1402"/>
      <c r="DEO11" s="1402"/>
      <c r="DEP11" s="1402"/>
      <c r="DEQ11" s="1402"/>
      <c r="DER11" s="1402"/>
      <c r="DES11" s="1402"/>
      <c r="DET11" s="1402"/>
      <c r="DEU11" s="1402"/>
      <c r="DEV11" s="1402"/>
      <c r="DEW11" s="1402"/>
      <c r="DEX11" s="1402"/>
      <c r="DEY11" s="1402"/>
      <c r="DEZ11" s="1402"/>
      <c r="DFA11" s="1402"/>
      <c r="DFB11" s="1402"/>
      <c r="DFC11" s="1402"/>
      <c r="DFD11" s="1402"/>
      <c r="DFE11" s="1402"/>
      <c r="DFF11" s="1402"/>
      <c r="DFG11" s="1402"/>
      <c r="DFH11" s="1402"/>
      <c r="DFI11" s="1402"/>
      <c r="DFJ11" s="1402"/>
      <c r="DFK11" s="1402"/>
      <c r="DFL11" s="1402"/>
      <c r="DFM11" s="1402"/>
      <c r="DFN11" s="1402"/>
      <c r="DFO11" s="1402"/>
      <c r="DFP11" s="1402"/>
      <c r="DFQ11" s="1402"/>
      <c r="DFR11" s="1402"/>
      <c r="DFS11" s="1402"/>
      <c r="DFT11" s="1402"/>
      <c r="DFU11" s="1402"/>
      <c r="DFV11" s="1402"/>
      <c r="DFW11" s="1402"/>
      <c r="DFX11" s="1402"/>
      <c r="DFY11" s="1402"/>
      <c r="DFZ11" s="1402"/>
      <c r="DGA11" s="1402"/>
      <c r="DGB11" s="1402"/>
      <c r="DGC11" s="1402"/>
      <c r="DGD11" s="1402"/>
      <c r="DGE11" s="1402"/>
      <c r="DGF11" s="1402"/>
      <c r="DGG11" s="1402"/>
      <c r="DGH11" s="1402"/>
      <c r="DGI11" s="1402"/>
      <c r="DGJ11" s="1402"/>
      <c r="DGK11" s="1402"/>
      <c r="DGL11" s="1402"/>
      <c r="DGM11" s="1402"/>
      <c r="DGN11" s="1402"/>
      <c r="DGO11" s="1402"/>
      <c r="DGP11" s="1402"/>
      <c r="DGQ11" s="1402"/>
      <c r="DGR11" s="1402"/>
      <c r="DGS11" s="1402"/>
      <c r="DGT11" s="1402"/>
      <c r="DGU11" s="1402"/>
      <c r="DGV11" s="1402"/>
      <c r="DGW11" s="1402"/>
      <c r="DGX11" s="1402"/>
      <c r="DGY11" s="1402"/>
      <c r="DGZ11" s="1402"/>
      <c r="DHA11" s="1402"/>
      <c r="DHB11" s="1402"/>
      <c r="DHC11" s="1402"/>
      <c r="DHD11" s="1402"/>
      <c r="DHE11" s="1402"/>
      <c r="DHF11" s="1402"/>
      <c r="DHG11" s="1402"/>
      <c r="DHH11" s="1402"/>
      <c r="DHI11" s="1402"/>
      <c r="DHJ11" s="1402"/>
      <c r="DHK11" s="1402"/>
      <c r="DHL11" s="1402"/>
      <c r="DHM11" s="1402"/>
      <c r="DHN11" s="1402"/>
      <c r="DHO11" s="1402"/>
      <c r="DHP11" s="1402"/>
      <c r="DHQ11" s="1402"/>
      <c r="DHR11" s="1402"/>
      <c r="DHS11" s="1402"/>
      <c r="DHT11" s="1402"/>
      <c r="DHU11" s="1402"/>
      <c r="DHV11" s="1402"/>
      <c r="DHW11" s="1402"/>
      <c r="DHX11" s="1402"/>
      <c r="DHY11" s="1402"/>
      <c r="DHZ11" s="1402"/>
      <c r="DIA11" s="1402"/>
      <c r="DIB11" s="1402"/>
      <c r="DIC11" s="1402"/>
      <c r="DID11" s="1402"/>
      <c r="DIE11" s="1402"/>
      <c r="DIF11" s="1402"/>
      <c r="DIG11" s="1402"/>
      <c r="DIH11" s="1402"/>
      <c r="DII11" s="1402"/>
      <c r="DIJ11" s="1402"/>
      <c r="DIK11" s="1402"/>
      <c r="DIL11" s="1402"/>
      <c r="DIM11" s="1402"/>
      <c r="DIN11" s="1402"/>
      <c r="DIO11" s="1402"/>
      <c r="DIP11" s="1402"/>
      <c r="DIQ11" s="1402"/>
      <c r="DIR11" s="1402"/>
      <c r="DIS11" s="1402"/>
      <c r="DIT11" s="1402"/>
      <c r="DIU11" s="1402"/>
      <c r="DIV11" s="1402"/>
      <c r="DIW11" s="1402"/>
      <c r="DIX11" s="1402"/>
      <c r="DIY11" s="1402"/>
      <c r="DIZ11" s="1402"/>
      <c r="DJA11" s="1402"/>
      <c r="DJB11" s="1402"/>
      <c r="DJC11" s="1402"/>
      <c r="DJD11" s="1402"/>
      <c r="DJE11" s="1402"/>
      <c r="DJF11" s="1402"/>
      <c r="DJG11" s="1402"/>
      <c r="DJH11" s="1402"/>
      <c r="DJI11" s="1402"/>
      <c r="DJJ11" s="1402"/>
      <c r="DJK11" s="1402"/>
      <c r="DJL11" s="1402"/>
      <c r="DJM11" s="1402"/>
      <c r="DJN11" s="1402"/>
      <c r="DJO11" s="1402"/>
      <c r="DJP11" s="1402"/>
      <c r="DJQ11" s="1402"/>
      <c r="DJR11" s="1402"/>
      <c r="DJS11" s="1402"/>
      <c r="DJT11" s="1402"/>
      <c r="DJU11" s="1402"/>
      <c r="DJV11" s="1402"/>
      <c r="DJW11" s="1402"/>
      <c r="DJX11" s="1402"/>
      <c r="DJY11" s="1402"/>
      <c r="DJZ11" s="1402"/>
      <c r="DKA11" s="1402"/>
      <c r="DKB11" s="1402"/>
      <c r="DKC11" s="1402"/>
      <c r="DKD11" s="1402"/>
      <c r="DKE11" s="1402"/>
      <c r="DKF11" s="1402"/>
      <c r="DKG11" s="1402"/>
      <c r="DKH11" s="1402"/>
      <c r="DKI11" s="1402"/>
      <c r="DKJ11" s="1402"/>
      <c r="DKK11" s="1402"/>
      <c r="DKL11" s="1402"/>
      <c r="DKM11" s="1402"/>
      <c r="DKN11" s="1402"/>
      <c r="DKO11" s="1402"/>
      <c r="DKP11" s="1402"/>
      <c r="DKQ11" s="1402"/>
      <c r="DKR11" s="1402"/>
      <c r="DKS11" s="1402"/>
      <c r="DKT11" s="1402"/>
      <c r="DKU11" s="1402"/>
      <c r="DKV11" s="1402"/>
      <c r="DKW11" s="1402"/>
      <c r="DKX11" s="1402"/>
      <c r="DKY11" s="1402"/>
      <c r="DKZ11" s="1402"/>
      <c r="DLA11" s="1402"/>
      <c r="DLB11" s="1402"/>
      <c r="DLC11" s="1402"/>
      <c r="DLD11" s="1402"/>
      <c r="DLE11" s="1402"/>
      <c r="DLF11" s="1402"/>
      <c r="DLG11" s="1402"/>
      <c r="DLH11" s="1402"/>
      <c r="DLI11" s="1402"/>
      <c r="DLJ11" s="1402"/>
      <c r="DLK11" s="1402"/>
      <c r="DLL11" s="1402"/>
      <c r="DLM11" s="1402"/>
      <c r="DLN11" s="1402"/>
      <c r="DLO11" s="1402"/>
      <c r="DLP11" s="1402"/>
      <c r="DLQ11" s="1402"/>
      <c r="DLR11" s="1402"/>
      <c r="DLS11" s="1402"/>
      <c r="DLT11" s="1402"/>
      <c r="DLU11" s="1402"/>
      <c r="DLV11" s="1402"/>
      <c r="DLW11" s="1402"/>
      <c r="DLX11" s="1402"/>
      <c r="DLY11" s="1402"/>
      <c r="DLZ11" s="1402"/>
      <c r="DMA11" s="1402"/>
      <c r="DMB11" s="1402"/>
      <c r="DMC11" s="1402"/>
      <c r="DMD11" s="1402"/>
      <c r="DME11" s="1402"/>
      <c r="DMF11" s="1402"/>
      <c r="DMG11" s="1402"/>
      <c r="DMH11" s="1402"/>
      <c r="DMI11" s="1402"/>
      <c r="DMJ11" s="1402"/>
      <c r="DMK11" s="1402"/>
      <c r="DML11" s="1402"/>
      <c r="DMM11" s="1402"/>
      <c r="DMN11" s="1402"/>
      <c r="DMO11" s="1402"/>
      <c r="DMP11" s="1402"/>
      <c r="DMQ11" s="1402"/>
      <c r="DMR11" s="1402"/>
      <c r="DMS11" s="1402"/>
      <c r="DMT11" s="1402"/>
      <c r="DMU11" s="1402"/>
      <c r="DMV11" s="1402"/>
      <c r="DMW11" s="1402"/>
      <c r="DMX11" s="1402"/>
      <c r="DMY11" s="1402"/>
      <c r="DMZ11" s="1402"/>
      <c r="DNA11" s="1402"/>
      <c r="DNB11" s="1402"/>
      <c r="DNC11" s="1402"/>
      <c r="DND11" s="1402"/>
      <c r="DNE11" s="1402"/>
      <c r="DNF11" s="1402"/>
      <c r="DNG11" s="1402"/>
      <c r="DNH11" s="1402"/>
      <c r="DNI11" s="1402"/>
      <c r="DNJ11" s="1402"/>
      <c r="DNK11" s="1402"/>
      <c r="DNL11" s="1402"/>
      <c r="DNM11" s="1402"/>
      <c r="DNN11" s="1402"/>
      <c r="DNO11" s="1402"/>
      <c r="DNP11" s="1402"/>
      <c r="DNQ11" s="1402"/>
      <c r="DNR11" s="1402"/>
      <c r="DNS11" s="1402"/>
      <c r="DNT11" s="1402"/>
      <c r="DNU11" s="1402"/>
      <c r="DNV11" s="1402"/>
      <c r="DNW11" s="1402"/>
      <c r="DNX11" s="1402"/>
      <c r="DNY11" s="1402"/>
      <c r="DNZ11" s="1402"/>
      <c r="DOA11" s="1402"/>
      <c r="DOB11" s="1402"/>
      <c r="DOC11" s="1402"/>
      <c r="DOD11" s="1402"/>
      <c r="DOE11" s="1402"/>
      <c r="DOF11" s="1402"/>
      <c r="DOG11" s="1402"/>
      <c r="DOH11" s="1402"/>
      <c r="DOI11" s="1402"/>
      <c r="DOJ11" s="1402"/>
      <c r="DOK11" s="1402"/>
      <c r="DOL11" s="1402"/>
      <c r="DOM11" s="1402"/>
      <c r="DON11" s="1402"/>
      <c r="DOO11" s="1402"/>
      <c r="DOP11" s="1402"/>
      <c r="DOQ11" s="1402"/>
      <c r="DOR11" s="1402"/>
      <c r="DOS11" s="1402"/>
      <c r="DOT11" s="1402"/>
      <c r="DOU11" s="1402"/>
      <c r="DOV11" s="1402"/>
      <c r="DOW11" s="1402"/>
      <c r="DOX11" s="1402"/>
      <c r="DOY11" s="1402"/>
      <c r="DOZ11" s="1402"/>
      <c r="DPA11" s="1402"/>
      <c r="DPB11" s="1402"/>
      <c r="DPC11" s="1402"/>
      <c r="DPD11" s="1402"/>
      <c r="DPE11" s="1402"/>
      <c r="DPF11" s="1402"/>
      <c r="DPG11" s="1402"/>
      <c r="DPH11" s="1402"/>
      <c r="DPI11" s="1402"/>
      <c r="DPJ11" s="1402"/>
      <c r="DPK11" s="1402"/>
      <c r="DPL11" s="1402"/>
      <c r="DPM11" s="1402"/>
      <c r="DPN11" s="1402"/>
      <c r="DPO11" s="1402"/>
      <c r="DPP11" s="1402"/>
      <c r="DPQ11" s="1402"/>
      <c r="DPR11" s="1402"/>
      <c r="DPS11" s="1402"/>
      <c r="DPT11" s="1402"/>
      <c r="DPU11" s="1402"/>
      <c r="DPV11" s="1402"/>
      <c r="DPW11" s="1402"/>
      <c r="DPX11" s="1402"/>
      <c r="DPY11" s="1402"/>
      <c r="DPZ11" s="1402"/>
      <c r="DQA11" s="1402"/>
      <c r="DQB11" s="1402"/>
      <c r="DQC11" s="1402"/>
      <c r="DQD11" s="1402"/>
      <c r="DQE11" s="1402"/>
      <c r="DQF11" s="1402"/>
      <c r="DQG11" s="1402"/>
      <c r="DQH11" s="1402"/>
      <c r="DQI11" s="1402"/>
      <c r="DQJ11" s="1402"/>
      <c r="DQK11" s="1402"/>
      <c r="DQL11" s="1402"/>
      <c r="DQM11" s="1402"/>
      <c r="DQN11" s="1402"/>
      <c r="DQO11" s="1402"/>
      <c r="DQP11" s="1402"/>
      <c r="DQQ11" s="1402"/>
      <c r="DQR11" s="1402"/>
      <c r="DQS11" s="1402"/>
      <c r="DQT11" s="1402"/>
      <c r="DQU11" s="1402"/>
      <c r="DQV11" s="1402"/>
      <c r="DQW11" s="1402"/>
      <c r="DQX11" s="1402"/>
      <c r="DQY11" s="1402"/>
      <c r="DQZ11" s="1402"/>
      <c r="DRA11" s="1402"/>
      <c r="DRB11" s="1402"/>
      <c r="DRC11" s="1402"/>
      <c r="DRD11" s="1402"/>
      <c r="DRE11" s="1402"/>
      <c r="DRF11" s="1402"/>
      <c r="DRG11" s="1402"/>
      <c r="DRH11" s="1402"/>
      <c r="DRI11" s="1402"/>
      <c r="DRJ11" s="1402"/>
      <c r="DRK11" s="1402"/>
      <c r="DRL11" s="1402"/>
      <c r="DRM11" s="1402"/>
      <c r="DRN11" s="1402"/>
      <c r="DRO11" s="1402"/>
      <c r="DRP11" s="1402"/>
      <c r="DRQ11" s="1402"/>
      <c r="DRR11" s="1402"/>
      <c r="DRS11" s="1402"/>
      <c r="DRT11" s="1402"/>
      <c r="DRU11" s="1402"/>
      <c r="DRV11" s="1402"/>
      <c r="DRW11" s="1402"/>
      <c r="DRX11" s="1402"/>
      <c r="DRY11" s="1402"/>
      <c r="DRZ11" s="1402"/>
      <c r="DSA11" s="1402"/>
      <c r="DSB11" s="1402"/>
      <c r="DSC11" s="1402"/>
      <c r="DSD11" s="1402"/>
      <c r="DSE11" s="1402"/>
      <c r="DSF11" s="1402"/>
      <c r="DSG11" s="1402"/>
      <c r="DSH11" s="1402"/>
      <c r="DSI11" s="1402"/>
      <c r="DSJ11" s="1402"/>
      <c r="DSK11" s="1402"/>
      <c r="DSL11" s="1402"/>
      <c r="DSM11" s="1402"/>
      <c r="DSN11" s="1402"/>
      <c r="DSO11" s="1402"/>
      <c r="DSP11" s="1402"/>
      <c r="DSQ11" s="1402"/>
      <c r="DSR11" s="1402"/>
      <c r="DSS11" s="1402"/>
      <c r="DST11" s="1402"/>
      <c r="DSU11" s="1402"/>
      <c r="DSV11" s="1402"/>
      <c r="DSW11" s="1402"/>
      <c r="DSX11" s="1402"/>
      <c r="DSY11" s="1402"/>
      <c r="DSZ11" s="1402"/>
      <c r="DTA11" s="1402"/>
      <c r="DTB11" s="1402"/>
      <c r="DTC11" s="1402"/>
      <c r="DTD11" s="1402"/>
      <c r="DTE11" s="1402"/>
      <c r="DTF11" s="1402"/>
      <c r="DTG11" s="1402"/>
      <c r="DTH11" s="1402"/>
      <c r="DTI11" s="1402"/>
      <c r="DTJ11" s="1402"/>
      <c r="DTK11" s="1402"/>
      <c r="DTL11" s="1402"/>
      <c r="DTM11" s="1402"/>
      <c r="DTN11" s="1402"/>
      <c r="DTO11" s="1402"/>
      <c r="DTP11" s="1402"/>
      <c r="DTQ11" s="1402"/>
      <c r="DTR11" s="1402"/>
      <c r="DTS11" s="1402"/>
      <c r="DTT11" s="1402"/>
      <c r="DTU11" s="1402"/>
      <c r="DTV11" s="1402"/>
      <c r="DTW11" s="1402"/>
      <c r="DTX11" s="1402"/>
      <c r="DTY11" s="1402"/>
      <c r="DTZ11" s="1402"/>
      <c r="DUA11" s="1402"/>
      <c r="DUB11" s="1402"/>
      <c r="DUC11" s="1402"/>
      <c r="DUD11" s="1402"/>
      <c r="DUE11" s="1402"/>
      <c r="DUF11" s="1402"/>
      <c r="DUG11" s="1402"/>
      <c r="DUH11" s="1402"/>
      <c r="DUI11" s="1402"/>
      <c r="DUJ11" s="1402"/>
      <c r="DUK11" s="1402"/>
      <c r="DUL11" s="1402"/>
      <c r="DUM11" s="1402"/>
      <c r="DUN11" s="1402"/>
      <c r="DUO11" s="1402"/>
      <c r="DUP11" s="1402"/>
      <c r="DUQ11" s="1402"/>
      <c r="DUR11" s="1402"/>
      <c r="DUS11" s="1402"/>
      <c r="DUT11" s="1402"/>
      <c r="DUU11" s="1402"/>
      <c r="DUV11" s="1402"/>
      <c r="DUW11" s="1402"/>
      <c r="DUX11" s="1402"/>
      <c r="DUY11" s="1402"/>
      <c r="DUZ11" s="1402"/>
      <c r="DVA11" s="1402"/>
      <c r="DVB11" s="1402"/>
      <c r="DVC11" s="1402"/>
      <c r="DVD11" s="1402"/>
      <c r="DVE11" s="1402"/>
      <c r="DVF11" s="1402"/>
      <c r="DVG11" s="1402"/>
      <c r="DVH11" s="1402"/>
      <c r="DVI11" s="1402"/>
      <c r="DVJ11" s="1402"/>
      <c r="DVK11" s="1402"/>
      <c r="DVL11" s="1402"/>
      <c r="DVM11" s="1402"/>
      <c r="DVN11" s="1402"/>
      <c r="DVO11" s="1402"/>
      <c r="DVP11" s="1402"/>
      <c r="DVQ11" s="1402"/>
      <c r="DVR11" s="1402"/>
      <c r="DVS11" s="1402"/>
      <c r="DVT11" s="1402"/>
      <c r="DVU11" s="1402"/>
      <c r="DVV11" s="1402"/>
      <c r="DVW11" s="1402"/>
      <c r="DVX11" s="1402"/>
      <c r="DVY11" s="1402"/>
      <c r="DVZ11" s="1402"/>
      <c r="DWA11" s="1402"/>
      <c r="DWB11" s="1402"/>
      <c r="DWC11" s="1402"/>
      <c r="DWD11" s="1402"/>
      <c r="DWE11" s="1402"/>
      <c r="DWF11" s="1402"/>
      <c r="DWG11" s="1402"/>
      <c r="DWH11" s="1402"/>
      <c r="DWI11" s="1402"/>
      <c r="DWJ11" s="1402"/>
      <c r="DWK11" s="1402"/>
      <c r="DWL11" s="1402"/>
      <c r="DWM11" s="1402"/>
      <c r="DWN11" s="1402"/>
      <c r="DWO11" s="1402"/>
      <c r="DWP11" s="1402"/>
      <c r="DWQ11" s="1402"/>
      <c r="DWR11" s="1402"/>
      <c r="DWS11" s="1402"/>
      <c r="DWT11" s="1402"/>
      <c r="DWU11" s="1402"/>
      <c r="DWV11" s="1402"/>
      <c r="DWW11" s="1402"/>
      <c r="DWX11" s="1402"/>
      <c r="DWY11" s="1402"/>
      <c r="DWZ11" s="1402"/>
      <c r="DXA11" s="1402"/>
      <c r="DXB11" s="1402"/>
      <c r="DXC11" s="1402"/>
      <c r="DXD11" s="1402"/>
      <c r="DXE11" s="1402"/>
      <c r="DXF11" s="1402"/>
      <c r="DXG11" s="1402"/>
      <c r="DXH11" s="1402"/>
      <c r="DXI11" s="1402"/>
      <c r="DXJ11" s="1402"/>
      <c r="DXK11" s="1402"/>
      <c r="DXL11" s="1402"/>
      <c r="DXM11" s="1402"/>
      <c r="DXN11" s="1402"/>
      <c r="DXO11" s="1402"/>
      <c r="DXP11" s="1402"/>
      <c r="DXQ11" s="1402"/>
      <c r="DXR11" s="1402"/>
      <c r="DXS11" s="1402"/>
      <c r="DXT11" s="1402"/>
      <c r="DXU11" s="1402"/>
      <c r="DXV11" s="1402"/>
      <c r="DXW11" s="1402"/>
      <c r="DXX11" s="1402"/>
      <c r="DXY11" s="1402"/>
      <c r="DXZ11" s="1402"/>
      <c r="DYA11" s="1402"/>
      <c r="DYB11" s="1402"/>
      <c r="DYC11" s="1402"/>
      <c r="DYD11" s="1402"/>
      <c r="DYE11" s="1402"/>
      <c r="DYF11" s="1402"/>
      <c r="DYG11" s="1402"/>
      <c r="DYH11" s="1402"/>
      <c r="DYI11" s="1402"/>
      <c r="DYJ11" s="1402"/>
      <c r="DYK11" s="1402"/>
      <c r="DYL11" s="1402"/>
      <c r="DYM11" s="1402"/>
      <c r="DYN11" s="1402"/>
      <c r="DYO11" s="1402"/>
      <c r="DYP11" s="1402"/>
      <c r="DYQ11" s="1402"/>
      <c r="DYR11" s="1402"/>
      <c r="DYS11" s="1402"/>
      <c r="DYT11" s="1402"/>
      <c r="DYU11" s="1402"/>
      <c r="DYV11" s="1402"/>
      <c r="DYW11" s="1402"/>
      <c r="DYX11" s="1402"/>
      <c r="DYY11" s="1402"/>
      <c r="DYZ11" s="1402"/>
      <c r="DZA11" s="1402"/>
      <c r="DZB11" s="1402"/>
      <c r="DZC11" s="1402"/>
      <c r="DZD11" s="1402"/>
      <c r="DZE11" s="1402"/>
      <c r="DZF11" s="1402"/>
      <c r="DZG11" s="1402"/>
      <c r="DZH11" s="1402"/>
      <c r="DZI11" s="1402"/>
      <c r="DZJ11" s="1402"/>
      <c r="DZK11" s="1402"/>
      <c r="DZL11" s="1402"/>
      <c r="DZM11" s="1402"/>
      <c r="DZN11" s="1402"/>
      <c r="DZO11" s="1402"/>
      <c r="DZP11" s="1402"/>
      <c r="DZQ11" s="1402"/>
      <c r="DZR11" s="1402"/>
      <c r="DZS11" s="1402"/>
      <c r="DZT11" s="1402"/>
      <c r="DZU11" s="1402"/>
      <c r="DZV11" s="1402"/>
      <c r="DZW11" s="1402"/>
      <c r="DZX11" s="1402"/>
      <c r="DZY11" s="1402"/>
      <c r="DZZ11" s="1402"/>
      <c r="EAA11" s="1402"/>
      <c r="EAB11" s="1402"/>
      <c r="EAC11" s="1402"/>
      <c r="EAD11" s="1402"/>
      <c r="EAE11" s="1402"/>
      <c r="EAF11" s="1402"/>
      <c r="EAG11" s="1402"/>
      <c r="EAH11" s="1402"/>
      <c r="EAI11" s="1402"/>
      <c r="EAJ11" s="1402"/>
      <c r="EAK11" s="1402"/>
      <c r="EAL11" s="1402"/>
      <c r="EAM11" s="1402"/>
      <c r="EAN11" s="1402"/>
      <c r="EAO11" s="1402"/>
      <c r="EAP11" s="1402"/>
      <c r="EAQ11" s="1402"/>
      <c r="EAR11" s="1402"/>
      <c r="EAS11" s="1402"/>
      <c r="EAT11" s="1402"/>
      <c r="EAU11" s="1402"/>
      <c r="EAV11" s="1402"/>
      <c r="EAW11" s="1402"/>
      <c r="EAX11" s="1402"/>
      <c r="EAY11" s="1402"/>
      <c r="EAZ11" s="1402"/>
      <c r="EBA11" s="1402"/>
      <c r="EBB11" s="1402"/>
      <c r="EBC11" s="1402"/>
      <c r="EBD11" s="1402"/>
      <c r="EBE11" s="1402"/>
      <c r="EBF11" s="1402"/>
      <c r="EBG11" s="1402"/>
      <c r="EBH11" s="1402"/>
      <c r="EBI11" s="1402"/>
      <c r="EBJ11" s="1402"/>
      <c r="EBK11" s="1402"/>
      <c r="EBL11" s="1402"/>
      <c r="EBM11" s="1402"/>
      <c r="EBN11" s="1402"/>
      <c r="EBO11" s="1402"/>
      <c r="EBP11" s="1402"/>
      <c r="EBQ11" s="1402"/>
      <c r="EBR11" s="1402"/>
      <c r="EBS11" s="1402"/>
      <c r="EBT11" s="1402"/>
      <c r="EBU11" s="1402"/>
      <c r="EBV11" s="1402"/>
      <c r="EBW11" s="1402"/>
      <c r="EBX11" s="1402"/>
      <c r="EBY11" s="1402"/>
      <c r="EBZ11" s="1402"/>
      <c r="ECA11" s="1402"/>
      <c r="ECB11" s="1402"/>
      <c r="ECC11" s="1402"/>
      <c r="ECD11" s="1402"/>
      <c r="ECE11" s="1402"/>
      <c r="ECF11" s="1402"/>
      <c r="ECG11" s="1402"/>
      <c r="ECH11" s="1402"/>
      <c r="ECI11" s="1402"/>
      <c r="ECJ11" s="1402"/>
      <c r="ECK11" s="1402"/>
      <c r="ECL11" s="1402"/>
      <c r="ECM11" s="1402"/>
      <c r="ECN11" s="1402"/>
      <c r="ECO11" s="1402"/>
      <c r="ECP11" s="1402"/>
      <c r="ECQ11" s="1402"/>
      <c r="ECR11" s="1402"/>
      <c r="ECS11" s="1402"/>
      <c r="ECT11" s="1402"/>
      <c r="ECU11" s="1402"/>
      <c r="ECV11" s="1402"/>
      <c r="ECW11" s="1402"/>
      <c r="ECX11" s="1402"/>
      <c r="ECY11" s="1402"/>
      <c r="ECZ11" s="1402"/>
      <c r="EDA11" s="1402"/>
      <c r="EDB11" s="1402"/>
      <c r="EDC11" s="1402"/>
      <c r="EDD11" s="1402"/>
      <c r="EDE11" s="1402"/>
      <c r="EDF11" s="1402"/>
      <c r="EDG11" s="1402"/>
      <c r="EDH11" s="1402"/>
      <c r="EDI11" s="1402"/>
      <c r="EDJ11" s="1402"/>
      <c r="EDK11" s="1402"/>
      <c r="EDL11" s="1402"/>
      <c r="EDM11" s="1402"/>
      <c r="EDN11" s="1402"/>
      <c r="EDO11" s="1402"/>
      <c r="EDP11" s="1402"/>
      <c r="EDQ11" s="1402"/>
      <c r="EDR11" s="1402"/>
      <c r="EDS11" s="1402"/>
      <c r="EDT11" s="1402"/>
      <c r="EDU11" s="1402"/>
      <c r="EDV11" s="1402"/>
      <c r="EDW11" s="1402"/>
      <c r="EDX11" s="1402"/>
      <c r="EDY11" s="1402"/>
      <c r="EDZ11" s="1402"/>
      <c r="EEA11" s="1402"/>
      <c r="EEB11" s="1402"/>
      <c r="EEC11" s="1402"/>
      <c r="EED11" s="1402"/>
      <c r="EEE11" s="1402"/>
      <c r="EEF11" s="1402"/>
      <c r="EEG11" s="1402"/>
      <c r="EEH11" s="1402"/>
      <c r="EEI11" s="1402"/>
      <c r="EEJ11" s="1402"/>
      <c r="EEK11" s="1402"/>
      <c r="EEL11" s="1402"/>
      <c r="EEM11" s="1402"/>
      <c r="EEN11" s="1402"/>
      <c r="EEO11" s="1402"/>
      <c r="EEP11" s="1402"/>
      <c r="EEQ11" s="1402"/>
      <c r="EER11" s="1402"/>
      <c r="EES11" s="1402"/>
      <c r="EET11" s="1402"/>
      <c r="EEU11" s="1402"/>
      <c r="EEV11" s="1402"/>
      <c r="EEW11" s="1402"/>
      <c r="EEX11" s="1402"/>
      <c r="EEY11" s="1402"/>
      <c r="EEZ11" s="1402"/>
      <c r="EFA11" s="1402"/>
      <c r="EFB11" s="1402"/>
      <c r="EFC11" s="1402"/>
      <c r="EFD11" s="1402"/>
      <c r="EFE11" s="1402"/>
      <c r="EFF11" s="1402"/>
      <c r="EFG11" s="1402"/>
      <c r="EFH11" s="1402"/>
      <c r="EFI11" s="1402"/>
      <c r="EFJ11" s="1402"/>
      <c r="EFK11" s="1402"/>
      <c r="EFL11" s="1402"/>
      <c r="EFM11" s="1402"/>
      <c r="EFN11" s="1402"/>
      <c r="EFO11" s="1402"/>
      <c r="EFP11" s="1402"/>
      <c r="EFQ11" s="1402"/>
      <c r="EFR11" s="1402"/>
      <c r="EFS11" s="1402"/>
      <c r="EFT11" s="1402"/>
      <c r="EFU11" s="1402"/>
      <c r="EFV11" s="1402"/>
      <c r="EFW11" s="1402"/>
      <c r="EFX11" s="1402"/>
      <c r="EFY11" s="1402"/>
      <c r="EFZ11" s="1402"/>
      <c r="EGA11" s="1402"/>
      <c r="EGB11" s="1402"/>
      <c r="EGC11" s="1402"/>
      <c r="EGD11" s="1402"/>
      <c r="EGE11" s="1402"/>
      <c r="EGF11" s="1402"/>
      <c r="EGG11" s="1402"/>
      <c r="EGH11" s="1402"/>
      <c r="EGI11" s="1402"/>
      <c r="EGJ11" s="1402"/>
      <c r="EGK11" s="1402"/>
      <c r="EGL11" s="1402"/>
      <c r="EGM11" s="1402"/>
      <c r="EGN11" s="1402"/>
      <c r="EGO11" s="1402"/>
      <c r="EGP11" s="1402"/>
      <c r="EGQ11" s="1402"/>
      <c r="EGR11" s="1402"/>
      <c r="EGS11" s="1402"/>
      <c r="EGT11" s="1402"/>
      <c r="EGU11" s="1402"/>
      <c r="EGV11" s="1402"/>
      <c r="EGW11" s="1402"/>
      <c r="EGX11" s="1402"/>
      <c r="EGY11" s="1402"/>
      <c r="EGZ11" s="1402"/>
      <c r="EHA11" s="1402"/>
      <c r="EHB11" s="1402"/>
      <c r="EHC11" s="1402"/>
      <c r="EHD11" s="1402"/>
      <c r="EHE11" s="1402"/>
      <c r="EHF11" s="1402"/>
      <c r="EHG11" s="1402"/>
      <c r="EHH11" s="1402"/>
      <c r="EHI11" s="1402"/>
      <c r="EHJ11" s="1402"/>
      <c r="EHK11" s="1402"/>
      <c r="EHL11" s="1402"/>
      <c r="EHM11" s="1402"/>
      <c r="EHN11" s="1402"/>
      <c r="EHO11" s="1402"/>
      <c r="EHP11" s="1402"/>
      <c r="EHQ11" s="1402"/>
      <c r="EHR11" s="1402"/>
      <c r="EHS11" s="1402"/>
      <c r="EHT11" s="1402"/>
      <c r="EHU11" s="1402"/>
      <c r="EHV11" s="1402"/>
      <c r="EHW11" s="1402"/>
      <c r="EHX11" s="1402"/>
      <c r="EHY11" s="1402"/>
      <c r="EHZ11" s="1402"/>
      <c r="EIA11" s="1402"/>
      <c r="EIB11" s="1402"/>
      <c r="EIC11" s="1402"/>
      <c r="EID11" s="1402"/>
      <c r="EIE11" s="1402"/>
      <c r="EIF11" s="1402"/>
      <c r="EIG11" s="1402"/>
      <c r="EIH11" s="1402"/>
      <c r="EII11" s="1402"/>
      <c r="EIJ11" s="1402"/>
      <c r="EIK11" s="1402"/>
      <c r="EIL11" s="1402"/>
      <c r="EIM11" s="1402"/>
      <c r="EIN11" s="1402"/>
      <c r="EIO11" s="1402"/>
      <c r="EIP11" s="1402"/>
      <c r="EIQ11" s="1402"/>
      <c r="EIR11" s="1402"/>
      <c r="EIS11" s="1402"/>
      <c r="EIT11" s="1402"/>
      <c r="EIU11" s="1402"/>
      <c r="EIV11" s="1402"/>
      <c r="EIW11" s="1402"/>
      <c r="EIX11" s="1402"/>
      <c r="EIY11" s="1402"/>
      <c r="EIZ11" s="1402"/>
      <c r="EJA11" s="1402"/>
      <c r="EJB11" s="1402"/>
      <c r="EJC11" s="1402"/>
      <c r="EJD11" s="1402"/>
      <c r="EJE11" s="1402"/>
      <c r="EJF11" s="1402"/>
      <c r="EJG11" s="1402"/>
      <c r="EJH11" s="1402"/>
      <c r="EJI11" s="1402"/>
      <c r="EJJ11" s="1402"/>
      <c r="EJK11" s="1402"/>
      <c r="EJL11" s="1402"/>
      <c r="EJM11" s="1402"/>
      <c r="EJN11" s="1402"/>
      <c r="EJO11" s="1402"/>
      <c r="EJP11" s="1402"/>
      <c r="EJQ11" s="1402"/>
      <c r="EJR11" s="1402"/>
      <c r="EJS11" s="1402"/>
      <c r="EJT11" s="1402"/>
      <c r="EJU11" s="1402"/>
      <c r="EJV11" s="1402"/>
      <c r="EJW11" s="1402"/>
      <c r="EJX11" s="1402"/>
      <c r="EJY11" s="1402"/>
      <c r="EJZ11" s="1402"/>
      <c r="EKA11" s="1402"/>
      <c r="EKB11" s="1402"/>
      <c r="EKC11" s="1402"/>
      <c r="EKD11" s="1402"/>
      <c r="EKE11" s="1402"/>
      <c r="EKF11" s="1402"/>
      <c r="EKG11" s="1402"/>
      <c r="EKH11" s="1402"/>
      <c r="EKI11" s="1402"/>
      <c r="EKJ11" s="1402"/>
      <c r="EKK11" s="1402"/>
      <c r="EKL11" s="1402"/>
      <c r="EKM11" s="1402"/>
      <c r="EKN11" s="1402"/>
      <c r="EKO11" s="1402"/>
      <c r="EKP11" s="1402"/>
      <c r="EKQ11" s="1402"/>
      <c r="EKR11" s="1402"/>
      <c r="EKS11" s="1402"/>
      <c r="EKT11" s="1402"/>
      <c r="EKU11" s="1402"/>
      <c r="EKV11" s="1402"/>
      <c r="EKW11" s="1402"/>
      <c r="EKX11" s="1402"/>
      <c r="EKY11" s="1402"/>
      <c r="EKZ11" s="1402"/>
      <c r="ELA11" s="1402"/>
      <c r="ELB11" s="1402"/>
      <c r="ELC11" s="1402"/>
      <c r="ELD11" s="1402"/>
      <c r="ELE11" s="1402"/>
      <c r="ELF11" s="1402"/>
      <c r="ELG11" s="1402"/>
      <c r="ELH11" s="1402"/>
      <c r="ELI11" s="1402"/>
      <c r="ELJ11" s="1402"/>
      <c r="ELK11" s="1402"/>
      <c r="ELL11" s="1402"/>
      <c r="ELM11" s="1402"/>
      <c r="ELN11" s="1402"/>
      <c r="ELO11" s="1402"/>
      <c r="ELP11" s="1402"/>
      <c r="ELQ11" s="1402"/>
      <c r="ELR11" s="1402"/>
      <c r="ELS11" s="1402"/>
      <c r="ELT11" s="1402"/>
      <c r="ELU11" s="1402"/>
      <c r="ELV11" s="1402"/>
      <c r="ELW11" s="1402"/>
      <c r="ELX11" s="1402"/>
      <c r="ELY11" s="1402"/>
      <c r="ELZ11" s="1402"/>
      <c r="EMA11" s="1402"/>
      <c r="EMB11" s="1402"/>
      <c r="EMC11" s="1402"/>
      <c r="EMD11" s="1402"/>
      <c r="EME11" s="1402"/>
      <c r="EMF11" s="1402"/>
      <c r="EMG11" s="1402"/>
      <c r="EMH11" s="1402"/>
      <c r="EMI11" s="1402"/>
      <c r="EMJ11" s="1402"/>
      <c r="EMK11" s="1402"/>
      <c r="EML11" s="1402"/>
      <c r="EMM11" s="1402"/>
      <c r="EMN11" s="1402"/>
      <c r="EMO11" s="1402"/>
      <c r="EMP11" s="1402"/>
      <c r="EMQ11" s="1402"/>
      <c r="EMR11" s="1402"/>
      <c r="EMS11" s="1402"/>
      <c r="EMT11" s="1402"/>
      <c r="EMU11" s="1402"/>
      <c r="EMV11" s="1402"/>
      <c r="EMW11" s="1402"/>
      <c r="EMX11" s="1402"/>
      <c r="EMY11" s="1402"/>
      <c r="EMZ11" s="1402"/>
      <c r="ENA11" s="1402"/>
      <c r="ENB11" s="1402"/>
      <c r="ENC11" s="1402"/>
      <c r="END11" s="1402"/>
      <c r="ENE11" s="1402"/>
      <c r="ENF11" s="1402"/>
      <c r="ENG11" s="1402"/>
      <c r="ENH11" s="1402"/>
      <c r="ENI11" s="1402"/>
      <c r="ENJ11" s="1402"/>
      <c r="ENK11" s="1402"/>
      <c r="ENL11" s="1402"/>
      <c r="ENM11" s="1402"/>
      <c r="ENN11" s="1402"/>
      <c r="ENO11" s="1402"/>
      <c r="ENP11" s="1402"/>
      <c r="ENQ11" s="1402"/>
      <c r="ENR11" s="1402"/>
      <c r="ENS11" s="1402"/>
      <c r="ENT11" s="1402"/>
      <c r="ENU11" s="1402"/>
      <c r="ENV11" s="1402"/>
      <c r="ENW11" s="1402"/>
      <c r="ENX11" s="1402"/>
      <c r="ENY11" s="1402"/>
      <c r="ENZ11" s="1402"/>
      <c r="EOA11" s="1402"/>
      <c r="EOB11" s="1402"/>
      <c r="EOC11" s="1402"/>
      <c r="EOD11" s="1402"/>
      <c r="EOE11" s="1402"/>
      <c r="EOF11" s="1402"/>
      <c r="EOG11" s="1402"/>
      <c r="EOH11" s="1402"/>
      <c r="EOI11" s="1402"/>
      <c r="EOJ11" s="1402"/>
      <c r="EOK11" s="1402"/>
      <c r="EOL11" s="1402"/>
      <c r="EOM11" s="1402"/>
      <c r="EON11" s="1402"/>
      <c r="EOO11" s="1402"/>
      <c r="EOP11" s="1402"/>
      <c r="EOQ11" s="1402"/>
      <c r="EOR11" s="1402"/>
      <c r="EOS11" s="1402"/>
      <c r="EOT11" s="1402"/>
      <c r="EOU11" s="1402"/>
      <c r="EOV11" s="1402"/>
      <c r="EOW11" s="1402"/>
      <c r="EOX11" s="1402"/>
      <c r="EOY11" s="1402"/>
      <c r="EOZ11" s="1402"/>
      <c r="EPA11" s="1402"/>
      <c r="EPB11" s="1402"/>
      <c r="EPC11" s="1402"/>
      <c r="EPD11" s="1402"/>
      <c r="EPE11" s="1402"/>
      <c r="EPF11" s="1402"/>
      <c r="EPG11" s="1402"/>
      <c r="EPH11" s="1402"/>
      <c r="EPI11" s="1402"/>
      <c r="EPJ11" s="1402"/>
      <c r="EPK11" s="1402"/>
      <c r="EPL11" s="1402"/>
      <c r="EPM11" s="1402"/>
      <c r="EPN11" s="1402"/>
      <c r="EPO11" s="1402"/>
      <c r="EPP11" s="1402"/>
      <c r="EPQ11" s="1402"/>
      <c r="EPR11" s="1402"/>
      <c r="EPS11" s="1402"/>
      <c r="EPT11" s="1402"/>
      <c r="EPU11" s="1402"/>
      <c r="EPV11" s="1402"/>
      <c r="EPW11" s="1402"/>
      <c r="EPX11" s="1402"/>
      <c r="EPY11" s="1402"/>
      <c r="EPZ11" s="1402"/>
      <c r="EQA11" s="1402"/>
      <c r="EQB11" s="1402"/>
      <c r="EQC11" s="1402"/>
      <c r="EQD11" s="1402"/>
      <c r="EQE11" s="1402"/>
      <c r="EQF11" s="1402"/>
      <c r="EQG11" s="1402"/>
      <c r="EQH11" s="1402"/>
      <c r="EQI11" s="1402"/>
      <c r="EQJ11" s="1402"/>
      <c r="EQK11" s="1402"/>
      <c r="EQL11" s="1402"/>
      <c r="EQM11" s="1402"/>
      <c r="EQN11" s="1402"/>
      <c r="EQO11" s="1402"/>
      <c r="EQP11" s="1402"/>
      <c r="EQQ11" s="1402"/>
      <c r="EQR11" s="1402"/>
      <c r="EQS11" s="1402"/>
      <c r="EQT11" s="1402"/>
      <c r="EQU11" s="1402"/>
      <c r="EQV11" s="1402"/>
      <c r="EQW11" s="1402"/>
      <c r="EQX11" s="1402"/>
      <c r="EQY11" s="1402"/>
      <c r="EQZ11" s="1402"/>
      <c r="ERA11" s="1402"/>
      <c r="ERB11" s="1402"/>
      <c r="ERC11" s="1402"/>
      <c r="ERD11" s="1402"/>
      <c r="ERE11" s="1402"/>
      <c r="ERF11" s="1402"/>
      <c r="ERG11" s="1402"/>
      <c r="ERH11" s="1402"/>
      <c r="ERI11" s="1402"/>
      <c r="ERJ11" s="1402"/>
      <c r="ERK11" s="1402"/>
      <c r="ERL11" s="1402"/>
      <c r="ERM11" s="1402"/>
      <c r="ERN11" s="1402"/>
      <c r="ERO11" s="1402"/>
      <c r="ERP11" s="1402"/>
      <c r="ERQ11" s="1402"/>
      <c r="ERR11" s="1402"/>
      <c r="ERS11" s="1402"/>
      <c r="ERT11" s="1402"/>
      <c r="ERU11" s="1402"/>
      <c r="ERV11" s="1402"/>
      <c r="ERW11" s="1402"/>
      <c r="ERX11" s="1402"/>
      <c r="ERY11" s="1402"/>
      <c r="ERZ11" s="1402"/>
      <c r="ESA11" s="1402"/>
      <c r="ESB11" s="1402"/>
      <c r="ESC11" s="1402"/>
      <c r="ESD11" s="1402"/>
      <c r="ESE11" s="1402"/>
      <c r="ESF11" s="1402"/>
      <c r="ESG11" s="1402"/>
      <c r="ESH11" s="1402"/>
      <c r="ESI11" s="1402"/>
      <c r="ESJ11" s="1402"/>
      <c r="ESK11" s="1402"/>
      <c r="ESL11" s="1402"/>
      <c r="ESM11" s="1402"/>
      <c r="ESN11" s="1402"/>
      <c r="ESO11" s="1402"/>
      <c r="ESP11" s="1402"/>
      <c r="ESQ11" s="1402"/>
      <c r="ESR11" s="1402"/>
      <c r="ESS11" s="1402"/>
      <c r="EST11" s="1402"/>
      <c r="ESU11" s="1402"/>
      <c r="ESV11" s="1402"/>
      <c r="ESW11" s="1402"/>
      <c r="ESX11" s="1402"/>
      <c r="ESY11" s="1402"/>
      <c r="ESZ11" s="1402"/>
      <c r="ETA11" s="1402"/>
      <c r="ETB11" s="1402"/>
      <c r="ETC11" s="1402"/>
      <c r="ETD11" s="1402"/>
      <c r="ETE11" s="1402"/>
      <c r="ETF11" s="1402"/>
      <c r="ETG11" s="1402"/>
      <c r="ETH11" s="1402"/>
      <c r="ETI11" s="1402"/>
      <c r="ETJ11" s="1402"/>
      <c r="ETK11" s="1402"/>
      <c r="ETL11" s="1402"/>
      <c r="ETM11" s="1402"/>
      <c r="ETN11" s="1402"/>
      <c r="ETO11" s="1402"/>
      <c r="ETP11" s="1402"/>
      <c r="ETQ11" s="1402"/>
      <c r="ETR11" s="1402"/>
      <c r="ETS11" s="1402"/>
      <c r="ETT11" s="1402"/>
      <c r="ETU11" s="1402"/>
      <c r="ETV11" s="1402"/>
      <c r="ETW11" s="1402"/>
      <c r="ETX11" s="1402"/>
      <c r="ETY11" s="1402"/>
      <c r="ETZ11" s="1402"/>
      <c r="EUA11" s="1402"/>
      <c r="EUB11" s="1402"/>
      <c r="EUC11" s="1402"/>
      <c r="EUD11" s="1402"/>
      <c r="EUE11" s="1402"/>
      <c r="EUF11" s="1402"/>
      <c r="EUG11" s="1402"/>
      <c r="EUH11" s="1402"/>
      <c r="EUI11" s="1402"/>
      <c r="EUJ11" s="1402"/>
      <c r="EUK11" s="1402"/>
      <c r="EUL11" s="1402"/>
      <c r="EUM11" s="1402"/>
      <c r="EUN11" s="1402"/>
      <c r="EUO11" s="1402"/>
      <c r="EUP11" s="1402"/>
      <c r="EUQ11" s="1402"/>
      <c r="EUR11" s="1402"/>
      <c r="EUS11" s="1402"/>
      <c r="EUT11" s="1402"/>
      <c r="EUU11" s="1402"/>
      <c r="EUV11" s="1402"/>
      <c r="EUW11" s="1402"/>
      <c r="EUX11" s="1402"/>
      <c r="EUY11" s="1402"/>
      <c r="EUZ11" s="1402"/>
      <c r="EVA11" s="1402"/>
      <c r="EVB11" s="1402"/>
      <c r="EVC11" s="1402"/>
      <c r="EVD11" s="1402"/>
      <c r="EVE11" s="1402"/>
      <c r="EVF11" s="1402"/>
      <c r="EVG11" s="1402"/>
      <c r="EVH11" s="1402"/>
      <c r="EVI11" s="1402"/>
      <c r="EVJ11" s="1402"/>
      <c r="EVK11" s="1402"/>
      <c r="EVL11" s="1402"/>
      <c r="EVM11" s="1402"/>
      <c r="EVN11" s="1402"/>
      <c r="EVO11" s="1402"/>
      <c r="EVP11" s="1402"/>
      <c r="EVQ11" s="1402"/>
      <c r="EVR11" s="1402"/>
      <c r="EVS11" s="1402"/>
      <c r="EVT11" s="1402"/>
      <c r="EVU11" s="1402"/>
      <c r="EVV11" s="1402"/>
      <c r="EVW11" s="1402"/>
      <c r="EVX11" s="1402"/>
      <c r="EVY11" s="1402"/>
      <c r="EVZ11" s="1402"/>
      <c r="EWA11" s="1402"/>
      <c r="EWB11" s="1402"/>
      <c r="EWC11" s="1402"/>
      <c r="EWD11" s="1402"/>
      <c r="EWE11" s="1402"/>
      <c r="EWF11" s="1402"/>
      <c r="EWG11" s="1402"/>
      <c r="EWH11" s="1402"/>
      <c r="EWI11" s="1402"/>
      <c r="EWJ11" s="1402"/>
      <c r="EWK11" s="1402"/>
      <c r="EWL11" s="1402"/>
      <c r="EWM11" s="1402"/>
      <c r="EWN11" s="1402"/>
      <c r="EWO11" s="1402"/>
      <c r="EWP11" s="1402"/>
      <c r="EWQ11" s="1402"/>
      <c r="EWR11" s="1402"/>
      <c r="EWS11" s="1402"/>
      <c r="EWT11" s="1402"/>
      <c r="EWU11" s="1402"/>
      <c r="EWV11" s="1402"/>
      <c r="EWW11" s="1402"/>
      <c r="EWX11" s="1402"/>
      <c r="EWY11" s="1402"/>
      <c r="EWZ11" s="1402"/>
      <c r="EXA11" s="1402"/>
      <c r="EXB11" s="1402"/>
      <c r="EXC11" s="1402"/>
      <c r="EXD11" s="1402"/>
      <c r="EXE11" s="1402"/>
      <c r="EXF11" s="1402"/>
      <c r="EXG11" s="1402"/>
      <c r="EXH11" s="1402"/>
      <c r="EXI11" s="1402"/>
      <c r="EXJ11" s="1402"/>
      <c r="EXK11" s="1402"/>
      <c r="EXL11" s="1402"/>
      <c r="EXM11" s="1402"/>
      <c r="EXN11" s="1402"/>
      <c r="EXO11" s="1402"/>
      <c r="EXP11" s="1402"/>
      <c r="EXQ11" s="1402"/>
      <c r="EXR11" s="1402"/>
      <c r="EXS11" s="1402"/>
      <c r="EXT11" s="1402"/>
      <c r="EXU11" s="1402"/>
      <c r="EXV11" s="1402"/>
      <c r="EXW11" s="1402"/>
      <c r="EXX11" s="1402"/>
      <c r="EXY11" s="1402"/>
      <c r="EXZ11" s="1402"/>
      <c r="EYA11" s="1402"/>
      <c r="EYB11" s="1402"/>
      <c r="EYC11" s="1402"/>
      <c r="EYD11" s="1402"/>
      <c r="EYE11" s="1402"/>
      <c r="EYF11" s="1402"/>
      <c r="EYG11" s="1402"/>
      <c r="EYH11" s="1402"/>
      <c r="EYI11" s="1402"/>
      <c r="EYJ11" s="1402"/>
      <c r="EYK11" s="1402"/>
      <c r="EYL11" s="1402"/>
      <c r="EYM11" s="1402"/>
      <c r="EYN11" s="1402"/>
      <c r="EYO11" s="1402"/>
      <c r="EYP11" s="1402"/>
      <c r="EYQ11" s="1402"/>
      <c r="EYR11" s="1402"/>
      <c r="EYS11" s="1402"/>
      <c r="EYT11" s="1402"/>
      <c r="EYU11" s="1402"/>
      <c r="EYV11" s="1402"/>
      <c r="EYW11" s="1402"/>
      <c r="EYX11" s="1402"/>
      <c r="EYY11" s="1402"/>
      <c r="EYZ11" s="1402"/>
      <c r="EZA11" s="1402"/>
      <c r="EZB11" s="1402"/>
      <c r="EZC11" s="1402"/>
      <c r="EZD11" s="1402"/>
      <c r="EZE11" s="1402"/>
      <c r="EZF11" s="1402"/>
      <c r="EZG11" s="1402"/>
      <c r="EZH11" s="1402"/>
      <c r="EZI11" s="1402"/>
      <c r="EZJ11" s="1402"/>
      <c r="EZK11" s="1402"/>
      <c r="EZL11" s="1402"/>
      <c r="EZM11" s="1402"/>
      <c r="EZN11" s="1402"/>
      <c r="EZO11" s="1402"/>
      <c r="EZP11" s="1402"/>
      <c r="EZQ11" s="1402"/>
      <c r="EZR11" s="1402"/>
      <c r="EZS11" s="1402"/>
      <c r="EZT11" s="1402"/>
      <c r="EZU11" s="1402"/>
      <c r="EZV11" s="1402"/>
      <c r="EZW11" s="1402"/>
      <c r="EZX11" s="1402"/>
      <c r="EZY11" s="1402"/>
      <c r="EZZ11" s="1402"/>
      <c r="FAA11" s="1402"/>
      <c r="FAB11" s="1402"/>
      <c r="FAC11" s="1402"/>
      <c r="FAD11" s="1402"/>
      <c r="FAE11" s="1402"/>
      <c r="FAF11" s="1402"/>
      <c r="FAG11" s="1402"/>
      <c r="FAH11" s="1402"/>
      <c r="FAI11" s="1402"/>
      <c r="FAJ11" s="1402"/>
      <c r="FAK11" s="1402"/>
      <c r="FAL11" s="1402"/>
      <c r="FAM11" s="1402"/>
      <c r="FAN11" s="1402"/>
      <c r="FAO11" s="1402"/>
      <c r="FAP11" s="1402"/>
      <c r="FAQ11" s="1402"/>
      <c r="FAR11" s="1402"/>
      <c r="FAS11" s="1402"/>
      <c r="FAT11" s="1402"/>
      <c r="FAU11" s="1402"/>
      <c r="FAV11" s="1402"/>
      <c r="FAW11" s="1402"/>
      <c r="FAX11" s="1402"/>
      <c r="FAY11" s="1402"/>
      <c r="FAZ11" s="1402"/>
      <c r="FBA11" s="1402"/>
      <c r="FBB11" s="1402"/>
      <c r="FBC11" s="1402"/>
      <c r="FBD11" s="1402"/>
      <c r="FBE11" s="1402"/>
      <c r="FBF11" s="1402"/>
      <c r="FBG11" s="1402"/>
      <c r="FBH11" s="1402"/>
      <c r="FBI11" s="1402"/>
      <c r="FBJ11" s="1402"/>
      <c r="FBK11" s="1402"/>
      <c r="FBL11" s="1402"/>
      <c r="FBM11" s="1402"/>
      <c r="FBN11" s="1402"/>
      <c r="FBO11" s="1402"/>
      <c r="FBP11" s="1402"/>
      <c r="FBQ11" s="1402"/>
      <c r="FBR11" s="1402"/>
      <c r="FBS11" s="1402"/>
      <c r="FBT11" s="1402"/>
      <c r="FBU11" s="1402"/>
      <c r="FBV11" s="1402"/>
      <c r="FBW11" s="1402"/>
      <c r="FBX11" s="1402"/>
      <c r="FBY11" s="1402"/>
      <c r="FBZ11" s="1402"/>
      <c r="FCA11" s="1402"/>
      <c r="FCB11" s="1402"/>
      <c r="FCC11" s="1402"/>
      <c r="FCD11" s="1402"/>
      <c r="FCE11" s="1402"/>
      <c r="FCF11" s="1402"/>
      <c r="FCG11" s="1402"/>
      <c r="FCH11" s="1402"/>
      <c r="FCI11" s="1402"/>
      <c r="FCJ11" s="1402"/>
      <c r="FCK11" s="1402"/>
      <c r="FCL11" s="1402"/>
      <c r="FCM11" s="1402"/>
      <c r="FCN11" s="1402"/>
      <c r="FCO11" s="1402"/>
      <c r="FCP11" s="1402"/>
      <c r="FCQ11" s="1402"/>
      <c r="FCR11" s="1402"/>
      <c r="FCS11" s="1402"/>
      <c r="FCT11" s="1402"/>
      <c r="FCU11" s="1402"/>
      <c r="FCV11" s="1402"/>
      <c r="FCW11" s="1402"/>
      <c r="FCX11" s="1402"/>
      <c r="FCY11" s="1402"/>
      <c r="FCZ11" s="1402"/>
      <c r="FDA11" s="1402"/>
      <c r="FDB11" s="1402"/>
      <c r="FDC11" s="1402"/>
      <c r="FDD11" s="1402"/>
      <c r="FDE11" s="1402"/>
      <c r="FDF11" s="1402"/>
      <c r="FDG11" s="1402"/>
      <c r="FDH11" s="1402"/>
      <c r="FDI11" s="1402"/>
      <c r="FDJ11" s="1402"/>
      <c r="FDK11" s="1402"/>
      <c r="FDL11" s="1402"/>
      <c r="FDM11" s="1402"/>
      <c r="FDN11" s="1402"/>
      <c r="FDO11" s="1402"/>
      <c r="FDP11" s="1402"/>
      <c r="FDQ11" s="1402"/>
      <c r="FDR11" s="1402"/>
      <c r="FDS11" s="1402"/>
      <c r="FDT11" s="1402"/>
      <c r="FDU11" s="1402"/>
      <c r="FDV11" s="1402"/>
      <c r="FDW11" s="1402"/>
      <c r="FDX11" s="1402"/>
      <c r="FDY11" s="1402"/>
      <c r="FDZ11" s="1402"/>
      <c r="FEA11" s="1402"/>
      <c r="FEB11" s="1402"/>
      <c r="FEC11" s="1402"/>
      <c r="FED11" s="1402"/>
      <c r="FEE11" s="1402"/>
      <c r="FEF11" s="1402"/>
      <c r="FEG11" s="1402"/>
      <c r="FEH11" s="1402"/>
      <c r="FEI11" s="1402"/>
      <c r="FEJ11" s="1402"/>
      <c r="FEK11" s="1402"/>
      <c r="FEL11" s="1402"/>
      <c r="FEM11" s="1402"/>
      <c r="FEN11" s="1402"/>
      <c r="FEO11" s="1402"/>
      <c r="FEP11" s="1402"/>
      <c r="FEQ11" s="1402"/>
      <c r="FER11" s="1402"/>
      <c r="FES11" s="1402"/>
      <c r="FET11" s="1402"/>
      <c r="FEU11" s="1402"/>
      <c r="FEV11" s="1402"/>
      <c r="FEW11" s="1402"/>
      <c r="FEX11" s="1402"/>
      <c r="FEY11" s="1402"/>
      <c r="FEZ11" s="1402"/>
      <c r="FFA11" s="1402"/>
      <c r="FFB11" s="1402"/>
      <c r="FFC11" s="1402"/>
      <c r="FFD11" s="1402"/>
      <c r="FFE11" s="1402"/>
      <c r="FFF11" s="1402"/>
      <c r="FFG11" s="1402"/>
      <c r="FFH11" s="1402"/>
      <c r="FFI11" s="1402"/>
      <c r="FFJ11" s="1402"/>
      <c r="FFK11" s="1402"/>
      <c r="FFL11" s="1402"/>
      <c r="FFM11" s="1402"/>
      <c r="FFN11" s="1402"/>
      <c r="FFO11" s="1402"/>
      <c r="FFP11" s="1402"/>
      <c r="FFQ11" s="1402"/>
      <c r="FFR11" s="1402"/>
      <c r="FFS11" s="1402"/>
      <c r="FFT11" s="1402"/>
      <c r="FFU11" s="1402"/>
      <c r="FFV11" s="1402"/>
      <c r="FFW11" s="1402"/>
      <c r="FFX11" s="1402"/>
      <c r="FFY11" s="1402"/>
      <c r="FFZ11" s="1402"/>
      <c r="FGA11" s="1402"/>
      <c r="FGB11" s="1402"/>
      <c r="FGC11" s="1402"/>
      <c r="FGD11" s="1402"/>
      <c r="FGE11" s="1402"/>
      <c r="FGF11" s="1402"/>
      <c r="FGG11" s="1402"/>
      <c r="FGH11" s="1402"/>
      <c r="FGI11" s="1402"/>
      <c r="FGJ11" s="1402"/>
      <c r="FGK11" s="1402"/>
      <c r="FGL11" s="1402"/>
      <c r="FGM11" s="1402"/>
      <c r="FGN11" s="1402"/>
      <c r="FGO11" s="1402"/>
      <c r="FGP11" s="1402"/>
      <c r="FGQ11" s="1402"/>
      <c r="FGR11" s="1402"/>
      <c r="FGS11" s="1402"/>
      <c r="FGT11" s="1402"/>
      <c r="FGU11" s="1402"/>
      <c r="FGV11" s="1402"/>
      <c r="FGW11" s="1402"/>
      <c r="FGX11" s="1402"/>
      <c r="FGY11" s="1402"/>
      <c r="FGZ11" s="1402"/>
      <c r="FHA11" s="1402"/>
      <c r="FHB11" s="1402"/>
      <c r="FHC11" s="1402"/>
      <c r="FHD11" s="1402"/>
      <c r="FHE11" s="1402"/>
      <c r="FHF11" s="1402"/>
      <c r="FHG11" s="1402"/>
      <c r="FHH11" s="1402"/>
      <c r="FHI11" s="1402"/>
      <c r="FHJ11" s="1402"/>
      <c r="FHK11" s="1402"/>
      <c r="FHL11" s="1402"/>
      <c r="FHM11" s="1402"/>
      <c r="FHN11" s="1402"/>
      <c r="FHO11" s="1402"/>
      <c r="FHP11" s="1402"/>
      <c r="FHQ11" s="1402"/>
      <c r="FHR11" s="1402"/>
      <c r="FHS11" s="1402"/>
      <c r="FHT11" s="1402"/>
      <c r="FHU11" s="1402"/>
      <c r="FHV11" s="1402"/>
      <c r="FHW11" s="1402"/>
      <c r="FHX11" s="1402"/>
      <c r="FHY11" s="1402"/>
      <c r="FHZ11" s="1402"/>
      <c r="FIA11" s="1402"/>
      <c r="FIB11" s="1402"/>
      <c r="FIC11" s="1402"/>
      <c r="FID11" s="1402"/>
      <c r="FIE11" s="1402"/>
      <c r="FIF11" s="1402"/>
      <c r="FIG11" s="1402"/>
      <c r="FIH11" s="1402"/>
      <c r="FII11" s="1402"/>
      <c r="FIJ11" s="1402"/>
      <c r="FIK11" s="1402"/>
      <c r="FIL11" s="1402"/>
      <c r="FIM11" s="1402"/>
      <c r="FIN11" s="1402"/>
      <c r="FIO11" s="1402"/>
      <c r="FIP11" s="1402"/>
      <c r="FIQ11" s="1402"/>
      <c r="FIR11" s="1402"/>
      <c r="FIS11" s="1402"/>
      <c r="FIT11" s="1402"/>
      <c r="FIU11" s="1402"/>
      <c r="FIV11" s="1402"/>
      <c r="FIW11" s="1402"/>
      <c r="FIX11" s="1402"/>
      <c r="FIY11" s="1402"/>
      <c r="FIZ11" s="1402"/>
      <c r="FJA11" s="1402"/>
      <c r="FJB11" s="1402"/>
      <c r="FJC11" s="1402"/>
      <c r="FJD11" s="1402"/>
      <c r="FJE11" s="1402"/>
      <c r="FJF11" s="1402"/>
      <c r="FJG11" s="1402"/>
      <c r="FJH11" s="1402"/>
      <c r="FJI11" s="1402"/>
      <c r="FJJ11" s="1402"/>
      <c r="FJK11" s="1402"/>
      <c r="FJL11" s="1402"/>
      <c r="FJM11" s="1402"/>
      <c r="FJN11" s="1402"/>
      <c r="FJO11" s="1402"/>
      <c r="FJP11" s="1402"/>
      <c r="FJQ11" s="1402"/>
      <c r="FJR11" s="1402"/>
      <c r="FJS11" s="1402"/>
      <c r="FJT11" s="1402"/>
      <c r="FJU11" s="1402"/>
      <c r="FJV11" s="1402"/>
      <c r="FJW11" s="1402"/>
      <c r="FJX11" s="1402"/>
      <c r="FJY11" s="1402"/>
      <c r="FJZ11" s="1402"/>
      <c r="FKA11" s="1402"/>
      <c r="FKB11" s="1402"/>
      <c r="FKC11" s="1402"/>
      <c r="FKD11" s="1402"/>
      <c r="FKE11" s="1402"/>
      <c r="FKF11" s="1402"/>
      <c r="FKG11" s="1402"/>
      <c r="FKH11" s="1402"/>
      <c r="FKI11" s="1402"/>
      <c r="FKJ11" s="1402"/>
      <c r="FKK11" s="1402"/>
      <c r="FKL11" s="1402"/>
      <c r="FKM11" s="1402"/>
      <c r="FKN11" s="1402"/>
      <c r="FKO11" s="1402"/>
      <c r="FKP11" s="1402"/>
      <c r="FKQ11" s="1402"/>
      <c r="FKR11" s="1402"/>
      <c r="FKS11" s="1402"/>
      <c r="FKT11" s="1402"/>
      <c r="FKU11" s="1402"/>
      <c r="FKV11" s="1402"/>
      <c r="FKW11" s="1402"/>
      <c r="FKX11" s="1402"/>
      <c r="FKY11" s="1402"/>
      <c r="FKZ11" s="1402"/>
      <c r="FLA11" s="1402"/>
      <c r="FLB11" s="1402"/>
      <c r="FLC11" s="1402"/>
      <c r="FLD11" s="1402"/>
      <c r="FLE11" s="1402"/>
      <c r="FLF11" s="1402"/>
      <c r="FLG11" s="1402"/>
      <c r="FLH11" s="1402"/>
      <c r="FLI11" s="1402"/>
      <c r="FLJ11" s="1402"/>
      <c r="FLK11" s="1402"/>
      <c r="FLL11" s="1402"/>
      <c r="FLM11" s="1402"/>
      <c r="FLN11" s="1402"/>
      <c r="FLO11" s="1402"/>
      <c r="FLP11" s="1402"/>
      <c r="FLQ11" s="1402"/>
      <c r="FLR11" s="1402"/>
      <c r="FLS11" s="1402"/>
      <c r="FLT11" s="1402"/>
      <c r="FLU11" s="1402"/>
      <c r="FLV11" s="1402"/>
      <c r="FLW11" s="1402"/>
      <c r="FLX11" s="1402"/>
      <c r="FLY11" s="1402"/>
      <c r="FLZ11" s="1402"/>
      <c r="FMA11" s="1402"/>
      <c r="FMB11" s="1402"/>
      <c r="FMC11" s="1402"/>
      <c r="FMD11" s="1402"/>
      <c r="FME11" s="1402"/>
      <c r="FMF11" s="1402"/>
      <c r="FMG11" s="1402"/>
      <c r="FMH11" s="1402"/>
      <c r="FMI11" s="1402"/>
      <c r="FMJ11" s="1402"/>
      <c r="FMK11" s="1402"/>
      <c r="FML11" s="1402"/>
      <c r="FMM11" s="1402"/>
      <c r="FMN11" s="1402"/>
      <c r="FMO11" s="1402"/>
      <c r="FMP11" s="1402"/>
      <c r="FMQ11" s="1402"/>
      <c r="FMR11" s="1402"/>
      <c r="FMS11" s="1402"/>
      <c r="FMT11" s="1402"/>
      <c r="FMU11" s="1402"/>
      <c r="FMV11" s="1402"/>
      <c r="FMW11" s="1402"/>
      <c r="FMX11" s="1402"/>
      <c r="FMY11" s="1402"/>
      <c r="FMZ11" s="1402"/>
      <c r="FNA11" s="1402"/>
      <c r="FNB11" s="1402"/>
      <c r="FNC11" s="1402"/>
      <c r="FND11" s="1402"/>
      <c r="FNE11" s="1402"/>
      <c r="FNF11" s="1402"/>
      <c r="FNG11" s="1402"/>
      <c r="FNH11" s="1402"/>
      <c r="FNI11" s="1402"/>
      <c r="FNJ11" s="1402"/>
      <c r="FNK11" s="1402"/>
      <c r="FNL11" s="1402"/>
      <c r="FNM11" s="1402"/>
      <c r="FNN11" s="1402"/>
      <c r="FNO11" s="1402"/>
      <c r="FNP11" s="1402"/>
      <c r="FNQ11" s="1402"/>
      <c r="FNR11" s="1402"/>
      <c r="FNS11" s="1402"/>
      <c r="FNT11" s="1402"/>
      <c r="FNU11" s="1402"/>
      <c r="FNV11" s="1402"/>
      <c r="FNW11" s="1402"/>
      <c r="FNX11" s="1402"/>
      <c r="FNY11" s="1402"/>
      <c r="FNZ11" s="1402"/>
      <c r="FOA11" s="1402"/>
      <c r="FOB11" s="1402"/>
      <c r="FOC11" s="1402"/>
      <c r="FOD11" s="1402"/>
      <c r="FOE11" s="1402"/>
      <c r="FOF11" s="1402"/>
      <c r="FOG11" s="1402"/>
      <c r="FOH11" s="1402"/>
      <c r="FOI11" s="1402"/>
      <c r="FOJ11" s="1402"/>
      <c r="FOK11" s="1402"/>
      <c r="FOL11" s="1402"/>
      <c r="FOM11" s="1402"/>
      <c r="FON11" s="1402"/>
      <c r="FOO11" s="1402"/>
      <c r="FOP11" s="1402"/>
      <c r="FOQ11" s="1402"/>
      <c r="FOR11" s="1402"/>
      <c r="FOS11" s="1402"/>
      <c r="FOT11" s="1402"/>
      <c r="FOU11" s="1402"/>
      <c r="FOV11" s="1402"/>
      <c r="FOW11" s="1402"/>
      <c r="FOX11" s="1402"/>
      <c r="FOY11" s="1402"/>
      <c r="FOZ11" s="1402"/>
      <c r="FPA11" s="1402"/>
      <c r="FPB11" s="1402"/>
      <c r="FPC11" s="1402"/>
      <c r="FPD11" s="1402"/>
      <c r="FPE11" s="1402"/>
      <c r="FPF11" s="1402"/>
      <c r="FPG11" s="1402"/>
      <c r="FPH11" s="1402"/>
      <c r="FPI11" s="1402"/>
      <c r="FPJ11" s="1402"/>
      <c r="FPK11" s="1402"/>
      <c r="FPL11" s="1402"/>
      <c r="FPM11" s="1402"/>
      <c r="FPN11" s="1402"/>
      <c r="FPO11" s="1402"/>
      <c r="FPP11" s="1402"/>
      <c r="FPQ11" s="1402"/>
      <c r="FPR11" s="1402"/>
      <c r="FPS11" s="1402"/>
      <c r="FPT11" s="1402"/>
      <c r="FPU11" s="1402"/>
      <c r="FPV11" s="1402"/>
      <c r="FPW11" s="1402"/>
      <c r="FPX11" s="1402"/>
      <c r="FPY11" s="1402"/>
      <c r="FPZ11" s="1402"/>
      <c r="FQA11" s="1402"/>
      <c r="FQB11" s="1402"/>
      <c r="FQC11" s="1402"/>
      <c r="FQD11" s="1402"/>
      <c r="FQE11" s="1402"/>
      <c r="FQF11" s="1402"/>
      <c r="FQG11" s="1402"/>
      <c r="FQH11" s="1402"/>
      <c r="FQI11" s="1402"/>
      <c r="FQJ11" s="1402"/>
      <c r="FQK11" s="1402"/>
      <c r="FQL11" s="1402"/>
      <c r="FQM11" s="1402"/>
      <c r="FQN11" s="1402"/>
      <c r="FQO11" s="1402"/>
      <c r="FQP11" s="1402"/>
      <c r="FQQ11" s="1402"/>
      <c r="FQR11" s="1402"/>
      <c r="FQS11" s="1402"/>
      <c r="FQT11" s="1402"/>
      <c r="FQU11" s="1402"/>
      <c r="FQV11" s="1402"/>
      <c r="FQW11" s="1402"/>
      <c r="FQX11" s="1402"/>
      <c r="FQY11" s="1402"/>
      <c r="FQZ11" s="1402"/>
      <c r="FRA11" s="1402"/>
      <c r="FRB11" s="1402"/>
      <c r="FRC11" s="1402"/>
      <c r="FRD11" s="1402"/>
      <c r="FRE11" s="1402"/>
      <c r="FRF11" s="1402"/>
      <c r="FRG11" s="1402"/>
      <c r="FRH11" s="1402"/>
      <c r="FRI11" s="1402"/>
      <c r="FRJ11" s="1402"/>
      <c r="FRK11" s="1402"/>
      <c r="FRL11" s="1402"/>
      <c r="FRM11" s="1402"/>
      <c r="FRN11" s="1402"/>
      <c r="FRO11" s="1402"/>
      <c r="FRP11" s="1402"/>
      <c r="FRQ11" s="1402"/>
      <c r="FRR11" s="1402"/>
      <c r="FRS11" s="1402"/>
      <c r="FRT11" s="1402"/>
      <c r="FRU11" s="1402"/>
      <c r="FRV11" s="1402"/>
      <c r="FRW11" s="1402"/>
      <c r="FRX11" s="1402"/>
      <c r="FRY11" s="1402"/>
      <c r="FRZ11" s="1402"/>
      <c r="FSA11" s="1402"/>
      <c r="FSB11" s="1402"/>
      <c r="FSC11" s="1402"/>
      <c r="FSD11" s="1402"/>
      <c r="FSE11" s="1402"/>
      <c r="FSF11" s="1402"/>
      <c r="FSG11" s="1402"/>
      <c r="FSH11" s="1402"/>
      <c r="FSI11" s="1402"/>
      <c r="FSJ11" s="1402"/>
      <c r="FSK11" s="1402"/>
      <c r="FSL11" s="1402"/>
      <c r="FSM11" s="1402"/>
      <c r="FSN11" s="1402"/>
      <c r="FSO11" s="1402"/>
      <c r="FSP11" s="1402"/>
      <c r="FSQ11" s="1402"/>
      <c r="FSR11" s="1402"/>
      <c r="FSS11" s="1402"/>
      <c r="FST11" s="1402"/>
      <c r="FSU11" s="1402"/>
      <c r="FSV11" s="1402"/>
      <c r="FSW11" s="1402"/>
      <c r="FSX11" s="1402"/>
      <c r="FSY11" s="1402"/>
      <c r="FSZ11" s="1402"/>
      <c r="FTA11" s="1402"/>
      <c r="FTB11" s="1402"/>
      <c r="FTC11" s="1402"/>
      <c r="FTD11" s="1402"/>
      <c r="FTE11" s="1402"/>
      <c r="FTF11" s="1402"/>
      <c r="FTG11" s="1402"/>
      <c r="FTH11" s="1402"/>
      <c r="FTI11" s="1402"/>
      <c r="FTJ11" s="1402"/>
      <c r="FTK11" s="1402"/>
      <c r="FTL11" s="1402"/>
      <c r="FTM11" s="1402"/>
      <c r="FTN11" s="1402"/>
      <c r="FTO11" s="1402"/>
      <c r="FTP11" s="1402"/>
      <c r="FTQ11" s="1402"/>
      <c r="FTR11" s="1402"/>
      <c r="FTS11" s="1402"/>
      <c r="FTT11" s="1402"/>
      <c r="FTU11" s="1402"/>
      <c r="FTV11" s="1402"/>
      <c r="FTW11" s="1402"/>
      <c r="FTX11" s="1402"/>
      <c r="FTY11" s="1402"/>
      <c r="FTZ11" s="1402"/>
      <c r="FUA11" s="1402"/>
      <c r="FUB11" s="1402"/>
      <c r="FUC11" s="1402"/>
      <c r="FUD11" s="1402"/>
      <c r="FUE11" s="1402"/>
      <c r="FUF11" s="1402"/>
      <c r="FUG11" s="1402"/>
      <c r="FUH11" s="1402"/>
      <c r="FUI11" s="1402"/>
      <c r="FUJ11" s="1402"/>
      <c r="FUK11" s="1402"/>
      <c r="FUL11" s="1402"/>
      <c r="FUM11" s="1402"/>
      <c r="FUN11" s="1402"/>
      <c r="FUO11" s="1402"/>
      <c r="FUP11" s="1402"/>
      <c r="FUQ11" s="1402"/>
      <c r="FUR11" s="1402"/>
      <c r="FUS11" s="1402"/>
      <c r="FUT11" s="1402"/>
      <c r="FUU11" s="1402"/>
      <c r="FUV11" s="1402"/>
      <c r="FUW11" s="1402"/>
      <c r="FUX11" s="1402"/>
      <c r="FUY11" s="1402"/>
      <c r="FUZ11" s="1402"/>
      <c r="FVA11" s="1402"/>
      <c r="FVB11" s="1402"/>
      <c r="FVC11" s="1402"/>
      <c r="FVD11" s="1402"/>
      <c r="FVE11" s="1402"/>
      <c r="FVF11" s="1402"/>
      <c r="FVG11" s="1402"/>
      <c r="FVH11" s="1402"/>
      <c r="FVI11" s="1402"/>
      <c r="FVJ11" s="1402"/>
      <c r="FVK11" s="1402"/>
      <c r="FVL11" s="1402"/>
      <c r="FVM11" s="1402"/>
      <c r="FVN11" s="1402"/>
      <c r="FVO11" s="1402"/>
      <c r="FVP11" s="1402"/>
      <c r="FVQ11" s="1402"/>
      <c r="FVR11" s="1402"/>
      <c r="FVS11" s="1402"/>
      <c r="FVT11" s="1402"/>
      <c r="FVU11" s="1402"/>
      <c r="FVV11" s="1402"/>
      <c r="FVW11" s="1402"/>
      <c r="FVX11" s="1402"/>
      <c r="FVY11" s="1402"/>
      <c r="FVZ11" s="1402"/>
      <c r="FWA11" s="1402"/>
      <c r="FWB11" s="1402"/>
      <c r="FWC11" s="1402"/>
      <c r="FWD11" s="1402"/>
      <c r="FWE11" s="1402"/>
      <c r="FWF11" s="1402"/>
      <c r="FWG11" s="1402"/>
      <c r="FWH11" s="1402"/>
      <c r="FWI11" s="1402"/>
      <c r="FWJ11" s="1402"/>
      <c r="FWK11" s="1402"/>
      <c r="FWL11" s="1402"/>
      <c r="FWM11" s="1402"/>
      <c r="FWN11" s="1402"/>
      <c r="FWO11" s="1402"/>
      <c r="FWP11" s="1402"/>
      <c r="FWQ11" s="1402"/>
      <c r="FWR11" s="1402"/>
      <c r="FWS11" s="1402"/>
      <c r="FWT11" s="1402"/>
      <c r="FWU11" s="1402"/>
      <c r="FWV11" s="1402"/>
      <c r="FWW11" s="1402"/>
      <c r="FWX11" s="1402"/>
      <c r="FWY11" s="1402"/>
      <c r="FWZ11" s="1402"/>
      <c r="FXA11" s="1402"/>
      <c r="FXB11" s="1402"/>
      <c r="FXC11" s="1402"/>
      <c r="FXD11" s="1402"/>
      <c r="FXE11" s="1402"/>
      <c r="FXF11" s="1402"/>
      <c r="FXG11" s="1402"/>
      <c r="FXH11" s="1402"/>
      <c r="FXI11" s="1402"/>
      <c r="FXJ11" s="1402"/>
      <c r="FXK11" s="1402"/>
      <c r="FXL11" s="1402"/>
      <c r="FXM11" s="1402"/>
      <c r="FXN11" s="1402"/>
      <c r="FXO11" s="1402"/>
      <c r="FXP11" s="1402"/>
      <c r="FXQ11" s="1402"/>
      <c r="FXR11" s="1402"/>
      <c r="FXS11" s="1402"/>
      <c r="FXT11" s="1402"/>
      <c r="FXU11" s="1402"/>
      <c r="FXV11" s="1402"/>
      <c r="FXW11" s="1402"/>
      <c r="FXX11" s="1402"/>
      <c r="FXY11" s="1402"/>
      <c r="FXZ11" s="1402"/>
      <c r="FYA11" s="1402"/>
      <c r="FYB11" s="1402"/>
      <c r="FYC11" s="1402"/>
      <c r="FYD11" s="1402"/>
      <c r="FYE11" s="1402"/>
      <c r="FYF11" s="1402"/>
      <c r="FYG11" s="1402"/>
      <c r="FYH11" s="1402"/>
      <c r="FYI11" s="1402"/>
      <c r="FYJ11" s="1402"/>
      <c r="FYK11" s="1402"/>
      <c r="FYL11" s="1402"/>
      <c r="FYM11" s="1402"/>
      <c r="FYN11" s="1402"/>
      <c r="FYO11" s="1402"/>
      <c r="FYP11" s="1402"/>
      <c r="FYQ11" s="1402"/>
      <c r="FYR11" s="1402"/>
      <c r="FYS11" s="1402"/>
      <c r="FYT11" s="1402"/>
      <c r="FYU11" s="1402"/>
      <c r="FYV11" s="1402"/>
      <c r="FYW11" s="1402"/>
      <c r="FYX11" s="1402"/>
      <c r="FYY11" s="1402"/>
      <c r="FYZ11" s="1402"/>
      <c r="FZA11" s="1402"/>
      <c r="FZB11" s="1402"/>
      <c r="FZC11" s="1402"/>
      <c r="FZD11" s="1402"/>
      <c r="FZE11" s="1402"/>
      <c r="FZF11" s="1402"/>
      <c r="FZG11" s="1402"/>
      <c r="FZH11" s="1402"/>
      <c r="FZI11" s="1402"/>
      <c r="FZJ11" s="1402"/>
      <c r="FZK11" s="1402"/>
      <c r="FZL11" s="1402"/>
      <c r="FZM11" s="1402"/>
      <c r="FZN11" s="1402"/>
      <c r="FZO11" s="1402"/>
      <c r="FZP11" s="1402"/>
      <c r="FZQ11" s="1402"/>
      <c r="FZR11" s="1402"/>
      <c r="FZS11" s="1402"/>
      <c r="FZT11" s="1402"/>
      <c r="FZU11" s="1402"/>
      <c r="FZV11" s="1402"/>
      <c r="FZW11" s="1402"/>
      <c r="FZX11" s="1402"/>
      <c r="FZY11" s="1402"/>
      <c r="FZZ11" s="1402"/>
      <c r="GAA11" s="1402"/>
      <c r="GAB11" s="1402"/>
      <c r="GAC11" s="1402"/>
      <c r="GAD11" s="1402"/>
      <c r="GAE11" s="1402"/>
      <c r="GAF11" s="1402"/>
      <c r="GAG11" s="1402"/>
      <c r="GAH11" s="1402"/>
      <c r="GAI11" s="1402"/>
      <c r="GAJ11" s="1402"/>
      <c r="GAK11" s="1402"/>
      <c r="GAL11" s="1402"/>
      <c r="GAM11" s="1402"/>
      <c r="GAN11" s="1402"/>
      <c r="GAO11" s="1402"/>
      <c r="GAP11" s="1402"/>
      <c r="GAQ11" s="1402"/>
      <c r="GAR11" s="1402"/>
      <c r="GAS11" s="1402"/>
      <c r="GAT11" s="1402"/>
      <c r="GAU11" s="1402"/>
      <c r="GAV11" s="1402"/>
      <c r="GAW11" s="1402"/>
      <c r="GAX11" s="1402"/>
      <c r="GAY11" s="1402"/>
      <c r="GAZ11" s="1402"/>
      <c r="GBA11" s="1402"/>
      <c r="GBB11" s="1402"/>
      <c r="GBC11" s="1402"/>
      <c r="GBD11" s="1402"/>
      <c r="GBE11" s="1402"/>
      <c r="GBF11" s="1402"/>
      <c r="GBG11" s="1402"/>
      <c r="GBH11" s="1402"/>
      <c r="GBI11" s="1402"/>
      <c r="GBJ11" s="1402"/>
      <c r="GBK11" s="1402"/>
      <c r="GBL11" s="1402"/>
      <c r="GBM11" s="1402"/>
      <c r="GBN11" s="1402"/>
      <c r="GBO11" s="1402"/>
      <c r="GBP11" s="1402"/>
      <c r="GBQ11" s="1402"/>
      <c r="GBR11" s="1402"/>
      <c r="GBS11" s="1402"/>
      <c r="GBT11" s="1402"/>
      <c r="GBU11" s="1402"/>
      <c r="GBV11" s="1402"/>
      <c r="GBW11" s="1402"/>
      <c r="GBX11" s="1402"/>
      <c r="GBY11" s="1402"/>
      <c r="GBZ11" s="1402"/>
      <c r="GCA11" s="1402"/>
      <c r="GCB11" s="1402"/>
      <c r="GCC11" s="1402"/>
      <c r="GCD11" s="1402"/>
      <c r="GCE11" s="1402"/>
      <c r="GCF11" s="1402"/>
      <c r="GCG11" s="1402"/>
      <c r="GCH11" s="1402"/>
      <c r="GCI11" s="1402"/>
      <c r="GCJ11" s="1402"/>
      <c r="GCK11" s="1402"/>
      <c r="GCL11" s="1402"/>
      <c r="GCM11" s="1402"/>
      <c r="GCN11" s="1402"/>
      <c r="GCO11" s="1402"/>
      <c r="GCP11" s="1402"/>
      <c r="GCQ11" s="1402"/>
      <c r="GCR11" s="1402"/>
      <c r="GCS11" s="1402"/>
      <c r="GCT11" s="1402"/>
      <c r="GCU11" s="1402"/>
      <c r="GCV11" s="1402"/>
      <c r="GCW11" s="1402"/>
      <c r="GCX11" s="1402"/>
      <c r="GCY11" s="1402"/>
      <c r="GCZ11" s="1402"/>
      <c r="GDA11" s="1402"/>
      <c r="GDB11" s="1402"/>
      <c r="GDC11" s="1402"/>
      <c r="GDD11" s="1402"/>
      <c r="GDE11" s="1402"/>
      <c r="GDF11" s="1402"/>
      <c r="GDG11" s="1402"/>
      <c r="GDH11" s="1402"/>
      <c r="GDI11" s="1402"/>
      <c r="GDJ11" s="1402"/>
      <c r="GDK11" s="1402"/>
      <c r="GDL11" s="1402"/>
      <c r="GDM11" s="1402"/>
      <c r="GDN11" s="1402"/>
      <c r="GDO11" s="1402"/>
      <c r="GDP11" s="1402"/>
      <c r="GDQ11" s="1402"/>
      <c r="GDR11" s="1402"/>
      <c r="GDS11" s="1402"/>
      <c r="GDT11" s="1402"/>
      <c r="GDU11" s="1402"/>
      <c r="GDV11" s="1402"/>
      <c r="GDW11" s="1402"/>
      <c r="GDX11" s="1402"/>
      <c r="GDY11" s="1402"/>
      <c r="GDZ11" s="1402"/>
      <c r="GEA11" s="1402"/>
      <c r="GEB11" s="1402"/>
      <c r="GEC11" s="1402"/>
      <c r="GED11" s="1402"/>
      <c r="GEE11" s="1402"/>
      <c r="GEF11" s="1402"/>
      <c r="GEG11" s="1402"/>
      <c r="GEH11" s="1402"/>
      <c r="GEI11" s="1402"/>
      <c r="GEJ11" s="1402"/>
      <c r="GEK11" s="1402"/>
      <c r="GEL11" s="1402"/>
      <c r="GEM11" s="1402"/>
      <c r="GEN11" s="1402"/>
      <c r="GEO11" s="1402"/>
      <c r="GEP11" s="1402"/>
      <c r="GEQ11" s="1402"/>
      <c r="GER11" s="1402"/>
      <c r="GES11" s="1402"/>
      <c r="GET11" s="1402"/>
      <c r="GEU11" s="1402"/>
      <c r="GEV11" s="1402"/>
      <c r="GEW11" s="1402"/>
      <c r="GEX11" s="1402"/>
      <c r="GEY11" s="1402"/>
      <c r="GEZ11" s="1402"/>
      <c r="GFA11" s="1402"/>
      <c r="GFB11" s="1402"/>
      <c r="GFC11" s="1402"/>
      <c r="GFD11" s="1402"/>
      <c r="GFE11" s="1402"/>
      <c r="GFF11" s="1402"/>
      <c r="GFG11" s="1402"/>
      <c r="GFH11" s="1402"/>
      <c r="GFI11" s="1402"/>
      <c r="GFJ11" s="1402"/>
      <c r="GFK11" s="1402"/>
      <c r="GFL11" s="1402"/>
      <c r="GFM11" s="1402"/>
      <c r="GFN11" s="1402"/>
      <c r="GFO11" s="1402"/>
      <c r="GFP11" s="1402"/>
      <c r="GFQ11" s="1402"/>
      <c r="GFR11" s="1402"/>
      <c r="GFS11" s="1402"/>
      <c r="GFT11" s="1402"/>
      <c r="GFU11" s="1402"/>
      <c r="GFV11" s="1402"/>
      <c r="GFW11" s="1402"/>
      <c r="GFX11" s="1402"/>
      <c r="GFY11" s="1402"/>
      <c r="GFZ11" s="1402"/>
      <c r="GGA11" s="1402"/>
      <c r="GGB11" s="1402"/>
      <c r="GGC11" s="1402"/>
      <c r="GGD11" s="1402"/>
      <c r="GGE11" s="1402"/>
      <c r="GGF11" s="1402"/>
      <c r="GGG11" s="1402"/>
      <c r="GGH11" s="1402"/>
      <c r="GGI11" s="1402"/>
      <c r="GGJ11" s="1402"/>
      <c r="GGK11" s="1402"/>
      <c r="GGL11" s="1402"/>
      <c r="GGM11" s="1402"/>
      <c r="GGN11" s="1402"/>
      <c r="GGO11" s="1402"/>
      <c r="GGP11" s="1402"/>
      <c r="GGQ11" s="1402"/>
      <c r="GGR11" s="1402"/>
      <c r="GGS11" s="1402"/>
      <c r="GGT11" s="1402"/>
      <c r="GGU11" s="1402"/>
      <c r="GGV11" s="1402"/>
      <c r="GGW11" s="1402"/>
      <c r="GGX11" s="1402"/>
      <c r="GGY11" s="1402"/>
      <c r="GGZ11" s="1402"/>
      <c r="GHA11" s="1402"/>
      <c r="GHB11" s="1402"/>
      <c r="GHC11" s="1402"/>
      <c r="GHD11" s="1402"/>
      <c r="GHE11" s="1402"/>
      <c r="GHF11" s="1402"/>
      <c r="GHG11" s="1402"/>
      <c r="GHH11" s="1402"/>
      <c r="GHI11" s="1402"/>
      <c r="GHJ11" s="1402"/>
      <c r="GHK11" s="1402"/>
      <c r="GHL11" s="1402"/>
      <c r="GHM11" s="1402"/>
      <c r="GHN11" s="1402"/>
      <c r="GHO11" s="1402"/>
      <c r="GHP11" s="1402"/>
      <c r="GHQ11" s="1402"/>
      <c r="GHR11" s="1402"/>
      <c r="GHS11" s="1402"/>
      <c r="GHT11" s="1402"/>
      <c r="GHU11" s="1402"/>
      <c r="GHV11" s="1402"/>
      <c r="GHW11" s="1402"/>
      <c r="GHX11" s="1402"/>
      <c r="GHY11" s="1402"/>
      <c r="GHZ11" s="1402"/>
      <c r="GIA11" s="1402"/>
      <c r="GIB11" s="1402"/>
      <c r="GIC11" s="1402"/>
      <c r="GID11" s="1402"/>
      <c r="GIE11" s="1402"/>
      <c r="GIF11" s="1402"/>
      <c r="GIG11" s="1402"/>
      <c r="GIH11" s="1402"/>
      <c r="GII11" s="1402"/>
      <c r="GIJ11" s="1402"/>
      <c r="GIK11" s="1402"/>
      <c r="GIL11" s="1402"/>
      <c r="GIM11" s="1402"/>
      <c r="GIN11" s="1402"/>
      <c r="GIO11" s="1402"/>
      <c r="GIP11" s="1402"/>
      <c r="GIQ11" s="1402"/>
      <c r="GIR11" s="1402"/>
      <c r="GIS11" s="1402"/>
      <c r="GIT11" s="1402"/>
      <c r="GIU11" s="1402"/>
      <c r="GIV11" s="1402"/>
      <c r="GIW11" s="1402"/>
      <c r="GIX11" s="1402"/>
      <c r="GIY11" s="1402"/>
      <c r="GIZ11" s="1402"/>
      <c r="GJA11" s="1402"/>
      <c r="GJB11" s="1402"/>
      <c r="GJC11" s="1402"/>
      <c r="GJD11" s="1402"/>
      <c r="GJE11" s="1402"/>
      <c r="GJF11" s="1402"/>
      <c r="GJG11" s="1402"/>
      <c r="GJH11" s="1402"/>
      <c r="GJI11" s="1402"/>
      <c r="GJJ11" s="1402"/>
      <c r="GJK11" s="1402"/>
      <c r="GJL11" s="1402"/>
      <c r="GJM11" s="1402"/>
      <c r="GJN11" s="1402"/>
      <c r="GJO11" s="1402"/>
      <c r="GJP11" s="1402"/>
      <c r="GJQ11" s="1402"/>
      <c r="GJR11" s="1402"/>
      <c r="GJS11" s="1402"/>
      <c r="GJT11" s="1402"/>
      <c r="GJU11" s="1402"/>
      <c r="GJV11" s="1402"/>
      <c r="GJW11" s="1402"/>
      <c r="GJX11" s="1402"/>
      <c r="GJY11" s="1402"/>
      <c r="GJZ11" s="1402"/>
      <c r="GKA11" s="1402"/>
      <c r="GKB11" s="1402"/>
      <c r="GKC11" s="1402"/>
      <c r="GKD11" s="1402"/>
      <c r="GKE11" s="1402"/>
      <c r="GKF11" s="1402"/>
      <c r="GKG11" s="1402"/>
      <c r="GKH11" s="1402"/>
      <c r="GKI11" s="1402"/>
      <c r="GKJ11" s="1402"/>
      <c r="GKK11" s="1402"/>
      <c r="GKL11" s="1402"/>
      <c r="GKM11" s="1402"/>
      <c r="GKN11" s="1402"/>
      <c r="GKO11" s="1402"/>
      <c r="GKP11" s="1402"/>
      <c r="GKQ11" s="1402"/>
      <c r="GKR11" s="1402"/>
      <c r="GKS11" s="1402"/>
      <c r="GKT11" s="1402"/>
      <c r="GKU11" s="1402"/>
      <c r="GKV11" s="1402"/>
      <c r="GKW11" s="1402"/>
      <c r="GKX11" s="1402"/>
      <c r="GKY11" s="1402"/>
      <c r="GKZ11" s="1402"/>
      <c r="GLA11" s="1402"/>
      <c r="GLB11" s="1402"/>
      <c r="GLC11" s="1402"/>
      <c r="GLD11" s="1402"/>
      <c r="GLE11" s="1402"/>
      <c r="GLF11" s="1402"/>
      <c r="GLG11" s="1402"/>
      <c r="GLH11" s="1402"/>
      <c r="GLI11" s="1402"/>
      <c r="GLJ11" s="1402"/>
      <c r="GLK11" s="1402"/>
      <c r="GLL11" s="1402"/>
      <c r="GLM11" s="1402"/>
      <c r="GLN11" s="1402"/>
      <c r="GLO11" s="1402"/>
      <c r="GLP11" s="1402"/>
      <c r="GLQ11" s="1402"/>
      <c r="GLR11" s="1402"/>
      <c r="GLS11" s="1402"/>
      <c r="GLT11" s="1402"/>
      <c r="GLU11" s="1402"/>
      <c r="GLV11" s="1402"/>
      <c r="GLW11" s="1402"/>
      <c r="GLX11" s="1402"/>
      <c r="GLY11" s="1402"/>
      <c r="GLZ11" s="1402"/>
      <c r="GMA11" s="1402"/>
      <c r="GMB11" s="1402"/>
      <c r="GMC11" s="1402"/>
      <c r="GMD11" s="1402"/>
      <c r="GME11" s="1402"/>
      <c r="GMF11" s="1402"/>
      <c r="GMG11" s="1402"/>
      <c r="GMH11" s="1402"/>
      <c r="GMI11" s="1402"/>
      <c r="GMJ11" s="1402"/>
      <c r="GMK11" s="1402"/>
      <c r="GML11" s="1402"/>
      <c r="GMM11" s="1402"/>
      <c r="GMN11" s="1402"/>
      <c r="GMO11" s="1402"/>
      <c r="GMP11" s="1402"/>
      <c r="GMQ11" s="1402"/>
      <c r="GMR11" s="1402"/>
      <c r="GMS11" s="1402"/>
      <c r="GMT11" s="1402"/>
      <c r="GMU11" s="1402"/>
      <c r="GMV11" s="1402"/>
      <c r="GMW11" s="1402"/>
      <c r="GMX11" s="1402"/>
      <c r="GMY11" s="1402"/>
      <c r="GMZ11" s="1402"/>
      <c r="GNA11" s="1402"/>
      <c r="GNB11" s="1402"/>
      <c r="GNC11" s="1402"/>
      <c r="GND11" s="1402"/>
      <c r="GNE11" s="1402"/>
      <c r="GNF11" s="1402"/>
      <c r="GNG11" s="1402"/>
      <c r="GNH11" s="1402"/>
      <c r="GNI11" s="1402"/>
      <c r="GNJ11" s="1402"/>
      <c r="GNK11" s="1402"/>
      <c r="GNL11" s="1402"/>
      <c r="GNM11" s="1402"/>
      <c r="GNN11" s="1402"/>
      <c r="GNO11" s="1402"/>
      <c r="GNP11" s="1402"/>
      <c r="GNQ11" s="1402"/>
      <c r="GNR11" s="1402"/>
      <c r="GNS11" s="1402"/>
      <c r="GNT11" s="1402"/>
      <c r="GNU11" s="1402"/>
      <c r="GNV11" s="1402"/>
      <c r="GNW11" s="1402"/>
      <c r="GNX11" s="1402"/>
      <c r="GNY11" s="1402"/>
      <c r="GNZ11" s="1402"/>
      <c r="GOA11" s="1402"/>
      <c r="GOB11" s="1402"/>
      <c r="GOC11" s="1402"/>
      <c r="GOD11" s="1402"/>
      <c r="GOE11" s="1402"/>
      <c r="GOF11" s="1402"/>
      <c r="GOG11" s="1402"/>
      <c r="GOH11" s="1402"/>
      <c r="GOI11" s="1402"/>
      <c r="GOJ11" s="1402"/>
      <c r="GOK11" s="1402"/>
      <c r="GOL11" s="1402"/>
      <c r="GOM11" s="1402"/>
      <c r="GON11" s="1402"/>
      <c r="GOO11" s="1402"/>
      <c r="GOP11" s="1402"/>
      <c r="GOQ11" s="1402"/>
      <c r="GOR11" s="1402"/>
      <c r="GOS11" s="1402"/>
      <c r="GOT11" s="1402"/>
      <c r="GOU11" s="1402"/>
      <c r="GOV11" s="1402"/>
      <c r="GOW11" s="1402"/>
      <c r="GOX11" s="1402"/>
      <c r="GOY11" s="1402"/>
      <c r="GOZ11" s="1402"/>
      <c r="GPA11" s="1402"/>
      <c r="GPB11" s="1402"/>
      <c r="GPC11" s="1402"/>
      <c r="GPD11" s="1402"/>
      <c r="GPE11" s="1402"/>
      <c r="GPF11" s="1402"/>
      <c r="GPG11" s="1402"/>
      <c r="GPH11" s="1402"/>
      <c r="GPI11" s="1402"/>
      <c r="GPJ11" s="1402"/>
      <c r="GPK11" s="1402"/>
      <c r="GPL11" s="1402"/>
      <c r="GPM11" s="1402"/>
      <c r="GPN11" s="1402"/>
      <c r="GPO11" s="1402"/>
      <c r="GPP11" s="1402"/>
      <c r="GPQ11" s="1402"/>
      <c r="GPR11" s="1402"/>
      <c r="GPS11" s="1402"/>
      <c r="GPT11" s="1402"/>
      <c r="GPU11" s="1402"/>
      <c r="GPV11" s="1402"/>
      <c r="GPW11" s="1402"/>
      <c r="GPX11" s="1402"/>
      <c r="GPY11" s="1402"/>
      <c r="GPZ11" s="1402"/>
      <c r="GQA11" s="1402"/>
      <c r="GQB11" s="1402"/>
      <c r="GQC11" s="1402"/>
      <c r="GQD11" s="1402"/>
      <c r="GQE11" s="1402"/>
      <c r="GQF11" s="1402"/>
      <c r="GQG11" s="1402"/>
      <c r="GQH11" s="1402"/>
      <c r="GQI11" s="1402"/>
      <c r="GQJ11" s="1402"/>
      <c r="GQK11" s="1402"/>
      <c r="GQL11" s="1402"/>
      <c r="GQM11" s="1402"/>
      <c r="GQN11" s="1402"/>
      <c r="GQO11" s="1402"/>
      <c r="GQP11" s="1402"/>
      <c r="GQQ11" s="1402"/>
      <c r="GQR11" s="1402"/>
      <c r="GQS11" s="1402"/>
      <c r="GQT11" s="1402"/>
      <c r="GQU11" s="1402"/>
      <c r="GQV11" s="1402"/>
      <c r="GQW11" s="1402"/>
      <c r="GQX11" s="1402"/>
      <c r="GQY11" s="1402"/>
      <c r="GQZ11" s="1402"/>
      <c r="GRA11" s="1402"/>
      <c r="GRB11" s="1402"/>
      <c r="GRC11" s="1402"/>
      <c r="GRD11" s="1402"/>
      <c r="GRE11" s="1402"/>
      <c r="GRF11" s="1402"/>
      <c r="GRG11" s="1402"/>
      <c r="GRH11" s="1402"/>
      <c r="GRI11" s="1402"/>
      <c r="GRJ11" s="1402"/>
      <c r="GRK11" s="1402"/>
      <c r="GRL11" s="1402"/>
      <c r="GRM11" s="1402"/>
      <c r="GRN11" s="1402"/>
      <c r="GRO11" s="1402"/>
      <c r="GRP11" s="1402"/>
      <c r="GRQ11" s="1402"/>
      <c r="GRR11" s="1402"/>
      <c r="GRS11" s="1402"/>
      <c r="GRT11" s="1402"/>
      <c r="GRU11" s="1402"/>
      <c r="GRV11" s="1402"/>
      <c r="GRW11" s="1402"/>
      <c r="GRX11" s="1402"/>
      <c r="GRY11" s="1402"/>
      <c r="GRZ11" s="1402"/>
      <c r="GSA11" s="1402"/>
      <c r="GSB11" s="1402"/>
      <c r="GSC11" s="1402"/>
      <c r="GSD11" s="1402"/>
      <c r="GSE11" s="1402"/>
      <c r="GSF11" s="1402"/>
      <c r="GSG11" s="1402"/>
      <c r="GSH11" s="1402"/>
      <c r="GSI11" s="1402"/>
      <c r="GSJ11" s="1402"/>
      <c r="GSK11" s="1402"/>
      <c r="GSL11" s="1402"/>
      <c r="GSM11" s="1402"/>
      <c r="GSN11" s="1402"/>
      <c r="GSO11" s="1402"/>
      <c r="GSP11" s="1402"/>
      <c r="GSQ11" s="1402"/>
      <c r="GSR11" s="1402"/>
      <c r="GSS11" s="1402"/>
      <c r="GST11" s="1402"/>
      <c r="GSU11" s="1402"/>
      <c r="GSV11" s="1402"/>
      <c r="GSW11" s="1402"/>
      <c r="GSX11" s="1402"/>
      <c r="GSY11" s="1402"/>
      <c r="GSZ11" s="1402"/>
      <c r="GTA11" s="1402"/>
      <c r="GTB11" s="1402"/>
      <c r="GTC11" s="1402"/>
      <c r="GTD11" s="1402"/>
      <c r="GTE11" s="1402"/>
      <c r="GTF11" s="1402"/>
      <c r="GTG11" s="1402"/>
      <c r="GTH11" s="1402"/>
      <c r="GTI11" s="1402"/>
      <c r="GTJ11" s="1402"/>
      <c r="GTK11" s="1402"/>
      <c r="GTL11" s="1402"/>
      <c r="GTM11" s="1402"/>
      <c r="GTN11" s="1402"/>
      <c r="GTO11" s="1402"/>
      <c r="GTP11" s="1402"/>
      <c r="GTQ11" s="1402"/>
      <c r="GTR11" s="1402"/>
      <c r="GTS11" s="1402"/>
      <c r="GTT11" s="1402"/>
      <c r="GTU11" s="1402"/>
      <c r="GTV11" s="1402"/>
      <c r="GTW11" s="1402"/>
      <c r="GTX11" s="1402"/>
      <c r="GTY11" s="1402"/>
      <c r="GTZ11" s="1402"/>
      <c r="GUA11" s="1402"/>
      <c r="GUB11" s="1402"/>
      <c r="GUC11" s="1402"/>
      <c r="GUD11" s="1402"/>
      <c r="GUE11" s="1402"/>
      <c r="GUF11" s="1402"/>
      <c r="GUG11" s="1402"/>
      <c r="GUH11" s="1402"/>
      <c r="GUI11" s="1402"/>
      <c r="GUJ11" s="1402"/>
      <c r="GUK11" s="1402"/>
      <c r="GUL11" s="1402"/>
      <c r="GUM11" s="1402"/>
      <c r="GUN11" s="1402"/>
      <c r="GUO11" s="1402"/>
      <c r="GUP11" s="1402"/>
      <c r="GUQ11" s="1402"/>
      <c r="GUR11" s="1402"/>
      <c r="GUS11" s="1402"/>
      <c r="GUT11" s="1402"/>
      <c r="GUU11" s="1402"/>
      <c r="GUV11" s="1402"/>
      <c r="GUW11" s="1402"/>
      <c r="GUX11" s="1402"/>
      <c r="GUY11" s="1402"/>
      <c r="GUZ11" s="1402"/>
      <c r="GVA11" s="1402"/>
      <c r="GVB11" s="1402"/>
      <c r="GVC11" s="1402"/>
      <c r="GVD11" s="1402"/>
      <c r="GVE11" s="1402"/>
      <c r="GVF11" s="1402"/>
      <c r="GVG11" s="1402"/>
      <c r="GVH11" s="1402"/>
      <c r="GVI11" s="1402"/>
      <c r="GVJ11" s="1402"/>
      <c r="GVK11" s="1402"/>
      <c r="GVL11" s="1402"/>
      <c r="GVM11" s="1402"/>
      <c r="GVN11" s="1402"/>
      <c r="GVO11" s="1402"/>
      <c r="GVP11" s="1402"/>
      <c r="GVQ11" s="1402"/>
      <c r="GVR11" s="1402"/>
      <c r="GVS11" s="1402"/>
      <c r="GVT11" s="1402"/>
      <c r="GVU11" s="1402"/>
      <c r="GVV11" s="1402"/>
      <c r="GVW11" s="1402"/>
      <c r="GVX11" s="1402"/>
      <c r="GVY11" s="1402"/>
      <c r="GVZ11" s="1402"/>
      <c r="GWA11" s="1402"/>
      <c r="GWB11" s="1402"/>
      <c r="GWC11" s="1402"/>
      <c r="GWD11" s="1402"/>
      <c r="GWE11" s="1402"/>
      <c r="GWF11" s="1402"/>
      <c r="GWG11" s="1402"/>
      <c r="GWH11" s="1402"/>
      <c r="GWI11" s="1402"/>
      <c r="GWJ11" s="1402"/>
      <c r="GWK11" s="1402"/>
      <c r="GWL11" s="1402"/>
      <c r="GWM11" s="1402"/>
      <c r="GWN11" s="1402"/>
      <c r="GWO11" s="1402"/>
      <c r="GWP11" s="1402"/>
      <c r="GWQ11" s="1402"/>
      <c r="GWR11" s="1402"/>
      <c r="GWS11" s="1402"/>
      <c r="GWT11" s="1402"/>
      <c r="GWU11" s="1402"/>
      <c r="GWV11" s="1402"/>
      <c r="GWW11" s="1402"/>
      <c r="GWX11" s="1402"/>
      <c r="GWY11" s="1402"/>
      <c r="GWZ11" s="1402"/>
      <c r="GXA11" s="1402"/>
      <c r="GXB11" s="1402"/>
      <c r="GXC11" s="1402"/>
      <c r="GXD11" s="1402"/>
      <c r="GXE11" s="1402"/>
      <c r="GXF11" s="1402"/>
      <c r="GXG11" s="1402"/>
      <c r="GXH11" s="1402"/>
      <c r="GXI11" s="1402"/>
      <c r="GXJ11" s="1402"/>
      <c r="GXK11" s="1402"/>
      <c r="GXL11" s="1402"/>
      <c r="GXM11" s="1402"/>
      <c r="GXN11" s="1402"/>
      <c r="GXO11" s="1402"/>
      <c r="GXP11" s="1402"/>
      <c r="GXQ11" s="1402"/>
      <c r="GXR11" s="1402"/>
      <c r="GXS11" s="1402"/>
      <c r="GXT11" s="1402"/>
      <c r="GXU11" s="1402"/>
      <c r="GXV11" s="1402"/>
      <c r="GXW11" s="1402"/>
      <c r="GXX11" s="1402"/>
      <c r="GXY11" s="1402"/>
      <c r="GXZ11" s="1402"/>
      <c r="GYA11" s="1402"/>
      <c r="GYB11" s="1402"/>
      <c r="GYC11" s="1402"/>
      <c r="GYD11" s="1402"/>
      <c r="GYE11" s="1402"/>
      <c r="GYF11" s="1402"/>
      <c r="GYG11" s="1402"/>
      <c r="GYH11" s="1402"/>
      <c r="GYI11" s="1402"/>
      <c r="GYJ11" s="1402"/>
      <c r="GYK11" s="1402"/>
      <c r="GYL11" s="1402"/>
      <c r="GYM11" s="1402"/>
      <c r="GYN11" s="1402"/>
      <c r="GYO11" s="1402"/>
      <c r="GYP11" s="1402"/>
      <c r="GYQ11" s="1402"/>
      <c r="GYR11" s="1402"/>
      <c r="GYS11" s="1402"/>
      <c r="GYT11" s="1402"/>
      <c r="GYU11" s="1402"/>
      <c r="GYV11" s="1402"/>
      <c r="GYW11" s="1402"/>
      <c r="GYX11" s="1402"/>
      <c r="GYY11" s="1402"/>
      <c r="GYZ11" s="1402"/>
      <c r="GZA11" s="1402"/>
      <c r="GZB11" s="1402"/>
      <c r="GZC11" s="1402"/>
      <c r="GZD11" s="1402"/>
      <c r="GZE11" s="1402"/>
      <c r="GZF11" s="1402"/>
      <c r="GZG11" s="1402"/>
      <c r="GZH11" s="1402"/>
      <c r="GZI11" s="1402"/>
      <c r="GZJ11" s="1402"/>
      <c r="GZK11" s="1402"/>
      <c r="GZL11" s="1402"/>
      <c r="GZM11" s="1402"/>
      <c r="GZN11" s="1402"/>
      <c r="GZO11" s="1402"/>
      <c r="GZP11" s="1402"/>
      <c r="GZQ11" s="1402"/>
      <c r="GZR11" s="1402"/>
      <c r="GZS11" s="1402"/>
      <c r="GZT11" s="1402"/>
      <c r="GZU11" s="1402"/>
      <c r="GZV11" s="1402"/>
      <c r="GZW11" s="1402"/>
      <c r="GZX11" s="1402"/>
      <c r="GZY11" s="1402"/>
      <c r="GZZ11" s="1402"/>
      <c r="HAA11" s="1402"/>
      <c r="HAB11" s="1402"/>
      <c r="HAC11" s="1402"/>
      <c r="HAD11" s="1402"/>
      <c r="HAE11" s="1402"/>
      <c r="HAF11" s="1402"/>
      <c r="HAG11" s="1402"/>
      <c r="HAH11" s="1402"/>
      <c r="HAI11" s="1402"/>
      <c r="HAJ11" s="1402"/>
      <c r="HAK11" s="1402"/>
      <c r="HAL11" s="1402"/>
      <c r="HAM11" s="1402"/>
      <c r="HAN11" s="1402"/>
      <c r="HAO11" s="1402"/>
      <c r="HAP11" s="1402"/>
      <c r="HAQ11" s="1402"/>
      <c r="HAR11" s="1402"/>
      <c r="HAS11" s="1402"/>
      <c r="HAT11" s="1402"/>
      <c r="HAU11" s="1402"/>
      <c r="HAV11" s="1402"/>
      <c r="HAW11" s="1402"/>
      <c r="HAX11" s="1402"/>
      <c r="HAY11" s="1402"/>
      <c r="HAZ11" s="1402"/>
      <c r="HBA11" s="1402"/>
      <c r="HBB11" s="1402"/>
      <c r="HBC11" s="1402"/>
      <c r="HBD11" s="1402"/>
      <c r="HBE11" s="1402"/>
      <c r="HBF11" s="1402"/>
      <c r="HBG11" s="1402"/>
      <c r="HBH11" s="1402"/>
      <c r="HBI11" s="1402"/>
      <c r="HBJ11" s="1402"/>
      <c r="HBK11" s="1402"/>
      <c r="HBL11" s="1402"/>
      <c r="HBM11" s="1402"/>
      <c r="HBN11" s="1402"/>
      <c r="HBO11" s="1402"/>
      <c r="HBP11" s="1402"/>
      <c r="HBQ11" s="1402"/>
      <c r="HBR11" s="1402"/>
      <c r="HBS11" s="1402"/>
      <c r="HBT11" s="1402"/>
      <c r="HBU11" s="1402"/>
      <c r="HBV11" s="1402"/>
      <c r="HBW11" s="1402"/>
      <c r="HBX11" s="1402"/>
      <c r="HBY11" s="1402"/>
      <c r="HBZ11" s="1402"/>
      <c r="HCA11" s="1402"/>
      <c r="HCB11" s="1402"/>
      <c r="HCC11" s="1402"/>
      <c r="HCD11" s="1402"/>
      <c r="HCE11" s="1402"/>
      <c r="HCF11" s="1402"/>
      <c r="HCG11" s="1402"/>
      <c r="HCH11" s="1402"/>
      <c r="HCI11" s="1402"/>
      <c r="HCJ11" s="1402"/>
      <c r="HCK11" s="1402"/>
      <c r="HCL11" s="1402"/>
      <c r="HCM11" s="1402"/>
      <c r="HCN11" s="1402"/>
      <c r="HCO11" s="1402"/>
      <c r="HCP11" s="1402"/>
      <c r="HCQ11" s="1402"/>
      <c r="HCR11" s="1402"/>
      <c r="HCS11" s="1402"/>
      <c r="HCT11" s="1402"/>
      <c r="HCU11" s="1402"/>
      <c r="HCV11" s="1402"/>
      <c r="HCW11" s="1402"/>
      <c r="HCX11" s="1402"/>
      <c r="HCY11" s="1402"/>
      <c r="HCZ11" s="1402"/>
      <c r="HDA11" s="1402"/>
      <c r="HDB11" s="1402"/>
      <c r="HDC11" s="1402"/>
      <c r="HDD11" s="1402"/>
      <c r="HDE11" s="1402"/>
      <c r="HDF11" s="1402"/>
      <c r="HDG11" s="1402"/>
      <c r="HDH11" s="1402"/>
      <c r="HDI11" s="1402"/>
      <c r="HDJ11" s="1402"/>
      <c r="HDK11" s="1402"/>
      <c r="HDL11" s="1402"/>
      <c r="HDM11" s="1402"/>
      <c r="HDN11" s="1402"/>
      <c r="HDO11" s="1402"/>
      <c r="HDP11" s="1402"/>
      <c r="HDQ11" s="1402"/>
      <c r="HDR11" s="1402"/>
      <c r="HDS11" s="1402"/>
      <c r="HDT11" s="1402"/>
      <c r="HDU11" s="1402"/>
      <c r="HDV11" s="1402"/>
      <c r="HDW11" s="1402"/>
      <c r="HDX11" s="1402"/>
      <c r="HDY11" s="1402"/>
      <c r="HDZ11" s="1402"/>
      <c r="HEA11" s="1402"/>
      <c r="HEB11" s="1402"/>
      <c r="HEC11" s="1402"/>
      <c r="HED11" s="1402"/>
      <c r="HEE11" s="1402"/>
      <c r="HEF11" s="1402"/>
      <c r="HEG11" s="1402"/>
      <c r="HEH11" s="1402"/>
      <c r="HEI11" s="1402"/>
      <c r="HEJ11" s="1402"/>
      <c r="HEK11" s="1402"/>
      <c r="HEL11" s="1402"/>
      <c r="HEM11" s="1402"/>
      <c r="HEN11" s="1402"/>
      <c r="HEO11" s="1402"/>
      <c r="HEP11" s="1402"/>
      <c r="HEQ11" s="1402"/>
      <c r="HER11" s="1402"/>
      <c r="HES11" s="1402"/>
      <c r="HET11" s="1402"/>
      <c r="HEU11" s="1402"/>
      <c r="HEV11" s="1402"/>
      <c r="HEW11" s="1402"/>
      <c r="HEX11" s="1402"/>
      <c r="HEY11" s="1402"/>
      <c r="HEZ11" s="1402"/>
      <c r="HFA11" s="1402"/>
      <c r="HFB11" s="1402"/>
      <c r="HFC11" s="1402"/>
      <c r="HFD11" s="1402"/>
      <c r="HFE11" s="1402"/>
      <c r="HFF11" s="1402"/>
      <c r="HFG11" s="1402"/>
      <c r="HFH11" s="1402"/>
      <c r="HFI11" s="1402"/>
      <c r="HFJ11" s="1402"/>
      <c r="HFK11" s="1402"/>
      <c r="HFL11" s="1402"/>
      <c r="HFM11" s="1402"/>
      <c r="HFN11" s="1402"/>
      <c r="HFO11" s="1402"/>
      <c r="HFP11" s="1402"/>
      <c r="HFQ11" s="1402"/>
      <c r="HFR11" s="1402"/>
      <c r="HFS11" s="1402"/>
      <c r="HFT11" s="1402"/>
      <c r="HFU11" s="1402"/>
      <c r="HFV11" s="1402"/>
      <c r="HFW11" s="1402"/>
      <c r="HFX11" s="1402"/>
      <c r="HFY11" s="1402"/>
      <c r="HFZ11" s="1402"/>
      <c r="HGA11" s="1402"/>
      <c r="HGB11" s="1402"/>
      <c r="HGC11" s="1402"/>
      <c r="HGD11" s="1402"/>
      <c r="HGE11" s="1402"/>
      <c r="HGF11" s="1402"/>
      <c r="HGG11" s="1402"/>
      <c r="HGH11" s="1402"/>
      <c r="HGI11" s="1402"/>
      <c r="HGJ11" s="1402"/>
      <c r="HGK11" s="1402"/>
      <c r="HGL11" s="1402"/>
      <c r="HGM11" s="1402"/>
      <c r="HGN11" s="1402"/>
      <c r="HGO11" s="1402"/>
      <c r="HGP11" s="1402"/>
      <c r="HGQ11" s="1402"/>
      <c r="HGR11" s="1402"/>
      <c r="HGS11" s="1402"/>
      <c r="HGT11" s="1402"/>
      <c r="HGU11" s="1402"/>
      <c r="HGV11" s="1402"/>
      <c r="HGW11" s="1402"/>
      <c r="HGX11" s="1402"/>
      <c r="HGY11" s="1402"/>
      <c r="HGZ11" s="1402"/>
      <c r="HHA11" s="1402"/>
      <c r="HHB11" s="1402"/>
      <c r="HHC11" s="1402"/>
      <c r="HHD11" s="1402"/>
      <c r="HHE11" s="1402"/>
      <c r="HHF11" s="1402"/>
      <c r="HHG11" s="1402"/>
      <c r="HHH11" s="1402"/>
      <c r="HHI11" s="1402"/>
      <c r="HHJ11" s="1402"/>
      <c r="HHK11" s="1402"/>
      <c r="HHL11" s="1402"/>
      <c r="HHM11" s="1402"/>
      <c r="HHN11" s="1402"/>
      <c r="HHO11" s="1402"/>
      <c r="HHP11" s="1402"/>
      <c r="HHQ11" s="1402"/>
      <c r="HHR11" s="1402"/>
      <c r="HHS11" s="1402"/>
      <c r="HHT11" s="1402"/>
      <c r="HHU11" s="1402"/>
      <c r="HHV11" s="1402"/>
      <c r="HHW11" s="1402"/>
      <c r="HHX11" s="1402"/>
      <c r="HHY11" s="1402"/>
      <c r="HHZ11" s="1402"/>
      <c r="HIA11" s="1402"/>
      <c r="HIB11" s="1402"/>
      <c r="HIC11" s="1402"/>
      <c r="HID11" s="1402"/>
      <c r="HIE11" s="1402"/>
      <c r="HIF11" s="1402"/>
      <c r="HIG11" s="1402"/>
      <c r="HIH11" s="1402"/>
      <c r="HII11" s="1402"/>
      <c r="HIJ11" s="1402"/>
      <c r="HIK11" s="1402"/>
      <c r="HIL11" s="1402"/>
      <c r="HIM11" s="1402"/>
      <c r="HIN11" s="1402"/>
      <c r="HIO11" s="1402"/>
      <c r="HIP11" s="1402"/>
      <c r="HIQ11" s="1402"/>
      <c r="HIR11" s="1402"/>
      <c r="HIS11" s="1402"/>
      <c r="HIT11" s="1402"/>
      <c r="HIU11" s="1402"/>
      <c r="HIV11" s="1402"/>
      <c r="HIW11" s="1402"/>
      <c r="HIX11" s="1402"/>
      <c r="HIY11" s="1402"/>
      <c r="HIZ11" s="1402"/>
      <c r="HJA11" s="1402"/>
      <c r="HJB11" s="1402"/>
      <c r="HJC11" s="1402"/>
      <c r="HJD11" s="1402"/>
      <c r="HJE11" s="1402"/>
      <c r="HJF11" s="1402"/>
      <c r="HJG11" s="1402"/>
      <c r="HJH11" s="1402"/>
      <c r="HJI11" s="1402"/>
      <c r="HJJ11" s="1402"/>
      <c r="HJK11" s="1402"/>
      <c r="HJL11" s="1402"/>
      <c r="HJM11" s="1402"/>
      <c r="HJN11" s="1402"/>
      <c r="HJO11" s="1402"/>
      <c r="HJP11" s="1402"/>
      <c r="HJQ11" s="1402"/>
      <c r="HJR11" s="1402"/>
      <c r="HJS11" s="1402"/>
      <c r="HJT11" s="1402"/>
      <c r="HJU11" s="1402"/>
      <c r="HJV11" s="1402"/>
      <c r="HJW11" s="1402"/>
      <c r="HJX11" s="1402"/>
      <c r="HJY11" s="1402"/>
      <c r="HJZ11" s="1402"/>
      <c r="HKA11" s="1402"/>
      <c r="HKB11" s="1402"/>
      <c r="HKC11" s="1402"/>
      <c r="HKD11" s="1402"/>
      <c r="HKE11" s="1402"/>
      <c r="HKF11" s="1402"/>
      <c r="HKG11" s="1402"/>
      <c r="HKH11" s="1402"/>
      <c r="HKI11" s="1402"/>
      <c r="HKJ11" s="1402"/>
      <c r="HKK11" s="1402"/>
      <c r="HKL11" s="1402"/>
      <c r="HKM11" s="1402"/>
      <c r="HKN11" s="1402"/>
      <c r="HKO11" s="1402"/>
      <c r="HKP11" s="1402"/>
      <c r="HKQ11" s="1402"/>
      <c r="HKR11" s="1402"/>
      <c r="HKS11" s="1402"/>
      <c r="HKT11" s="1402"/>
      <c r="HKU11" s="1402"/>
      <c r="HKV11" s="1402"/>
      <c r="HKW11" s="1402"/>
      <c r="HKX11" s="1402"/>
      <c r="HKY11" s="1402"/>
      <c r="HKZ11" s="1402"/>
      <c r="HLA11" s="1402"/>
      <c r="HLB11" s="1402"/>
      <c r="HLC11" s="1402"/>
      <c r="HLD11" s="1402"/>
      <c r="HLE11" s="1402"/>
      <c r="HLF11" s="1402"/>
      <c r="HLG11" s="1402"/>
      <c r="HLH11" s="1402"/>
      <c r="HLI11" s="1402"/>
      <c r="HLJ11" s="1402"/>
      <c r="HLK11" s="1402"/>
      <c r="HLL11" s="1402"/>
      <c r="HLM11" s="1402"/>
      <c r="HLN11" s="1402"/>
      <c r="HLO11" s="1402"/>
      <c r="HLP11" s="1402"/>
      <c r="HLQ11" s="1402"/>
      <c r="HLR11" s="1402"/>
      <c r="HLS11" s="1402"/>
      <c r="HLT11" s="1402"/>
      <c r="HLU11" s="1402"/>
      <c r="HLV11" s="1402"/>
      <c r="HLW11" s="1402"/>
      <c r="HLX11" s="1402"/>
      <c r="HLY11" s="1402"/>
      <c r="HLZ11" s="1402"/>
      <c r="HMA11" s="1402"/>
      <c r="HMB11" s="1402"/>
      <c r="HMC11" s="1402"/>
      <c r="HMD11" s="1402"/>
      <c r="HME11" s="1402"/>
      <c r="HMF11" s="1402"/>
      <c r="HMG11" s="1402"/>
      <c r="HMH11" s="1402"/>
      <c r="HMI11" s="1402"/>
      <c r="HMJ11" s="1402"/>
      <c r="HMK11" s="1402"/>
      <c r="HML11" s="1402"/>
      <c r="HMM11" s="1402"/>
      <c r="HMN11" s="1402"/>
      <c r="HMO11" s="1402"/>
      <c r="HMP11" s="1402"/>
      <c r="HMQ11" s="1402"/>
      <c r="HMR11" s="1402"/>
      <c r="HMS11" s="1402"/>
      <c r="HMT11" s="1402"/>
      <c r="HMU11" s="1402"/>
      <c r="HMV11" s="1402"/>
      <c r="HMW11" s="1402"/>
      <c r="HMX11" s="1402"/>
      <c r="HMY11" s="1402"/>
      <c r="HMZ11" s="1402"/>
      <c r="HNA11" s="1402"/>
      <c r="HNB11" s="1402"/>
      <c r="HNC11" s="1402"/>
      <c r="HND11" s="1402"/>
      <c r="HNE11" s="1402"/>
      <c r="HNF11" s="1402"/>
      <c r="HNG11" s="1402"/>
      <c r="HNH11" s="1402"/>
      <c r="HNI11" s="1402"/>
      <c r="HNJ11" s="1402"/>
      <c r="HNK11" s="1402"/>
      <c r="HNL11" s="1402"/>
      <c r="HNM11" s="1402"/>
      <c r="HNN11" s="1402"/>
      <c r="HNO11" s="1402"/>
      <c r="HNP11" s="1402"/>
      <c r="HNQ11" s="1402"/>
      <c r="HNR11" s="1402"/>
      <c r="HNS11" s="1402"/>
      <c r="HNT11" s="1402"/>
      <c r="HNU11" s="1402"/>
      <c r="HNV11" s="1402"/>
      <c r="HNW11" s="1402"/>
      <c r="HNX11" s="1402"/>
      <c r="HNY11" s="1402"/>
      <c r="HNZ11" s="1402"/>
      <c r="HOA11" s="1402"/>
      <c r="HOB11" s="1402"/>
      <c r="HOC11" s="1402"/>
      <c r="HOD11" s="1402"/>
      <c r="HOE11" s="1402"/>
      <c r="HOF11" s="1402"/>
      <c r="HOG11" s="1402"/>
      <c r="HOH11" s="1402"/>
      <c r="HOI11" s="1402"/>
      <c r="HOJ11" s="1402"/>
      <c r="HOK11" s="1402"/>
      <c r="HOL11" s="1402"/>
      <c r="HOM11" s="1402"/>
      <c r="HON11" s="1402"/>
      <c r="HOO11" s="1402"/>
      <c r="HOP11" s="1402"/>
      <c r="HOQ11" s="1402"/>
      <c r="HOR11" s="1402"/>
      <c r="HOS11" s="1402"/>
      <c r="HOT11" s="1402"/>
      <c r="HOU11" s="1402"/>
      <c r="HOV11" s="1402"/>
      <c r="HOW11" s="1402"/>
      <c r="HOX11" s="1402"/>
      <c r="HOY11" s="1402"/>
      <c r="HOZ11" s="1402"/>
      <c r="HPA11" s="1402"/>
      <c r="HPB11" s="1402"/>
      <c r="HPC11" s="1402"/>
      <c r="HPD11" s="1402"/>
      <c r="HPE11" s="1402"/>
      <c r="HPF11" s="1402"/>
      <c r="HPG11" s="1402"/>
      <c r="HPH11" s="1402"/>
      <c r="HPI11" s="1402"/>
      <c r="HPJ11" s="1402"/>
      <c r="HPK11" s="1402"/>
      <c r="HPL11" s="1402"/>
      <c r="HPM11" s="1402"/>
      <c r="HPN11" s="1402"/>
      <c r="HPO11" s="1402"/>
      <c r="HPP11" s="1402"/>
      <c r="HPQ11" s="1402"/>
      <c r="HPR11" s="1402"/>
      <c r="HPS11" s="1402"/>
      <c r="HPT11" s="1402"/>
      <c r="HPU11" s="1402"/>
      <c r="HPV11" s="1402"/>
      <c r="HPW11" s="1402"/>
      <c r="HPX11" s="1402"/>
      <c r="HPY11" s="1402"/>
      <c r="HPZ11" s="1402"/>
      <c r="HQA11" s="1402"/>
      <c r="HQB11" s="1402"/>
      <c r="HQC11" s="1402"/>
      <c r="HQD11" s="1402"/>
      <c r="HQE11" s="1402"/>
      <c r="HQF11" s="1402"/>
      <c r="HQG11" s="1402"/>
      <c r="HQH11" s="1402"/>
      <c r="HQI11" s="1402"/>
      <c r="HQJ11" s="1402"/>
      <c r="HQK11" s="1402"/>
      <c r="HQL11" s="1402"/>
      <c r="HQM11" s="1402"/>
      <c r="HQN11" s="1402"/>
      <c r="HQO11" s="1402"/>
      <c r="HQP11" s="1402"/>
      <c r="HQQ11" s="1402"/>
      <c r="HQR11" s="1402"/>
      <c r="HQS11" s="1402"/>
      <c r="HQT11" s="1402"/>
      <c r="HQU11" s="1402"/>
      <c r="HQV11" s="1402"/>
      <c r="HQW11" s="1402"/>
      <c r="HQX11" s="1402"/>
      <c r="HQY11" s="1402"/>
      <c r="HQZ11" s="1402"/>
      <c r="HRA11" s="1402"/>
      <c r="HRB11" s="1402"/>
      <c r="HRC11" s="1402"/>
      <c r="HRD11" s="1402"/>
      <c r="HRE11" s="1402"/>
      <c r="HRF11" s="1402"/>
      <c r="HRG11" s="1402"/>
      <c r="HRH11" s="1402"/>
      <c r="HRI11" s="1402"/>
      <c r="HRJ11" s="1402"/>
      <c r="HRK11" s="1402"/>
      <c r="HRL11" s="1402"/>
      <c r="HRM11" s="1402"/>
      <c r="HRN11" s="1402"/>
      <c r="HRO11" s="1402"/>
      <c r="HRP11" s="1402"/>
      <c r="HRQ11" s="1402"/>
      <c r="HRR11" s="1402"/>
      <c r="HRS11" s="1402"/>
      <c r="HRT11" s="1402"/>
      <c r="HRU11" s="1402"/>
      <c r="HRV11" s="1402"/>
      <c r="HRW11" s="1402"/>
      <c r="HRX11" s="1402"/>
      <c r="HRY11" s="1402"/>
      <c r="HRZ11" s="1402"/>
      <c r="HSA11" s="1402"/>
      <c r="HSB11" s="1402"/>
      <c r="HSC11" s="1402"/>
      <c r="HSD11" s="1402"/>
      <c r="HSE11" s="1402"/>
      <c r="HSF11" s="1402"/>
      <c r="HSG11" s="1402"/>
      <c r="HSH11" s="1402"/>
      <c r="HSI11" s="1402"/>
      <c r="HSJ11" s="1402"/>
      <c r="HSK11" s="1402"/>
      <c r="HSL11" s="1402"/>
      <c r="HSM11" s="1402"/>
      <c r="HSN11" s="1402"/>
      <c r="HSO11" s="1402"/>
      <c r="HSP11" s="1402"/>
      <c r="HSQ11" s="1402"/>
      <c r="HSR11" s="1402"/>
      <c r="HSS11" s="1402"/>
      <c r="HST11" s="1402"/>
      <c r="HSU11" s="1402"/>
      <c r="HSV11" s="1402"/>
      <c r="HSW11" s="1402"/>
      <c r="HSX11" s="1402"/>
      <c r="HSY11" s="1402"/>
      <c r="HSZ11" s="1402"/>
      <c r="HTA11" s="1402"/>
      <c r="HTB11" s="1402"/>
      <c r="HTC11" s="1402"/>
      <c r="HTD11" s="1402"/>
      <c r="HTE11" s="1402"/>
      <c r="HTF11" s="1402"/>
      <c r="HTG11" s="1402"/>
      <c r="HTH11" s="1402"/>
      <c r="HTI11" s="1402"/>
      <c r="HTJ11" s="1402"/>
      <c r="HTK11" s="1402"/>
      <c r="HTL11" s="1402"/>
      <c r="HTM11" s="1402"/>
      <c r="HTN11" s="1402"/>
      <c r="HTO11" s="1402"/>
      <c r="HTP11" s="1402"/>
      <c r="HTQ11" s="1402"/>
      <c r="HTR11" s="1402"/>
      <c r="HTS11" s="1402"/>
      <c r="HTT11" s="1402"/>
      <c r="HTU11" s="1402"/>
      <c r="HTV11" s="1402"/>
      <c r="HTW11" s="1402"/>
      <c r="HTX11" s="1402"/>
      <c r="HTY11" s="1402"/>
      <c r="HTZ11" s="1402"/>
      <c r="HUA11" s="1402"/>
      <c r="HUB11" s="1402"/>
      <c r="HUC11" s="1402"/>
      <c r="HUD11" s="1402"/>
      <c r="HUE11" s="1402"/>
      <c r="HUF11" s="1402"/>
      <c r="HUG11" s="1402"/>
      <c r="HUH11" s="1402"/>
      <c r="HUI11" s="1402"/>
      <c r="HUJ11" s="1402"/>
      <c r="HUK11" s="1402"/>
      <c r="HUL11" s="1402"/>
      <c r="HUM11" s="1402"/>
      <c r="HUN11" s="1402"/>
      <c r="HUO11" s="1402"/>
      <c r="HUP11" s="1402"/>
      <c r="HUQ11" s="1402"/>
      <c r="HUR11" s="1402"/>
      <c r="HUS11" s="1402"/>
      <c r="HUT11" s="1402"/>
      <c r="HUU11" s="1402"/>
      <c r="HUV11" s="1402"/>
      <c r="HUW11" s="1402"/>
      <c r="HUX11" s="1402"/>
      <c r="HUY11" s="1402"/>
      <c r="HUZ11" s="1402"/>
      <c r="HVA11" s="1402"/>
      <c r="HVB11" s="1402"/>
      <c r="HVC11" s="1402"/>
      <c r="HVD11" s="1402"/>
      <c r="HVE11" s="1402"/>
      <c r="HVF11" s="1402"/>
      <c r="HVG11" s="1402"/>
      <c r="HVH11" s="1402"/>
      <c r="HVI11" s="1402"/>
      <c r="HVJ11" s="1402"/>
      <c r="HVK11" s="1402"/>
      <c r="HVL11" s="1402"/>
      <c r="HVM11" s="1402"/>
      <c r="HVN11" s="1402"/>
      <c r="HVO11" s="1402"/>
      <c r="HVP11" s="1402"/>
      <c r="HVQ11" s="1402"/>
      <c r="HVR11" s="1402"/>
      <c r="HVS11" s="1402"/>
      <c r="HVT11" s="1402"/>
      <c r="HVU11" s="1402"/>
      <c r="HVV11" s="1402"/>
      <c r="HVW11" s="1402"/>
      <c r="HVX11" s="1402"/>
      <c r="HVY11" s="1402"/>
      <c r="HVZ11" s="1402"/>
      <c r="HWA11" s="1402"/>
      <c r="HWB11" s="1402"/>
      <c r="HWC11" s="1402"/>
      <c r="HWD11" s="1402"/>
      <c r="HWE11" s="1402"/>
      <c r="HWF11" s="1402"/>
      <c r="HWG11" s="1402"/>
      <c r="HWH11" s="1402"/>
      <c r="HWI11" s="1402"/>
      <c r="HWJ11" s="1402"/>
      <c r="HWK11" s="1402"/>
      <c r="HWL11" s="1402"/>
      <c r="HWM11" s="1402"/>
      <c r="HWN11" s="1402"/>
      <c r="HWO11" s="1402"/>
      <c r="HWP11" s="1402"/>
      <c r="HWQ11" s="1402"/>
      <c r="HWR11" s="1402"/>
      <c r="HWS11" s="1402"/>
      <c r="HWT11" s="1402"/>
      <c r="HWU11" s="1402"/>
      <c r="HWV11" s="1402"/>
      <c r="HWW11" s="1402"/>
      <c r="HWX11" s="1402"/>
      <c r="HWY11" s="1402"/>
      <c r="HWZ11" s="1402"/>
      <c r="HXA11" s="1402"/>
      <c r="HXB11" s="1402"/>
      <c r="HXC11" s="1402"/>
      <c r="HXD11" s="1402"/>
      <c r="HXE11" s="1402"/>
      <c r="HXF11" s="1402"/>
      <c r="HXG11" s="1402"/>
      <c r="HXH11" s="1402"/>
      <c r="HXI11" s="1402"/>
      <c r="HXJ11" s="1402"/>
      <c r="HXK11" s="1402"/>
      <c r="HXL11" s="1402"/>
      <c r="HXM11" s="1402"/>
      <c r="HXN11" s="1402"/>
      <c r="HXO11" s="1402"/>
      <c r="HXP11" s="1402"/>
      <c r="HXQ11" s="1402"/>
      <c r="HXR11" s="1402"/>
      <c r="HXS11" s="1402"/>
      <c r="HXT11" s="1402"/>
      <c r="HXU11" s="1402"/>
      <c r="HXV11" s="1402"/>
      <c r="HXW11" s="1402"/>
      <c r="HXX11" s="1402"/>
      <c r="HXY11" s="1402"/>
      <c r="HXZ11" s="1402"/>
      <c r="HYA11" s="1402"/>
      <c r="HYB11" s="1402"/>
      <c r="HYC11" s="1402"/>
      <c r="HYD11" s="1402"/>
      <c r="HYE11" s="1402"/>
      <c r="HYF11" s="1402"/>
      <c r="HYG11" s="1402"/>
      <c r="HYH11" s="1402"/>
      <c r="HYI11" s="1402"/>
      <c r="HYJ11" s="1402"/>
      <c r="HYK11" s="1402"/>
      <c r="HYL11" s="1402"/>
      <c r="HYM11" s="1402"/>
      <c r="HYN11" s="1402"/>
      <c r="HYO11" s="1402"/>
      <c r="HYP11" s="1402"/>
      <c r="HYQ11" s="1402"/>
      <c r="HYR11" s="1402"/>
      <c r="HYS11" s="1402"/>
      <c r="HYT11" s="1402"/>
      <c r="HYU11" s="1402"/>
      <c r="HYV11" s="1402"/>
      <c r="HYW11" s="1402"/>
      <c r="HYX11" s="1402"/>
      <c r="HYY11" s="1402"/>
      <c r="HYZ11" s="1402"/>
      <c r="HZA11" s="1402"/>
      <c r="HZB11" s="1402"/>
      <c r="HZC11" s="1402"/>
      <c r="HZD11" s="1402"/>
      <c r="HZE11" s="1402"/>
      <c r="HZF11" s="1402"/>
      <c r="HZG11" s="1402"/>
      <c r="HZH11" s="1402"/>
      <c r="HZI11" s="1402"/>
      <c r="HZJ11" s="1402"/>
      <c r="HZK11" s="1402"/>
      <c r="HZL11" s="1402"/>
      <c r="HZM11" s="1402"/>
      <c r="HZN11" s="1402"/>
      <c r="HZO11" s="1402"/>
      <c r="HZP11" s="1402"/>
      <c r="HZQ11" s="1402"/>
      <c r="HZR11" s="1402"/>
      <c r="HZS11" s="1402"/>
      <c r="HZT11" s="1402"/>
      <c r="HZU11" s="1402"/>
      <c r="HZV11" s="1402"/>
      <c r="HZW11" s="1402"/>
      <c r="HZX11" s="1402"/>
      <c r="HZY11" s="1402"/>
      <c r="HZZ11" s="1402"/>
      <c r="IAA11" s="1402"/>
      <c r="IAB11" s="1402"/>
      <c r="IAC11" s="1402"/>
      <c r="IAD11" s="1402"/>
      <c r="IAE11" s="1402"/>
      <c r="IAF11" s="1402"/>
      <c r="IAG11" s="1402"/>
      <c r="IAH11" s="1402"/>
      <c r="IAI11" s="1402"/>
      <c r="IAJ11" s="1402"/>
      <c r="IAK11" s="1402"/>
      <c r="IAL11" s="1402"/>
      <c r="IAM11" s="1402"/>
      <c r="IAN11" s="1402"/>
      <c r="IAO11" s="1402"/>
      <c r="IAP11" s="1402"/>
      <c r="IAQ11" s="1402"/>
      <c r="IAR11" s="1402"/>
      <c r="IAS11" s="1402"/>
      <c r="IAT11" s="1402"/>
      <c r="IAU11" s="1402"/>
      <c r="IAV11" s="1402"/>
      <c r="IAW11" s="1402"/>
      <c r="IAX11" s="1402"/>
      <c r="IAY11" s="1402"/>
      <c r="IAZ11" s="1402"/>
      <c r="IBA11" s="1402"/>
      <c r="IBB11" s="1402"/>
      <c r="IBC11" s="1402"/>
      <c r="IBD11" s="1402"/>
      <c r="IBE11" s="1402"/>
      <c r="IBF11" s="1402"/>
      <c r="IBG11" s="1402"/>
      <c r="IBH11" s="1402"/>
      <c r="IBI11" s="1402"/>
      <c r="IBJ11" s="1402"/>
      <c r="IBK11" s="1402"/>
      <c r="IBL11" s="1402"/>
      <c r="IBM11" s="1402"/>
      <c r="IBN11" s="1402"/>
      <c r="IBO11" s="1402"/>
      <c r="IBP11" s="1402"/>
      <c r="IBQ11" s="1402"/>
      <c r="IBR11" s="1402"/>
      <c r="IBS11" s="1402"/>
      <c r="IBT11" s="1402"/>
      <c r="IBU11" s="1402"/>
      <c r="IBV11" s="1402"/>
      <c r="IBW11" s="1402"/>
      <c r="IBX11" s="1402"/>
      <c r="IBY11" s="1402"/>
      <c r="IBZ11" s="1402"/>
      <c r="ICA11" s="1402"/>
      <c r="ICB11" s="1402"/>
      <c r="ICC11" s="1402"/>
      <c r="ICD11" s="1402"/>
      <c r="ICE11" s="1402"/>
      <c r="ICF11" s="1402"/>
      <c r="ICG11" s="1402"/>
      <c r="ICH11" s="1402"/>
      <c r="ICI11" s="1402"/>
      <c r="ICJ11" s="1402"/>
      <c r="ICK11" s="1402"/>
      <c r="ICL11" s="1402"/>
      <c r="ICM11" s="1402"/>
      <c r="ICN11" s="1402"/>
      <c r="ICO11" s="1402"/>
      <c r="ICP11" s="1402"/>
      <c r="ICQ11" s="1402"/>
      <c r="ICR11" s="1402"/>
      <c r="ICS11" s="1402"/>
      <c r="ICT11" s="1402"/>
      <c r="ICU11" s="1402"/>
      <c r="ICV11" s="1402"/>
      <c r="ICW11" s="1402"/>
      <c r="ICX11" s="1402"/>
      <c r="ICY11" s="1402"/>
      <c r="ICZ11" s="1402"/>
      <c r="IDA11" s="1402"/>
      <c r="IDB11" s="1402"/>
      <c r="IDC11" s="1402"/>
      <c r="IDD11" s="1402"/>
      <c r="IDE11" s="1402"/>
      <c r="IDF11" s="1402"/>
      <c r="IDG11" s="1402"/>
      <c r="IDH11" s="1402"/>
      <c r="IDI11" s="1402"/>
      <c r="IDJ11" s="1402"/>
      <c r="IDK11" s="1402"/>
      <c r="IDL11" s="1402"/>
      <c r="IDM11" s="1402"/>
      <c r="IDN11" s="1402"/>
      <c r="IDO11" s="1402"/>
      <c r="IDP11" s="1402"/>
      <c r="IDQ11" s="1402"/>
      <c r="IDR11" s="1402"/>
      <c r="IDS11" s="1402"/>
      <c r="IDT11" s="1402"/>
      <c r="IDU11" s="1402"/>
      <c r="IDV11" s="1402"/>
      <c r="IDW11" s="1402"/>
      <c r="IDX11" s="1402"/>
      <c r="IDY11" s="1402"/>
      <c r="IDZ11" s="1402"/>
      <c r="IEA11" s="1402"/>
      <c r="IEB11" s="1402"/>
      <c r="IEC11" s="1402"/>
      <c r="IED11" s="1402"/>
      <c r="IEE11" s="1402"/>
      <c r="IEF11" s="1402"/>
      <c r="IEG11" s="1402"/>
      <c r="IEH11" s="1402"/>
      <c r="IEI11" s="1402"/>
      <c r="IEJ11" s="1402"/>
      <c r="IEK11" s="1402"/>
      <c r="IEL11" s="1402"/>
      <c r="IEM11" s="1402"/>
      <c r="IEN11" s="1402"/>
      <c r="IEO11" s="1402"/>
      <c r="IEP11" s="1402"/>
      <c r="IEQ11" s="1402"/>
      <c r="IER11" s="1402"/>
      <c r="IES11" s="1402"/>
      <c r="IET11" s="1402"/>
      <c r="IEU11" s="1402"/>
      <c r="IEV11" s="1402"/>
      <c r="IEW11" s="1402"/>
      <c r="IEX11" s="1402"/>
      <c r="IEY11" s="1402"/>
      <c r="IEZ11" s="1402"/>
      <c r="IFA11" s="1402"/>
      <c r="IFB11" s="1402"/>
      <c r="IFC11" s="1402"/>
      <c r="IFD11" s="1402"/>
      <c r="IFE11" s="1402"/>
      <c r="IFF11" s="1402"/>
      <c r="IFG11" s="1402"/>
      <c r="IFH11" s="1402"/>
      <c r="IFI11" s="1402"/>
      <c r="IFJ11" s="1402"/>
      <c r="IFK11" s="1402"/>
      <c r="IFL11" s="1402"/>
      <c r="IFM11" s="1402"/>
      <c r="IFN11" s="1402"/>
      <c r="IFO11" s="1402"/>
      <c r="IFP11" s="1402"/>
      <c r="IFQ11" s="1402"/>
      <c r="IFR11" s="1402"/>
      <c r="IFS11" s="1402"/>
      <c r="IFT11" s="1402"/>
      <c r="IFU11" s="1402"/>
      <c r="IFV11" s="1402"/>
      <c r="IFW11" s="1402"/>
      <c r="IFX11" s="1402"/>
      <c r="IFY11" s="1402"/>
      <c r="IFZ11" s="1402"/>
      <c r="IGA11" s="1402"/>
      <c r="IGB11" s="1402"/>
      <c r="IGC11" s="1402"/>
      <c r="IGD11" s="1402"/>
      <c r="IGE11" s="1402"/>
      <c r="IGF11" s="1402"/>
      <c r="IGG11" s="1402"/>
      <c r="IGH11" s="1402"/>
      <c r="IGI11" s="1402"/>
      <c r="IGJ11" s="1402"/>
      <c r="IGK11" s="1402"/>
      <c r="IGL11" s="1402"/>
      <c r="IGM11" s="1402"/>
      <c r="IGN11" s="1402"/>
      <c r="IGO11" s="1402"/>
      <c r="IGP11" s="1402"/>
      <c r="IGQ11" s="1402"/>
      <c r="IGR11" s="1402"/>
      <c r="IGS11" s="1402"/>
      <c r="IGT11" s="1402"/>
      <c r="IGU11" s="1402"/>
      <c r="IGV11" s="1402"/>
      <c r="IGW11" s="1402"/>
      <c r="IGX11" s="1402"/>
      <c r="IGY11" s="1402"/>
      <c r="IGZ11" s="1402"/>
      <c r="IHA11" s="1402"/>
      <c r="IHB11" s="1402"/>
      <c r="IHC11" s="1402"/>
      <c r="IHD11" s="1402"/>
      <c r="IHE11" s="1402"/>
      <c r="IHF11" s="1402"/>
      <c r="IHG11" s="1402"/>
      <c r="IHH11" s="1402"/>
      <c r="IHI11" s="1402"/>
      <c r="IHJ11" s="1402"/>
      <c r="IHK11" s="1402"/>
      <c r="IHL11" s="1402"/>
      <c r="IHM11" s="1402"/>
      <c r="IHN11" s="1402"/>
      <c r="IHO11" s="1402"/>
      <c r="IHP11" s="1402"/>
      <c r="IHQ11" s="1402"/>
      <c r="IHR11" s="1402"/>
      <c r="IHS11" s="1402"/>
      <c r="IHT11" s="1402"/>
      <c r="IHU11" s="1402"/>
      <c r="IHV11" s="1402"/>
      <c r="IHW11" s="1402"/>
      <c r="IHX11" s="1402"/>
      <c r="IHY11" s="1402"/>
      <c r="IHZ11" s="1402"/>
      <c r="IIA11" s="1402"/>
      <c r="IIB11" s="1402"/>
      <c r="IIC11" s="1402"/>
      <c r="IID11" s="1402"/>
      <c r="IIE11" s="1402"/>
      <c r="IIF11" s="1402"/>
      <c r="IIG11" s="1402"/>
      <c r="IIH11" s="1402"/>
      <c r="III11" s="1402"/>
      <c r="IIJ11" s="1402"/>
      <c r="IIK11" s="1402"/>
      <c r="IIL11" s="1402"/>
      <c r="IIM11" s="1402"/>
      <c r="IIN11" s="1402"/>
      <c r="IIO11" s="1402"/>
      <c r="IIP11" s="1402"/>
      <c r="IIQ11" s="1402"/>
      <c r="IIR11" s="1402"/>
      <c r="IIS11" s="1402"/>
      <c r="IIT11" s="1402"/>
      <c r="IIU11" s="1402"/>
      <c r="IIV11" s="1402"/>
      <c r="IIW11" s="1402"/>
      <c r="IIX11" s="1402"/>
      <c r="IIY11" s="1402"/>
      <c r="IIZ11" s="1402"/>
      <c r="IJA11" s="1402"/>
      <c r="IJB11" s="1402"/>
      <c r="IJC11" s="1402"/>
      <c r="IJD11" s="1402"/>
      <c r="IJE11" s="1402"/>
      <c r="IJF11" s="1402"/>
      <c r="IJG11" s="1402"/>
      <c r="IJH11" s="1402"/>
      <c r="IJI11" s="1402"/>
      <c r="IJJ11" s="1402"/>
      <c r="IJK11" s="1402"/>
      <c r="IJL11" s="1402"/>
      <c r="IJM11" s="1402"/>
      <c r="IJN11" s="1402"/>
      <c r="IJO11" s="1402"/>
      <c r="IJP11" s="1402"/>
      <c r="IJQ11" s="1402"/>
      <c r="IJR11" s="1402"/>
      <c r="IJS11" s="1402"/>
      <c r="IJT11" s="1402"/>
      <c r="IJU11" s="1402"/>
      <c r="IJV11" s="1402"/>
      <c r="IJW11" s="1402"/>
      <c r="IJX11" s="1402"/>
      <c r="IJY11" s="1402"/>
      <c r="IJZ11" s="1402"/>
      <c r="IKA11" s="1402"/>
      <c r="IKB11" s="1402"/>
      <c r="IKC11" s="1402"/>
      <c r="IKD11" s="1402"/>
      <c r="IKE11" s="1402"/>
      <c r="IKF11" s="1402"/>
      <c r="IKG11" s="1402"/>
      <c r="IKH11" s="1402"/>
      <c r="IKI11" s="1402"/>
      <c r="IKJ11" s="1402"/>
      <c r="IKK11" s="1402"/>
      <c r="IKL11" s="1402"/>
      <c r="IKM11" s="1402"/>
      <c r="IKN11" s="1402"/>
      <c r="IKO11" s="1402"/>
      <c r="IKP11" s="1402"/>
      <c r="IKQ11" s="1402"/>
      <c r="IKR11" s="1402"/>
      <c r="IKS11" s="1402"/>
      <c r="IKT11" s="1402"/>
      <c r="IKU11" s="1402"/>
      <c r="IKV11" s="1402"/>
      <c r="IKW11" s="1402"/>
      <c r="IKX11" s="1402"/>
      <c r="IKY11" s="1402"/>
      <c r="IKZ11" s="1402"/>
      <c r="ILA11" s="1402"/>
      <c r="ILB11" s="1402"/>
      <c r="ILC11" s="1402"/>
      <c r="ILD11" s="1402"/>
      <c r="ILE11" s="1402"/>
      <c r="ILF11" s="1402"/>
      <c r="ILG11" s="1402"/>
      <c r="ILH11" s="1402"/>
      <c r="ILI11" s="1402"/>
      <c r="ILJ11" s="1402"/>
      <c r="ILK11" s="1402"/>
      <c r="ILL11" s="1402"/>
      <c r="ILM11" s="1402"/>
      <c r="ILN11" s="1402"/>
      <c r="ILO11" s="1402"/>
      <c r="ILP11" s="1402"/>
      <c r="ILQ11" s="1402"/>
      <c r="ILR11" s="1402"/>
      <c r="ILS11" s="1402"/>
      <c r="ILT11" s="1402"/>
      <c r="ILU11" s="1402"/>
      <c r="ILV11" s="1402"/>
      <c r="ILW11" s="1402"/>
      <c r="ILX11" s="1402"/>
      <c r="ILY11" s="1402"/>
      <c r="ILZ11" s="1402"/>
      <c r="IMA11" s="1402"/>
      <c r="IMB11" s="1402"/>
      <c r="IMC11" s="1402"/>
      <c r="IMD11" s="1402"/>
      <c r="IME11" s="1402"/>
      <c r="IMF11" s="1402"/>
      <c r="IMG11" s="1402"/>
      <c r="IMH11" s="1402"/>
      <c r="IMI11" s="1402"/>
      <c r="IMJ11" s="1402"/>
      <c r="IMK11" s="1402"/>
      <c r="IML11" s="1402"/>
      <c r="IMM11" s="1402"/>
      <c r="IMN11" s="1402"/>
      <c r="IMO11" s="1402"/>
      <c r="IMP11" s="1402"/>
      <c r="IMQ11" s="1402"/>
      <c r="IMR11" s="1402"/>
      <c r="IMS11" s="1402"/>
      <c r="IMT11" s="1402"/>
      <c r="IMU11" s="1402"/>
      <c r="IMV11" s="1402"/>
      <c r="IMW11" s="1402"/>
      <c r="IMX11" s="1402"/>
      <c r="IMY11" s="1402"/>
      <c r="IMZ11" s="1402"/>
      <c r="INA11" s="1402"/>
      <c r="INB11" s="1402"/>
      <c r="INC11" s="1402"/>
      <c r="IND11" s="1402"/>
      <c r="INE11" s="1402"/>
      <c r="INF11" s="1402"/>
      <c r="ING11" s="1402"/>
      <c r="INH11" s="1402"/>
      <c r="INI11" s="1402"/>
      <c r="INJ11" s="1402"/>
      <c r="INK11" s="1402"/>
      <c r="INL11" s="1402"/>
      <c r="INM11" s="1402"/>
      <c r="INN11" s="1402"/>
      <c r="INO11" s="1402"/>
      <c r="INP11" s="1402"/>
      <c r="INQ11" s="1402"/>
      <c r="INR11" s="1402"/>
      <c r="INS11" s="1402"/>
      <c r="INT11" s="1402"/>
      <c r="INU11" s="1402"/>
      <c r="INV11" s="1402"/>
      <c r="INW11" s="1402"/>
      <c r="INX11" s="1402"/>
      <c r="INY11" s="1402"/>
      <c r="INZ11" s="1402"/>
      <c r="IOA11" s="1402"/>
      <c r="IOB11" s="1402"/>
      <c r="IOC11" s="1402"/>
      <c r="IOD11" s="1402"/>
      <c r="IOE11" s="1402"/>
      <c r="IOF11" s="1402"/>
      <c r="IOG11" s="1402"/>
      <c r="IOH11" s="1402"/>
      <c r="IOI11" s="1402"/>
      <c r="IOJ11" s="1402"/>
      <c r="IOK11" s="1402"/>
      <c r="IOL11" s="1402"/>
      <c r="IOM11" s="1402"/>
      <c r="ION11" s="1402"/>
      <c r="IOO11" s="1402"/>
      <c r="IOP11" s="1402"/>
      <c r="IOQ11" s="1402"/>
      <c r="IOR11" s="1402"/>
      <c r="IOS11" s="1402"/>
      <c r="IOT11" s="1402"/>
      <c r="IOU11" s="1402"/>
      <c r="IOV11" s="1402"/>
      <c r="IOW11" s="1402"/>
      <c r="IOX11" s="1402"/>
      <c r="IOY11" s="1402"/>
      <c r="IOZ11" s="1402"/>
      <c r="IPA11" s="1402"/>
      <c r="IPB11" s="1402"/>
      <c r="IPC11" s="1402"/>
      <c r="IPD11" s="1402"/>
      <c r="IPE11" s="1402"/>
      <c r="IPF11" s="1402"/>
      <c r="IPG11" s="1402"/>
      <c r="IPH11" s="1402"/>
      <c r="IPI11" s="1402"/>
      <c r="IPJ11" s="1402"/>
      <c r="IPK11" s="1402"/>
      <c r="IPL11" s="1402"/>
      <c r="IPM11" s="1402"/>
      <c r="IPN11" s="1402"/>
      <c r="IPO11" s="1402"/>
      <c r="IPP11" s="1402"/>
      <c r="IPQ11" s="1402"/>
      <c r="IPR11" s="1402"/>
      <c r="IPS11" s="1402"/>
      <c r="IPT11" s="1402"/>
      <c r="IPU11" s="1402"/>
      <c r="IPV11" s="1402"/>
      <c r="IPW11" s="1402"/>
      <c r="IPX11" s="1402"/>
      <c r="IPY11" s="1402"/>
      <c r="IPZ11" s="1402"/>
      <c r="IQA11" s="1402"/>
      <c r="IQB11" s="1402"/>
      <c r="IQC11" s="1402"/>
      <c r="IQD11" s="1402"/>
      <c r="IQE11" s="1402"/>
      <c r="IQF11" s="1402"/>
      <c r="IQG11" s="1402"/>
      <c r="IQH11" s="1402"/>
      <c r="IQI11" s="1402"/>
      <c r="IQJ11" s="1402"/>
      <c r="IQK11" s="1402"/>
      <c r="IQL11" s="1402"/>
      <c r="IQM11" s="1402"/>
      <c r="IQN11" s="1402"/>
      <c r="IQO11" s="1402"/>
      <c r="IQP11" s="1402"/>
      <c r="IQQ11" s="1402"/>
      <c r="IQR11" s="1402"/>
      <c r="IQS11" s="1402"/>
      <c r="IQT11" s="1402"/>
      <c r="IQU11" s="1402"/>
      <c r="IQV11" s="1402"/>
      <c r="IQW11" s="1402"/>
      <c r="IQX11" s="1402"/>
      <c r="IQY11" s="1402"/>
      <c r="IQZ11" s="1402"/>
      <c r="IRA11" s="1402"/>
      <c r="IRB11" s="1402"/>
      <c r="IRC11" s="1402"/>
      <c r="IRD11" s="1402"/>
      <c r="IRE11" s="1402"/>
      <c r="IRF11" s="1402"/>
      <c r="IRG11" s="1402"/>
      <c r="IRH11" s="1402"/>
      <c r="IRI11" s="1402"/>
      <c r="IRJ11" s="1402"/>
      <c r="IRK11" s="1402"/>
      <c r="IRL11" s="1402"/>
      <c r="IRM11" s="1402"/>
      <c r="IRN11" s="1402"/>
      <c r="IRO11" s="1402"/>
      <c r="IRP11" s="1402"/>
      <c r="IRQ11" s="1402"/>
      <c r="IRR11" s="1402"/>
      <c r="IRS11" s="1402"/>
      <c r="IRT11" s="1402"/>
      <c r="IRU11" s="1402"/>
      <c r="IRV11" s="1402"/>
      <c r="IRW11" s="1402"/>
      <c r="IRX11" s="1402"/>
      <c r="IRY11" s="1402"/>
      <c r="IRZ11" s="1402"/>
      <c r="ISA11" s="1402"/>
      <c r="ISB11" s="1402"/>
      <c r="ISC11" s="1402"/>
      <c r="ISD11" s="1402"/>
      <c r="ISE11" s="1402"/>
      <c r="ISF11" s="1402"/>
      <c r="ISG11" s="1402"/>
      <c r="ISH11" s="1402"/>
      <c r="ISI11" s="1402"/>
      <c r="ISJ11" s="1402"/>
      <c r="ISK11" s="1402"/>
      <c r="ISL11" s="1402"/>
      <c r="ISM11" s="1402"/>
      <c r="ISN11" s="1402"/>
      <c r="ISO11" s="1402"/>
      <c r="ISP11" s="1402"/>
      <c r="ISQ11" s="1402"/>
      <c r="ISR11" s="1402"/>
      <c r="ISS11" s="1402"/>
      <c r="IST11" s="1402"/>
      <c r="ISU11" s="1402"/>
      <c r="ISV11" s="1402"/>
      <c r="ISW11" s="1402"/>
      <c r="ISX11" s="1402"/>
      <c r="ISY11" s="1402"/>
      <c r="ISZ11" s="1402"/>
      <c r="ITA11" s="1402"/>
      <c r="ITB11" s="1402"/>
      <c r="ITC11" s="1402"/>
      <c r="ITD11" s="1402"/>
      <c r="ITE11" s="1402"/>
      <c r="ITF11" s="1402"/>
      <c r="ITG11" s="1402"/>
      <c r="ITH11" s="1402"/>
      <c r="ITI11" s="1402"/>
      <c r="ITJ11" s="1402"/>
      <c r="ITK11" s="1402"/>
      <c r="ITL11" s="1402"/>
      <c r="ITM11" s="1402"/>
      <c r="ITN11" s="1402"/>
      <c r="ITO11" s="1402"/>
      <c r="ITP11" s="1402"/>
      <c r="ITQ11" s="1402"/>
      <c r="ITR11" s="1402"/>
      <c r="ITS11" s="1402"/>
      <c r="ITT11" s="1402"/>
      <c r="ITU11" s="1402"/>
      <c r="ITV11" s="1402"/>
      <c r="ITW11" s="1402"/>
      <c r="ITX11" s="1402"/>
      <c r="ITY11" s="1402"/>
      <c r="ITZ11" s="1402"/>
      <c r="IUA11" s="1402"/>
      <c r="IUB11" s="1402"/>
      <c r="IUC11" s="1402"/>
      <c r="IUD11" s="1402"/>
      <c r="IUE11" s="1402"/>
      <c r="IUF11" s="1402"/>
      <c r="IUG11" s="1402"/>
      <c r="IUH11" s="1402"/>
      <c r="IUI11" s="1402"/>
      <c r="IUJ11" s="1402"/>
      <c r="IUK11" s="1402"/>
      <c r="IUL11" s="1402"/>
      <c r="IUM11" s="1402"/>
      <c r="IUN11" s="1402"/>
      <c r="IUO11" s="1402"/>
      <c r="IUP11" s="1402"/>
      <c r="IUQ11" s="1402"/>
      <c r="IUR11" s="1402"/>
      <c r="IUS11" s="1402"/>
      <c r="IUT11" s="1402"/>
      <c r="IUU11" s="1402"/>
      <c r="IUV11" s="1402"/>
      <c r="IUW11" s="1402"/>
      <c r="IUX11" s="1402"/>
      <c r="IUY11" s="1402"/>
      <c r="IUZ11" s="1402"/>
      <c r="IVA11" s="1402"/>
      <c r="IVB11" s="1402"/>
      <c r="IVC11" s="1402"/>
      <c r="IVD11" s="1402"/>
      <c r="IVE11" s="1402"/>
      <c r="IVF11" s="1402"/>
      <c r="IVG11" s="1402"/>
      <c r="IVH11" s="1402"/>
      <c r="IVI11" s="1402"/>
      <c r="IVJ11" s="1402"/>
      <c r="IVK11" s="1402"/>
      <c r="IVL11" s="1402"/>
      <c r="IVM11" s="1402"/>
      <c r="IVN11" s="1402"/>
      <c r="IVO11" s="1402"/>
      <c r="IVP11" s="1402"/>
      <c r="IVQ11" s="1402"/>
      <c r="IVR11" s="1402"/>
      <c r="IVS11" s="1402"/>
      <c r="IVT11" s="1402"/>
      <c r="IVU11" s="1402"/>
      <c r="IVV11" s="1402"/>
      <c r="IVW11" s="1402"/>
      <c r="IVX11" s="1402"/>
      <c r="IVY11" s="1402"/>
      <c r="IVZ11" s="1402"/>
      <c r="IWA11" s="1402"/>
      <c r="IWB11" s="1402"/>
      <c r="IWC11" s="1402"/>
      <c r="IWD11" s="1402"/>
      <c r="IWE11" s="1402"/>
      <c r="IWF11" s="1402"/>
      <c r="IWG11" s="1402"/>
      <c r="IWH11" s="1402"/>
      <c r="IWI11" s="1402"/>
      <c r="IWJ11" s="1402"/>
      <c r="IWK11" s="1402"/>
      <c r="IWL11" s="1402"/>
      <c r="IWM11" s="1402"/>
      <c r="IWN11" s="1402"/>
      <c r="IWO11" s="1402"/>
      <c r="IWP11" s="1402"/>
      <c r="IWQ11" s="1402"/>
      <c r="IWR11" s="1402"/>
      <c r="IWS11" s="1402"/>
      <c r="IWT11" s="1402"/>
      <c r="IWU11" s="1402"/>
      <c r="IWV11" s="1402"/>
      <c r="IWW11" s="1402"/>
      <c r="IWX11" s="1402"/>
      <c r="IWY11" s="1402"/>
      <c r="IWZ11" s="1402"/>
      <c r="IXA11" s="1402"/>
      <c r="IXB11" s="1402"/>
      <c r="IXC11" s="1402"/>
      <c r="IXD11" s="1402"/>
      <c r="IXE11" s="1402"/>
      <c r="IXF11" s="1402"/>
      <c r="IXG11" s="1402"/>
      <c r="IXH11" s="1402"/>
      <c r="IXI11" s="1402"/>
      <c r="IXJ11" s="1402"/>
      <c r="IXK11" s="1402"/>
      <c r="IXL11" s="1402"/>
      <c r="IXM11" s="1402"/>
      <c r="IXN11" s="1402"/>
      <c r="IXO11" s="1402"/>
      <c r="IXP11" s="1402"/>
      <c r="IXQ11" s="1402"/>
      <c r="IXR11" s="1402"/>
      <c r="IXS11" s="1402"/>
      <c r="IXT11" s="1402"/>
      <c r="IXU11" s="1402"/>
      <c r="IXV11" s="1402"/>
      <c r="IXW11" s="1402"/>
      <c r="IXX11" s="1402"/>
      <c r="IXY11" s="1402"/>
      <c r="IXZ11" s="1402"/>
      <c r="IYA11" s="1402"/>
      <c r="IYB11" s="1402"/>
      <c r="IYC11" s="1402"/>
      <c r="IYD11" s="1402"/>
      <c r="IYE11" s="1402"/>
      <c r="IYF11" s="1402"/>
      <c r="IYG11" s="1402"/>
      <c r="IYH11" s="1402"/>
      <c r="IYI11" s="1402"/>
      <c r="IYJ11" s="1402"/>
      <c r="IYK11" s="1402"/>
      <c r="IYL11" s="1402"/>
      <c r="IYM11" s="1402"/>
      <c r="IYN11" s="1402"/>
      <c r="IYO11" s="1402"/>
      <c r="IYP11" s="1402"/>
      <c r="IYQ11" s="1402"/>
      <c r="IYR11" s="1402"/>
      <c r="IYS11" s="1402"/>
      <c r="IYT11" s="1402"/>
      <c r="IYU11" s="1402"/>
      <c r="IYV11" s="1402"/>
      <c r="IYW11" s="1402"/>
      <c r="IYX11" s="1402"/>
      <c r="IYY11" s="1402"/>
      <c r="IYZ11" s="1402"/>
      <c r="IZA11" s="1402"/>
      <c r="IZB11" s="1402"/>
      <c r="IZC11" s="1402"/>
      <c r="IZD11" s="1402"/>
      <c r="IZE11" s="1402"/>
      <c r="IZF11" s="1402"/>
      <c r="IZG11" s="1402"/>
      <c r="IZH11" s="1402"/>
      <c r="IZI11" s="1402"/>
      <c r="IZJ11" s="1402"/>
      <c r="IZK11" s="1402"/>
      <c r="IZL11" s="1402"/>
      <c r="IZM11" s="1402"/>
      <c r="IZN11" s="1402"/>
      <c r="IZO11" s="1402"/>
      <c r="IZP11" s="1402"/>
      <c r="IZQ11" s="1402"/>
      <c r="IZR11" s="1402"/>
      <c r="IZS11" s="1402"/>
      <c r="IZT11" s="1402"/>
      <c r="IZU11" s="1402"/>
      <c r="IZV11" s="1402"/>
      <c r="IZW11" s="1402"/>
      <c r="IZX11" s="1402"/>
      <c r="IZY11" s="1402"/>
      <c r="IZZ11" s="1402"/>
      <c r="JAA11" s="1402"/>
      <c r="JAB11" s="1402"/>
      <c r="JAC11" s="1402"/>
      <c r="JAD11" s="1402"/>
      <c r="JAE11" s="1402"/>
      <c r="JAF11" s="1402"/>
      <c r="JAG11" s="1402"/>
      <c r="JAH11" s="1402"/>
      <c r="JAI11" s="1402"/>
      <c r="JAJ11" s="1402"/>
      <c r="JAK11" s="1402"/>
      <c r="JAL11" s="1402"/>
      <c r="JAM11" s="1402"/>
      <c r="JAN11" s="1402"/>
      <c r="JAO11" s="1402"/>
      <c r="JAP11" s="1402"/>
      <c r="JAQ11" s="1402"/>
      <c r="JAR11" s="1402"/>
      <c r="JAS11" s="1402"/>
      <c r="JAT11" s="1402"/>
      <c r="JAU11" s="1402"/>
      <c r="JAV11" s="1402"/>
      <c r="JAW11" s="1402"/>
      <c r="JAX11" s="1402"/>
      <c r="JAY11" s="1402"/>
      <c r="JAZ11" s="1402"/>
      <c r="JBA11" s="1402"/>
      <c r="JBB11" s="1402"/>
      <c r="JBC11" s="1402"/>
      <c r="JBD11" s="1402"/>
      <c r="JBE11" s="1402"/>
      <c r="JBF11" s="1402"/>
      <c r="JBG11" s="1402"/>
      <c r="JBH11" s="1402"/>
      <c r="JBI11" s="1402"/>
      <c r="JBJ11" s="1402"/>
      <c r="JBK11" s="1402"/>
      <c r="JBL11" s="1402"/>
      <c r="JBM11" s="1402"/>
      <c r="JBN11" s="1402"/>
      <c r="JBO11" s="1402"/>
      <c r="JBP11" s="1402"/>
      <c r="JBQ11" s="1402"/>
      <c r="JBR11" s="1402"/>
      <c r="JBS11" s="1402"/>
      <c r="JBT11" s="1402"/>
      <c r="JBU11" s="1402"/>
      <c r="JBV11" s="1402"/>
      <c r="JBW11" s="1402"/>
      <c r="JBX11" s="1402"/>
      <c r="JBY11" s="1402"/>
      <c r="JBZ11" s="1402"/>
      <c r="JCA11" s="1402"/>
      <c r="JCB11" s="1402"/>
      <c r="JCC11" s="1402"/>
      <c r="JCD11" s="1402"/>
      <c r="JCE11" s="1402"/>
      <c r="JCF11" s="1402"/>
      <c r="JCG11" s="1402"/>
      <c r="JCH11" s="1402"/>
      <c r="JCI11" s="1402"/>
      <c r="JCJ11" s="1402"/>
      <c r="JCK11" s="1402"/>
      <c r="JCL11" s="1402"/>
      <c r="JCM11" s="1402"/>
      <c r="JCN11" s="1402"/>
      <c r="JCO11" s="1402"/>
      <c r="JCP11" s="1402"/>
      <c r="JCQ11" s="1402"/>
      <c r="JCR11" s="1402"/>
      <c r="JCS11" s="1402"/>
      <c r="JCT11" s="1402"/>
      <c r="JCU11" s="1402"/>
      <c r="JCV11" s="1402"/>
      <c r="JCW11" s="1402"/>
      <c r="JCX11" s="1402"/>
      <c r="JCY11" s="1402"/>
      <c r="JCZ11" s="1402"/>
      <c r="JDA11" s="1402"/>
      <c r="JDB11" s="1402"/>
      <c r="JDC11" s="1402"/>
      <c r="JDD11" s="1402"/>
      <c r="JDE11" s="1402"/>
      <c r="JDF11" s="1402"/>
      <c r="JDG11" s="1402"/>
      <c r="JDH11" s="1402"/>
      <c r="JDI11" s="1402"/>
      <c r="JDJ11" s="1402"/>
      <c r="JDK11" s="1402"/>
      <c r="JDL11" s="1402"/>
      <c r="JDM11" s="1402"/>
      <c r="JDN11" s="1402"/>
      <c r="JDO11" s="1402"/>
      <c r="JDP11" s="1402"/>
      <c r="JDQ11" s="1402"/>
      <c r="JDR11" s="1402"/>
      <c r="JDS11" s="1402"/>
      <c r="JDT11" s="1402"/>
      <c r="JDU11" s="1402"/>
      <c r="JDV11" s="1402"/>
      <c r="JDW11" s="1402"/>
      <c r="JDX11" s="1402"/>
      <c r="JDY11" s="1402"/>
      <c r="JDZ11" s="1402"/>
      <c r="JEA11" s="1402"/>
      <c r="JEB11" s="1402"/>
      <c r="JEC11" s="1402"/>
      <c r="JED11" s="1402"/>
      <c r="JEE11" s="1402"/>
      <c r="JEF11" s="1402"/>
      <c r="JEG11" s="1402"/>
      <c r="JEH11" s="1402"/>
      <c r="JEI11" s="1402"/>
      <c r="JEJ11" s="1402"/>
      <c r="JEK11" s="1402"/>
      <c r="JEL11" s="1402"/>
      <c r="JEM11" s="1402"/>
      <c r="JEN11" s="1402"/>
      <c r="JEO11" s="1402"/>
      <c r="JEP11" s="1402"/>
      <c r="JEQ11" s="1402"/>
      <c r="JER11" s="1402"/>
      <c r="JES11" s="1402"/>
      <c r="JET11" s="1402"/>
      <c r="JEU11" s="1402"/>
      <c r="JEV11" s="1402"/>
      <c r="JEW11" s="1402"/>
      <c r="JEX11" s="1402"/>
      <c r="JEY11" s="1402"/>
      <c r="JEZ11" s="1402"/>
      <c r="JFA11" s="1402"/>
      <c r="JFB11" s="1402"/>
      <c r="JFC11" s="1402"/>
      <c r="JFD11" s="1402"/>
      <c r="JFE11" s="1402"/>
      <c r="JFF11" s="1402"/>
      <c r="JFG11" s="1402"/>
      <c r="JFH11" s="1402"/>
      <c r="JFI11" s="1402"/>
      <c r="JFJ11" s="1402"/>
      <c r="JFK11" s="1402"/>
      <c r="JFL11" s="1402"/>
      <c r="JFM11" s="1402"/>
      <c r="JFN11" s="1402"/>
      <c r="JFO11" s="1402"/>
      <c r="JFP11" s="1402"/>
      <c r="JFQ11" s="1402"/>
      <c r="JFR11" s="1402"/>
      <c r="JFS11" s="1402"/>
      <c r="JFT11" s="1402"/>
      <c r="JFU11" s="1402"/>
      <c r="JFV11" s="1402"/>
      <c r="JFW11" s="1402"/>
      <c r="JFX11" s="1402"/>
      <c r="JFY11" s="1402"/>
      <c r="JFZ11" s="1402"/>
      <c r="JGA11" s="1402"/>
      <c r="JGB11" s="1402"/>
      <c r="JGC11" s="1402"/>
      <c r="JGD11" s="1402"/>
      <c r="JGE11" s="1402"/>
      <c r="JGF11" s="1402"/>
      <c r="JGG11" s="1402"/>
      <c r="JGH11" s="1402"/>
      <c r="JGI11" s="1402"/>
      <c r="JGJ11" s="1402"/>
      <c r="JGK11" s="1402"/>
      <c r="JGL11" s="1402"/>
      <c r="JGM11" s="1402"/>
      <c r="JGN11" s="1402"/>
      <c r="JGO11" s="1402"/>
      <c r="JGP11" s="1402"/>
      <c r="JGQ11" s="1402"/>
      <c r="JGR11" s="1402"/>
      <c r="JGS11" s="1402"/>
      <c r="JGT11" s="1402"/>
      <c r="JGU11" s="1402"/>
      <c r="JGV11" s="1402"/>
      <c r="JGW11" s="1402"/>
      <c r="JGX11" s="1402"/>
      <c r="JGY11" s="1402"/>
      <c r="JGZ11" s="1402"/>
      <c r="JHA11" s="1402"/>
      <c r="JHB11" s="1402"/>
      <c r="JHC11" s="1402"/>
      <c r="JHD11" s="1402"/>
      <c r="JHE11" s="1402"/>
      <c r="JHF11" s="1402"/>
      <c r="JHG11" s="1402"/>
      <c r="JHH11" s="1402"/>
      <c r="JHI11" s="1402"/>
      <c r="JHJ11" s="1402"/>
      <c r="JHK11" s="1402"/>
      <c r="JHL11" s="1402"/>
      <c r="JHM11" s="1402"/>
      <c r="JHN11" s="1402"/>
      <c r="JHO11" s="1402"/>
      <c r="JHP11" s="1402"/>
      <c r="JHQ11" s="1402"/>
      <c r="JHR11" s="1402"/>
      <c r="JHS11" s="1402"/>
      <c r="JHT11" s="1402"/>
      <c r="JHU11" s="1402"/>
      <c r="JHV11" s="1402"/>
      <c r="JHW11" s="1402"/>
      <c r="JHX11" s="1402"/>
      <c r="JHY11" s="1402"/>
      <c r="JHZ11" s="1402"/>
      <c r="JIA11" s="1402"/>
      <c r="JIB11" s="1402"/>
      <c r="JIC11" s="1402"/>
      <c r="JID11" s="1402"/>
      <c r="JIE11" s="1402"/>
      <c r="JIF11" s="1402"/>
      <c r="JIG11" s="1402"/>
      <c r="JIH11" s="1402"/>
      <c r="JII11" s="1402"/>
      <c r="JIJ11" s="1402"/>
      <c r="JIK11" s="1402"/>
      <c r="JIL11" s="1402"/>
      <c r="JIM11" s="1402"/>
      <c r="JIN11" s="1402"/>
      <c r="JIO11" s="1402"/>
      <c r="JIP11" s="1402"/>
      <c r="JIQ11" s="1402"/>
      <c r="JIR11" s="1402"/>
      <c r="JIS11" s="1402"/>
      <c r="JIT11" s="1402"/>
      <c r="JIU11" s="1402"/>
      <c r="JIV11" s="1402"/>
      <c r="JIW11" s="1402"/>
      <c r="JIX11" s="1402"/>
      <c r="JIY11" s="1402"/>
      <c r="JIZ11" s="1402"/>
      <c r="JJA11" s="1402"/>
      <c r="JJB11" s="1402"/>
      <c r="JJC11" s="1402"/>
      <c r="JJD11" s="1402"/>
      <c r="JJE11" s="1402"/>
      <c r="JJF11" s="1402"/>
      <c r="JJG11" s="1402"/>
      <c r="JJH11" s="1402"/>
      <c r="JJI11" s="1402"/>
      <c r="JJJ11" s="1402"/>
      <c r="JJK11" s="1402"/>
      <c r="JJL11" s="1402"/>
      <c r="JJM11" s="1402"/>
      <c r="JJN11" s="1402"/>
      <c r="JJO11" s="1402"/>
      <c r="JJP11" s="1402"/>
      <c r="JJQ11" s="1402"/>
      <c r="JJR11" s="1402"/>
      <c r="JJS11" s="1402"/>
      <c r="JJT11" s="1402"/>
      <c r="JJU11" s="1402"/>
      <c r="JJV11" s="1402"/>
      <c r="JJW11" s="1402"/>
      <c r="JJX11" s="1402"/>
      <c r="JJY11" s="1402"/>
      <c r="JJZ11" s="1402"/>
      <c r="JKA11" s="1402"/>
      <c r="JKB11" s="1402"/>
      <c r="JKC11" s="1402"/>
      <c r="JKD11" s="1402"/>
      <c r="JKE11" s="1402"/>
      <c r="JKF11" s="1402"/>
      <c r="JKG11" s="1402"/>
      <c r="JKH11" s="1402"/>
      <c r="JKI11" s="1402"/>
      <c r="JKJ11" s="1402"/>
      <c r="JKK11" s="1402"/>
      <c r="JKL11" s="1402"/>
      <c r="JKM11" s="1402"/>
      <c r="JKN11" s="1402"/>
      <c r="JKO11" s="1402"/>
      <c r="JKP11" s="1402"/>
      <c r="JKQ11" s="1402"/>
      <c r="JKR11" s="1402"/>
      <c r="JKS11" s="1402"/>
      <c r="JKT11" s="1402"/>
      <c r="JKU11" s="1402"/>
      <c r="JKV11" s="1402"/>
      <c r="JKW11" s="1402"/>
      <c r="JKX11" s="1402"/>
      <c r="JKY11" s="1402"/>
      <c r="JKZ11" s="1402"/>
      <c r="JLA11" s="1402"/>
      <c r="JLB11" s="1402"/>
      <c r="JLC11" s="1402"/>
      <c r="JLD11" s="1402"/>
      <c r="JLE11" s="1402"/>
      <c r="JLF11" s="1402"/>
      <c r="JLG11" s="1402"/>
      <c r="JLH11" s="1402"/>
      <c r="JLI11" s="1402"/>
      <c r="JLJ11" s="1402"/>
      <c r="JLK11" s="1402"/>
      <c r="JLL11" s="1402"/>
      <c r="JLM11" s="1402"/>
      <c r="JLN11" s="1402"/>
      <c r="JLO11" s="1402"/>
      <c r="JLP11" s="1402"/>
      <c r="JLQ11" s="1402"/>
      <c r="JLR11" s="1402"/>
      <c r="JLS11" s="1402"/>
      <c r="JLT11" s="1402"/>
      <c r="JLU11" s="1402"/>
      <c r="JLV11" s="1402"/>
      <c r="JLW11" s="1402"/>
      <c r="JLX11" s="1402"/>
      <c r="JLY11" s="1402"/>
      <c r="JLZ11" s="1402"/>
      <c r="JMA11" s="1402"/>
      <c r="JMB11" s="1402"/>
      <c r="JMC11" s="1402"/>
      <c r="JMD11" s="1402"/>
      <c r="JME11" s="1402"/>
      <c r="JMF11" s="1402"/>
      <c r="JMG11" s="1402"/>
      <c r="JMH11" s="1402"/>
      <c r="JMI11" s="1402"/>
      <c r="JMJ11" s="1402"/>
      <c r="JMK11" s="1402"/>
      <c r="JML11" s="1402"/>
      <c r="JMM11" s="1402"/>
      <c r="JMN11" s="1402"/>
      <c r="JMO11" s="1402"/>
      <c r="JMP11" s="1402"/>
      <c r="JMQ11" s="1402"/>
      <c r="JMR11" s="1402"/>
      <c r="JMS11" s="1402"/>
      <c r="JMT11" s="1402"/>
      <c r="JMU11" s="1402"/>
      <c r="JMV11" s="1402"/>
      <c r="JMW11" s="1402"/>
      <c r="JMX11" s="1402"/>
      <c r="JMY11" s="1402"/>
      <c r="JMZ11" s="1402"/>
      <c r="JNA11" s="1402"/>
      <c r="JNB11" s="1402"/>
      <c r="JNC11" s="1402"/>
      <c r="JND11" s="1402"/>
      <c r="JNE11" s="1402"/>
      <c r="JNF11" s="1402"/>
      <c r="JNG11" s="1402"/>
      <c r="JNH11" s="1402"/>
      <c r="JNI11" s="1402"/>
      <c r="JNJ11" s="1402"/>
      <c r="JNK11" s="1402"/>
      <c r="JNL11" s="1402"/>
      <c r="JNM11" s="1402"/>
      <c r="JNN11" s="1402"/>
      <c r="JNO11" s="1402"/>
      <c r="JNP11" s="1402"/>
      <c r="JNQ11" s="1402"/>
      <c r="JNR11" s="1402"/>
      <c r="JNS11" s="1402"/>
      <c r="JNT11" s="1402"/>
      <c r="JNU11" s="1402"/>
      <c r="JNV11" s="1402"/>
      <c r="JNW11" s="1402"/>
      <c r="JNX11" s="1402"/>
      <c r="JNY11" s="1402"/>
      <c r="JNZ11" s="1402"/>
      <c r="JOA11" s="1402"/>
      <c r="JOB11" s="1402"/>
      <c r="JOC11" s="1402"/>
      <c r="JOD11" s="1402"/>
      <c r="JOE11" s="1402"/>
      <c r="JOF11" s="1402"/>
      <c r="JOG11" s="1402"/>
      <c r="JOH11" s="1402"/>
      <c r="JOI11" s="1402"/>
      <c r="JOJ11" s="1402"/>
      <c r="JOK11" s="1402"/>
      <c r="JOL11" s="1402"/>
      <c r="JOM11" s="1402"/>
      <c r="JON11" s="1402"/>
      <c r="JOO11" s="1402"/>
      <c r="JOP11" s="1402"/>
      <c r="JOQ11" s="1402"/>
      <c r="JOR11" s="1402"/>
      <c r="JOS11" s="1402"/>
      <c r="JOT11" s="1402"/>
      <c r="JOU11" s="1402"/>
      <c r="JOV11" s="1402"/>
      <c r="JOW11" s="1402"/>
      <c r="JOX11" s="1402"/>
      <c r="JOY11" s="1402"/>
      <c r="JOZ11" s="1402"/>
      <c r="JPA11" s="1402"/>
      <c r="JPB11" s="1402"/>
      <c r="JPC11" s="1402"/>
      <c r="JPD11" s="1402"/>
      <c r="JPE11" s="1402"/>
      <c r="JPF11" s="1402"/>
      <c r="JPG11" s="1402"/>
      <c r="JPH11" s="1402"/>
      <c r="JPI11" s="1402"/>
      <c r="JPJ11" s="1402"/>
      <c r="JPK11" s="1402"/>
      <c r="JPL11" s="1402"/>
      <c r="JPM11" s="1402"/>
      <c r="JPN11" s="1402"/>
      <c r="JPO11" s="1402"/>
      <c r="JPP11" s="1402"/>
      <c r="JPQ11" s="1402"/>
      <c r="JPR11" s="1402"/>
      <c r="JPS11" s="1402"/>
      <c r="JPT11" s="1402"/>
      <c r="JPU11" s="1402"/>
      <c r="JPV11" s="1402"/>
      <c r="JPW11" s="1402"/>
      <c r="JPX11" s="1402"/>
      <c r="JPY11" s="1402"/>
      <c r="JPZ11" s="1402"/>
      <c r="JQA11" s="1402"/>
      <c r="JQB11" s="1402"/>
      <c r="JQC11" s="1402"/>
      <c r="JQD11" s="1402"/>
      <c r="JQE11" s="1402"/>
      <c r="JQF11" s="1402"/>
      <c r="JQG11" s="1402"/>
      <c r="JQH11" s="1402"/>
      <c r="JQI11" s="1402"/>
      <c r="JQJ11" s="1402"/>
      <c r="JQK11" s="1402"/>
      <c r="JQL11" s="1402"/>
      <c r="JQM11" s="1402"/>
      <c r="JQN11" s="1402"/>
      <c r="JQO11" s="1402"/>
      <c r="JQP11" s="1402"/>
      <c r="JQQ11" s="1402"/>
      <c r="JQR11" s="1402"/>
      <c r="JQS11" s="1402"/>
      <c r="JQT11" s="1402"/>
      <c r="JQU11" s="1402"/>
      <c r="JQV11" s="1402"/>
      <c r="JQW11" s="1402"/>
      <c r="JQX11" s="1402"/>
      <c r="JQY11" s="1402"/>
      <c r="JQZ11" s="1402"/>
      <c r="JRA11" s="1402"/>
      <c r="JRB11" s="1402"/>
      <c r="JRC11" s="1402"/>
      <c r="JRD11" s="1402"/>
      <c r="JRE11" s="1402"/>
      <c r="JRF11" s="1402"/>
      <c r="JRG11" s="1402"/>
      <c r="JRH11" s="1402"/>
      <c r="JRI11" s="1402"/>
      <c r="JRJ11" s="1402"/>
      <c r="JRK11" s="1402"/>
      <c r="JRL11" s="1402"/>
      <c r="JRM11" s="1402"/>
      <c r="JRN11" s="1402"/>
      <c r="JRO11" s="1402"/>
      <c r="JRP11" s="1402"/>
      <c r="JRQ11" s="1402"/>
      <c r="JRR11" s="1402"/>
      <c r="JRS11" s="1402"/>
      <c r="JRT11" s="1402"/>
      <c r="JRU11" s="1402"/>
      <c r="JRV11" s="1402"/>
      <c r="JRW11" s="1402"/>
      <c r="JRX11" s="1402"/>
      <c r="JRY11" s="1402"/>
      <c r="JRZ11" s="1402"/>
      <c r="JSA11" s="1402"/>
      <c r="JSB11" s="1402"/>
      <c r="JSC11" s="1402"/>
      <c r="JSD11" s="1402"/>
      <c r="JSE11" s="1402"/>
      <c r="JSF11" s="1402"/>
      <c r="JSG11" s="1402"/>
      <c r="JSH11" s="1402"/>
      <c r="JSI11" s="1402"/>
      <c r="JSJ11" s="1402"/>
      <c r="JSK11" s="1402"/>
      <c r="JSL11" s="1402"/>
      <c r="JSM11" s="1402"/>
      <c r="JSN11" s="1402"/>
      <c r="JSO11" s="1402"/>
      <c r="JSP11" s="1402"/>
      <c r="JSQ11" s="1402"/>
      <c r="JSR11" s="1402"/>
      <c r="JSS11" s="1402"/>
      <c r="JST11" s="1402"/>
      <c r="JSU11" s="1402"/>
      <c r="JSV11" s="1402"/>
      <c r="JSW11" s="1402"/>
      <c r="JSX11" s="1402"/>
      <c r="JSY11" s="1402"/>
      <c r="JSZ11" s="1402"/>
      <c r="JTA11" s="1402"/>
      <c r="JTB11" s="1402"/>
      <c r="JTC11" s="1402"/>
      <c r="JTD11" s="1402"/>
      <c r="JTE11" s="1402"/>
      <c r="JTF11" s="1402"/>
      <c r="JTG11" s="1402"/>
      <c r="JTH11" s="1402"/>
      <c r="JTI11" s="1402"/>
      <c r="JTJ11" s="1402"/>
      <c r="JTK11" s="1402"/>
      <c r="JTL11" s="1402"/>
      <c r="JTM11" s="1402"/>
      <c r="JTN11" s="1402"/>
      <c r="JTO11" s="1402"/>
      <c r="JTP11" s="1402"/>
      <c r="JTQ11" s="1402"/>
      <c r="JTR11" s="1402"/>
      <c r="JTS11" s="1402"/>
      <c r="JTT11" s="1402"/>
      <c r="JTU11" s="1402"/>
      <c r="JTV11" s="1402"/>
      <c r="JTW11" s="1402"/>
      <c r="JTX11" s="1402"/>
      <c r="JTY11" s="1402"/>
      <c r="JTZ11" s="1402"/>
      <c r="JUA11" s="1402"/>
      <c r="JUB11" s="1402"/>
      <c r="JUC11" s="1402"/>
      <c r="JUD11" s="1402"/>
      <c r="JUE11" s="1402"/>
      <c r="JUF11" s="1402"/>
      <c r="JUG11" s="1402"/>
      <c r="JUH11" s="1402"/>
      <c r="JUI11" s="1402"/>
      <c r="JUJ11" s="1402"/>
      <c r="JUK11" s="1402"/>
      <c r="JUL11" s="1402"/>
      <c r="JUM11" s="1402"/>
      <c r="JUN11" s="1402"/>
      <c r="JUO11" s="1402"/>
      <c r="JUP11" s="1402"/>
      <c r="JUQ11" s="1402"/>
      <c r="JUR11" s="1402"/>
      <c r="JUS11" s="1402"/>
      <c r="JUT11" s="1402"/>
      <c r="JUU11" s="1402"/>
      <c r="JUV11" s="1402"/>
      <c r="JUW11" s="1402"/>
      <c r="JUX11" s="1402"/>
      <c r="JUY11" s="1402"/>
      <c r="JUZ11" s="1402"/>
      <c r="JVA11" s="1402"/>
      <c r="JVB11" s="1402"/>
      <c r="JVC11" s="1402"/>
      <c r="JVD11" s="1402"/>
      <c r="JVE11" s="1402"/>
      <c r="JVF11" s="1402"/>
      <c r="JVG11" s="1402"/>
      <c r="JVH11" s="1402"/>
      <c r="JVI11" s="1402"/>
      <c r="JVJ11" s="1402"/>
      <c r="JVK11" s="1402"/>
      <c r="JVL11" s="1402"/>
      <c r="JVM11" s="1402"/>
      <c r="JVN11" s="1402"/>
      <c r="JVO11" s="1402"/>
      <c r="JVP11" s="1402"/>
      <c r="JVQ11" s="1402"/>
      <c r="JVR11" s="1402"/>
      <c r="JVS11" s="1402"/>
      <c r="JVT11" s="1402"/>
      <c r="JVU11" s="1402"/>
      <c r="JVV11" s="1402"/>
      <c r="JVW11" s="1402"/>
      <c r="JVX11" s="1402"/>
      <c r="JVY11" s="1402"/>
      <c r="JVZ11" s="1402"/>
      <c r="JWA11" s="1402"/>
      <c r="JWB11" s="1402"/>
      <c r="JWC11" s="1402"/>
      <c r="JWD11" s="1402"/>
      <c r="JWE11" s="1402"/>
      <c r="JWF11" s="1402"/>
      <c r="JWG11" s="1402"/>
      <c r="JWH11" s="1402"/>
      <c r="JWI11" s="1402"/>
      <c r="JWJ11" s="1402"/>
      <c r="JWK11" s="1402"/>
      <c r="JWL11" s="1402"/>
      <c r="JWM11" s="1402"/>
      <c r="JWN11" s="1402"/>
      <c r="JWO11" s="1402"/>
      <c r="JWP11" s="1402"/>
      <c r="JWQ11" s="1402"/>
      <c r="JWR11" s="1402"/>
      <c r="JWS11" s="1402"/>
      <c r="JWT11" s="1402"/>
      <c r="JWU11" s="1402"/>
      <c r="JWV11" s="1402"/>
      <c r="JWW11" s="1402"/>
      <c r="JWX11" s="1402"/>
      <c r="JWY11" s="1402"/>
      <c r="JWZ11" s="1402"/>
      <c r="JXA11" s="1402"/>
      <c r="JXB11" s="1402"/>
      <c r="JXC11" s="1402"/>
      <c r="JXD11" s="1402"/>
      <c r="JXE11" s="1402"/>
      <c r="JXF11" s="1402"/>
      <c r="JXG11" s="1402"/>
      <c r="JXH11" s="1402"/>
      <c r="JXI11" s="1402"/>
      <c r="JXJ11" s="1402"/>
      <c r="JXK11" s="1402"/>
      <c r="JXL11" s="1402"/>
      <c r="JXM11" s="1402"/>
      <c r="JXN11" s="1402"/>
      <c r="JXO11" s="1402"/>
      <c r="JXP11" s="1402"/>
      <c r="JXQ11" s="1402"/>
      <c r="JXR11" s="1402"/>
      <c r="JXS11" s="1402"/>
      <c r="JXT11" s="1402"/>
      <c r="JXU11" s="1402"/>
      <c r="JXV11" s="1402"/>
      <c r="JXW11" s="1402"/>
      <c r="JXX11" s="1402"/>
      <c r="JXY11" s="1402"/>
      <c r="JXZ11" s="1402"/>
      <c r="JYA11" s="1402"/>
      <c r="JYB11" s="1402"/>
      <c r="JYC11" s="1402"/>
      <c r="JYD11" s="1402"/>
      <c r="JYE11" s="1402"/>
      <c r="JYF11" s="1402"/>
      <c r="JYG11" s="1402"/>
      <c r="JYH11" s="1402"/>
      <c r="JYI11" s="1402"/>
      <c r="JYJ11" s="1402"/>
      <c r="JYK11" s="1402"/>
      <c r="JYL11" s="1402"/>
      <c r="JYM11" s="1402"/>
      <c r="JYN11" s="1402"/>
      <c r="JYO11" s="1402"/>
      <c r="JYP11" s="1402"/>
      <c r="JYQ11" s="1402"/>
      <c r="JYR11" s="1402"/>
      <c r="JYS11" s="1402"/>
      <c r="JYT11" s="1402"/>
      <c r="JYU11" s="1402"/>
      <c r="JYV11" s="1402"/>
      <c r="JYW11" s="1402"/>
      <c r="JYX11" s="1402"/>
      <c r="JYY11" s="1402"/>
      <c r="JYZ11" s="1402"/>
      <c r="JZA11" s="1402"/>
      <c r="JZB11" s="1402"/>
      <c r="JZC11" s="1402"/>
      <c r="JZD11" s="1402"/>
      <c r="JZE11" s="1402"/>
      <c r="JZF11" s="1402"/>
      <c r="JZG11" s="1402"/>
      <c r="JZH11" s="1402"/>
      <c r="JZI11" s="1402"/>
      <c r="JZJ11" s="1402"/>
      <c r="JZK11" s="1402"/>
      <c r="JZL11" s="1402"/>
      <c r="JZM11" s="1402"/>
      <c r="JZN11" s="1402"/>
      <c r="JZO11" s="1402"/>
      <c r="JZP11" s="1402"/>
      <c r="JZQ11" s="1402"/>
      <c r="JZR11" s="1402"/>
      <c r="JZS11" s="1402"/>
      <c r="JZT11" s="1402"/>
      <c r="JZU11" s="1402"/>
      <c r="JZV11" s="1402"/>
      <c r="JZW11" s="1402"/>
      <c r="JZX11" s="1402"/>
      <c r="JZY11" s="1402"/>
      <c r="JZZ11" s="1402"/>
      <c r="KAA11" s="1402"/>
      <c r="KAB11" s="1402"/>
      <c r="KAC11" s="1402"/>
      <c r="KAD11" s="1402"/>
      <c r="KAE11" s="1402"/>
      <c r="KAF11" s="1402"/>
      <c r="KAG11" s="1402"/>
      <c r="KAH11" s="1402"/>
      <c r="KAI11" s="1402"/>
      <c r="KAJ11" s="1402"/>
      <c r="KAK11" s="1402"/>
      <c r="KAL11" s="1402"/>
      <c r="KAM11" s="1402"/>
      <c r="KAN11" s="1402"/>
      <c r="KAO11" s="1402"/>
      <c r="KAP11" s="1402"/>
      <c r="KAQ11" s="1402"/>
      <c r="KAR11" s="1402"/>
      <c r="KAS11" s="1402"/>
      <c r="KAT11" s="1402"/>
      <c r="KAU11" s="1402"/>
      <c r="KAV11" s="1402"/>
      <c r="KAW11" s="1402"/>
      <c r="KAX11" s="1402"/>
      <c r="KAY11" s="1402"/>
      <c r="KAZ11" s="1402"/>
      <c r="KBA11" s="1402"/>
      <c r="KBB11" s="1402"/>
      <c r="KBC11" s="1402"/>
      <c r="KBD11" s="1402"/>
      <c r="KBE11" s="1402"/>
      <c r="KBF11" s="1402"/>
      <c r="KBG11" s="1402"/>
      <c r="KBH11" s="1402"/>
      <c r="KBI11" s="1402"/>
      <c r="KBJ11" s="1402"/>
      <c r="KBK11" s="1402"/>
      <c r="KBL11" s="1402"/>
      <c r="KBM11" s="1402"/>
      <c r="KBN11" s="1402"/>
      <c r="KBO11" s="1402"/>
      <c r="KBP11" s="1402"/>
      <c r="KBQ11" s="1402"/>
      <c r="KBR11" s="1402"/>
      <c r="KBS11" s="1402"/>
      <c r="KBT11" s="1402"/>
      <c r="KBU11" s="1402"/>
      <c r="KBV11" s="1402"/>
      <c r="KBW11" s="1402"/>
      <c r="KBX11" s="1402"/>
      <c r="KBY11" s="1402"/>
      <c r="KBZ11" s="1402"/>
      <c r="KCA11" s="1402"/>
      <c r="KCB11" s="1402"/>
      <c r="KCC11" s="1402"/>
      <c r="KCD11" s="1402"/>
      <c r="KCE11" s="1402"/>
      <c r="KCF11" s="1402"/>
      <c r="KCG11" s="1402"/>
      <c r="KCH11" s="1402"/>
      <c r="KCI11" s="1402"/>
      <c r="KCJ11" s="1402"/>
      <c r="KCK11" s="1402"/>
      <c r="KCL11" s="1402"/>
      <c r="KCM11" s="1402"/>
      <c r="KCN11" s="1402"/>
      <c r="KCO11" s="1402"/>
      <c r="KCP11" s="1402"/>
      <c r="KCQ11" s="1402"/>
      <c r="KCR11" s="1402"/>
      <c r="KCS11" s="1402"/>
      <c r="KCT11" s="1402"/>
      <c r="KCU11" s="1402"/>
      <c r="KCV11" s="1402"/>
      <c r="KCW11" s="1402"/>
      <c r="KCX11" s="1402"/>
      <c r="KCY11" s="1402"/>
      <c r="KCZ11" s="1402"/>
      <c r="KDA11" s="1402"/>
      <c r="KDB11" s="1402"/>
      <c r="KDC11" s="1402"/>
      <c r="KDD11" s="1402"/>
      <c r="KDE11" s="1402"/>
      <c r="KDF11" s="1402"/>
      <c r="KDG11" s="1402"/>
      <c r="KDH11" s="1402"/>
      <c r="KDI11" s="1402"/>
      <c r="KDJ11" s="1402"/>
      <c r="KDK11" s="1402"/>
      <c r="KDL11" s="1402"/>
      <c r="KDM11" s="1402"/>
      <c r="KDN11" s="1402"/>
      <c r="KDO11" s="1402"/>
      <c r="KDP11" s="1402"/>
      <c r="KDQ11" s="1402"/>
      <c r="KDR11" s="1402"/>
      <c r="KDS11" s="1402"/>
      <c r="KDT11" s="1402"/>
      <c r="KDU11" s="1402"/>
      <c r="KDV11" s="1402"/>
      <c r="KDW11" s="1402"/>
      <c r="KDX11" s="1402"/>
      <c r="KDY11" s="1402"/>
      <c r="KDZ11" s="1402"/>
      <c r="KEA11" s="1402"/>
      <c r="KEB11" s="1402"/>
      <c r="KEC11" s="1402"/>
      <c r="KED11" s="1402"/>
      <c r="KEE11" s="1402"/>
      <c r="KEF11" s="1402"/>
      <c r="KEG11" s="1402"/>
      <c r="KEH11" s="1402"/>
      <c r="KEI11" s="1402"/>
      <c r="KEJ11" s="1402"/>
      <c r="KEK11" s="1402"/>
      <c r="KEL11" s="1402"/>
      <c r="KEM11" s="1402"/>
      <c r="KEN11" s="1402"/>
      <c r="KEO11" s="1402"/>
      <c r="KEP11" s="1402"/>
      <c r="KEQ11" s="1402"/>
      <c r="KER11" s="1402"/>
      <c r="KES11" s="1402"/>
      <c r="KET11" s="1402"/>
      <c r="KEU11" s="1402"/>
      <c r="KEV11" s="1402"/>
      <c r="KEW11" s="1402"/>
      <c r="KEX11" s="1402"/>
      <c r="KEY11" s="1402"/>
      <c r="KEZ11" s="1402"/>
      <c r="KFA11" s="1402"/>
      <c r="KFB11" s="1402"/>
      <c r="KFC11" s="1402"/>
      <c r="KFD11" s="1402"/>
      <c r="KFE11" s="1402"/>
      <c r="KFF11" s="1402"/>
      <c r="KFG11" s="1402"/>
      <c r="KFH11" s="1402"/>
      <c r="KFI11" s="1402"/>
      <c r="KFJ11" s="1402"/>
      <c r="KFK11" s="1402"/>
      <c r="KFL11" s="1402"/>
      <c r="KFM11" s="1402"/>
      <c r="KFN11" s="1402"/>
      <c r="KFO11" s="1402"/>
      <c r="KFP11" s="1402"/>
      <c r="KFQ11" s="1402"/>
      <c r="KFR11" s="1402"/>
      <c r="KFS11" s="1402"/>
      <c r="KFT11" s="1402"/>
      <c r="KFU11" s="1402"/>
      <c r="KFV11" s="1402"/>
      <c r="KFW11" s="1402"/>
      <c r="KFX11" s="1402"/>
      <c r="KFY11" s="1402"/>
      <c r="KFZ11" s="1402"/>
      <c r="KGA11" s="1402"/>
      <c r="KGB11" s="1402"/>
      <c r="KGC11" s="1402"/>
      <c r="KGD11" s="1402"/>
      <c r="KGE11" s="1402"/>
      <c r="KGF11" s="1402"/>
      <c r="KGG11" s="1402"/>
      <c r="KGH11" s="1402"/>
      <c r="KGI11" s="1402"/>
      <c r="KGJ11" s="1402"/>
      <c r="KGK11" s="1402"/>
      <c r="KGL11" s="1402"/>
      <c r="KGM11" s="1402"/>
      <c r="KGN11" s="1402"/>
      <c r="KGO11" s="1402"/>
      <c r="KGP11" s="1402"/>
      <c r="KGQ11" s="1402"/>
      <c r="KGR11" s="1402"/>
      <c r="KGS11" s="1402"/>
      <c r="KGT11" s="1402"/>
      <c r="KGU11" s="1402"/>
      <c r="KGV11" s="1402"/>
      <c r="KGW11" s="1402"/>
      <c r="KGX11" s="1402"/>
      <c r="KGY11" s="1402"/>
      <c r="KGZ11" s="1402"/>
      <c r="KHA11" s="1402"/>
      <c r="KHB11" s="1402"/>
      <c r="KHC11" s="1402"/>
      <c r="KHD11" s="1402"/>
      <c r="KHE11" s="1402"/>
      <c r="KHF11" s="1402"/>
      <c r="KHG11" s="1402"/>
      <c r="KHH11" s="1402"/>
      <c r="KHI11" s="1402"/>
      <c r="KHJ11" s="1402"/>
      <c r="KHK11" s="1402"/>
      <c r="KHL11" s="1402"/>
      <c r="KHM11" s="1402"/>
      <c r="KHN11" s="1402"/>
      <c r="KHO11" s="1402"/>
      <c r="KHP11" s="1402"/>
      <c r="KHQ11" s="1402"/>
      <c r="KHR11" s="1402"/>
      <c r="KHS11" s="1402"/>
      <c r="KHT11" s="1402"/>
      <c r="KHU11" s="1402"/>
      <c r="KHV11" s="1402"/>
      <c r="KHW11" s="1402"/>
      <c r="KHX11" s="1402"/>
      <c r="KHY11" s="1402"/>
      <c r="KHZ11" s="1402"/>
      <c r="KIA11" s="1402"/>
      <c r="KIB11" s="1402"/>
      <c r="KIC11" s="1402"/>
      <c r="KID11" s="1402"/>
      <c r="KIE11" s="1402"/>
      <c r="KIF11" s="1402"/>
      <c r="KIG11" s="1402"/>
      <c r="KIH11" s="1402"/>
      <c r="KII11" s="1402"/>
      <c r="KIJ11" s="1402"/>
      <c r="KIK11" s="1402"/>
      <c r="KIL11" s="1402"/>
      <c r="KIM11" s="1402"/>
      <c r="KIN11" s="1402"/>
      <c r="KIO11" s="1402"/>
      <c r="KIP11" s="1402"/>
      <c r="KIQ11" s="1402"/>
      <c r="KIR11" s="1402"/>
      <c r="KIS11" s="1402"/>
      <c r="KIT11" s="1402"/>
      <c r="KIU11" s="1402"/>
      <c r="KIV11" s="1402"/>
      <c r="KIW11" s="1402"/>
      <c r="KIX11" s="1402"/>
      <c r="KIY11" s="1402"/>
      <c r="KIZ11" s="1402"/>
      <c r="KJA11" s="1402"/>
      <c r="KJB11" s="1402"/>
      <c r="KJC11" s="1402"/>
      <c r="KJD11" s="1402"/>
      <c r="KJE11" s="1402"/>
      <c r="KJF11" s="1402"/>
      <c r="KJG11" s="1402"/>
      <c r="KJH11" s="1402"/>
      <c r="KJI11" s="1402"/>
      <c r="KJJ11" s="1402"/>
      <c r="KJK11" s="1402"/>
      <c r="KJL11" s="1402"/>
      <c r="KJM11" s="1402"/>
      <c r="KJN11" s="1402"/>
      <c r="KJO11" s="1402"/>
      <c r="KJP11" s="1402"/>
      <c r="KJQ11" s="1402"/>
      <c r="KJR11" s="1402"/>
      <c r="KJS11" s="1402"/>
      <c r="KJT11" s="1402"/>
      <c r="KJU11" s="1402"/>
      <c r="KJV11" s="1402"/>
      <c r="KJW11" s="1402"/>
      <c r="KJX11" s="1402"/>
      <c r="KJY11" s="1402"/>
      <c r="KJZ11" s="1402"/>
      <c r="KKA11" s="1402"/>
      <c r="KKB11" s="1402"/>
      <c r="KKC11" s="1402"/>
      <c r="KKD11" s="1402"/>
      <c r="KKE11" s="1402"/>
      <c r="KKF11" s="1402"/>
      <c r="KKG11" s="1402"/>
      <c r="KKH11" s="1402"/>
      <c r="KKI11" s="1402"/>
      <c r="KKJ11" s="1402"/>
      <c r="KKK11" s="1402"/>
      <c r="KKL11" s="1402"/>
      <c r="KKM11" s="1402"/>
      <c r="KKN11" s="1402"/>
      <c r="KKO11" s="1402"/>
      <c r="KKP11" s="1402"/>
      <c r="KKQ11" s="1402"/>
      <c r="KKR11" s="1402"/>
      <c r="KKS11" s="1402"/>
      <c r="KKT11" s="1402"/>
      <c r="KKU11" s="1402"/>
      <c r="KKV11" s="1402"/>
      <c r="KKW11" s="1402"/>
      <c r="KKX11" s="1402"/>
      <c r="KKY11" s="1402"/>
      <c r="KKZ11" s="1402"/>
      <c r="KLA11" s="1402"/>
      <c r="KLB11" s="1402"/>
      <c r="KLC11" s="1402"/>
      <c r="KLD11" s="1402"/>
      <c r="KLE11" s="1402"/>
      <c r="KLF11" s="1402"/>
      <c r="KLG11" s="1402"/>
      <c r="KLH11" s="1402"/>
      <c r="KLI11" s="1402"/>
      <c r="KLJ11" s="1402"/>
      <c r="KLK11" s="1402"/>
      <c r="KLL11" s="1402"/>
      <c r="KLM11" s="1402"/>
      <c r="KLN11" s="1402"/>
      <c r="KLO11" s="1402"/>
      <c r="KLP11" s="1402"/>
      <c r="KLQ11" s="1402"/>
      <c r="KLR11" s="1402"/>
      <c r="KLS11" s="1402"/>
      <c r="KLT11" s="1402"/>
      <c r="KLU11" s="1402"/>
      <c r="KLV11" s="1402"/>
      <c r="KLW11" s="1402"/>
      <c r="KLX11" s="1402"/>
      <c r="KLY11" s="1402"/>
      <c r="KLZ11" s="1402"/>
      <c r="KMA11" s="1402"/>
      <c r="KMB11" s="1402"/>
      <c r="KMC11" s="1402"/>
      <c r="KMD11" s="1402"/>
      <c r="KME11" s="1402"/>
      <c r="KMF11" s="1402"/>
      <c r="KMG11" s="1402"/>
      <c r="KMH11" s="1402"/>
      <c r="KMI11" s="1402"/>
      <c r="KMJ11" s="1402"/>
      <c r="KMK11" s="1402"/>
      <c r="KML11" s="1402"/>
      <c r="KMM11" s="1402"/>
      <c r="KMN11" s="1402"/>
      <c r="KMO11" s="1402"/>
      <c r="KMP11" s="1402"/>
      <c r="KMQ11" s="1402"/>
      <c r="KMR11" s="1402"/>
      <c r="KMS11" s="1402"/>
      <c r="KMT11" s="1402"/>
      <c r="KMU11" s="1402"/>
      <c r="KMV11" s="1402"/>
      <c r="KMW11" s="1402"/>
      <c r="KMX11" s="1402"/>
      <c r="KMY11" s="1402"/>
      <c r="KMZ11" s="1402"/>
      <c r="KNA11" s="1402"/>
      <c r="KNB11" s="1402"/>
      <c r="KNC11" s="1402"/>
      <c r="KND11" s="1402"/>
      <c r="KNE11" s="1402"/>
      <c r="KNF11" s="1402"/>
      <c r="KNG11" s="1402"/>
      <c r="KNH11" s="1402"/>
      <c r="KNI11" s="1402"/>
      <c r="KNJ11" s="1402"/>
      <c r="KNK11" s="1402"/>
      <c r="KNL11" s="1402"/>
      <c r="KNM11" s="1402"/>
      <c r="KNN11" s="1402"/>
      <c r="KNO11" s="1402"/>
      <c r="KNP11" s="1402"/>
      <c r="KNQ11" s="1402"/>
      <c r="KNR11" s="1402"/>
      <c r="KNS11" s="1402"/>
      <c r="KNT11" s="1402"/>
      <c r="KNU11" s="1402"/>
      <c r="KNV11" s="1402"/>
      <c r="KNW11" s="1402"/>
      <c r="KNX11" s="1402"/>
      <c r="KNY11" s="1402"/>
      <c r="KNZ11" s="1402"/>
      <c r="KOA11" s="1402"/>
      <c r="KOB11" s="1402"/>
      <c r="KOC11" s="1402"/>
      <c r="KOD11" s="1402"/>
      <c r="KOE11" s="1402"/>
      <c r="KOF11" s="1402"/>
      <c r="KOG11" s="1402"/>
      <c r="KOH11" s="1402"/>
      <c r="KOI11" s="1402"/>
      <c r="KOJ11" s="1402"/>
      <c r="KOK11" s="1402"/>
      <c r="KOL11" s="1402"/>
      <c r="KOM11" s="1402"/>
      <c r="KON11" s="1402"/>
      <c r="KOO11" s="1402"/>
      <c r="KOP11" s="1402"/>
      <c r="KOQ11" s="1402"/>
      <c r="KOR11" s="1402"/>
      <c r="KOS11" s="1402"/>
      <c r="KOT11" s="1402"/>
      <c r="KOU11" s="1402"/>
      <c r="KOV11" s="1402"/>
      <c r="KOW11" s="1402"/>
      <c r="KOX11" s="1402"/>
      <c r="KOY11" s="1402"/>
      <c r="KOZ11" s="1402"/>
      <c r="KPA11" s="1402"/>
      <c r="KPB11" s="1402"/>
      <c r="KPC11" s="1402"/>
      <c r="KPD11" s="1402"/>
      <c r="KPE11" s="1402"/>
      <c r="KPF11" s="1402"/>
      <c r="KPG11" s="1402"/>
      <c r="KPH11" s="1402"/>
      <c r="KPI11" s="1402"/>
      <c r="KPJ11" s="1402"/>
      <c r="KPK11" s="1402"/>
      <c r="KPL11" s="1402"/>
      <c r="KPM11" s="1402"/>
      <c r="KPN11" s="1402"/>
      <c r="KPO11" s="1402"/>
      <c r="KPP11" s="1402"/>
      <c r="KPQ11" s="1402"/>
      <c r="KPR11" s="1402"/>
      <c r="KPS11" s="1402"/>
      <c r="KPT11" s="1402"/>
      <c r="KPU11" s="1402"/>
      <c r="KPV11" s="1402"/>
      <c r="KPW11" s="1402"/>
      <c r="KPX11" s="1402"/>
      <c r="KPY11" s="1402"/>
      <c r="KPZ11" s="1402"/>
      <c r="KQA11" s="1402"/>
      <c r="KQB11" s="1402"/>
      <c r="KQC11" s="1402"/>
      <c r="KQD11" s="1402"/>
      <c r="KQE11" s="1402"/>
      <c r="KQF11" s="1402"/>
      <c r="KQG11" s="1402"/>
      <c r="KQH11" s="1402"/>
      <c r="KQI11" s="1402"/>
      <c r="KQJ11" s="1402"/>
      <c r="KQK11" s="1402"/>
      <c r="KQL11" s="1402"/>
      <c r="KQM11" s="1402"/>
      <c r="KQN11" s="1402"/>
      <c r="KQO11" s="1402"/>
      <c r="KQP11" s="1402"/>
      <c r="KQQ11" s="1402"/>
      <c r="KQR11" s="1402"/>
      <c r="KQS11" s="1402"/>
      <c r="KQT11" s="1402"/>
      <c r="KQU11" s="1402"/>
      <c r="KQV11" s="1402"/>
      <c r="KQW11" s="1402"/>
      <c r="KQX11" s="1402"/>
      <c r="KQY11" s="1402"/>
      <c r="KQZ11" s="1402"/>
      <c r="KRA11" s="1402"/>
      <c r="KRB11" s="1402"/>
      <c r="KRC11" s="1402"/>
      <c r="KRD11" s="1402"/>
      <c r="KRE11" s="1402"/>
      <c r="KRF11" s="1402"/>
      <c r="KRG11" s="1402"/>
      <c r="KRH11" s="1402"/>
      <c r="KRI11" s="1402"/>
      <c r="KRJ11" s="1402"/>
      <c r="KRK11" s="1402"/>
      <c r="KRL11" s="1402"/>
      <c r="KRM11" s="1402"/>
      <c r="KRN11" s="1402"/>
      <c r="KRO11" s="1402"/>
      <c r="KRP11" s="1402"/>
      <c r="KRQ11" s="1402"/>
      <c r="KRR11" s="1402"/>
      <c r="KRS11" s="1402"/>
      <c r="KRT11" s="1402"/>
      <c r="KRU11" s="1402"/>
      <c r="KRV11" s="1402"/>
      <c r="KRW11" s="1402"/>
      <c r="KRX11" s="1402"/>
      <c r="KRY11" s="1402"/>
      <c r="KRZ11" s="1402"/>
      <c r="KSA11" s="1402"/>
      <c r="KSB11" s="1402"/>
      <c r="KSC11" s="1402"/>
      <c r="KSD11" s="1402"/>
      <c r="KSE11" s="1402"/>
      <c r="KSF11" s="1402"/>
      <c r="KSG11" s="1402"/>
      <c r="KSH11" s="1402"/>
      <c r="KSI11" s="1402"/>
      <c r="KSJ11" s="1402"/>
      <c r="KSK11" s="1402"/>
      <c r="KSL11" s="1402"/>
      <c r="KSM11" s="1402"/>
      <c r="KSN11" s="1402"/>
      <c r="KSO11" s="1402"/>
      <c r="KSP11" s="1402"/>
      <c r="KSQ11" s="1402"/>
      <c r="KSR11" s="1402"/>
      <c r="KSS11" s="1402"/>
      <c r="KST11" s="1402"/>
      <c r="KSU11" s="1402"/>
      <c r="KSV11" s="1402"/>
      <c r="KSW11" s="1402"/>
      <c r="KSX11" s="1402"/>
      <c r="KSY11" s="1402"/>
      <c r="KSZ11" s="1402"/>
      <c r="KTA11" s="1402"/>
      <c r="KTB11" s="1402"/>
      <c r="KTC11" s="1402"/>
      <c r="KTD11" s="1402"/>
      <c r="KTE11" s="1402"/>
      <c r="KTF11" s="1402"/>
      <c r="KTG11" s="1402"/>
      <c r="KTH11" s="1402"/>
      <c r="KTI11" s="1402"/>
      <c r="KTJ11" s="1402"/>
      <c r="KTK11" s="1402"/>
      <c r="KTL11" s="1402"/>
      <c r="KTM11" s="1402"/>
      <c r="KTN11" s="1402"/>
      <c r="KTO11" s="1402"/>
      <c r="KTP11" s="1402"/>
      <c r="KTQ11" s="1402"/>
      <c r="KTR11" s="1402"/>
      <c r="KTS11" s="1402"/>
      <c r="KTT11" s="1402"/>
      <c r="KTU11" s="1402"/>
      <c r="KTV11" s="1402"/>
      <c r="KTW11" s="1402"/>
      <c r="KTX11" s="1402"/>
      <c r="KTY11" s="1402"/>
      <c r="KTZ11" s="1402"/>
      <c r="KUA11" s="1402"/>
      <c r="KUB11" s="1402"/>
      <c r="KUC11" s="1402"/>
      <c r="KUD11" s="1402"/>
      <c r="KUE11" s="1402"/>
      <c r="KUF11" s="1402"/>
      <c r="KUG11" s="1402"/>
      <c r="KUH11" s="1402"/>
      <c r="KUI11" s="1402"/>
      <c r="KUJ11" s="1402"/>
      <c r="KUK11" s="1402"/>
      <c r="KUL11" s="1402"/>
      <c r="KUM11" s="1402"/>
      <c r="KUN11" s="1402"/>
      <c r="KUO11" s="1402"/>
      <c r="KUP11" s="1402"/>
      <c r="KUQ11" s="1402"/>
      <c r="KUR11" s="1402"/>
      <c r="KUS11" s="1402"/>
      <c r="KUT11" s="1402"/>
      <c r="KUU11" s="1402"/>
      <c r="KUV11" s="1402"/>
      <c r="KUW11" s="1402"/>
      <c r="KUX11" s="1402"/>
      <c r="KUY11" s="1402"/>
      <c r="KUZ11" s="1402"/>
      <c r="KVA11" s="1402"/>
      <c r="KVB11" s="1402"/>
      <c r="KVC11" s="1402"/>
      <c r="KVD11" s="1402"/>
      <c r="KVE11" s="1402"/>
      <c r="KVF11" s="1402"/>
      <c r="KVG11" s="1402"/>
      <c r="KVH11" s="1402"/>
      <c r="KVI11" s="1402"/>
      <c r="KVJ11" s="1402"/>
      <c r="KVK11" s="1402"/>
      <c r="KVL11" s="1402"/>
      <c r="KVM11" s="1402"/>
      <c r="KVN11" s="1402"/>
      <c r="KVO11" s="1402"/>
      <c r="KVP11" s="1402"/>
      <c r="KVQ11" s="1402"/>
      <c r="KVR11" s="1402"/>
      <c r="KVS11" s="1402"/>
      <c r="KVT11" s="1402"/>
      <c r="KVU11" s="1402"/>
      <c r="KVV11" s="1402"/>
      <c r="KVW11" s="1402"/>
      <c r="KVX11" s="1402"/>
      <c r="KVY11" s="1402"/>
      <c r="KVZ11" s="1402"/>
      <c r="KWA11" s="1402"/>
      <c r="KWB11" s="1402"/>
      <c r="KWC11" s="1402"/>
      <c r="KWD11" s="1402"/>
      <c r="KWE11" s="1402"/>
      <c r="KWF11" s="1402"/>
      <c r="KWG11" s="1402"/>
      <c r="KWH11" s="1402"/>
      <c r="KWI11" s="1402"/>
      <c r="KWJ11" s="1402"/>
      <c r="KWK11" s="1402"/>
      <c r="KWL11" s="1402"/>
      <c r="KWM11" s="1402"/>
      <c r="KWN11" s="1402"/>
      <c r="KWO11" s="1402"/>
      <c r="KWP11" s="1402"/>
      <c r="KWQ11" s="1402"/>
      <c r="KWR11" s="1402"/>
      <c r="KWS11" s="1402"/>
      <c r="KWT11" s="1402"/>
      <c r="KWU11" s="1402"/>
      <c r="KWV11" s="1402"/>
      <c r="KWW11" s="1402"/>
      <c r="KWX11" s="1402"/>
      <c r="KWY11" s="1402"/>
      <c r="KWZ11" s="1402"/>
      <c r="KXA11" s="1402"/>
      <c r="KXB11" s="1402"/>
      <c r="KXC11" s="1402"/>
      <c r="KXD11" s="1402"/>
      <c r="KXE11" s="1402"/>
      <c r="KXF11" s="1402"/>
      <c r="KXG11" s="1402"/>
      <c r="KXH11" s="1402"/>
      <c r="KXI11" s="1402"/>
      <c r="KXJ11" s="1402"/>
      <c r="KXK11" s="1402"/>
      <c r="KXL11" s="1402"/>
      <c r="KXM11" s="1402"/>
      <c r="KXN11" s="1402"/>
      <c r="KXO11" s="1402"/>
      <c r="KXP11" s="1402"/>
      <c r="KXQ11" s="1402"/>
      <c r="KXR11" s="1402"/>
      <c r="KXS11" s="1402"/>
      <c r="KXT11" s="1402"/>
      <c r="KXU11" s="1402"/>
      <c r="KXV11" s="1402"/>
      <c r="KXW11" s="1402"/>
      <c r="KXX11" s="1402"/>
      <c r="KXY11" s="1402"/>
      <c r="KXZ11" s="1402"/>
      <c r="KYA11" s="1402"/>
      <c r="KYB11" s="1402"/>
      <c r="KYC11" s="1402"/>
      <c r="KYD11" s="1402"/>
      <c r="KYE11" s="1402"/>
      <c r="KYF11" s="1402"/>
      <c r="KYG11" s="1402"/>
      <c r="KYH11" s="1402"/>
      <c r="KYI11" s="1402"/>
      <c r="KYJ11" s="1402"/>
      <c r="KYK11" s="1402"/>
      <c r="KYL11" s="1402"/>
      <c r="KYM11" s="1402"/>
      <c r="KYN11" s="1402"/>
      <c r="KYO11" s="1402"/>
      <c r="KYP11" s="1402"/>
      <c r="KYQ11" s="1402"/>
      <c r="KYR11" s="1402"/>
      <c r="KYS11" s="1402"/>
      <c r="KYT11" s="1402"/>
      <c r="KYU11" s="1402"/>
      <c r="KYV11" s="1402"/>
      <c r="KYW11" s="1402"/>
      <c r="KYX11" s="1402"/>
      <c r="KYY11" s="1402"/>
      <c r="KYZ11" s="1402"/>
      <c r="KZA11" s="1402"/>
      <c r="KZB11" s="1402"/>
      <c r="KZC11" s="1402"/>
      <c r="KZD11" s="1402"/>
      <c r="KZE11" s="1402"/>
      <c r="KZF11" s="1402"/>
      <c r="KZG11" s="1402"/>
      <c r="KZH11" s="1402"/>
      <c r="KZI11" s="1402"/>
      <c r="KZJ11" s="1402"/>
      <c r="KZK11" s="1402"/>
      <c r="KZL11" s="1402"/>
      <c r="KZM11" s="1402"/>
      <c r="KZN11" s="1402"/>
      <c r="KZO11" s="1402"/>
      <c r="KZP11" s="1402"/>
      <c r="KZQ11" s="1402"/>
      <c r="KZR11" s="1402"/>
      <c r="KZS11" s="1402"/>
      <c r="KZT11" s="1402"/>
      <c r="KZU11" s="1402"/>
      <c r="KZV11" s="1402"/>
      <c r="KZW11" s="1402"/>
      <c r="KZX11" s="1402"/>
      <c r="KZY11" s="1402"/>
      <c r="KZZ11" s="1402"/>
      <c r="LAA11" s="1402"/>
      <c r="LAB11" s="1402"/>
      <c r="LAC11" s="1402"/>
      <c r="LAD11" s="1402"/>
      <c r="LAE11" s="1402"/>
      <c r="LAF11" s="1402"/>
      <c r="LAG11" s="1402"/>
      <c r="LAH11" s="1402"/>
      <c r="LAI11" s="1402"/>
      <c r="LAJ11" s="1402"/>
      <c r="LAK11" s="1402"/>
      <c r="LAL11" s="1402"/>
      <c r="LAM11" s="1402"/>
      <c r="LAN11" s="1402"/>
      <c r="LAO11" s="1402"/>
      <c r="LAP11" s="1402"/>
      <c r="LAQ11" s="1402"/>
      <c r="LAR11" s="1402"/>
      <c r="LAS11" s="1402"/>
      <c r="LAT11" s="1402"/>
      <c r="LAU11" s="1402"/>
      <c r="LAV11" s="1402"/>
      <c r="LAW11" s="1402"/>
      <c r="LAX11" s="1402"/>
      <c r="LAY11" s="1402"/>
      <c r="LAZ11" s="1402"/>
      <c r="LBA11" s="1402"/>
      <c r="LBB11" s="1402"/>
      <c r="LBC11" s="1402"/>
      <c r="LBD11" s="1402"/>
      <c r="LBE11" s="1402"/>
      <c r="LBF11" s="1402"/>
      <c r="LBG11" s="1402"/>
      <c r="LBH11" s="1402"/>
      <c r="LBI11" s="1402"/>
      <c r="LBJ11" s="1402"/>
      <c r="LBK11" s="1402"/>
      <c r="LBL11" s="1402"/>
      <c r="LBM11" s="1402"/>
      <c r="LBN11" s="1402"/>
      <c r="LBO11" s="1402"/>
      <c r="LBP11" s="1402"/>
      <c r="LBQ11" s="1402"/>
      <c r="LBR11" s="1402"/>
      <c r="LBS11" s="1402"/>
      <c r="LBT11" s="1402"/>
      <c r="LBU11" s="1402"/>
      <c r="LBV11" s="1402"/>
      <c r="LBW11" s="1402"/>
      <c r="LBX11" s="1402"/>
      <c r="LBY11" s="1402"/>
      <c r="LBZ11" s="1402"/>
      <c r="LCA11" s="1402"/>
      <c r="LCB11" s="1402"/>
      <c r="LCC11" s="1402"/>
      <c r="LCD11" s="1402"/>
      <c r="LCE11" s="1402"/>
      <c r="LCF11" s="1402"/>
      <c r="LCG11" s="1402"/>
      <c r="LCH11" s="1402"/>
      <c r="LCI11" s="1402"/>
      <c r="LCJ11" s="1402"/>
      <c r="LCK11" s="1402"/>
      <c r="LCL11" s="1402"/>
      <c r="LCM11" s="1402"/>
      <c r="LCN11" s="1402"/>
      <c r="LCO11" s="1402"/>
      <c r="LCP11" s="1402"/>
      <c r="LCQ11" s="1402"/>
      <c r="LCR11" s="1402"/>
      <c r="LCS11" s="1402"/>
      <c r="LCT11" s="1402"/>
      <c r="LCU11" s="1402"/>
      <c r="LCV11" s="1402"/>
      <c r="LCW11" s="1402"/>
      <c r="LCX11" s="1402"/>
      <c r="LCY11" s="1402"/>
      <c r="LCZ11" s="1402"/>
      <c r="LDA11" s="1402"/>
      <c r="LDB11" s="1402"/>
      <c r="LDC11" s="1402"/>
      <c r="LDD11" s="1402"/>
      <c r="LDE11" s="1402"/>
      <c r="LDF11" s="1402"/>
      <c r="LDG11" s="1402"/>
      <c r="LDH11" s="1402"/>
      <c r="LDI11" s="1402"/>
      <c r="LDJ11" s="1402"/>
      <c r="LDK11" s="1402"/>
      <c r="LDL11" s="1402"/>
      <c r="LDM11" s="1402"/>
      <c r="LDN11" s="1402"/>
      <c r="LDO11" s="1402"/>
      <c r="LDP11" s="1402"/>
      <c r="LDQ11" s="1402"/>
      <c r="LDR11" s="1402"/>
      <c r="LDS11" s="1402"/>
      <c r="LDT11" s="1402"/>
      <c r="LDU11" s="1402"/>
      <c r="LDV11" s="1402"/>
      <c r="LDW11" s="1402"/>
      <c r="LDX11" s="1402"/>
      <c r="LDY11" s="1402"/>
      <c r="LDZ11" s="1402"/>
      <c r="LEA11" s="1402"/>
      <c r="LEB11" s="1402"/>
      <c r="LEC11" s="1402"/>
      <c r="LED11" s="1402"/>
      <c r="LEE11" s="1402"/>
      <c r="LEF11" s="1402"/>
      <c r="LEG11" s="1402"/>
      <c r="LEH11" s="1402"/>
      <c r="LEI11" s="1402"/>
      <c r="LEJ11" s="1402"/>
      <c r="LEK11" s="1402"/>
      <c r="LEL11" s="1402"/>
      <c r="LEM11" s="1402"/>
      <c r="LEN11" s="1402"/>
      <c r="LEO11" s="1402"/>
      <c r="LEP11" s="1402"/>
      <c r="LEQ11" s="1402"/>
      <c r="LER11" s="1402"/>
      <c r="LES11" s="1402"/>
      <c r="LET11" s="1402"/>
      <c r="LEU11" s="1402"/>
      <c r="LEV11" s="1402"/>
      <c r="LEW11" s="1402"/>
      <c r="LEX11" s="1402"/>
      <c r="LEY11" s="1402"/>
      <c r="LEZ11" s="1402"/>
      <c r="LFA11" s="1402"/>
      <c r="LFB11" s="1402"/>
      <c r="LFC11" s="1402"/>
      <c r="LFD11" s="1402"/>
      <c r="LFE11" s="1402"/>
      <c r="LFF11" s="1402"/>
      <c r="LFG11" s="1402"/>
      <c r="LFH11" s="1402"/>
      <c r="LFI11" s="1402"/>
      <c r="LFJ11" s="1402"/>
      <c r="LFK11" s="1402"/>
      <c r="LFL11" s="1402"/>
      <c r="LFM11" s="1402"/>
      <c r="LFN11" s="1402"/>
      <c r="LFO11" s="1402"/>
      <c r="LFP11" s="1402"/>
      <c r="LFQ11" s="1402"/>
      <c r="LFR11" s="1402"/>
      <c r="LFS11" s="1402"/>
      <c r="LFT11" s="1402"/>
      <c r="LFU11" s="1402"/>
      <c r="LFV11" s="1402"/>
      <c r="LFW11" s="1402"/>
      <c r="LFX11" s="1402"/>
      <c r="LFY11" s="1402"/>
      <c r="LFZ11" s="1402"/>
      <c r="LGA11" s="1402"/>
      <c r="LGB11" s="1402"/>
      <c r="LGC11" s="1402"/>
      <c r="LGD11" s="1402"/>
      <c r="LGE11" s="1402"/>
      <c r="LGF11" s="1402"/>
      <c r="LGG11" s="1402"/>
      <c r="LGH11" s="1402"/>
      <c r="LGI11" s="1402"/>
      <c r="LGJ11" s="1402"/>
      <c r="LGK11" s="1402"/>
      <c r="LGL11" s="1402"/>
      <c r="LGM11" s="1402"/>
      <c r="LGN11" s="1402"/>
      <c r="LGO11" s="1402"/>
      <c r="LGP11" s="1402"/>
      <c r="LGQ11" s="1402"/>
      <c r="LGR11" s="1402"/>
      <c r="LGS11" s="1402"/>
      <c r="LGT11" s="1402"/>
      <c r="LGU11" s="1402"/>
      <c r="LGV11" s="1402"/>
      <c r="LGW11" s="1402"/>
      <c r="LGX11" s="1402"/>
      <c r="LGY11" s="1402"/>
      <c r="LGZ11" s="1402"/>
      <c r="LHA11" s="1402"/>
      <c r="LHB11" s="1402"/>
      <c r="LHC11" s="1402"/>
      <c r="LHD11" s="1402"/>
      <c r="LHE11" s="1402"/>
      <c r="LHF11" s="1402"/>
      <c r="LHG11" s="1402"/>
      <c r="LHH11" s="1402"/>
      <c r="LHI11" s="1402"/>
      <c r="LHJ11" s="1402"/>
      <c r="LHK11" s="1402"/>
      <c r="LHL11" s="1402"/>
      <c r="LHM11" s="1402"/>
      <c r="LHN11" s="1402"/>
      <c r="LHO11" s="1402"/>
      <c r="LHP11" s="1402"/>
      <c r="LHQ11" s="1402"/>
      <c r="LHR11" s="1402"/>
      <c r="LHS11" s="1402"/>
      <c r="LHT11" s="1402"/>
      <c r="LHU11" s="1402"/>
      <c r="LHV11" s="1402"/>
      <c r="LHW11" s="1402"/>
      <c r="LHX11" s="1402"/>
      <c r="LHY11" s="1402"/>
      <c r="LHZ11" s="1402"/>
      <c r="LIA11" s="1402"/>
      <c r="LIB11" s="1402"/>
      <c r="LIC11" s="1402"/>
      <c r="LID11" s="1402"/>
      <c r="LIE11" s="1402"/>
      <c r="LIF11" s="1402"/>
      <c r="LIG11" s="1402"/>
      <c r="LIH11" s="1402"/>
      <c r="LII11" s="1402"/>
      <c r="LIJ11" s="1402"/>
      <c r="LIK11" s="1402"/>
      <c r="LIL11" s="1402"/>
      <c r="LIM11" s="1402"/>
      <c r="LIN11" s="1402"/>
      <c r="LIO11" s="1402"/>
      <c r="LIP11" s="1402"/>
      <c r="LIQ11" s="1402"/>
      <c r="LIR11" s="1402"/>
      <c r="LIS11" s="1402"/>
      <c r="LIT11" s="1402"/>
      <c r="LIU11" s="1402"/>
      <c r="LIV11" s="1402"/>
      <c r="LIW11" s="1402"/>
      <c r="LIX11" s="1402"/>
      <c r="LIY11" s="1402"/>
      <c r="LIZ11" s="1402"/>
      <c r="LJA11" s="1402"/>
      <c r="LJB11" s="1402"/>
      <c r="LJC11" s="1402"/>
      <c r="LJD11" s="1402"/>
      <c r="LJE11" s="1402"/>
      <c r="LJF11" s="1402"/>
      <c r="LJG11" s="1402"/>
      <c r="LJH11" s="1402"/>
      <c r="LJI11" s="1402"/>
      <c r="LJJ11" s="1402"/>
      <c r="LJK11" s="1402"/>
      <c r="LJL11" s="1402"/>
      <c r="LJM11" s="1402"/>
      <c r="LJN11" s="1402"/>
      <c r="LJO11" s="1402"/>
      <c r="LJP11" s="1402"/>
      <c r="LJQ11" s="1402"/>
      <c r="LJR11" s="1402"/>
      <c r="LJS11" s="1402"/>
      <c r="LJT11" s="1402"/>
      <c r="LJU11" s="1402"/>
      <c r="LJV11" s="1402"/>
      <c r="LJW11" s="1402"/>
      <c r="LJX11" s="1402"/>
      <c r="LJY11" s="1402"/>
      <c r="LJZ11" s="1402"/>
      <c r="LKA11" s="1402"/>
      <c r="LKB11" s="1402"/>
      <c r="LKC11" s="1402"/>
      <c r="LKD11" s="1402"/>
      <c r="LKE11" s="1402"/>
      <c r="LKF11" s="1402"/>
      <c r="LKG11" s="1402"/>
      <c r="LKH11" s="1402"/>
      <c r="LKI11" s="1402"/>
      <c r="LKJ11" s="1402"/>
      <c r="LKK11" s="1402"/>
      <c r="LKL11" s="1402"/>
      <c r="LKM11" s="1402"/>
      <c r="LKN11" s="1402"/>
      <c r="LKO11" s="1402"/>
      <c r="LKP11" s="1402"/>
      <c r="LKQ11" s="1402"/>
      <c r="LKR11" s="1402"/>
      <c r="LKS11" s="1402"/>
      <c r="LKT11" s="1402"/>
      <c r="LKU11" s="1402"/>
      <c r="LKV11" s="1402"/>
      <c r="LKW11" s="1402"/>
      <c r="LKX11" s="1402"/>
      <c r="LKY11" s="1402"/>
      <c r="LKZ11" s="1402"/>
      <c r="LLA11" s="1402"/>
      <c r="LLB11" s="1402"/>
      <c r="LLC11" s="1402"/>
      <c r="LLD11" s="1402"/>
      <c r="LLE11" s="1402"/>
      <c r="LLF11" s="1402"/>
      <c r="LLG11" s="1402"/>
      <c r="LLH11" s="1402"/>
      <c r="LLI11" s="1402"/>
      <c r="LLJ11" s="1402"/>
      <c r="LLK11" s="1402"/>
      <c r="LLL11" s="1402"/>
      <c r="LLM11" s="1402"/>
      <c r="LLN11" s="1402"/>
      <c r="LLO11" s="1402"/>
      <c r="LLP11" s="1402"/>
      <c r="LLQ11" s="1402"/>
      <c r="LLR11" s="1402"/>
      <c r="LLS11" s="1402"/>
      <c r="LLT11" s="1402"/>
      <c r="LLU11" s="1402"/>
      <c r="LLV11" s="1402"/>
      <c r="LLW11" s="1402"/>
      <c r="LLX11" s="1402"/>
      <c r="LLY11" s="1402"/>
      <c r="LLZ11" s="1402"/>
      <c r="LMA11" s="1402"/>
      <c r="LMB11" s="1402"/>
      <c r="LMC11" s="1402"/>
      <c r="LMD11" s="1402"/>
      <c r="LME11" s="1402"/>
      <c r="LMF11" s="1402"/>
      <c r="LMG11" s="1402"/>
      <c r="LMH11" s="1402"/>
      <c r="LMI11" s="1402"/>
      <c r="LMJ11" s="1402"/>
      <c r="LMK11" s="1402"/>
      <c r="LML11" s="1402"/>
      <c r="LMM11" s="1402"/>
      <c r="LMN11" s="1402"/>
      <c r="LMO11" s="1402"/>
      <c r="LMP11" s="1402"/>
      <c r="LMQ11" s="1402"/>
      <c r="LMR11" s="1402"/>
      <c r="LMS11" s="1402"/>
      <c r="LMT11" s="1402"/>
      <c r="LMU11" s="1402"/>
      <c r="LMV11" s="1402"/>
      <c r="LMW11" s="1402"/>
      <c r="LMX11" s="1402"/>
      <c r="LMY11" s="1402"/>
      <c r="LMZ11" s="1402"/>
      <c r="LNA11" s="1402"/>
      <c r="LNB11" s="1402"/>
      <c r="LNC11" s="1402"/>
      <c r="LND11" s="1402"/>
      <c r="LNE11" s="1402"/>
      <c r="LNF11" s="1402"/>
      <c r="LNG11" s="1402"/>
      <c r="LNH11" s="1402"/>
      <c r="LNI11" s="1402"/>
      <c r="LNJ11" s="1402"/>
      <c r="LNK11" s="1402"/>
      <c r="LNL11" s="1402"/>
      <c r="LNM11" s="1402"/>
      <c r="LNN11" s="1402"/>
      <c r="LNO11" s="1402"/>
      <c r="LNP11" s="1402"/>
      <c r="LNQ11" s="1402"/>
      <c r="LNR11" s="1402"/>
      <c r="LNS11" s="1402"/>
      <c r="LNT11" s="1402"/>
      <c r="LNU11" s="1402"/>
      <c r="LNV11" s="1402"/>
      <c r="LNW11" s="1402"/>
      <c r="LNX11" s="1402"/>
      <c r="LNY11" s="1402"/>
      <c r="LNZ11" s="1402"/>
      <c r="LOA11" s="1402"/>
      <c r="LOB11" s="1402"/>
      <c r="LOC11" s="1402"/>
      <c r="LOD11" s="1402"/>
      <c r="LOE11" s="1402"/>
      <c r="LOF11" s="1402"/>
      <c r="LOG11" s="1402"/>
      <c r="LOH11" s="1402"/>
      <c r="LOI11" s="1402"/>
      <c r="LOJ11" s="1402"/>
      <c r="LOK11" s="1402"/>
      <c r="LOL11" s="1402"/>
      <c r="LOM11" s="1402"/>
      <c r="LON11" s="1402"/>
      <c r="LOO11" s="1402"/>
      <c r="LOP11" s="1402"/>
      <c r="LOQ11" s="1402"/>
      <c r="LOR11" s="1402"/>
      <c r="LOS11" s="1402"/>
      <c r="LOT11" s="1402"/>
      <c r="LOU11" s="1402"/>
      <c r="LOV11" s="1402"/>
      <c r="LOW11" s="1402"/>
      <c r="LOX11" s="1402"/>
      <c r="LOY11" s="1402"/>
      <c r="LOZ11" s="1402"/>
      <c r="LPA11" s="1402"/>
      <c r="LPB11" s="1402"/>
      <c r="LPC11" s="1402"/>
      <c r="LPD11" s="1402"/>
      <c r="LPE11" s="1402"/>
      <c r="LPF11" s="1402"/>
      <c r="LPG11" s="1402"/>
      <c r="LPH11" s="1402"/>
      <c r="LPI11" s="1402"/>
      <c r="LPJ11" s="1402"/>
      <c r="LPK11" s="1402"/>
      <c r="LPL11" s="1402"/>
      <c r="LPM11" s="1402"/>
      <c r="LPN11" s="1402"/>
      <c r="LPO11" s="1402"/>
      <c r="LPP11" s="1402"/>
      <c r="LPQ11" s="1402"/>
      <c r="LPR11" s="1402"/>
      <c r="LPS11" s="1402"/>
      <c r="LPT11" s="1402"/>
      <c r="LPU11" s="1402"/>
      <c r="LPV11" s="1402"/>
      <c r="LPW11" s="1402"/>
      <c r="LPX11" s="1402"/>
      <c r="LPY11" s="1402"/>
      <c r="LPZ11" s="1402"/>
      <c r="LQA11" s="1402"/>
      <c r="LQB11" s="1402"/>
      <c r="LQC11" s="1402"/>
      <c r="LQD11" s="1402"/>
      <c r="LQE11" s="1402"/>
      <c r="LQF11" s="1402"/>
      <c r="LQG11" s="1402"/>
      <c r="LQH11" s="1402"/>
      <c r="LQI11" s="1402"/>
      <c r="LQJ11" s="1402"/>
      <c r="LQK11" s="1402"/>
      <c r="LQL11" s="1402"/>
      <c r="LQM11" s="1402"/>
      <c r="LQN11" s="1402"/>
      <c r="LQO11" s="1402"/>
      <c r="LQP11" s="1402"/>
      <c r="LQQ11" s="1402"/>
      <c r="LQR11" s="1402"/>
      <c r="LQS11" s="1402"/>
      <c r="LQT11" s="1402"/>
      <c r="LQU11" s="1402"/>
      <c r="LQV11" s="1402"/>
      <c r="LQW11" s="1402"/>
      <c r="LQX11" s="1402"/>
      <c r="LQY11" s="1402"/>
      <c r="LQZ11" s="1402"/>
      <c r="LRA11" s="1402"/>
      <c r="LRB11" s="1402"/>
      <c r="LRC11" s="1402"/>
      <c r="LRD11" s="1402"/>
      <c r="LRE11" s="1402"/>
      <c r="LRF11" s="1402"/>
      <c r="LRG11" s="1402"/>
      <c r="LRH11" s="1402"/>
      <c r="LRI11" s="1402"/>
      <c r="LRJ11" s="1402"/>
      <c r="LRK11" s="1402"/>
      <c r="LRL11" s="1402"/>
      <c r="LRM11" s="1402"/>
      <c r="LRN11" s="1402"/>
      <c r="LRO11" s="1402"/>
      <c r="LRP11" s="1402"/>
      <c r="LRQ11" s="1402"/>
      <c r="LRR11" s="1402"/>
      <c r="LRS11" s="1402"/>
      <c r="LRT11" s="1402"/>
      <c r="LRU11" s="1402"/>
      <c r="LRV11" s="1402"/>
      <c r="LRW11" s="1402"/>
      <c r="LRX11" s="1402"/>
      <c r="LRY11" s="1402"/>
      <c r="LRZ11" s="1402"/>
      <c r="LSA11" s="1402"/>
      <c r="LSB11" s="1402"/>
      <c r="LSC11" s="1402"/>
      <c r="LSD11" s="1402"/>
      <c r="LSE11" s="1402"/>
      <c r="LSF11" s="1402"/>
      <c r="LSG11" s="1402"/>
      <c r="LSH11" s="1402"/>
      <c r="LSI11" s="1402"/>
      <c r="LSJ11" s="1402"/>
      <c r="LSK11" s="1402"/>
      <c r="LSL11" s="1402"/>
      <c r="LSM11" s="1402"/>
      <c r="LSN11" s="1402"/>
      <c r="LSO11" s="1402"/>
      <c r="LSP11" s="1402"/>
      <c r="LSQ11" s="1402"/>
      <c r="LSR11" s="1402"/>
      <c r="LSS11" s="1402"/>
      <c r="LST11" s="1402"/>
      <c r="LSU11" s="1402"/>
      <c r="LSV11" s="1402"/>
      <c r="LSW11" s="1402"/>
      <c r="LSX11" s="1402"/>
      <c r="LSY11" s="1402"/>
      <c r="LSZ11" s="1402"/>
      <c r="LTA11" s="1402"/>
      <c r="LTB11" s="1402"/>
      <c r="LTC11" s="1402"/>
      <c r="LTD11" s="1402"/>
      <c r="LTE11" s="1402"/>
      <c r="LTF11" s="1402"/>
      <c r="LTG11" s="1402"/>
      <c r="LTH11" s="1402"/>
      <c r="LTI11" s="1402"/>
      <c r="LTJ11" s="1402"/>
      <c r="LTK11" s="1402"/>
      <c r="LTL11" s="1402"/>
      <c r="LTM11" s="1402"/>
      <c r="LTN11" s="1402"/>
      <c r="LTO11" s="1402"/>
      <c r="LTP11" s="1402"/>
      <c r="LTQ11" s="1402"/>
      <c r="LTR11" s="1402"/>
      <c r="LTS11" s="1402"/>
      <c r="LTT11" s="1402"/>
      <c r="LTU11" s="1402"/>
      <c r="LTV11" s="1402"/>
      <c r="LTW11" s="1402"/>
      <c r="LTX11" s="1402"/>
      <c r="LTY11" s="1402"/>
      <c r="LTZ11" s="1402"/>
      <c r="LUA11" s="1402"/>
      <c r="LUB11" s="1402"/>
      <c r="LUC11" s="1402"/>
      <c r="LUD11" s="1402"/>
      <c r="LUE11" s="1402"/>
      <c r="LUF11" s="1402"/>
      <c r="LUG11" s="1402"/>
      <c r="LUH11" s="1402"/>
      <c r="LUI11" s="1402"/>
      <c r="LUJ11" s="1402"/>
      <c r="LUK11" s="1402"/>
      <c r="LUL11" s="1402"/>
      <c r="LUM11" s="1402"/>
      <c r="LUN11" s="1402"/>
      <c r="LUO11" s="1402"/>
      <c r="LUP11" s="1402"/>
      <c r="LUQ11" s="1402"/>
      <c r="LUR11" s="1402"/>
      <c r="LUS11" s="1402"/>
      <c r="LUT11" s="1402"/>
      <c r="LUU11" s="1402"/>
      <c r="LUV11" s="1402"/>
      <c r="LUW11" s="1402"/>
      <c r="LUX11" s="1402"/>
      <c r="LUY11" s="1402"/>
      <c r="LUZ11" s="1402"/>
      <c r="LVA11" s="1402"/>
      <c r="LVB11" s="1402"/>
      <c r="LVC11" s="1402"/>
      <c r="LVD11" s="1402"/>
      <c r="LVE11" s="1402"/>
      <c r="LVF11" s="1402"/>
      <c r="LVG11" s="1402"/>
      <c r="LVH11" s="1402"/>
      <c r="LVI11" s="1402"/>
      <c r="LVJ11" s="1402"/>
      <c r="LVK11" s="1402"/>
      <c r="LVL11" s="1402"/>
      <c r="LVM11" s="1402"/>
      <c r="LVN11" s="1402"/>
      <c r="LVO11" s="1402"/>
      <c r="LVP11" s="1402"/>
      <c r="LVQ11" s="1402"/>
      <c r="LVR11" s="1402"/>
      <c r="LVS11" s="1402"/>
      <c r="LVT11" s="1402"/>
      <c r="LVU11" s="1402"/>
      <c r="LVV11" s="1402"/>
      <c r="LVW11" s="1402"/>
      <c r="LVX11" s="1402"/>
      <c r="LVY11" s="1402"/>
      <c r="LVZ11" s="1402"/>
      <c r="LWA11" s="1402"/>
      <c r="LWB11" s="1402"/>
      <c r="LWC11" s="1402"/>
      <c r="LWD11" s="1402"/>
      <c r="LWE11" s="1402"/>
      <c r="LWF11" s="1402"/>
      <c r="LWG11" s="1402"/>
      <c r="LWH11" s="1402"/>
      <c r="LWI11" s="1402"/>
      <c r="LWJ11" s="1402"/>
      <c r="LWK11" s="1402"/>
      <c r="LWL11" s="1402"/>
      <c r="LWM11" s="1402"/>
      <c r="LWN11" s="1402"/>
      <c r="LWO11" s="1402"/>
      <c r="LWP11" s="1402"/>
      <c r="LWQ11" s="1402"/>
      <c r="LWR11" s="1402"/>
      <c r="LWS11" s="1402"/>
      <c r="LWT11" s="1402"/>
      <c r="LWU11" s="1402"/>
      <c r="LWV11" s="1402"/>
      <c r="LWW11" s="1402"/>
      <c r="LWX11" s="1402"/>
      <c r="LWY11" s="1402"/>
      <c r="LWZ11" s="1402"/>
      <c r="LXA11" s="1402"/>
      <c r="LXB11" s="1402"/>
      <c r="LXC11" s="1402"/>
      <c r="LXD11" s="1402"/>
      <c r="LXE11" s="1402"/>
      <c r="LXF11" s="1402"/>
      <c r="LXG11" s="1402"/>
      <c r="LXH11" s="1402"/>
      <c r="LXI11" s="1402"/>
      <c r="LXJ11" s="1402"/>
      <c r="LXK11" s="1402"/>
      <c r="LXL11" s="1402"/>
      <c r="LXM11" s="1402"/>
      <c r="LXN11" s="1402"/>
      <c r="LXO11" s="1402"/>
      <c r="LXP11" s="1402"/>
      <c r="LXQ11" s="1402"/>
      <c r="LXR11" s="1402"/>
      <c r="LXS11" s="1402"/>
      <c r="LXT11" s="1402"/>
      <c r="LXU11" s="1402"/>
      <c r="LXV11" s="1402"/>
      <c r="LXW11" s="1402"/>
      <c r="LXX11" s="1402"/>
      <c r="LXY11" s="1402"/>
      <c r="LXZ11" s="1402"/>
      <c r="LYA11" s="1402"/>
      <c r="LYB11" s="1402"/>
      <c r="LYC11" s="1402"/>
      <c r="LYD11" s="1402"/>
      <c r="LYE11" s="1402"/>
      <c r="LYF11" s="1402"/>
      <c r="LYG11" s="1402"/>
      <c r="LYH11" s="1402"/>
      <c r="LYI11" s="1402"/>
      <c r="LYJ11" s="1402"/>
      <c r="LYK11" s="1402"/>
      <c r="LYL11" s="1402"/>
      <c r="LYM11" s="1402"/>
      <c r="LYN11" s="1402"/>
      <c r="LYO11" s="1402"/>
      <c r="LYP11" s="1402"/>
      <c r="LYQ11" s="1402"/>
      <c r="LYR11" s="1402"/>
      <c r="LYS11" s="1402"/>
      <c r="LYT11" s="1402"/>
      <c r="LYU11" s="1402"/>
      <c r="LYV11" s="1402"/>
      <c r="LYW11" s="1402"/>
      <c r="LYX11" s="1402"/>
      <c r="LYY11" s="1402"/>
      <c r="LYZ11" s="1402"/>
      <c r="LZA11" s="1402"/>
      <c r="LZB11" s="1402"/>
      <c r="LZC11" s="1402"/>
      <c r="LZD11" s="1402"/>
      <c r="LZE11" s="1402"/>
      <c r="LZF11" s="1402"/>
      <c r="LZG11" s="1402"/>
      <c r="LZH11" s="1402"/>
      <c r="LZI11" s="1402"/>
      <c r="LZJ11" s="1402"/>
      <c r="LZK11" s="1402"/>
      <c r="LZL11" s="1402"/>
      <c r="LZM11" s="1402"/>
      <c r="LZN11" s="1402"/>
      <c r="LZO11" s="1402"/>
      <c r="LZP11" s="1402"/>
      <c r="LZQ11" s="1402"/>
      <c r="LZR11" s="1402"/>
      <c r="LZS11" s="1402"/>
      <c r="LZT11" s="1402"/>
      <c r="LZU11" s="1402"/>
      <c r="LZV11" s="1402"/>
      <c r="LZW11" s="1402"/>
      <c r="LZX11" s="1402"/>
      <c r="LZY11" s="1402"/>
      <c r="LZZ11" s="1402"/>
      <c r="MAA11" s="1402"/>
      <c r="MAB11" s="1402"/>
      <c r="MAC11" s="1402"/>
      <c r="MAD11" s="1402"/>
      <c r="MAE11" s="1402"/>
      <c r="MAF11" s="1402"/>
      <c r="MAG11" s="1402"/>
      <c r="MAH11" s="1402"/>
      <c r="MAI11" s="1402"/>
      <c r="MAJ11" s="1402"/>
      <c r="MAK11" s="1402"/>
      <c r="MAL11" s="1402"/>
      <c r="MAM11" s="1402"/>
      <c r="MAN11" s="1402"/>
      <c r="MAO11" s="1402"/>
      <c r="MAP11" s="1402"/>
      <c r="MAQ11" s="1402"/>
      <c r="MAR11" s="1402"/>
      <c r="MAS11" s="1402"/>
      <c r="MAT11" s="1402"/>
      <c r="MAU11" s="1402"/>
      <c r="MAV11" s="1402"/>
      <c r="MAW11" s="1402"/>
      <c r="MAX11" s="1402"/>
      <c r="MAY11" s="1402"/>
      <c r="MAZ11" s="1402"/>
      <c r="MBA11" s="1402"/>
      <c r="MBB11" s="1402"/>
      <c r="MBC11" s="1402"/>
      <c r="MBD11" s="1402"/>
      <c r="MBE11" s="1402"/>
      <c r="MBF11" s="1402"/>
      <c r="MBG11" s="1402"/>
      <c r="MBH11" s="1402"/>
      <c r="MBI11" s="1402"/>
      <c r="MBJ11" s="1402"/>
      <c r="MBK11" s="1402"/>
      <c r="MBL11" s="1402"/>
      <c r="MBM11" s="1402"/>
      <c r="MBN11" s="1402"/>
      <c r="MBO11" s="1402"/>
      <c r="MBP11" s="1402"/>
      <c r="MBQ11" s="1402"/>
      <c r="MBR11" s="1402"/>
      <c r="MBS11" s="1402"/>
      <c r="MBT11" s="1402"/>
      <c r="MBU11" s="1402"/>
      <c r="MBV11" s="1402"/>
      <c r="MBW11" s="1402"/>
      <c r="MBX11" s="1402"/>
      <c r="MBY11" s="1402"/>
      <c r="MBZ11" s="1402"/>
      <c r="MCA11" s="1402"/>
      <c r="MCB11" s="1402"/>
      <c r="MCC11" s="1402"/>
      <c r="MCD11" s="1402"/>
      <c r="MCE11" s="1402"/>
      <c r="MCF11" s="1402"/>
      <c r="MCG11" s="1402"/>
      <c r="MCH11" s="1402"/>
      <c r="MCI11" s="1402"/>
      <c r="MCJ11" s="1402"/>
      <c r="MCK11" s="1402"/>
      <c r="MCL11" s="1402"/>
      <c r="MCM11" s="1402"/>
      <c r="MCN11" s="1402"/>
      <c r="MCO11" s="1402"/>
      <c r="MCP11" s="1402"/>
      <c r="MCQ11" s="1402"/>
      <c r="MCR11" s="1402"/>
      <c r="MCS11" s="1402"/>
      <c r="MCT11" s="1402"/>
      <c r="MCU11" s="1402"/>
      <c r="MCV11" s="1402"/>
      <c r="MCW11" s="1402"/>
      <c r="MCX11" s="1402"/>
      <c r="MCY11" s="1402"/>
      <c r="MCZ11" s="1402"/>
      <c r="MDA11" s="1402"/>
      <c r="MDB11" s="1402"/>
      <c r="MDC11" s="1402"/>
      <c r="MDD11" s="1402"/>
      <c r="MDE11" s="1402"/>
      <c r="MDF11" s="1402"/>
      <c r="MDG11" s="1402"/>
      <c r="MDH11" s="1402"/>
      <c r="MDI11" s="1402"/>
      <c r="MDJ11" s="1402"/>
      <c r="MDK11" s="1402"/>
      <c r="MDL11" s="1402"/>
      <c r="MDM11" s="1402"/>
      <c r="MDN11" s="1402"/>
      <c r="MDO11" s="1402"/>
      <c r="MDP11" s="1402"/>
      <c r="MDQ11" s="1402"/>
      <c r="MDR11" s="1402"/>
      <c r="MDS11" s="1402"/>
      <c r="MDT11" s="1402"/>
      <c r="MDU11" s="1402"/>
      <c r="MDV11" s="1402"/>
      <c r="MDW11" s="1402"/>
      <c r="MDX11" s="1402"/>
      <c r="MDY11" s="1402"/>
      <c r="MDZ11" s="1402"/>
      <c r="MEA11" s="1402"/>
      <c r="MEB11" s="1402"/>
      <c r="MEC11" s="1402"/>
      <c r="MED11" s="1402"/>
      <c r="MEE11" s="1402"/>
      <c r="MEF11" s="1402"/>
      <c r="MEG11" s="1402"/>
      <c r="MEH11" s="1402"/>
      <c r="MEI11" s="1402"/>
      <c r="MEJ11" s="1402"/>
      <c r="MEK11" s="1402"/>
      <c r="MEL11" s="1402"/>
      <c r="MEM11" s="1402"/>
      <c r="MEN11" s="1402"/>
      <c r="MEO11" s="1402"/>
      <c r="MEP11" s="1402"/>
      <c r="MEQ11" s="1402"/>
      <c r="MER11" s="1402"/>
      <c r="MES11" s="1402"/>
      <c r="MET11" s="1402"/>
      <c r="MEU11" s="1402"/>
      <c r="MEV11" s="1402"/>
      <c r="MEW11" s="1402"/>
      <c r="MEX11" s="1402"/>
      <c r="MEY11" s="1402"/>
      <c r="MEZ11" s="1402"/>
      <c r="MFA11" s="1402"/>
      <c r="MFB11" s="1402"/>
      <c r="MFC11" s="1402"/>
      <c r="MFD11" s="1402"/>
      <c r="MFE11" s="1402"/>
      <c r="MFF11" s="1402"/>
      <c r="MFG11" s="1402"/>
      <c r="MFH11" s="1402"/>
      <c r="MFI11" s="1402"/>
      <c r="MFJ11" s="1402"/>
      <c r="MFK11" s="1402"/>
      <c r="MFL11" s="1402"/>
      <c r="MFM11" s="1402"/>
      <c r="MFN11" s="1402"/>
      <c r="MFO11" s="1402"/>
      <c r="MFP11" s="1402"/>
      <c r="MFQ11" s="1402"/>
      <c r="MFR11" s="1402"/>
      <c r="MFS11" s="1402"/>
      <c r="MFT11" s="1402"/>
      <c r="MFU11" s="1402"/>
      <c r="MFV11" s="1402"/>
      <c r="MFW11" s="1402"/>
      <c r="MFX11" s="1402"/>
      <c r="MFY11" s="1402"/>
      <c r="MFZ11" s="1402"/>
      <c r="MGA11" s="1402"/>
      <c r="MGB11" s="1402"/>
      <c r="MGC11" s="1402"/>
      <c r="MGD11" s="1402"/>
      <c r="MGE11" s="1402"/>
      <c r="MGF11" s="1402"/>
      <c r="MGG11" s="1402"/>
      <c r="MGH11" s="1402"/>
      <c r="MGI11" s="1402"/>
      <c r="MGJ11" s="1402"/>
      <c r="MGK11" s="1402"/>
      <c r="MGL11" s="1402"/>
      <c r="MGM11" s="1402"/>
      <c r="MGN11" s="1402"/>
      <c r="MGO11" s="1402"/>
      <c r="MGP11" s="1402"/>
      <c r="MGQ11" s="1402"/>
      <c r="MGR11" s="1402"/>
      <c r="MGS11" s="1402"/>
      <c r="MGT11" s="1402"/>
      <c r="MGU11" s="1402"/>
      <c r="MGV11" s="1402"/>
      <c r="MGW11" s="1402"/>
      <c r="MGX11" s="1402"/>
      <c r="MGY11" s="1402"/>
      <c r="MGZ11" s="1402"/>
      <c r="MHA11" s="1402"/>
      <c r="MHB11" s="1402"/>
      <c r="MHC11" s="1402"/>
      <c r="MHD11" s="1402"/>
      <c r="MHE11" s="1402"/>
      <c r="MHF11" s="1402"/>
      <c r="MHG11" s="1402"/>
      <c r="MHH11" s="1402"/>
      <c r="MHI11" s="1402"/>
      <c r="MHJ11" s="1402"/>
      <c r="MHK11" s="1402"/>
      <c r="MHL11" s="1402"/>
      <c r="MHM11" s="1402"/>
      <c r="MHN11" s="1402"/>
      <c r="MHO11" s="1402"/>
      <c r="MHP11" s="1402"/>
      <c r="MHQ11" s="1402"/>
      <c r="MHR11" s="1402"/>
      <c r="MHS11" s="1402"/>
      <c r="MHT11" s="1402"/>
      <c r="MHU11" s="1402"/>
      <c r="MHV11" s="1402"/>
      <c r="MHW11" s="1402"/>
      <c r="MHX11" s="1402"/>
      <c r="MHY11" s="1402"/>
      <c r="MHZ11" s="1402"/>
      <c r="MIA11" s="1402"/>
      <c r="MIB11" s="1402"/>
      <c r="MIC11" s="1402"/>
      <c r="MID11" s="1402"/>
      <c r="MIE11" s="1402"/>
      <c r="MIF11" s="1402"/>
      <c r="MIG11" s="1402"/>
      <c r="MIH11" s="1402"/>
      <c r="MII11" s="1402"/>
      <c r="MIJ11" s="1402"/>
      <c r="MIK11" s="1402"/>
      <c r="MIL11" s="1402"/>
      <c r="MIM11" s="1402"/>
      <c r="MIN11" s="1402"/>
      <c r="MIO11" s="1402"/>
      <c r="MIP11" s="1402"/>
      <c r="MIQ11" s="1402"/>
      <c r="MIR11" s="1402"/>
      <c r="MIS11" s="1402"/>
      <c r="MIT11" s="1402"/>
      <c r="MIU11" s="1402"/>
      <c r="MIV11" s="1402"/>
      <c r="MIW11" s="1402"/>
      <c r="MIX11" s="1402"/>
      <c r="MIY11" s="1402"/>
      <c r="MIZ11" s="1402"/>
      <c r="MJA11" s="1402"/>
      <c r="MJB11" s="1402"/>
      <c r="MJC11" s="1402"/>
      <c r="MJD11" s="1402"/>
      <c r="MJE11" s="1402"/>
      <c r="MJF11" s="1402"/>
      <c r="MJG11" s="1402"/>
      <c r="MJH11" s="1402"/>
      <c r="MJI11" s="1402"/>
      <c r="MJJ11" s="1402"/>
      <c r="MJK11" s="1402"/>
      <c r="MJL11" s="1402"/>
      <c r="MJM11" s="1402"/>
      <c r="MJN11" s="1402"/>
      <c r="MJO11" s="1402"/>
      <c r="MJP11" s="1402"/>
      <c r="MJQ11" s="1402"/>
      <c r="MJR11" s="1402"/>
      <c r="MJS11" s="1402"/>
      <c r="MJT11" s="1402"/>
      <c r="MJU11" s="1402"/>
      <c r="MJV11" s="1402"/>
      <c r="MJW11" s="1402"/>
      <c r="MJX11" s="1402"/>
      <c r="MJY11" s="1402"/>
      <c r="MJZ11" s="1402"/>
      <c r="MKA11" s="1402"/>
      <c r="MKB11" s="1402"/>
      <c r="MKC11" s="1402"/>
      <c r="MKD11" s="1402"/>
      <c r="MKE11" s="1402"/>
      <c r="MKF11" s="1402"/>
      <c r="MKG11" s="1402"/>
      <c r="MKH11" s="1402"/>
      <c r="MKI11" s="1402"/>
      <c r="MKJ11" s="1402"/>
      <c r="MKK11" s="1402"/>
      <c r="MKL11" s="1402"/>
      <c r="MKM11" s="1402"/>
      <c r="MKN11" s="1402"/>
      <c r="MKO11" s="1402"/>
      <c r="MKP11" s="1402"/>
      <c r="MKQ11" s="1402"/>
      <c r="MKR11" s="1402"/>
      <c r="MKS11" s="1402"/>
      <c r="MKT11" s="1402"/>
      <c r="MKU11" s="1402"/>
      <c r="MKV11" s="1402"/>
      <c r="MKW11" s="1402"/>
      <c r="MKX11" s="1402"/>
      <c r="MKY11" s="1402"/>
      <c r="MKZ11" s="1402"/>
      <c r="MLA11" s="1402"/>
      <c r="MLB11" s="1402"/>
      <c r="MLC11" s="1402"/>
      <c r="MLD11" s="1402"/>
      <c r="MLE11" s="1402"/>
      <c r="MLF11" s="1402"/>
      <c r="MLG11" s="1402"/>
      <c r="MLH11" s="1402"/>
      <c r="MLI11" s="1402"/>
      <c r="MLJ11" s="1402"/>
      <c r="MLK11" s="1402"/>
      <c r="MLL11" s="1402"/>
      <c r="MLM11" s="1402"/>
      <c r="MLN11" s="1402"/>
      <c r="MLO11" s="1402"/>
      <c r="MLP11" s="1402"/>
      <c r="MLQ11" s="1402"/>
      <c r="MLR11" s="1402"/>
      <c r="MLS11" s="1402"/>
      <c r="MLT11" s="1402"/>
      <c r="MLU11" s="1402"/>
      <c r="MLV11" s="1402"/>
      <c r="MLW11" s="1402"/>
      <c r="MLX11" s="1402"/>
      <c r="MLY11" s="1402"/>
      <c r="MLZ11" s="1402"/>
      <c r="MMA11" s="1402"/>
      <c r="MMB11" s="1402"/>
      <c r="MMC11" s="1402"/>
      <c r="MMD11" s="1402"/>
      <c r="MME11" s="1402"/>
      <c r="MMF11" s="1402"/>
      <c r="MMG11" s="1402"/>
      <c r="MMH11" s="1402"/>
      <c r="MMI11" s="1402"/>
      <c r="MMJ11" s="1402"/>
      <c r="MMK11" s="1402"/>
      <c r="MML11" s="1402"/>
      <c r="MMM11" s="1402"/>
      <c r="MMN11" s="1402"/>
      <c r="MMO11" s="1402"/>
      <c r="MMP11" s="1402"/>
      <c r="MMQ11" s="1402"/>
      <c r="MMR11" s="1402"/>
      <c r="MMS11" s="1402"/>
      <c r="MMT11" s="1402"/>
      <c r="MMU11" s="1402"/>
      <c r="MMV11" s="1402"/>
      <c r="MMW11" s="1402"/>
      <c r="MMX11" s="1402"/>
      <c r="MMY11" s="1402"/>
      <c r="MMZ11" s="1402"/>
      <c r="MNA11" s="1402"/>
      <c r="MNB11" s="1402"/>
      <c r="MNC11" s="1402"/>
      <c r="MND11" s="1402"/>
      <c r="MNE11" s="1402"/>
      <c r="MNF11" s="1402"/>
      <c r="MNG11" s="1402"/>
      <c r="MNH11" s="1402"/>
      <c r="MNI11" s="1402"/>
      <c r="MNJ11" s="1402"/>
      <c r="MNK11" s="1402"/>
      <c r="MNL11" s="1402"/>
      <c r="MNM11" s="1402"/>
      <c r="MNN11" s="1402"/>
      <c r="MNO11" s="1402"/>
      <c r="MNP11" s="1402"/>
      <c r="MNQ11" s="1402"/>
      <c r="MNR11" s="1402"/>
      <c r="MNS11" s="1402"/>
      <c r="MNT11" s="1402"/>
      <c r="MNU11" s="1402"/>
      <c r="MNV11" s="1402"/>
      <c r="MNW11" s="1402"/>
      <c r="MNX11" s="1402"/>
      <c r="MNY11" s="1402"/>
      <c r="MNZ11" s="1402"/>
      <c r="MOA11" s="1402"/>
      <c r="MOB11" s="1402"/>
      <c r="MOC11" s="1402"/>
      <c r="MOD11" s="1402"/>
      <c r="MOE11" s="1402"/>
      <c r="MOF11" s="1402"/>
      <c r="MOG11" s="1402"/>
      <c r="MOH11" s="1402"/>
      <c r="MOI11" s="1402"/>
      <c r="MOJ11" s="1402"/>
      <c r="MOK11" s="1402"/>
      <c r="MOL11" s="1402"/>
      <c r="MOM11" s="1402"/>
      <c r="MON11" s="1402"/>
      <c r="MOO11" s="1402"/>
      <c r="MOP11" s="1402"/>
      <c r="MOQ11" s="1402"/>
      <c r="MOR11" s="1402"/>
      <c r="MOS11" s="1402"/>
      <c r="MOT11" s="1402"/>
      <c r="MOU11" s="1402"/>
      <c r="MOV11" s="1402"/>
      <c r="MOW11" s="1402"/>
      <c r="MOX11" s="1402"/>
      <c r="MOY11" s="1402"/>
      <c r="MOZ11" s="1402"/>
      <c r="MPA11" s="1402"/>
      <c r="MPB11" s="1402"/>
      <c r="MPC11" s="1402"/>
      <c r="MPD11" s="1402"/>
      <c r="MPE11" s="1402"/>
      <c r="MPF11" s="1402"/>
      <c r="MPG11" s="1402"/>
      <c r="MPH11" s="1402"/>
      <c r="MPI11" s="1402"/>
      <c r="MPJ11" s="1402"/>
      <c r="MPK11" s="1402"/>
      <c r="MPL11" s="1402"/>
      <c r="MPM11" s="1402"/>
      <c r="MPN11" s="1402"/>
      <c r="MPO11" s="1402"/>
      <c r="MPP11" s="1402"/>
      <c r="MPQ11" s="1402"/>
      <c r="MPR11" s="1402"/>
      <c r="MPS11" s="1402"/>
      <c r="MPT11" s="1402"/>
      <c r="MPU11" s="1402"/>
      <c r="MPV11" s="1402"/>
      <c r="MPW11" s="1402"/>
      <c r="MPX11" s="1402"/>
      <c r="MPY11" s="1402"/>
      <c r="MPZ11" s="1402"/>
      <c r="MQA11" s="1402"/>
      <c r="MQB11" s="1402"/>
      <c r="MQC11" s="1402"/>
      <c r="MQD11" s="1402"/>
      <c r="MQE11" s="1402"/>
      <c r="MQF11" s="1402"/>
      <c r="MQG11" s="1402"/>
      <c r="MQH11" s="1402"/>
      <c r="MQI11" s="1402"/>
      <c r="MQJ11" s="1402"/>
      <c r="MQK11" s="1402"/>
      <c r="MQL11" s="1402"/>
      <c r="MQM11" s="1402"/>
      <c r="MQN11" s="1402"/>
      <c r="MQO11" s="1402"/>
      <c r="MQP11" s="1402"/>
      <c r="MQQ11" s="1402"/>
      <c r="MQR11" s="1402"/>
      <c r="MQS11" s="1402"/>
      <c r="MQT11" s="1402"/>
      <c r="MQU11" s="1402"/>
      <c r="MQV11" s="1402"/>
      <c r="MQW11" s="1402"/>
      <c r="MQX11" s="1402"/>
      <c r="MQY11" s="1402"/>
      <c r="MQZ11" s="1402"/>
      <c r="MRA11" s="1402"/>
      <c r="MRB11" s="1402"/>
      <c r="MRC11" s="1402"/>
      <c r="MRD11" s="1402"/>
      <c r="MRE11" s="1402"/>
      <c r="MRF11" s="1402"/>
      <c r="MRG11" s="1402"/>
      <c r="MRH11" s="1402"/>
      <c r="MRI11" s="1402"/>
      <c r="MRJ11" s="1402"/>
      <c r="MRK11" s="1402"/>
      <c r="MRL11" s="1402"/>
      <c r="MRM11" s="1402"/>
      <c r="MRN11" s="1402"/>
      <c r="MRO11" s="1402"/>
      <c r="MRP11" s="1402"/>
      <c r="MRQ11" s="1402"/>
      <c r="MRR11" s="1402"/>
      <c r="MRS11" s="1402"/>
      <c r="MRT11" s="1402"/>
      <c r="MRU11" s="1402"/>
      <c r="MRV11" s="1402"/>
      <c r="MRW11" s="1402"/>
      <c r="MRX11" s="1402"/>
      <c r="MRY11" s="1402"/>
      <c r="MRZ11" s="1402"/>
      <c r="MSA11" s="1402"/>
      <c r="MSB11" s="1402"/>
      <c r="MSC11" s="1402"/>
      <c r="MSD11" s="1402"/>
      <c r="MSE11" s="1402"/>
      <c r="MSF11" s="1402"/>
      <c r="MSG11" s="1402"/>
      <c r="MSH11" s="1402"/>
      <c r="MSI11" s="1402"/>
      <c r="MSJ11" s="1402"/>
      <c r="MSK11" s="1402"/>
      <c r="MSL11" s="1402"/>
      <c r="MSM11" s="1402"/>
      <c r="MSN11" s="1402"/>
      <c r="MSO11" s="1402"/>
      <c r="MSP11" s="1402"/>
      <c r="MSQ11" s="1402"/>
      <c r="MSR11" s="1402"/>
      <c r="MSS11" s="1402"/>
      <c r="MST11" s="1402"/>
      <c r="MSU11" s="1402"/>
      <c r="MSV11" s="1402"/>
      <c r="MSW11" s="1402"/>
      <c r="MSX11" s="1402"/>
      <c r="MSY11" s="1402"/>
      <c r="MSZ11" s="1402"/>
      <c r="MTA11" s="1402"/>
      <c r="MTB11" s="1402"/>
      <c r="MTC11" s="1402"/>
      <c r="MTD11" s="1402"/>
      <c r="MTE11" s="1402"/>
      <c r="MTF11" s="1402"/>
      <c r="MTG11" s="1402"/>
      <c r="MTH11" s="1402"/>
      <c r="MTI11" s="1402"/>
      <c r="MTJ11" s="1402"/>
      <c r="MTK11" s="1402"/>
      <c r="MTL11" s="1402"/>
      <c r="MTM11" s="1402"/>
      <c r="MTN11" s="1402"/>
      <c r="MTO11" s="1402"/>
      <c r="MTP11" s="1402"/>
      <c r="MTQ11" s="1402"/>
      <c r="MTR11" s="1402"/>
      <c r="MTS11" s="1402"/>
      <c r="MTT11" s="1402"/>
      <c r="MTU11" s="1402"/>
      <c r="MTV11" s="1402"/>
      <c r="MTW11" s="1402"/>
      <c r="MTX11" s="1402"/>
      <c r="MTY11" s="1402"/>
      <c r="MTZ11" s="1402"/>
      <c r="MUA11" s="1402"/>
      <c r="MUB11" s="1402"/>
      <c r="MUC11" s="1402"/>
      <c r="MUD11" s="1402"/>
      <c r="MUE11" s="1402"/>
      <c r="MUF11" s="1402"/>
      <c r="MUG11" s="1402"/>
      <c r="MUH11" s="1402"/>
      <c r="MUI11" s="1402"/>
      <c r="MUJ11" s="1402"/>
      <c r="MUK11" s="1402"/>
      <c r="MUL11" s="1402"/>
      <c r="MUM11" s="1402"/>
      <c r="MUN11" s="1402"/>
      <c r="MUO11" s="1402"/>
      <c r="MUP11" s="1402"/>
      <c r="MUQ11" s="1402"/>
      <c r="MUR11" s="1402"/>
      <c r="MUS11" s="1402"/>
      <c r="MUT11" s="1402"/>
      <c r="MUU11" s="1402"/>
      <c r="MUV11" s="1402"/>
      <c r="MUW11" s="1402"/>
      <c r="MUX11" s="1402"/>
      <c r="MUY11" s="1402"/>
      <c r="MUZ11" s="1402"/>
      <c r="MVA11" s="1402"/>
      <c r="MVB11" s="1402"/>
      <c r="MVC11" s="1402"/>
      <c r="MVD11" s="1402"/>
      <c r="MVE11" s="1402"/>
      <c r="MVF11" s="1402"/>
      <c r="MVG11" s="1402"/>
      <c r="MVH11" s="1402"/>
      <c r="MVI11" s="1402"/>
      <c r="MVJ11" s="1402"/>
      <c r="MVK11" s="1402"/>
      <c r="MVL11" s="1402"/>
      <c r="MVM11" s="1402"/>
      <c r="MVN11" s="1402"/>
      <c r="MVO11" s="1402"/>
      <c r="MVP11" s="1402"/>
      <c r="MVQ11" s="1402"/>
      <c r="MVR11" s="1402"/>
      <c r="MVS11" s="1402"/>
      <c r="MVT11" s="1402"/>
      <c r="MVU11" s="1402"/>
      <c r="MVV11" s="1402"/>
      <c r="MVW11" s="1402"/>
      <c r="MVX11" s="1402"/>
      <c r="MVY11" s="1402"/>
      <c r="MVZ11" s="1402"/>
      <c r="MWA11" s="1402"/>
      <c r="MWB11" s="1402"/>
      <c r="MWC11" s="1402"/>
      <c r="MWD11" s="1402"/>
      <c r="MWE11" s="1402"/>
      <c r="MWF11" s="1402"/>
      <c r="MWG11" s="1402"/>
      <c r="MWH11" s="1402"/>
      <c r="MWI11" s="1402"/>
      <c r="MWJ11" s="1402"/>
      <c r="MWK11" s="1402"/>
      <c r="MWL11" s="1402"/>
      <c r="MWM11" s="1402"/>
      <c r="MWN11" s="1402"/>
      <c r="MWO11" s="1402"/>
      <c r="MWP11" s="1402"/>
      <c r="MWQ11" s="1402"/>
      <c r="MWR11" s="1402"/>
      <c r="MWS11" s="1402"/>
      <c r="MWT11" s="1402"/>
      <c r="MWU11" s="1402"/>
      <c r="MWV11" s="1402"/>
      <c r="MWW11" s="1402"/>
      <c r="MWX11" s="1402"/>
      <c r="MWY11" s="1402"/>
      <c r="MWZ11" s="1402"/>
      <c r="MXA11" s="1402"/>
      <c r="MXB11" s="1402"/>
      <c r="MXC11" s="1402"/>
      <c r="MXD11" s="1402"/>
      <c r="MXE11" s="1402"/>
      <c r="MXF11" s="1402"/>
      <c r="MXG11" s="1402"/>
      <c r="MXH11" s="1402"/>
      <c r="MXI11" s="1402"/>
      <c r="MXJ11" s="1402"/>
      <c r="MXK11" s="1402"/>
      <c r="MXL11" s="1402"/>
      <c r="MXM11" s="1402"/>
      <c r="MXN11" s="1402"/>
      <c r="MXO11" s="1402"/>
      <c r="MXP11" s="1402"/>
      <c r="MXQ11" s="1402"/>
      <c r="MXR11" s="1402"/>
      <c r="MXS11" s="1402"/>
      <c r="MXT11" s="1402"/>
      <c r="MXU11" s="1402"/>
      <c r="MXV11" s="1402"/>
      <c r="MXW11" s="1402"/>
      <c r="MXX11" s="1402"/>
      <c r="MXY11" s="1402"/>
      <c r="MXZ11" s="1402"/>
      <c r="MYA11" s="1402"/>
      <c r="MYB11" s="1402"/>
      <c r="MYC11" s="1402"/>
      <c r="MYD11" s="1402"/>
      <c r="MYE11" s="1402"/>
      <c r="MYF11" s="1402"/>
      <c r="MYG11" s="1402"/>
      <c r="MYH11" s="1402"/>
      <c r="MYI11" s="1402"/>
      <c r="MYJ11" s="1402"/>
      <c r="MYK11" s="1402"/>
      <c r="MYL11" s="1402"/>
      <c r="MYM11" s="1402"/>
      <c r="MYN11" s="1402"/>
      <c r="MYO11" s="1402"/>
      <c r="MYP11" s="1402"/>
      <c r="MYQ11" s="1402"/>
      <c r="MYR11" s="1402"/>
      <c r="MYS11" s="1402"/>
      <c r="MYT11" s="1402"/>
      <c r="MYU11" s="1402"/>
      <c r="MYV11" s="1402"/>
      <c r="MYW11" s="1402"/>
      <c r="MYX11" s="1402"/>
      <c r="MYY11" s="1402"/>
      <c r="MYZ11" s="1402"/>
      <c r="MZA11" s="1402"/>
      <c r="MZB11" s="1402"/>
      <c r="MZC11" s="1402"/>
      <c r="MZD11" s="1402"/>
      <c r="MZE11" s="1402"/>
      <c r="MZF11" s="1402"/>
      <c r="MZG11" s="1402"/>
      <c r="MZH11" s="1402"/>
      <c r="MZI11" s="1402"/>
      <c r="MZJ11" s="1402"/>
      <c r="MZK11" s="1402"/>
      <c r="MZL11" s="1402"/>
      <c r="MZM11" s="1402"/>
      <c r="MZN11" s="1402"/>
      <c r="MZO11" s="1402"/>
      <c r="MZP11" s="1402"/>
      <c r="MZQ11" s="1402"/>
      <c r="MZR11" s="1402"/>
      <c r="MZS11" s="1402"/>
      <c r="MZT11" s="1402"/>
      <c r="MZU11" s="1402"/>
      <c r="MZV11" s="1402"/>
      <c r="MZW11" s="1402"/>
      <c r="MZX11" s="1402"/>
      <c r="MZY11" s="1402"/>
      <c r="MZZ11" s="1402"/>
      <c r="NAA11" s="1402"/>
      <c r="NAB11" s="1402"/>
      <c r="NAC11" s="1402"/>
      <c r="NAD11" s="1402"/>
      <c r="NAE11" s="1402"/>
      <c r="NAF11" s="1402"/>
      <c r="NAG11" s="1402"/>
      <c r="NAH11" s="1402"/>
      <c r="NAI11" s="1402"/>
      <c r="NAJ11" s="1402"/>
      <c r="NAK11" s="1402"/>
      <c r="NAL11" s="1402"/>
      <c r="NAM11" s="1402"/>
      <c r="NAN11" s="1402"/>
      <c r="NAO11" s="1402"/>
      <c r="NAP11" s="1402"/>
      <c r="NAQ11" s="1402"/>
      <c r="NAR11" s="1402"/>
      <c r="NAS11" s="1402"/>
      <c r="NAT11" s="1402"/>
      <c r="NAU11" s="1402"/>
      <c r="NAV11" s="1402"/>
      <c r="NAW11" s="1402"/>
      <c r="NAX11" s="1402"/>
      <c r="NAY11" s="1402"/>
      <c r="NAZ11" s="1402"/>
      <c r="NBA11" s="1402"/>
      <c r="NBB11" s="1402"/>
      <c r="NBC11" s="1402"/>
      <c r="NBD11" s="1402"/>
      <c r="NBE11" s="1402"/>
      <c r="NBF11" s="1402"/>
      <c r="NBG11" s="1402"/>
      <c r="NBH11" s="1402"/>
      <c r="NBI11" s="1402"/>
      <c r="NBJ11" s="1402"/>
      <c r="NBK11" s="1402"/>
      <c r="NBL11" s="1402"/>
      <c r="NBM11" s="1402"/>
      <c r="NBN11" s="1402"/>
      <c r="NBO11" s="1402"/>
      <c r="NBP11" s="1402"/>
      <c r="NBQ11" s="1402"/>
      <c r="NBR11" s="1402"/>
      <c r="NBS11" s="1402"/>
      <c r="NBT11" s="1402"/>
      <c r="NBU11" s="1402"/>
      <c r="NBV11" s="1402"/>
      <c r="NBW11" s="1402"/>
      <c r="NBX11" s="1402"/>
      <c r="NBY11" s="1402"/>
      <c r="NBZ11" s="1402"/>
      <c r="NCA11" s="1402"/>
      <c r="NCB11" s="1402"/>
      <c r="NCC11" s="1402"/>
      <c r="NCD11" s="1402"/>
      <c r="NCE11" s="1402"/>
      <c r="NCF11" s="1402"/>
      <c r="NCG11" s="1402"/>
      <c r="NCH11" s="1402"/>
      <c r="NCI11" s="1402"/>
      <c r="NCJ11" s="1402"/>
      <c r="NCK11" s="1402"/>
      <c r="NCL11" s="1402"/>
      <c r="NCM11" s="1402"/>
      <c r="NCN11" s="1402"/>
      <c r="NCO11" s="1402"/>
      <c r="NCP11" s="1402"/>
      <c r="NCQ11" s="1402"/>
      <c r="NCR11" s="1402"/>
      <c r="NCS11" s="1402"/>
      <c r="NCT11" s="1402"/>
      <c r="NCU11" s="1402"/>
      <c r="NCV11" s="1402"/>
      <c r="NCW11" s="1402"/>
      <c r="NCX11" s="1402"/>
      <c r="NCY11" s="1402"/>
      <c r="NCZ11" s="1402"/>
      <c r="NDA11" s="1402"/>
      <c r="NDB11" s="1402"/>
      <c r="NDC11" s="1402"/>
      <c r="NDD11" s="1402"/>
      <c r="NDE11" s="1402"/>
      <c r="NDF11" s="1402"/>
      <c r="NDG11" s="1402"/>
      <c r="NDH11" s="1402"/>
      <c r="NDI11" s="1402"/>
      <c r="NDJ11" s="1402"/>
      <c r="NDK11" s="1402"/>
      <c r="NDL11" s="1402"/>
      <c r="NDM11" s="1402"/>
      <c r="NDN11" s="1402"/>
      <c r="NDO11" s="1402"/>
      <c r="NDP11" s="1402"/>
      <c r="NDQ11" s="1402"/>
      <c r="NDR11" s="1402"/>
      <c r="NDS11" s="1402"/>
      <c r="NDT11" s="1402"/>
      <c r="NDU11" s="1402"/>
      <c r="NDV11" s="1402"/>
      <c r="NDW11" s="1402"/>
      <c r="NDX11" s="1402"/>
      <c r="NDY11" s="1402"/>
      <c r="NDZ11" s="1402"/>
      <c r="NEA11" s="1402"/>
      <c r="NEB11" s="1402"/>
      <c r="NEC11" s="1402"/>
      <c r="NED11" s="1402"/>
      <c r="NEE11" s="1402"/>
      <c r="NEF11" s="1402"/>
      <c r="NEG11" s="1402"/>
      <c r="NEH11" s="1402"/>
      <c r="NEI11" s="1402"/>
      <c r="NEJ11" s="1402"/>
      <c r="NEK11" s="1402"/>
      <c r="NEL11" s="1402"/>
      <c r="NEM11" s="1402"/>
      <c r="NEN11" s="1402"/>
      <c r="NEO11" s="1402"/>
      <c r="NEP11" s="1402"/>
      <c r="NEQ11" s="1402"/>
      <c r="NER11" s="1402"/>
      <c r="NES11" s="1402"/>
      <c r="NET11" s="1402"/>
      <c r="NEU11" s="1402"/>
      <c r="NEV11" s="1402"/>
      <c r="NEW11" s="1402"/>
      <c r="NEX11" s="1402"/>
      <c r="NEY11" s="1402"/>
      <c r="NEZ11" s="1402"/>
      <c r="NFA11" s="1402"/>
      <c r="NFB11" s="1402"/>
      <c r="NFC11" s="1402"/>
      <c r="NFD11" s="1402"/>
      <c r="NFE11" s="1402"/>
      <c r="NFF11" s="1402"/>
      <c r="NFG11" s="1402"/>
      <c r="NFH11" s="1402"/>
      <c r="NFI11" s="1402"/>
      <c r="NFJ11" s="1402"/>
      <c r="NFK11" s="1402"/>
      <c r="NFL11" s="1402"/>
      <c r="NFM11" s="1402"/>
      <c r="NFN11" s="1402"/>
      <c r="NFO11" s="1402"/>
      <c r="NFP11" s="1402"/>
      <c r="NFQ11" s="1402"/>
      <c r="NFR11" s="1402"/>
      <c r="NFS11" s="1402"/>
      <c r="NFT11" s="1402"/>
      <c r="NFU11" s="1402"/>
      <c r="NFV11" s="1402"/>
      <c r="NFW11" s="1402"/>
      <c r="NFX11" s="1402"/>
      <c r="NFY11" s="1402"/>
      <c r="NFZ11" s="1402"/>
      <c r="NGA11" s="1402"/>
      <c r="NGB11" s="1402"/>
      <c r="NGC11" s="1402"/>
      <c r="NGD11" s="1402"/>
      <c r="NGE11" s="1402"/>
      <c r="NGF11" s="1402"/>
      <c r="NGG11" s="1402"/>
      <c r="NGH11" s="1402"/>
      <c r="NGI11" s="1402"/>
      <c r="NGJ11" s="1402"/>
      <c r="NGK11" s="1402"/>
      <c r="NGL11" s="1402"/>
      <c r="NGM11" s="1402"/>
      <c r="NGN11" s="1402"/>
      <c r="NGO11" s="1402"/>
      <c r="NGP11" s="1402"/>
      <c r="NGQ11" s="1402"/>
      <c r="NGR11" s="1402"/>
      <c r="NGS11" s="1402"/>
      <c r="NGT11" s="1402"/>
      <c r="NGU11" s="1402"/>
      <c r="NGV11" s="1402"/>
      <c r="NGW11" s="1402"/>
      <c r="NGX11" s="1402"/>
      <c r="NGY11" s="1402"/>
      <c r="NGZ11" s="1402"/>
      <c r="NHA11" s="1402"/>
      <c r="NHB11" s="1402"/>
      <c r="NHC11" s="1402"/>
      <c r="NHD11" s="1402"/>
      <c r="NHE11" s="1402"/>
      <c r="NHF11" s="1402"/>
      <c r="NHG11" s="1402"/>
      <c r="NHH11" s="1402"/>
      <c r="NHI11" s="1402"/>
      <c r="NHJ11" s="1402"/>
      <c r="NHK11" s="1402"/>
      <c r="NHL11" s="1402"/>
      <c r="NHM11" s="1402"/>
      <c r="NHN11" s="1402"/>
      <c r="NHO11" s="1402"/>
      <c r="NHP11" s="1402"/>
      <c r="NHQ11" s="1402"/>
      <c r="NHR11" s="1402"/>
      <c r="NHS11" s="1402"/>
      <c r="NHT11" s="1402"/>
      <c r="NHU11" s="1402"/>
      <c r="NHV11" s="1402"/>
      <c r="NHW11" s="1402"/>
      <c r="NHX11" s="1402"/>
      <c r="NHY11" s="1402"/>
      <c r="NHZ11" s="1402"/>
      <c r="NIA11" s="1402"/>
      <c r="NIB11" s="1402"/>
      <c r="NIC11" s="1402"/>
      <c r="NID11" s="1402"/>
      <c r="NIE11" s="1402"/>
      <c r="NIF11" s="1402"/>
      <c r="NIG11" s="1402"/>
      <c r="NIH11" s="1402"/>
      <c r="NII11" s="1402"/>
      <c r="NIJ11" s="1402"/>
      <c r="NIK11" s="1402"/>
      <c r="NIL11" s="1402"/>
      <c r="NIM11" s="1402"/>
      <c r="NIN11" s="1402"/>
      <c r="NIO11" s="1402"/>
      <c r="NIP11" s="1402"/>
      <c r="NIQ11" s="1402"/>
      <c r="NIR11" s="1402"/>
      <c r="NIS11" s="1402"/>
      <c r="NIT11" s="1402"/>
      <c r="NIU11" s="1402"/>
      <c r="NIV11" s="1402"/>
      <c r="NIW11" s="1402"/>
      <c r="NIX11" s="1402"/>
      <c r="NIY11" s="1402"/>
      <c r="NIZ11" s="1402"/>
      <c r="NJA11" s="1402"/>
      <c r="NJB11" s="1402"/>
      <c r="NJC11" s="1402"/>
      <c r="NJD11" s="1402"/>
      <c r="NJE11" s="1402"/>
      <c r="NJF11" s="1402"/>
      <c r="NJG11" s="1402"/>
      <c r="NJH11" s="1402"/>
      <c r="NJI11" s="1402"/>
      <c r="NJJ11" s="1402"/>
      <c r="NJK11" s="1402"/>
      <c r="NJL11" s="1402"/>
      <c r="NJM11" s="1402"/>
      <c r="NJN11" s="1402"/>
      <c r="NJO11" s="1402"/>
      <c r="NJP11" s="1402"/>
      <c r="NJQ11" s="1402"/>
      <c r="NJR11" s="1402"/>
      <c r="NJS11" s="1402"/>
      <c r="NJT11" s="1402"/>
      <c r="NJU11" s="1402"/>
      <c r="NJV11" s="1402"/>
      <c r="NJW11" s="1402"/>
      <c r="NJX11" s="1402"/>
      <c r="NJY11" s="1402"/>
      <c r="NJZ11" s="1402"/>
      <c r="NKA11" s="1402"/>
      <c r="NKB11" s="1402"/>
      <c r="NKC11" s="1402"/>
      <c r="NKD11" s="1402"/>
      <c r="NKE11" s="1402"/>
      <c r="NKF11" s="1402"/>
      <c r="NKG11" s="1402"/>
      <c r="NKH11" s="1402"/>
      <c r="NKI11" s="1402"/>
      <c r="NKJ11" s="1402"/>
      <c r="NKK11" s="1402"/>
      <c r="NKL11" s="1402"/>
      <c r="NKM11" s="1402"/>
      <c r="NKN11" s="1402"/>
      <c r="NKO11" s="1402"/>
      <c r="NKP11" s="1402"/>
      <c r="NKQ11" s="1402"/>
      <c r="NKR11" s="1402"/>
      <c r="NKS11" s="1402"/>
      <c r="NKT11" s="1402"/>
      <c r="NKU11" s="1402"/>
      <c r="NKV11" s="1402"/>
      <c r="NKW11" s="1402"/>
      <c r="NKX11" s="1402"/>
      <c r="NKY11" s="1402"/>
      <c r="NKZ11" s="1402"/>
      <c r="NLA11" s="1402"/>
      <c r="NLB11" s="1402"/>
      <c r="NLC11" s="1402"/>
      <c r="NLD11" s="1402"/>
      <c r="NLE11" s="1402"/>
      <c r="NLF11" s="1402"/>
      <c r="NLG11" s="1402"/>
      <c r="NLH11" s="1402"/>
      <c r="NLI11" s="1402"/>
      <c r="NLJ11" s="1402"/>
      <c r="NLK11" s="1402"/>
      <c r="NLL11" s="1402"/>
      <c r="NLM11" s="1402"/>
      <c r="NLN11" s="1402"/>
      <c r="NLO11" s="1402"/>
      <c r="NLP11" s="1402"/>
      <c r="NLQ11" s="1402"/>
      <c r="NLR11" s="1402"/>
      <c r="NLS11" s="1402"/>
      <c r="NLT11" s="1402"/>
      <c r="NLU11" s="1402"/>
      <c r="NLV11" s="1402"/>
      <c r="NLW11" s="1402"/>
      <c r="NLX11" s="1402"/>
      <c r="NLY11" s="1402"/>
      <c r="NLZ11" s="1402"/>
      <c r="NMA11" s="1402"/>
      <c r="NMB11" s="1402"/>
      <c r="NMC11" s="1402"/>
      <c r="NMD11" s="1402"/>
      <c r="NME11" s="1402"/>
      <c r="NMF11" s="1402"/>
      <c r="NMG11" s="1402"/>
      <c r="NMH11" s="1402"/>
      <c r="NMI11" s="1402"/>
      <c r="NMJ11" s="1402"/>
      <c r="NMK11" s="1402"/>
      <c r="NML11" s="1402"/>
      <c r="NMM11" s="1402"/>
      <c r="NMN11" s="1402"/>
      <c r="NMO11" s="1402"/>
      <c r="NMP11" s="1402"/>
      <c r="NMQ11" s="1402"/>
      <c r="NMR11" s="1402"/>
      <c r="NMS11" s="1402"/>
      <c r="NMT11" s="1402"/>
      <c r="NMU11" s="1402"/>
      <c r="NMV11" s="1402"/>
      <c r="NMW11" s="1402"/>
      <c r="NMX11" s="1402"/>
      <c r="NMY11" s="1402"/>
      <c r="NMZ11" s="1402"/>
      <c r="NNA11" s="1402"/>
      <c r="NNB11" s="1402"/>
      <c r="NNC11" s="1402"/>
      <c r="NND11" s="1402"/>
      <c r="NNE11" s="1402"/>
      <c r="NNF11" s="1402"/>
      <c r="NNG11" s="1402"/>
      <c r="NNH11" s="1402"/>
      <c r="NNI11" s="1402"/>
      <c r="NNJ11" s="1402"/>
      <c r="NNK11" s="1402"/>
      <c r="NNL11" s="1402"/>
      <c r="NNM11" s="1402"/>
      <c r="NNN11" s="1402"/>
      <c r="NNO11" s="1402"/>
      <c r="NNP11" s="1402"/>
      <c r="NNQ11" s="1402"/>
      <c r="NNR11" s="1402"/>
      <c r="NNS11" s="1402"/>
      <c r="NNT11" s="1402"/>
      <c r="NNU11" s="1402"/>
      <c r="NNV11" s="1402"/>
      <c r="NNW11" s="1402"/>
      <c r="NNX11" s="1402"/>
      <c r="NNY11" s="1402"/>
      <c r="NNZ11" s="1402"/>
      <c r="NOA11" s="1402"/>
      <c r="NOB11" s="1402"/>
      <c r="NOC11" s="1402"/>
      <c r="NOD11" s="1402"/>
      <c r="NOE11" s="1402"/>
      <c r="NOF11" s="1402"/>
      <c r="NOG11" s="1402"/>
      <c r="NOH11" s="1402"/>
      <c r="NOI11" s="1402"/>
      <c r="NOJ11" s="1402"/>
      <c r="NOK11" s="1402"/>
      <c r="NOL11" s="1402"/>
      <c r="NOM11" s="1402"/>
      <c r="NON11" s="1402"/>
      <c r="NOO11" s="1402"/>
      <c r="NOP11" s="1402"/>
      <c r="NOQ11" s="1402"/>
      <c r="NOR11" s="1402"/>
      <c r="NOS11" s="1402"/>
      <c r="NOT11" s="1402"/>
      <c r="NOU11" s="1402"/>
      <c r="NOV11" s="1402"/>
      <c r="NOW11" s="1402"/>
      <c r="NOX11" s="1402"/>
      <c r="NOY11" s="1402"/>
      <c r="NOZ11" s="1402"/>
      <c r="NPA11" s="1402"/>
      <c r="NPB11" s="1402"/>
      <c r="NPC11" s="1402"/>
      <c r="NPD11" s="1402"/>
      <c r="NPE11" s="1402"/>
      <c r="NPF11" s="1402"/>
      <c r="NPG11" s="1402"/>
      <c r="NPH11" s="1402"/>
      <c r="NPI11" s="1402"/>
      <c r="NPJ11" s="1402"/>
      <c r="NPK11" s="1402"/>
      <c r="NPL11" s="1402"/>
      <c r="NPM11" s="1402"/>
      <c r="NPN11" s="1402"/>
      <c r="NPO11" s="1402"/>
      <c r="NPP11" s="1402"/>
      <c r="NPQ11" s="1402"/>
      <c r="NPR11" s="1402"/>
      <c r="NPS11" s="1402"/>
      <c r="NPT11" s="1402"/>
      <c r="NPU11" s="1402"/>
      <c r="NPV11" s="1402"/>
      <c r="NPW11" s="1402"/>
      <c r="NPX11" s="1402"/>
      <c r="NPY11" s="1402"/>
      <c r="NPZ11" s="1402"/>
      <c r="NQA11" s="1402"/>
      <c r="NQB11" s="1402"/>
      <c r="NQC11" s="1402"/>
      <c r="NQD11" s="1402"/>
      <c r="NQE11" s="1402"/>
      <c r="NQF11" s="1402"/>
      <c r="NQG11" s="1402"/>
      <c r="NQH11" s="1402"/>
      <c r="NQI11" s="1402"/>
      <c r="NQJ11" s="1402"/>
      <c r="NQK11" s="1402"/>
      <c r="NQL11" s="1402"/>
      <c r="NQM11" s="1402"/>
      <c r="NQN11" s="1402"/>
      <c r="NQO11" s="1402"/>
      <c r="NQP11" s="1402"/>
      <c r="NQQ11" s="1402"/>
      <c r="NQR11" s="1402"/>
      <c r="NQS11" s="1402"/>
      <c r="NQT11" s="1402"/>
      <c r="NQU11" s="1402"/>
      <c r="NQV11" s="1402"/>
      <c r="NQW11" s="1402"/>
      <c r="NQX11" s="1402"/>
      <c r="NQY11" s="1402"/>
      <c r="NQZ11" s="1402"/>
      <c r="NRA11" s="1402"/>
      <c r="NRB11" s="1402"/>
      <c r="NRC11" s="1402"/>
      <c r="NRD11" s="1402"/>
      <c r="NRE11" s="1402"/>
      <c r="NRF11" s="1402"/>
      <c r="NRG11" s="1402"/>
      <c r="NRH11" s="1402"/>
      <c r="NRI11" s="1402"/>
      <c r="NRJ11" s="1402"/>
      <c r="NRK11" s="1402"/>
      <c r="NRL11" s="1402"/>
      <c r="NRM11" s="1402"/>
      <c r="NRN11" s="1402"/>
      <c r="NRO11" s="1402"/>
      <c r="NRP11" s="1402"/>
      <c r="NRQ11" s="1402"/>
      <c r="NRR11" s="1402"/>
      <c r="NRS11" s="1402"/>
      <c r="NRT11" s="1402"/>
      <c r="NRU11" s="1402"/>
      <c r="NRV11" s="1402"/>
      <c r="NRW11" s="1402"/>
      <c r="NRX11" s="1402"/>
      <c r="NRY11" s="1402"/>
      <c r="NRZ11" s="1402"/>
      <c r="NSA11" s="1402"/>
      <c r="NSB11" s="1402"/>
      <c r="NSC11" s="1402"/>
      <c r="NSD11" s="1402"/>
      <c r="NSE11" s="1402"/>
      <c r="NSF11" s="1402"/>
      <c r="NSG11" s="1402"/>
      <c r="NSH11" s="1402"/>
      <c r="NSI11" s="1402"/>
      <c r="NSJ11" s="1402"/>
      <c r="NSK11" s="1402"/>
      <c r="NSL11" s="1402"/>
      <c r="NSM11" s="1402"/>
      <c r="NSN11" s="1402"/>
      <c r="NSO11" s="1402"/>
      <c r="NSP11" s="1402"/>
      <c r="NSQ11" s="1402"/>
      <c r="NSR11" s="1402"/>
      <c r="NSS11" s="1402"/>
      <c r="NST11" s="1402"/>
      <c r="NSU11" s="1402"/>
      <c r="NSV11" s="1402"/>
      <c r="NSW11" s="1402"/>
      <c r="NSX11" s="1402"/>
      <c r="NSY11" s="1402"/>
      <c r="NSZ11" s="1402"/>
      <c r="NTA11" s="1402"/>
      <c r="NTB11" s="1402"/>
      <c r="NTC11" s="1402"/>
      <c r="NTD11" s="1402"/>
      <c r="NTE11" s="1402"/>
      <c r="NTF11" s="1402"/>
      <c r="NTG11" s="1402"/>
      <c r="NTH11" s="1402"/>
      <c r="NTI11" s="1402"/>
      <c r="NTJ11" s="1402"/>
      <c r="NTK11" s="1402"/>
      <c r="NTL11" s="1402"/>
      <c r="NTM11" s="1402"/>
      <c r="NTN11" s="1402"/>
      <c r="NTO11" s="1402"/>
      <c r="NTP11" s="1402"/>
      <c r="NTQ11" s="1402"/>
      <c r="NTR11" s="1402"/>
      <c r="NTS11" s="1402"/>
      <c r="NTT11" s="1402"/>
      <c r="NTU11" s="1402"/>
      <c r="NTV11" s="1402"/>
      <c r="NTW11" s="1402"/>
      <c r="NTX11" s="1402"/>
      <c r="NTY11" s="1402"/>
      <c r="NTZ11" s="1402"/>
      <c r="NUA11" s="1402"/>
      <c r="NUB11" s="1402"/>
      <c r="NUC11" s="1402"/>
      <c r="NUD11" s="1402"/>
      <c r="NUE11" s="1402"/>
      <c r="NUF11" s="1402"/>
      <c r="NUG11" s="1402"/>
      <c r="NUH11" s="1402"/>
      <c r="NUI11" s="1402"/>
      <c r="NUJ11" s="1402"/>
      <c r="NUK11" s="1402"/>
      <c r="NUL11" s="1402"/>
      <c r="NUM11" s="1402"/>
      <c r="NUN11" s="1402"/>
      <c r="NUO11" s="1402"/>
      <c r="NUP11" s="1402"/>
      <c r="NUQ11" s="1402"/>
      <c r="NUR11" s="1402"/>
      <c r="NUS11" s="1402"/>
      <c r="NUT11" s="1402"/>
      <c r="NUU11" s="1402"/>
      <c r="NUV11" s="1402"/>
      <c r="NUW11" s="1402"/>
      <c r="NUX11" s="1402"/>
      <c r="NUY11" s="1402"/>
      <c r="NUZ11" s="1402"/>
      <c r="NVA11" s="1402"/>
      <c r="NVB11" s="1402"/>
      <c r="NVC11" s="1402"/>
      <c r="NVD11" s="1402"/>
      <c r="NVE11" s="1402"/>
      <c r="NVF11" s="1402"/>
      <c r="NVG11" s="1402"/>
      <c r="NVH11" s="1402"/>
      <c r="NVI11" s="1402"/>
      <c r="NVJ11" s="1402"/>
      <c r="NVK11" s="1402"/>
      <c r="NVL11" s="1402"/>
      <c r="NVM11" s="1402"/>
      <c r="NVN11" s="1402"/>
      <c r="NVO11" s="1402"/>
      <c r="NVP11" s="1402"/>
      <c r="NVQ11" s="1402"/>
      <c r="NVR11" s="1402"/>
      <c r="NVS11" s="1402"/>
      <c r="NVT11" s="1402"/>
      <c r="NVU11" s="1402"/>
      <c r="NVV11" s="1402"/>
      <c r="NVW11" s="1402"/>
      <c r="NVX11" s="1402"/>
      <c r="NVY11" s="1402"/>
      <c r="NVZ11" s="1402"/>
      <c r="NWA11" s="1402"/>
      <c r="NWB11" s="1402"/>
      <c r="NWC11" s="1402"/>
      <c r="NWD11" s="1402"/>
      <c r="NWE11" s="1402"/>
      <c r="NWF11" s="1402"/>
      <c r="NWG11" s="1402"/>
      <c r="NWH11" s="1402"/>
      <c r="NWI11" s="1402"/>
      <c r="NWJ11" s="1402"/>
      <c r="NWK11" s="1402"/>
      <c r="NWL11" s="1402"/>
      <c r="NWM11" s="1402"/>
      <c r="NWN11" s="1402"/>
      <c r="NWO11" s="1402"/>
      <c r="NWP11" s="1402"/>
      <c r="NWQ11" s="1402"/>
      <c r="NWR11" s="1402"/>
      <c r="NWS11" s="1402"/>
      <c r="NWT11" s="1402"/>
      <c r="NWU11" s="1402"/>
      <c r="NWV11" s="1402"/>
      <c r="NWW11" s="1402"/>
      <c r="NWX11" s="1402"/>
      <c r="NWY11" s="1402"/>
      <c r="NWZ11" s="1402"/>
      <c r="NXA11" s="1402"/>
      <c r="NXB11" s="1402"/>
      <c r="NXC11" s="1402"/>
      <c r="NXD11" s="1402"/>
      <c r="NXE11" s="1402"/>
      <c r="NXF11" s="1402"/>
      <c r="NXG11" s="1402"/>
      <c r="NXH11" s="1402"/>
      <c r="NXI11" s="1402"/>
      <c r="NXJ11" s="1402"/>
      <c r="NXK11" s="1402"/>
      <c r="NXL11" s="1402"/>
      <c r="NXM11" s="1402"/>
      <c r="NXN11" s="1402"/>
      <c r="NXO11" s="1402"/>
      <c r="NXP11" s="1402"/>
      <c r="NXQ11" s="1402"/>
      <c r="NXR11" s="1402"/>
      <c r="NXS11" s="1402"/>
      <c r="NXT11" s="1402"/>
      <c r="NXU11" s="1402"/>
      <c r="NXV11" s="1402"/>
      <c r="NXW11" s="1402"/>
      <c r="NXX11" s="1402"/>
      <c r="NXY11" s="1402"/>
      <c r="NXZ11" s="1402"/>
      <c r="NYA11" s="1402"/>
      <c r="NYB11" s="1402"/>
      <c r="NYC11" s="1402"/>
      <c r="NYD11" s="1402"/>
      <c r="NYE11" s="1402"/>
      <c r="NYF11" s="1402"/>
      <c r="NYG11" s="1402"/>
      <c r="NYH11" s="1402"/>
      <c r="NYI11" s="1402"/>
      <c r="NYJ11" s="1402"/>
      <c r="NYK11" s="1402"/>
      <c r="NYL11" s="1402"/>
      <c r="NYM11" s="1402"/>
      <c r="NYN11" s="1402"/>
      <c r="NYO11" s="1402"/>
      <c r="NYP11" s="1402"/>
      <c r="NYQ11" s="1402"/>
      <c r="NYR11" s="1402"/>
      <c r="NYS11" s="1402"/>
      <c r="NYT11" s="1402"/>
      <c r="NYU11" s="1402"/>
      <c r="NYV11" s="1402"/>
      <c r="NYW11" s="1402"/>
      <c r="NYX11" s="1402"/>
      <c r="NYY11" s="1402"/>
      <c r="NYZ11" s="1402"/>
      <c r="NZA11" s="1402"/>
      <c r="NZB11" s="1402"/>
      <c r="NZC11" s="1402"/>
      <c r="NZD11" s="1402"/>
      <c r="NZE11" s="1402"/>
      <c r="NZF11" s="1402"/>
      <c r="NZG11" s="1402"/>
      <c r="NZH11" s="1402"/>
      <c r="NZI11" s="1402"/>
      <c r="NZJ11" s="1402"/>
      <c r="NZK11" s="1402"/>
      <c r="NZL11" s="1402"/>
      <c r="NZM11" s="1402"/>
      <c r="NZN11" s="1402"/>
      <c r="NZO11" s="1402"/>
      <c r="NZP11" s="1402"/>
      <c r="NZQ11" s="1402"/>
      <c r="NZR11" s="1402"/>
      <c r="NZS11" s="1402"/>
      <c r="NZT11" s="1402"/>
      <c r="NZU11" s="1402"/>
      <c r="NZV11" s="1402"/>
      <c r="NZW11" s="1402"/>
      <c r="NZX11" s="1402"/>
      <c r="NZY11" s="1402"/>
      <c r="NZZ11" s="1402"/>
      <c r="OAA11" s="1402"/>
      <c r="OAB11" s="1402"/>
      <c r="OAC11" s="1402"/>
      <c r="OAD11" s="1402"/>
      <c r="OAE11" s="1402"/>
      <c r="OAF11" s="1402"/>
      <c r="OAG11" s="1402"/>
      <c r="OAH11" s="1402"/>
      <c r="OAI11" s="1402"/>
      <c r="OAJ11" s="1402"/>
      <c r="OAK11" s="1402"/>
      <c r="OAL11" s="1402"/>
      <c r="OAM11" s="1402"/>
      <c r="OAN11" s="1402"/>
      <c r="OAO11" s="1402"/>
      <c r="OAP11" s="1402"/>
      <c r="OAQ11" s="1402"/>
      <c r="OAR11" s="1402"/>
      <c r="OAS11" s="1402"/>
      <c r="OAT11" s="1402"/>
      <c r="OAU11" s="1402"/>
      <c r="OAV11" s="1402"/>
      <c r="OAW11" s="1402"/>
      <c r="OAX11" s="1402"/>
      <c r="OAY11" s="1402"/>
      <c r="OAZ11" s="1402"/>
      <c r="OBA11" s="1402"/>
      <c r="OBB11" s="1402"/>
      <c r="OBC11" s="1402"/>
      <c r="OBD11" s="1402"/>
      <c r="OBE11" s="1402"/>
      <c r="OBF11" s="1402"/>
      <c r="OBG11" s="1402"/>
      <c r="OBH11" s="1402"/>
      <c r="OBI11" s="1402"/>
      <c r="OBJ11" s="1402"/>
      <c r="OBK11" s="1402"/>
      <c r="OBL11" s="1402"/>
      <c r="OBM11" s="1402"/>
      <c r="OBN11" s="1402"/>
      <c r="OBO11" s="1402"/>
      <c r="OBP11" s="1402"/>
      <c r="OBQ11" s="1402"/>
      <c r="OBR11" s="1402"/>
      <c r="OBS11" s="1402"/>
      <c r="OBT11" s="1402"/>
      <c r="OBU11" s="1402"/>
      <c r="OBV11" s="1402"/>
      <c r="OBW11" s="1402"/>
      <c r="OBX11" s="1402"/>
      <c r="OBY11" s="1402"/>
      <c r="OBZ11" s="1402"/>
      <c r="OCA11" s="1402"/>
      <c r="OCB11" s="1402"/>
      <c r="OCC11" s="1402"/>
      <c r="OCD11" s="1402"/>
      <c r="OCE11" s="1402"/>
      <c r="OCF11" s="1402"/>
      <c r="OCG11" s="1402"/>
      <c r="OCH11" s="1402"/>
      <c r="OCI11" s="1402"/>
      <c r="OCJ11" s="1402"/>
      <c r="OCK11" s="1402"/>
      <c r="OCL11" s="1402"/>
      <c r="OCM11" s="1402"/>
      <c r="OCN11" s="1402"/>
      <c r="OCO11" s="1402"/>
      <c r="OCP11" s="1402"/>
      <c r="OCQ11" s="1402"/>
      <c r="OCR11" s="1402"/>
      <c r="OCS11" s="1402"/>
      <c r="OCT11" s="1402"/>
      <c r="OCU11" s="1402"/>
      <c r="OCV11" s="1402"/>
      <c r="OCW11" s="1402"/>
      <c r="OCX11" s="1402"/>
      <c r="OCY11" s="1402"/>
      <c r="OCZ11" s="1402"/>
      <c r="ODA11" s="1402"/>
      <c r="ODB11" s="1402"/>
      <c r="ODC11" s="1402"/>
      <c r="ODD11" s="1402"/>
      <c r="ODE11" s="1402"/>
      <c r="ODF11" s="1402"/>
      <c r="ODG11" s="1402"/>
      <c r="ODH11" s="1402"/>
      <c r="ODI11" s="1402"/>
      <c r="ODJ11" s="1402"/>
      <c r="ODK11" s="1402"/>
      <c r="ODL11" s="1402"/>
      <c r="ODM11" s="1402"/>
      <c r="ODN11" s="1402"/>
      <c r="ODO11" s="1402"/>
      <c r="ODP11" s="1402"/>
      <c r="ODQ11" s="1402"/>
      <c r="ODR11" s="1402"/>
      <c r="ODS11" s="1402"/>
      <c r="ODT11" s="1402"/>
      <c r="ODU11" s="1402"/>
      <c r="ODV11" s="1402"/>
      <c r="ODW11" s="1402"/>
      <c r="ODX11" s="1402"/>
      <c r="ODY11" s="1402"/>
      <c r="ODZ11" s="1402"/>
      <c r="OEA11" s="1402"/>
      <c r="OEB11" s="1402"/>
      <c r="OEC11" s="1402"/>
      <c r="OED11" s="1402"/>
      <c r="OEE11" s="1402"/>
      <c r="OEF11" s="1402"/>
      <c r="OEG11" s="1402"/>
      <c r="OEH11" s="1402"/>
      <c r="OEI11" s="1402"/>
      <c r="OEJ11" s="1402"/>
      <c r="OEK11" s="1402"/>
      <c r="OEL11" s="1402"/>
      <c r="OEM11" s="1402"/>
      <c r="OEN11" s="1402"/>
      <c r="OEO11" s="1402"/>
      <c r="OEP11" s="1402"/>
      <c r="OEQ11" s="1402"/>
      <c r="OER11" s="1402"/>
      <c r="OES11" s="1402"/>
      <c r="OET11" s="1402"/>
      <c r="OEU11" s="1402"/>
      <c r="OEV11" s="1402"/>
      <c r="OEW11" s="1402"/>
      <c r="OEX11" s="1402"/>
      <c r="OEY11" s="1402"/>
      <c r="OEZ11" s="1402"/>
      <c r="OFA11" s="1402"/>
      <c r="OFB11" s="1402"/>
      <c r="OFC11" s="1402"/>
      <c r="OFD11" s="1402"/>
      <c r="OFE11" s="1402"/>
      <c r="OFF11" s="1402"/>
      <c r="OFG11" s="1402"/>
      <c r="OFH11" s="1402"/>
      <c r="OFI11" s="1402"/>
      <c r="OFJ11" s="1402"/>
      <c r="OFK11" s="1402"/>
      <c r="OFL11" s="1402"/>
      <c r="OFM11" s="1402"/>
      <c r="OFN11" s="1402"/>
      <c r="OFO11" s="1402"/>
      <c r="OFP11" s="1402"/>
      <c r="OFQ11" s="1402"/>
      <c r="OFR11" s="1402"/>
      <c r="OFS11" s="1402"/>
      <c r="OFT11" s="1402"/>
      <c r="OFU11" s="1402"/>
      <c r="OFV11" s="1402"/>
      <c r="OFW11" s="1402"/>
      <c r="OFX11" s="1402"/>
      <c r="OFY11" s="1402"/>
      <c r="OFZ11" s="1402"/>
      <c r="OGA11" s="1402"/>
      <c r="OGB11" s="1402"/>
      <c r="OGC11" s="1402"/>
      <c r="OGD11" s="1402"/>
      <c r="OGE11" s="1402"/>
      <c r="OGF11" s="1402"/>
      <c r="OGG11" s="1402"/>
      <c r="OGH11" s="1402"/>
      <c r="OGI11" s="1402"/>
      <c r="OGJ11" s="1402"/>
      <c r="OGK11" s="1402"/>
      <c r="OGL11" s="1402"/>
      <c r="OGM11" s="1402"/>
      <c r="OGN11" s="1402"/>
      <c r="OGO11" s="1402"/>
      <c r="OGP11" s="1402"/>
      <c r="OGQ11" s="1402"/>
      <c r="OGR11" s="1402"/>
      <c r="OGS11" s="1402"/>
      <c r="OGT11" s="1402"/>
      <c r="OGU11" s="1402"/>
      <c r="OGV11" s="1402"/>
      <c r="OGW11" s="1402"/>
      <c r="OGX11" s="1402"/>
      <c r="OGY11" s="1402"/>
      <c r="OGZ11" s="1402"/>
      <c r="OHA11" s="1402"/>
      <c r="OHB11" s="1402"/>
      <c r="OHC11" s="1402"/>
      <c r="OHD11" s="1402"/>
      <c r="OHE11" s="1402"/>
      <c r="OHF11" s="1402"/>
      <c r="OHG11" s="1402"/>
      <c r="OHH11" s="1402"/>
      <c r="OHI11" s="1402"/>
      <c r="OHJ11" s="1402"/>
      <c r="OHK11" s="1402"/>
      <c r="OHL11" s="1402"/>
      <c r="OHM11" s="1402"/>
      <c r="OHN11" s="1402"/>
      <c r="OHO11" s="1402"/>
      <c r="OHP11" s="1402"/>
      <c r="OHQ11" s="1402"/>
      <c r="OHR11" s="1402"/>
      <c r="OHS11" s="1402"/>
      <c r="OHT11" s="1402"/>
      <c r="OHU11" s="1402"/>
      <c r="OHV11" s="1402"/>
      <c r="OHW11" s="1402"/>
      <c r="OHX11" s="1402"/>
      <c r="OHY11" s="1402"/>
      <c r="OHZ11" s="1402"/>
      <c r="OIA11" s="1402"/>
      <c r="OIB11" s="1402"/>
      <c r="OIC11" s="1402"/>
      <c r="OID11" s="1402"/>
      <c r="OIE11" s="1402"/>
      <c r="OIF11" s="1402"/>
      <c r="OIG11" s="1402"/>
      <c r="OIH11" s="1402"/>
      <c r="OII11" s="1402"/>
      <c r="OIJ11" s="1402"/>
      <c r="OIK11" s="1402"/>
      <c r="OIL11" s="1402"/>
      <c r="OIM11" s="1402"/>
      <c r="OIN11" s="1402"/>
      <c r="OIO11" s="1402"/>
      <c r="OIP11" s="1402"/>
      <c r="OIQ11" s="1402"/>
      <c r="OIR11" s="1402"/>
      <c r="OIS11" s="1402"/>
      <c r="OIT11" s="1402"/>
      <c r="OIU11" s="1402"/>
      <c r="OIV11" s="1402"/>
      <c r="OIW11" s="1402"/>
      <c r="OIX11" s="1402"/>
      <c r="OIY11" s="1402"/>
      <c r="OIZ11" s="1402"/>
      <c r="OJA11" s="1402"/>
      <c r="OJB11" s="1402"/>
      <c r="OJC11" s="1402"/>
      <c r="OJD11" s="1402"/>
      <c r="OJE11" s="1402"/>
      <c r="OJF11" s="1402"/>
      <c r="OJG11" s="1402"/>
      <c r="OJH11" s="1402"/>
      <c r="OJI11" s="1402"/>
      <c r="OJJ11" s="1402"/>
      <c r="OJK11" s="1402"/>
      <c r="OJL11" s="1402"/>
      <c r="OJM11" s="1402"/>
      <c r="OJN11" s="1402"/>
      <c r="OJO11" s="1402"/>
      <c r="OJP11" s="1402"/>
      <c r="OJQ11" s="1402"/>
      <c r="OJR11" s="1402"/>
      <c r="OJS11" s="1402"/>
      <c r="OJT11" s="1402"/>
      <c r="OJU11" s="1402"/>
      <c r="OJV11" s="1402"/>
      <c r="OJW11" s="1402"/>
      <c r="OJX11" s="1402"/>
      <c r="OJY11" s="1402"/>
      <c r="OJZ11" s="1402"/>
      <c r="OKA11" s="1402"/>
      <c r="OKB11" s="1402"/>
      <c r="OKC11" s="1402"/>
      <c r="OKD11" s="1402"/>
      <c r="OKE11" s="1402"/>
      <c r="OKF11" s="1402"/>
      <c r="OKG11" s="1402"/>
      <c r="OKH11" s="1402"/>
      <c r="OKI11" s="1402"/>
      <c r="OKJ11" s="1402"/>
      <c r="OKK11" s="1402"/>
      <c r="OKL11" s="1402"/>
      <c r="OKM11" s="1402"/>
      <c r="OKN11" s="1402"/>
      <c r="OKO11" s="1402"/>
      <c r="OKP11" s="1402"/>
      <c r="OKQ11" s="1402"/>
      <c r="OKR11" s="1402"/>
      <c r="OKS11" s="1402"/>
      <c r="OKT11" s="1402"/>
      <c r="OKU11" s="1402"/>
      <c r="OKV11" s="1402"/>
      <c r="OKW11" s="1402"/>
      <c r="OKX11" s="1402"/>
      <c r="OKY11" s="1402"/>
      <c r="OKZ11" s="1402"/>
      <c r="OLA11" s="1402"/>
      <c r="OLB11" s="1402"/>
      <c r="OLC11" s="1402"/>
      <c r="OLD11" s="1402"/>
      <c r="OLE11" s="1402"/>
      <c r="OLF11" s="1402"/>
      <c r="OLG11" s="1402"/>
      <c r="OLH11" s="1402"/>
      <c r="OLI11" s="1402"/>
      <c r="OLJ11" s="1402"/>
      <c r="OLK11" s="1402"/>
      <c r="OLL11" s="1402"/>
      <c r="OLM11" s="1402"/>
      <c r="OLN11" s="1402"/>
      <c r="OLO11" s="1402"/>
      <c r="OLP11" s="1402"/>
      <c r="OLQ11" s="1402"/>
      <c r="OLR11" s="1402"/>
      <c r="OLS11" s="1402"/>
      <c r="OLT11" s="1402"/>
      <c r="OLU11" s="1402"/>
      <c r="OLV11" s="1402"/>
      <c r="OLW11" s="1402"/>
      <c r="OLX11" s="1402"/>
      <c r="OLY11" s="1402"/>
      <c r="OLZ11" s="1402"/>
      <c r="OMA11" s="1402"/>
      <c r="OMB11" s="1402"/>
      <c r="OMC11" s="1402"/>
      <c r="OMD11" s="1402"/>
      <c r="OME11" s="1402"/>
      <c r="OMF11" s="1402"/>
      <c r="OMG11" s="1402"/>
      <c r="OMH11" s="1402"/>
      <c r="OMI11" s="1402"/>
      <c r="OMJ11" s="1402"/>
      <c r="OMK11" s="1402"/>
      <c r="OML11" s="1402"/>
      <c r="OMM11" s="1402"/>
      <c r="OMN11" s="1402"/>
      <c r="OMO11" s="1402"/>
      <c r="OMP11" s="1402"/>
      <c r="OMQ11" s="1402"/>
      <c r="OMR11" s="1402"/>
      <c r="OMS11" s="1402"/>
      <c r="OMT11" s="1402"/>
      <c r="OMU11" s="1402"/>
      <c r="OMV11" s="1402"/>
      <c r="OMW11" s="1402"/>
      <c r="OMX11" s="1402"/>
      <c r="OMY11" s="1402"/>
      <c r="OMZ11" s="1402"/>
      <c r="ONA11" s="1402"/>
      <c r="ONB11" s="1402"/>
      <c r="ONC11" s="1402"/>
      <c r="OND11" s="1402"/>
      <c r="ONE11" s="1402"/>
      <c r="ONF11" s="1402"/>
      <c r="ONG11" s="1402"/>
      <c r="ONH11" s="1402"/>
      <c r="ONI11" s="1402"/>
      <c r="ONJ11" s="1402"/>
      <c r="ONK11" s="1402"/>
      <c r="ONL11" s="1402"/>
      <c r="ONM11" s="1402"/>
      <c r="ONN11" s="1402"/>
      <c r="ONO11" s="1402"/>
      <c r="ONP11" s="1402"/>
      <c r="ONQ11" s="1402"/>
      <c r="ONR11" s="1402"/>
      <c r="ONS11" s="1402"/>
      <c r="ONT11" s="1402"/>
      <c r="ONU11" s="1402"/>
      <c r="ONV11" s="1402"/>
      <c r="ONW11" s="1402"/>
      <c r="ONX11" s="1402"/>
      <c r="ONY11" s="1402"/>
      <c r="ONZ11" s="1402"/>
      <c r="OOA11" s="1402"/>
      <c r="OOB11" s="1402"/>
      <c r="OOC11" s="1402"/>
      <c r="OOD11" s="1402"/>
      <c r="OOE11" s="1402"/>
      <c r="OOF11" s="1402"/>
      <c r="OOG11" s="1402"/>
      <c r="OOH11" s="1402"/>
      <c r="OOI11" s="1402"/>
      <c r="OOJ11" s="1402"/>
      <c r="OOK11" s="1402"/>
      <c r="OOL11" s="1402"/>
      <c r="OOM11" s="1402"/>
      <c r="OON11" s="1402"/>
      <c r="OOO11" s="1402"/>
      <c r="OOP11" s="1402"/>
      <c r="OOQ11" s="1402"/>
      <c r="OOR11" s="1402"/>
      <c r="OOS11" s="1402"/>
      <c r="OOT11" s="1402"/>
      <c r="OOU11" s="1402"/>
      <c r="OOV11" s="1402"/>
      <c r="OOW11" s="1402"/>
      <c r="OOX11" s="1402"/>
      <c r="OOY11" s="1402"/>
      <c r="OOZ11" s="1402"/>
      <c r="OPA11" s="1402"/>
      <c r="OPB11" s="1402"/>
      <c r="OPC11" s="1402"/>
      <c r="OPD11" s="1402"/>
      <c r="OPE11" s="1402"/>
      <c r="OPF11" s="1402"/>
      <c r="OPG11" s="1402"/>
      <c r="OPH11" s="1402"/>
      <c r="OPI11" s="1402"/>
      <c r="OPJ11" s="1402"/>
      <c r="OPK11" s="1402"/>
      <c r="OPL11" s="1402"/>
      <c r="OPM11" s="1402"/>
      <c r="OPN11" s="1402"/>
      <c r="OPO11" s="1402"/>
      <c r="OPP11" s="1402"/>
      <c r="OPQ11" s="1402"/>
      <c r="OPR11" s="1402"/>
      <c r="OPS11" s="1402"/>
      <c r="OPT11" s="1402"/>
      <c r="OPU11" s="1402"/>
      <c r="OPV11" s="1402"/>
      <c r="OPW11" s="1402"/>
      <c r="OPX11" s="1402"/>
      <c r="OPY11" s="1402"/>
      <c r="OPZ11" s="1402"/>
      <c r="OQA11" s="1402"/>
      <c r="OQB11" s="1402"/>
      <c r="OQC11" s="1402"/>
      <c r="OQD11" s="1402"/>
      <c r="OQE11" s="1402"/>
      <c r="OQF11" s="1402"/>
      <c r="OQG11" s="1402"/>
      <c r="OQH11" s="1402"/>
      <c r="OQI11" s="1402"/>
      <c r="OQJ11" s="1402"/>
      <c r="OQK11" s="1402"/>
      <c r="OQL11" s="1402"/>
      <c r="OQM11" s="1402"/>
      <c r="OQN11" s="1402"/>
      <c r="OQO11" s="1402"/>
      <c r="OQP11" s="1402"/>
      <c r="OQQ11" s="1402"/>
      <c r="OQR11" s="1402"/>
      <c r="OQS11" s="1402"/>
      <c r="OQT11" s="1402"/>
      <c r="OQU11" s="1402"/>
      <c r="OQV11" s="1402"/>
      <c r="OQW11" s="1402"/>
      <c r="OQX11" s="1402"/>
      <c r="OQY11" s="1402"/>
      <c r="OQZ11" s="1402"/>
      <c r="ORA11" s="1402"/>
      <c r="ORB11" s="1402"/>
      <c r="ORC11" s="1402"/>
      <c r="ORD11" s="1402"/>
      <c r="ORE11" s="1402"/>
      <c r="ORF11" s="1402"/>
      <c r="ORG11" s="1402"/>
      <c r="ORH11" s="1402"/>
      <c r="ORI11" s="1402"/>
      <c r="ORJ11" s="1402"/>
      <c r="ORK11" s="1402"/>
      <c r="ORL11" s="1402"/>
      <c r="ORM11" s="1402"/>
      <c r="ORN11" s="1402"/>
      <c r="ORO11" s="1402"/>
      <c r="ORP11" s="1402"/>
      <c r="ORQ11" s="1402"/>
      <c r="ORR11" s="1402"/>
      <c r="ORS11" s="1402"/>
      <c r="ORT11" s="1402"/>
      <c r="ORU11" s="1402"/>
      <c r="ORV11" s="1402"/>
      <c r="ORW11" s="1402"/>
      <c r="ORX11" s="1402"/>
      <c r="ORY11" s="1402"/>
      <c r="ORZ11" s="1402"/>
      <c r="OSA11" s="1402"/>
      <c r="OSB11" s="1402"/>
      <c r="OSC11" s="1402"/>
      <c r="OSD11" s="1402"/>
      <c r="OSE11" s="1402"/>
      <c r="OSF11" s="1402"/>
      <c r="OSG11" s="1402"/>
      <c r="OSH11" s="1402"/>
      <c r="OSI11" s="1402"/>
      <c r="OSJ11" s="1402"/>
      <c r="OSK11" s="1402"/>
      <c r="OSL11" s="1402"/>
      <c r="OSM11" s="1402"/>
      <c r="OSN11" s="1402"/>
      <c r="OSO11" s="1402"/>
      <c r="OSP11" s="1402"/>
      <c r="OSQ11" s="1402"/>
      <c r="OSR11" s="1402"/>
      <c r="OSS11" s="1402"/>
      <c r="OST11" s="1402"/>
      <c r="OSU11" s="1402"/>
      <c r="OSV11" s="1402"/>
      <c r="OSW11" s="1402"/>
      <c r="OSX11" s="1402"/>
      <c r="OSY11" s="1402"/>
      <c r="OSZ11" s="1402"/>
      <c r="OTA11" s="1402"/>
      <c r="OTB11" s="1402"/>
      <c r="OTC11" s="1402"/>
      <c r="OTD11" s="1402"/>
      <c r="OTE11" s="1402"/>
      <c r="OTF11" s="1402"/>
      <c r="OTG11" s="1402"/>
      <c r="OTH11" s="1402"/>
      <c r="OTI11" s="1402"/>
      <c r="OTJ11" s="1402"/>
      <c r="OTK11" s="1402"/>
      <c r="OTL11" s="1402"/>
      <c r="OTM11" s="1402"/>
      <c r="OTN11" s="1402"/>
      <c r="OTO11" s="1402"/>
      <c r="OTP11" s="1402"/>
      <c r="OTQ11" s="1402"/>
      <c r="OTR11" s="1402"/>
      <c r="OTS11" s="1402"/>
      <c r="OTT11" s="1402"/>
      <c r="OTU11" s="1402"/>
      <c r="OTV11" s="1402"/>
      <c r="OTW11" s="1402"/>
      <c r="OTX11" s="1402"/>
      <c r="OTY11" s="1402"/>
      <c r="OTZ11" s="1402"/>
      <c r="OUA11" s="1402"/>
      <c r="OUB11" s="1402"/>
      <c r="OUC11" s="1402"/>
      <c r="OUD11" s="1402"/>
      <c r="OUE11" s="1402"/>
      <c r="OUF11" s="1402"/>
      <c r="OUG11" s="1402"/>
      <c r="OUH11" s="1402"/>
      <c r="OUI11" s="1402"/>
      <c r="OUJ11" s="1402"/>
      <c r="OUK11" s="1402"/>
      <c r="OUL11" s="1402"/>
      <c r="OUM11" s="1402"/>
      <c r="OUN11" s="1402"/>
      <c r="OUO11" s="1402"/>
      <c r="OUP11" s="1402"/>
      <c r="OUQ11" s="1402"/>
      <c r="OUR11" s="1402"/>
      <c r="OUS11" s="1402"/>
      <c r="OUT11" s="1402"/>
      <c r="OUU11" s="1402"/>
      <c r="OUV11" s="1402"/>
      <c r="OUW11" s="1402"/>
      <c r="OUX11" s="1402"/>
      <c r="OUY11" s="1402"/>
      <c r="OUZ11" s="1402"/>
      <c r="OVA11" s="1402"/>
      <c r="OVB11" s="1402"/>
      <c r="OVC11" s="1402"/>
      <c r="OVD11" s="1402"/>
      <c r="OVE11" s="1402"/>
      <c r="OVF11" s="1402"/>
      <c r="OVG11" s="1402"/>
      <c r="OVH11" s="1402"/>
      <c r="OVI11" s="1402"/>
      <c r="OVJ11" s="1402"/>
      <c r="OVK11" s="1402"/>
      <c r="OVL11" s="1402"/>
      <c r="OVM11" s="1402"/>
      <c r="OVN11" s="1402"/>
      <c r="OVO11" s="1402"/>
      <c r="OVP11" s="1402"/>
      <c r="OVQ11" s="1402"/>
      <c r="OVR11" s="1402"/>
      <c r="OVS11" s="1402"/>
      <c r="OVT11" s="1402"/>
      <c r="OVU11" s="1402"/>
      <c r="OVV11" s="1402"/>
      <c r="OVW11" s="1402"/>
      <c r="OVX11" s="1402"/>
      <c r="OVY11" s="1402"/>
      <c r="OVZ11" s="1402"/>
      <c r="OWA11" s="1402"/>
      <c r="OWB11" s="1402"/>
      <c r="OWC11" s="1402"/>
      <c r="OWD11" s="1402"/>
      <c r="OWE11" s="1402"/>
      <c r="OWF11" s="1402"/>
      <c r="OWG11" s="1402"/>
      <c r="OWH11" s="1402"/>
      <c r="OWI11" s="1402"/>
      <c r="OWJ11" s="1402"/>
      <c r="OWK11" s="1402"/>
      <c r="OWL11" s="1402"/>
      <c r="OWM11" s="1402"/>
      <c r="OWN11" s="1402"/>
      <c r="OWO11" s="1402"/>
      <c r="OWP11" s="1402"/>
      <c r="OWQ11" s="1402"/>
      <c r="OWR11" s="1402"/>
      <c r="OWS11" s="1402"/>
      <c r="OWT11" s="1402"/>
      <c r="OWU11" s="1402"/>
      <c r="OWV11" s="1402"/>
      <c r="OWW11" s="1402"/>
      <c r="OWX11" s="1402"/>
      <c r="OWY11" s="1402"/>
      <c r="OWZ11" s="1402"/>
      <c r="OXA11" s="1402"/>
      <c r="OXB11" s="1402"/>
      <c r="OXC11" s="1402"/>
      <c r="OXD11" s="1402"/>
      <c r="OXE11" s="1402"/>
      <c r="OXF11" s="1402"/>
      <c r="OXG11" s="1402"/>
      <c r="OXH11" s="1402"/>
      <c r="OXI11" s="1402"/>
      <c r="OXJ11" s="1402"/>
      <c r="OXK11" s="1402"/>
      <c r="OXL11" s="1402"/>
      <c r="OXM11" s="1402"/>
      <c r="OXN11" s="1402"/>
      <c r="OXO11" s="1402"/>
      <c r="OXP11" s="1402"/>
      <c r="OXQ11" s="1402"/>
      <c r="OXR11" s="1402"/>
      <c r="OXS11" s="1402"/>
      <c r="OXT11" s="1402"/>
      <c r="OXU11" s="1402"/>
      <c r="OXV11" s="1402"/>
      <c r="OXW11" s="1402"/>
      <c r="OXX11" s="1402"/>
      <c r="OXY11" s="1402"/>
      <c r="OXZ11" s="1402"/>
      <c r="OYA11" s="1402"/>
      <c r="OYB11" s="1402"/>
      <c r="OYC11" s="1402"/>
      <c r="OYD11" s="1402"/>
      <c r="OYE11" s="1402"/>
      <c r="OYF11" s="1402"/>
      <c r="OYG11" s="1402"/>
      <c r="OYH11" s="1402"/>
      <c r="OYI11" s="1402"/>
      <c r="OYJ11" s="1402"/>
      <c r="OYK11" s="1402"/>
      <c r="OYL11" s="1402"/>
      <c r="OYM11" s="1402"/>
      <c r="OYN11" s="1402"/>
      <c r="OYO11" s="1402"/>
      <c r="OYP11" s="1402"/>
      <c r="OYQ11" s="1402"/>
      <c r="OYR11" s="1402"/>
      <c r="OYS11" s="1402"/>
      <c r="OYT11" s="1402"/>
      <c r="OYU11" s="1402"/>
      <c r="OYV11" s="1402"/>
      <c r="OYW11" s="1402"/>
      <c r="OYX11" s="1402"/>
      <c r="OYY11" s="1402"/>
      <c r="OYZ11" s="1402"/>
      <c r="OZA11" s="1402"/>
      <c r="OZB11" s="1402"/>
      <c r="OZC11" s="1402"/>
      <c r="OZD11" s="1402"/>
      <c r="OZE11" s="1402"/>
      <c r="OZF11" s="1402"/>
      <c r="OZG11" s="1402"/>
      <c r="OZH11" s="1402"/>
      <c r="OZI11" s="1402"/>
      <c r="OZJ11" s="1402"/>
      <c r="OZK11" s="1402"/>
      <c r="OZL11" s="1402"/>
      <c r="OZM11" s="1402"/>
      <c r="OZN11" s="1402"/>
      <c r="OZO11" s="1402"/>
      <c r="OZP11" s="1402"/>
      <c r="OZQ11" s="1402"/>
      <c r="OZR11" s="1402"/>
      <c r="OZS11" s="1402"/>
      <c r="OZT11" s="1402"/>
      <c r="OZU11" s="1402"/>
      <c r="OZV11" s="1402"/>
      <c r="OZW11" s="1402"/>
      <c r="OZX11" s="1402"/>
      <c r="OZY11" s="1402"/>
      <c r="OZZ11" s="1402"/>
      <c r="PAA11" s="1402"/>
      <c r="PAB11" s="1402"/>
      <c r="PAC11" s="1402"/>
      <c r="PAD11" s="1402"/>
      <c r="PAE11" s="1402"/>
      <c r="PAF11" s="1402"/>
      <c r="PAG11" s="1402"/>
      <c r="PAH11" s="1402"/>
      <c r="PAI11" s="1402"/>
      <c r="PAJ11" s="1402"/>
      <c r="PAK11" s="1402"/>
      <c r="PAL11" s="1402"/>
      <c r="PAM11" s="1402"/>
      <c r="PAN11" s="1402"/>
      <c r="PAO11" s="1402"/>
      <c r="PAP11" s="1402"/>
      <c r="PAQ11" s="1402"/>
      <c r="PAR11" s="1402"/>
      <c r="PAS11" s="1402"/>
      <c r="PAT11" s="1402"/>
      <c r="PAU11" s="1402"/>
      <c r="PAV11" s="1402"/>
      <c r="PAW11" s="1402"/>
      <c r="PAX11" s="1402"/>
      <c r="PAY11" s="1402"/>
      <c r="PAZ11" s="1402"/>
      <c r="PBA11" s="1402"/>
      <c r="PBB11" s="1402"/>
      <c r="PBC11" s="1402"/>
      <c r="PBD11" s="1402"/>
      <c r="PBE11" s="1402"/>
      <c r="PBF11" s="1402"/>
      <c r="PBG11" s="1402"/>
      <c r="PBH11" s="1402"/>
      <c r="PBI11" s="1402"/>
      <c r="PBJ11" s="1402"/>
      <c r="PBK11" s="1402"/>
      <c r="PBL11" s="1402"/>
      <c r="PBM11" s="1402"/>
      <c r="PBN11" s="1402"/>
      <c r="PBO11" s="1402"/>
      <c r="PBP11" s="1402"/>
      <c r="PBQ11" s="1402"/>
      <c r="PBR11" s="1402"/>
      <c r="PBS11" s="1402"/>
      <c r="PBT11" s="1402"/>
      <c r="PBU11" s="1402"/>
      <c r="PBV11" s="1402"/>
      <c r="PBW11" s="1402"/>
      <c r="PBX11" s="1402"/>
      <c r="PBY11" s="1402"/>
      <c r="PBZ11" s="1402"/>
      <c r="PCA11" s="1402"/>
      <c r="PCB11" s="1402"/>
      <c r="PCC11" s="1402"/>
      <c r="PCD11" s="1402"/>
      <c r="PCE11" s="1402"/>
      <c r="PCF11" s="1402"/>
      <c r="PCG11" s="1402"/>
      <c r="PCH11" s="1402"/>
      <c r="PCI11" s="1402"/>
      <c r="PCJ11" s="1402"/>
      <c r="PCK11" s="1402"/>
      <c r="PCL11" s="1402"/>
      <c r="PCM11" s="1402"/>
      <c r="PCN11" s="1402"/>
      <c r="PCO11" s="1402"/>
      <c r="PCP11" s="1402"/>
      <c r="PCQ11" s="1402"/>
      <c r="PCR11" s="1402"/>
      <c r="PCS11" s="1402"/>
      <c r="PCT11" s="1402"/>
      <c r="PCU11" s="1402"/>
      <c r="PCV11" s="1402"/>
      <c r="PCW11" s="1402"/>
      <c r="PCX11" s="1402"/>
      <c r="PCY11" s="1402"/>
      <c r="PCZ11" s="1402"/>
      <c r="PDA11" s="1402"/>
      <c r="PDB11" s="1402"/>
      <c r="PDC11" s="1402"/>
      <c r="PDD11" s="1402"/>
      <c r="PDE11" s="1402"/>
      <c r="PDF11" s="1402"/>
      <c r="PDG11" s="1402"/>
      <c r="PDH11" s="1402"/>
      <c r="PDI11" s="1402"/>
      <c r="PDJ11" s="1402"/>
      <c r="PDK11" s="1402"/>
      <c r="PDL11" s="1402"/>
      <c r="PDM11" s="1402"/>
      <c r="PDN11" s="1402"/>
      <c r="PDO11" s="1402"/>
      <c r="PDP11" s="1402"/>
      <c r="PDQ11" s="1402"/>
      <c r="PDR11" s="1402"/>
      <c r="PDS11" s="1402"/>
      <c r="PDT11" s="1402"/>
      <c r="PDU11" s="1402"/>
      <c r="PDV11" s="1402"/>
      <c r="PDW11" s="1402"/>
      <c r="PDX11" s="1402"/>
      <c r="PDY11" s="1402"/>
      <c r="PDZ11" s="1402"/>
      <c r="PEA11" s="1402"/>
      <c r="PEB11" s="1402"/>
      <c r="PEC11" s="1402"/>
      <c r="PED11" s="1402"/>
      <c r="PEE11" s="1402"/>
      <c r="PEF11" s="1402"/>
      <c r="PEG11" s="1402"/>
      <c r="PEH11" s="1402"/>
      <c r="PEI11" s="1402"/>
      <c r="PEJ11" s="1402"/>
      <c r="PEK11" s="1402"/>
      <c r="PEL11" s="1402"/>
      <c r="PEM11" s="1402"/>
      <c r="PEN11" s="1402"/>
      <c r="PEO11" s="1402"/>
      <c r="PEP11" s="1402"/>
      <c r="PEQ11" s="1402"/>
      <c r="PER11" s="1402"/>
      <c r="PES11" s="1402"/>
      <c r="PET11" s="1402"/>
      <c r="PEU11" s="1402"/>
      <c r="PEV11" s="1402"/>
      <c r="PEW11" s="1402"/>
      <c r="PEX11" s="1402"/>
      <c r="PEY11" s="1402"/>
      <c r="PEZ11" s="1402"/>
      <c r="PFA11" s="1402"/>
      <c r="PFB11" s="1402"/>
      <c r="PFC11" s="1402"/>
      <c r="PFD11" s="1402"/>
      <c r="PFE11" s="1402"/>
      <c r="PFF11" s="1402"/>
      <c r="PFG11" s="1402"/>
      <c r="PFH11" s="1402"/>
      <c r="PFI11" s="1402"/>
      <c r="PFJ11" s="1402"/>
      <c r="PFK11" s="1402"/>
      <c r="PFL11" s="1402"/>
      <c r="PFM11" s="1402"/>
      <c r="PFN11" s="1402"/>
      <c r="PFO11" s="1402"/>
      <c r="PFP11" s="1402"/>
      <c r="PFQ11" s="1402"/>
      <c r="PFR11" s="1402"/>
      <c r="PFS11" s="1402"/>
      <c r="PFT11" s="1402"/>
      <c r="PFU11" s="1402"/>
      <c r="PFV11" s="1402"/>
      <c r="PFW11" s="1402"/>
      <c r="PFX11" s="1402"/>
      <c r="PFY11" s="1402"/>
      <c r="PFZ11" s="1402"/>
      <c r="PGA11" s="1402"/>
      <c r="PGB11" s="1402"/>
      <c r="PGC11" s="1402"/>
      <c r="PGD11" s="1402"/>
      <c r="PGE11" s="1402"/>
      <c r="PGF11" s="1402"/>
      <c r="PGG11" s="1402"/>
      <c r="PGH11" s="1402"/>
      <c r="PGI11" s="1402"/>
      <c r="PGJ11" s="1402"/>
      <c r="PGK11" s="1402"/>
      <c r="PGL11" s="1402"/>
      <c r="PGM11" s="1402"/>
      <c r="PGN11" s="1402"/>
      <c r="PGO11" s="1402"/>
      <c r="PGP11" s="1402"/>
      <c r="PGQ11" s="1402"/>
      <c r="PGR11" s="1402"/>
      <c r="PGS11" s="1402"/>
      <c r="PGT11" s="1402"/>
      <c r="PGU11" s="1402"/>
      <c r="PGV11" s="1402"/>
      <c r="PGW11" s="1402"/>
      <c r="PGX11" s="1402"/>
      <c r="PGY11" s="1402"/>
      <c r="PGZ11" s="1402"/>
      <c r="PHA11" s="1402"/>
      <c r="PHB11" s="1402"/>
      <c r="PHC11" s="1402"/>
      <c r="PHD11" s="1402"/>
      <c r="PHE11" s="1402"/>
      <c r="PHF11" s="1402"/>
      <c r="PHG11" s="1402"/>
      <c r="PHH11" s="1402"/>
      <c r="PHI11" s="1402"/>
      <c r="PHJ11" s="1402"/>
      <c r="PHK11" s="1402"/>
      <c r="PHL11" s="1402"/>
      <c r="PHM11" s="1402"/>
      <c r="PHN11" s="1402"/>
      <c r="PHO11" s="1402"/>
      <c r="PHP11" s="1402"/>
      <c r="PHQ11" s="1402"/>
      <c r="PHR11" s="1402"/>
      <c r="PHS11" s="1402"/>
      <c r="PHT11" s="1402"/>
      <c r="PHU11" s="1402"/>
      <c r="PHV11" s="1402"/>
      <c r="PHW11" s="1402"/>
      <c r="PHX11" s="1402"/>
      <c r="PHY11" s="1402"/>
      <c r="PHZ11" s="1402"/>
      <c r="PIA11" s="1402"/>
      <c r="PIB11" s="1402"/>
      <c r="PIC11" s="1402"/>
      <c r="PID11" s="1402"/>
      <c r="PIE11" s="1402"/>
      <c r="PIF11" s="1402"/>
      <c r="PIG11" s="1402"/>
      <c r="PIH11" s="1402"/>
      <c r="PII11" s="1402"/>
      <c r="PIJ11" s="1402"/>
      <c r="PIK11" s="1402"/>
      <c r="PIL11" s="1402"/>
      <c r="PIM11" s="1402"/>
      <c r="PIN11" s="1402"/>
      <c r="PIO11" s="1402"/>
      <c r="PIP11" s="1402"/>
      <c r="PIQ11" s="1402"/>
      <c r="PIR11" s="1402"/>
      <c r="PIS11" s="1402"/>
      <c r="PIT11" s="1402"/>
      <c r="PIU11" s="1402"/>
      <c r="PIV11" s="1402"/>
      <c r="PIW11" s="1402"/>
      <c r="PIX11" s="1402"/>
      <c r="PIY11" s="1402"/>
      <c r="PIZ11" s="1402"/>
      <c r="PJA11" s="1402"/>
      <c r="PJB11" s="1402"/>
      <c r="PJC11" s="1402"/>
      <c r="PJD11" s="1402"/>
      <c r="PJE11" s="1402"/>
      <c r="PJF11" s="1402"/>
      <c r="PJG11" s="1402"/>
      <c r="PJH11" s="1402"/>
      <c r="PJI11" s="1402"/>
      <c r="PJJ11" s="1402"/>
      <c r="PJK11" s="1402"/>
      <c r="PJL11" s="1402"/>
      <c r="PJM11" s="1402"/>
      <c r="PJN11" s="1402"/>
      <c r="PJO11" s="1402"/>
      <c r="PJP11" s="1402"/>
      <c r="PJQ11" s="1402"/>
      <c r="PJR11" s="1402"/>
      <c r="PJS11" s="1402"/>
      <c r="PJT11" s="1402"/>
      <c r="PJU11" s="1402"/>
      <c r="PJV11" s="1402"/>
      <c r="PJW11" s="1402"/>
      <c r="PJX11" s="1402"/>
      <c r="PJY11" s="1402"/>
      <c r="PJZ11" s="1402"/>
      <c r="PKA11" s="1402"/>
      <c r="PKB11" s="1402"/>
      <c r="PKC11" s="1402"/>
      <c r="PKD11" s="1402"/>
      <c r="PKE11" s="1402"/>
      <c r="PKF11" s="1402"/>
      <c r="PKG11" s="1402"/>
      <c r="PKH11" s="1402"/>
      <c r="PKI11" s="1402"/>
      <c r="PKJ11" s="1402"/>
      <c r="PKK11" s="1402"/>
      <c r="PKL11" s="1402"/>
      <c r="PKM11" s="1402"/>
      <c r="PKN11" s="1402"/>
      <c r="PKO11" s="1402"/>
      <c r="PKP11" s="1402"/>
      <c r="PKQ11" s="1402"/>
      <c r="PKR11" s="1402"/>
      <c r="PKS11" s="1402"/>
      <c r="PKT11" s="1402"/>
      <c r="PKU11" s="1402"/>
      <c r="PKV11" s="1402"/>
      <c r="PKW11" s="1402"/>
      <c r="PKX11" s="1402"/>
      <c r="PKY11" s="1402"/>
      <c r="PKZ11" s="1402"/>
      <c r="PLA11" s="1402"/>
      <c r="PLB11" s="1402"/>
      <c r="PLC11" s="1402"/>
      <c r="PLD11" s="1402"/>
      <c r="PLE11" s="1402"/>
      <c r="PLF11" s="1402"/>
      <c r="PLG11" s="1402"/>
      <c r="PLH11" s="1402"/>
      <c r="PLI11" s="1402"/>
      <c r="PLJ11" s="1402"/>
      <c r="PLK11" s="1402"/>
      <c r="PLL11" s="1402"/>
      <c r="PLM11" s="1402"/>
      <c r="PLN11" s="1402"/>
      <c r="PLO11" s="1402"/>
      <c r="PLP11" s="1402"/>
      <c r="PLQ11" s="1402"/>
      <c r="PLR11" s="1402"/>
      <c r="PLS11" s="1402"/>
      <c r="PLT11" s="1402"/>
      <c r="PLU11" s="1402"/>
      <c r="PLV11" s="1402"/>
      <c r="PLW11" s="1402"/>
      <c r="PLX11" s="1402"/>
      <c r="PLY11" s="1402"/>
      <c r="PLZ11" s="1402"/>
      <c r="PMA11" s="1402"/>
      <c r="PMB11" s="1402"/>
      <c r="PMC11" s="1402"/>
      <c r="PMD11" s="1402"/>
      <c r="PME11" s="1402"/>
      <c r="PMF11" s="1402"/>
      <c r="PMG11" s="1402"/>
      <c r="PMH11" s="1402"/>
      <c r="PMI11" s="1402"/>
      <c r="PMJ11" s="1402"/>
      <c r="PMK11" s="1402"/>
      <c r="PML11" s="1402"/>
      <c r="PMM11" s="1402"/>
      <c r="PMN11" s="1402"/>
      <c r="PMO11" s="1402"/>
      <c r="PMP11" s="1402"/>
      <c r="PMQ11" s="1402"/>
      <c r="PMR11" s="1402"/>
      <c r="PMS11" s="1402"/>
      <c r="PMT11" s="1402"/>
      <c r="PMU11" s="1402"/>
      <c r="PMV11" s="1402"/>
      <c r="PMW11" s="1402"/>
      <c r="PMX11" s="1402"/>
      <c r="PMY11" s="1402"/>
      <c r="PMZ11" s="1402"/>
      <c r="PNA11" s="1402"/>
      <c r="PNB11" s="1402"/>
      <c r="PNC11" s="1402"/>
      <c r="PND11" s="1402"/>
      <c r="PNE11" s="1402"/>
      <c r="PNF11" s="1402"/>
      <c r="PNG11" s="1402"/>
      <c r="PNH11" s="1402"/>
      <c r="PNI11" s="1402"/>
      <c r="PNJ11" s="1402"/>
      <c r="PNK11" s="1402"/>
      <c r="PNL11" s="1402"/>
      <c r="PNM11" s="1402"/>
      <c r="PNN11" s="1402"/>
      <c r="PNO11" s="1402"/>
      <c r="PNP11" s="1402"/>
      <c r="PNQ11" s="1402"/>
      <c r="PNR11" s="1402"/>
      <c r="PNS11" s="1402"/>
      <c r="PNT11" s="1402"/>
      <c r="PNU11" s="1402"/>
      <c r="PNV11" s="1402"/>
      <c r="PNW11" s="1402"/>
      <c r="PNX11" s="1402"/>
      <c r="PNY11" s="1402"/>
      <c r="PNZ11" s="1402"/>
      <c r="POA11" s="1402"/>
      <c r="POB11" s="1402"/>
      <c r="POC11" s="1402"/>
      <c r="POD11" s="1402"/>
      <c r="POE11" s="1402"/>
      <c r="POF11" s="1402"/>
      <c r="POG11" s="1402"/>
      <c r="POH11" s="1402"/>
      <c r="POI11" s="1402"/>
      <c r="POJ11" s="1402"/>
      <c r="POK11" s="1402"/>
      <c r="POL11" s="1402"/>
      <c r="POM11" s="1402"/>
      <c r="PON11" s="1402"/>
      <c r="POO11" s="1402"/>
      <c r="POP11" s="1402"/>
      <c r="POQ11" s="1402"/>
      <c r="POR11" s="1402"/>
      <c r="POS11" s="1402"/>
      <c r="POT11" s="1402"/>
      <c r="POU11" s="1402"/>
      <c r="POV11" s="1402"/>
      <c r="POW11" s="1402"/>
      <c r="POX11" s="1402"/>
      <c r="POY11" s="1402"/>
      <c r="POZ11" s="1402"/>
      <c r="PPA11" s="1402"/>
      <c r="PPB11" s="1402"/>
      <c r="PPC11" s="1402"/>
      <c r="PPD11" s="1402"/>
      <c r="PPE11" s="1402"/>
      <c r="PPF11" s="1402"/>
      <c r="PPG11" s="1402"/>
      <c r="PPH11" s="1402"/>
      <c r="PPI11" s="1402"/>
      <c r="PPJ11" s="1402"/>
      <c r="PPK11" s="1402"/>
      <c r="PPL11" s="1402"/>
      <c r="PPM11" s="1402"/>
      <c r="PPN11" s="1402"/>
      <c r="PPO11" s="1402"/>
      <c r="PPP11" s="1402"/>
      <c r="PPQ11" s="1402"/>
      <c r="PPR11" s="1402"/>
      <c r="PPS11" s="1402"/>
      <c r="PPT11" s="1402"/>
      <c r="PPU11" s="1402"/>
      <c r="PPV11" s="1402"/>
      <c r="PPW11" s="1402"/>
      <c r="PPX11" s="1402"/>
      <c r="PPY11" s="1402"/>
      <c r="PPZ11" s="1402"/>
      <c r="PQA11" s="1402"/>
      <c r="PQB11" s="1402"/>
      <c r="PQC11" s="1402"/>
      <c r="PQD11" s="1402"/>
      <c r="PQE11" s="1402"/>
      <c r="PQF11" s="1402"/>
      <c r="PQG11" s="1402"/>
      <c r="PQH11" s="1402"/>
      <c r="PQI11" s="1402"/>
      <c r="PQJ11" s="1402"/>
      <c r="PQK11" s="1402"/>
      <c r="PQL11" s="1402"/>
      <c r="PQM11" s="1402"/>
      <c r="PQN11" s="1402"/>
      <c r="PQO11" s="1402"/>
      <c r="PQP11" s="1402"/>
      <c r="PQQ11" s="1402"/>
      <c r="PQR11" s="1402"/>
      <c r="PQS11" s="1402"/>
      <c r="PQT11" s="1402"/>
      <c r="PQU11" s="1402"/>
      <c r="PQV11" s="1402"/>
      <c r="PQW11" s="1402"/>
      <c r="PQX11" s="1402"/>
      <c r="PQY11" s="1402"/>
      <c r="PQZ11" s="1402"/>
      <c r="PRA11" s="1402"/>
      <c r="PRB11" s="1402"/>
      <c r="PRC11" s="1402"/>
      <c r="PRD11" s="1402"/>
      <c r="PRE11" s="1402"/>
      <c r="PRF11" s="1402"/>
      <c r="PRG11" s="1402"/>
      <c r="PRH11" s="1402"/>
      <c r="PRI11" s="1402"/>
      <c r="PRJ11" s="1402"/>
      <c r="PRK11" s="1402"/>
      <c r="PRL11" s="1402"/>
      <c r="PRM11" s="1402"/>
      <c r="PRN11" s="1402"/>
      <c r="PRO11" s="1402"/>
      <c r="PRP11" s="1402"/>
      <c r="PRQ11" s="1402"/>
      <c r="PRR11" s="1402"/>
      <c r="PRS11" s="1402"/>
      <c r="PRT11" s="1402"/>
      <c r="PRU11" s="1402"/>
      <c r="PRV11" s="1402"/>
      <c r="PRW11" s="1402"/>
      <c r="PRX11" s="1402"/>
      <c r="PRY11" s="1402"/>
      <c r="PRZ11" s="1402"/>
      <c r="PSA11" s="1402"/>
      <c r="PSB11" s="1402"/>
      <c r="PSC11" s="1402"/>
      <c r="PSD11" s="1402"/>
      <c r="PSE11" s="1402"/>
      <c r="PSF11" s="1402"/>
      <c r="PSG11" s="1402"/>
      <c r="PSH11" s="1402"/>
      <c r="PSI11" s="1402"/>
      <c r="PSJ11" s="1402"/>
      <c r="PSK11" s="1402"/>
      <c r="PSL11" s="1402"/>
      <c r="PSM11" s="1402"/>
      <c r="PSN11" s="1402"/>
      <c r="PSO11" s="1402"/>
      <c r="PSP11" s="1402"/>
      <c r="PSQ11" s="1402"/>
      <c r="PSR11" s="1402"/>
      <c r="PSS11" s="1402"/>
      <c r="PST11" s="1402"/>
      <c r="PSU11" s="1402"/>
      <c r="PSV11" s="1402"/>
      <c r="PSW11" s="1402"/>
      <c r="PSX11" s="1402"/>
      <c r="PSY11" s="1402"/>
      <c r="PSZ11" s="1402"/>
      <c r="PTA11" s="1402"/>
      <c r="PTB11" s="1402"/>
      <c r="PTC11" s="1402"/>
      <c r="PTD11" s="1402"/>
      <c r="PTE11" s="1402"/>
      <c r="PTF11" s="1402"/>
      <c r="PTG11" s="1402"/>
      <c r="PTH11" s="1402"/>
      <c r="PTI11" s="1402"/>
      <c r="PTJ11" s="1402"/>
      <c r="PTK11" s="1402"/>
      <c r="PTL11" s="1402"/>
      <c r="PTM11" s="1402"/>
      <c r="PTN11" s="1402"/>
      <c r="PTO11" s="1402"/>
      <c r="PTP11" s="1402"/>
      <c r="PTQ11" s="1402"/>
      <c r="PTR11" s="1402"/>
      <c r="PTS11" s="1402"/>
      <c r="PTT11" s="1402"/>
      <c r="PTU11" s="1402"/>
      <c r="PTV11" s="1402"/>
      <c r="PTW11" s="1402"/>
      <c r="PTX11" s="1402"/>
      <c r="PTY11" s="1402"/>
      <c r="PTZ11" s="1402"/>
      <c r="PUA11" s="1402"/>
      <c r="PUB11" s="1402"/>
      <c r="PUC11" s="1402"/>
      <c r="PUD11" s="1402"/>
      <c r="PUE11" s="1402"/>
      <c r="PUF11" s="1402"/>
      <c r="PUG11" s="1402"/>
      <c r="PUH11" s="1402"/>
      <c r="PUI11" s="1402"/>
      <c r="PUJ11" s="1402"/>
      <c r="PUK11" s="1402"/>
      <c r="PUL11" s="1402"/>
      <c r="PUM11" s="1402"/>
      <c r="PUN11" s="1402"/>
      <c r="PUO11" s="1402"/>
      <c r="PUP11" s="1402"/>
      <c r="PUQ11" s="1402"/>
      <c r="PUR11" s="1402"/>
      <c r="PUS11" s="1402"/>
      <c r="PUT11" s="1402"/>
      <c r="PUU11" s="1402"/>
      <c r="PUV11" s="1402"/>
      <c r="PUW11" s="1402"/>
      <c r="PUX11" s="1402"/>
      <c r="PUY11" s="1402"/>
      <c r="PUZ11" s="1402"/>
      <c r="PVA11" s="1402"/>
      <c r="PVB11" s="1402"/>
      <c r="PVC11" s="1402"/>
      <c r="PVD11" s="1402"/>
      <c r="PVE11" s="1402"/>
      <c r="PVF11" s="1402"/>
      <c r="PVG11" s="1402"/>
      <c r="PVH11" s="1402"/>
      <c r="PVI11" s="1402"/>
      <c r="PVJ11" s="1402"/>
      <c r="PVK11" s="1402"/>
      <c r="PVL11" s="1402"/>
      <c r="PVM11" s="1402"/>
      <c r="PVN11" s="1402"/>
      <c r="PVO11" s="1402"/>
      <c r="PVP11" s="1402"/>
      <c r="PVQ11" s="1402"/>
      <c r="PVR11" s="1402"/>
      <c r="PVS11" s="1402"/>
      <c r="PVT11" s="1402"/>
      <c r="PVU11" s="1402"/>
      <c r="PVV11" s="1402"/>
      <c r="PVW11" s="1402"/>
      <c r="PVX11" s="1402"/>
      <c r="PVY11" s="1402"/>
      <c r="PVZ11" s="1402"/>
      <c r="PWA11" s="1402"/>
      <c r="PWB11" s="1402"/>
      <c r="PWC11" s="1402"/>
      <c r="PWD11" s="1402"/>
      <c r="PWE11" s="1402"/>
      <c r="PWF11" s="1402"/>
      <c r="PWG11" s="1402"/>
      <c r="PWH11" s="1402"/>
      <c r="PWI11" s="1402"/>
      <c r="PWJ11" s="1402"/>
      <c r="PWK11" s="1402"/>
      <c r="PWL11" s="1402"/>
      <c r="PWM11" s="1402"/>
      <c r="PWN11" s="1402"/>
      <c r="PWO11" s="1402"/>
      <c r="PWP11" s="1402"/>
      <c r="PWQ11" s="1402"/>
      <c r="PWR11" s="1402"/>
      <c r="PWS11" s="1402"/>
      <c r="PWT11" s="1402"/>
      <c r="PWU11" s="1402"/>
      <c r="PWV11" s="1402"/>
      <c r="PWW11" s="1402"/>
      <c r="PWX11" s="1402"/>
      <c r="PWY11" s="1402"/>
      <c r="PWZ11" s="1402"/>
      <c r="PXA11" s="1402"/>
      <c r="PXB11" s="1402"/>
      <c r="PXC11" s="1402"/>
      <c r="PXD11" s="1402"/>
      <c r="PXE11" s="1402"/>
      <c r="PXF11" s="1402"/>
      <c r="PXG11" s="1402"/>
      <c r="PXH11" s="1402"/>
      <c r="PXI11" s="1402"/>
      <c r="PXJ11" s="1402"/>
      <c r="PXK11" s="1402"/>
      <c r="PXL11" s="1402"/>
      <c r="PXM11" s="1402"/>
      <c r="PXN11" s="1402"/>
      <c r="PXO11" s="1402"/>
      <c r="PXP11" s="1402"/>
      <c r="PXQ11" s="1402"/>
      <c r="PXR11" s="1402"/>
      <c r="PXS11" s="1402"/>
      <c r="PXT11" s="1402"/>
      <c r="PXU11" s="1402"/>
      <c r="PXV11" s="1402"/>
      <c r="PXW11" s="1402"/>
      <c r="PXX11" s="1402"/>
      <c r="PXY11" s="1402"/>
      <c r="PXZ11" s="1402"/>
      <c r="PYA11" s="1402"/>
      <c r="PYB11" s="1402"/>
      <c r="PYC11" s="1402"/>
      <c r="PYD11" s="1402"/>
      <c r="PYE11" s="1402"/>
      <c r="PYF11" s="1402"/>
      <c r="PYG11" s="1402"/>
      <c r="PYH11" s="1402"/>
      <c r="PYI11" s="1402"/>
      <c r="PYJ11" s="1402"/>
      <c r="PYK11" s="1402"/>
      <c r="PYL11" s="1402"/>
      <c r="PYM11" s="1402"/>
      <c r="PYN11" s="1402"/>
      <c r="PYO11" s="1402"/>
      <c r="PYP11" s="1402"/>
      <c r="PYQ11" s="1402"/>
      <c r="PYR11" s="1402"/>
      <c r="PYS11" s="1402"/>
      <c r="PYT11" s="1402"/>
      <c r="PYU11" s="1402"/>
      <c r="PYV11" s="1402"/>
      <c r="PYW11" s="1402"/>
      <c r="PYX11" s="1402"/>
      <c r="PYY11" s="1402"/>
      <c r="PYZ11" s="1402"/>
      <c r="PZA11" s="1402"/>
      <c r="PZB11" s="1402"/>
      <c r="PZC11" s="1402"/>
      <c r="PZD11" s="1402"/>
      <c r="PZE11" s="1402"/>
      <c r="PZF11" s="1402"/>
      <c r="PZG11" s="1402"/>
      <c r="PZH11" s="1402"/>
      <c r="PZI11" s="1402"/>
      <c r="PZJ11" s="1402"/>
      <c r="PZK11" s="1402"/>
      <c r="PZL11" s="1402"/>
      <c r="PZM11" s="1402"/>
      <c r="PZN11" s="1402"/>
      <c r="PZO11" s="1402"/>
      <c r="PZP11" s="1402"/>
      <c r="PZQ11" s="1402"/>
      <c r="PZR11" s="1402"/>
      <c r="PZS11" s="1402"/>
      <c r="PZT11" s="1402"/>
      <c r="PZU11" s="1402"/>
      <c r="PZV11" s="1402"/>
      <c r="PZW11" s="1402"/>
      <c r="PZX11" s="1402"/>
      <c r="PZY11" s="1402"/>
      <c r="PZZ11" s="1402"/>
      <c r="QAA11" s="1402"/>
      <c r="QAB11" s="1402"/>
      <c r="QAC11" s="1402"/>
      <c r="QAD11" s="1402"/>
      <c r="QAE11" s="1402"/>
      <c r="QAF11" s="1402"/>
      <c r="QAG11" s="1402"/>
      <c r="QAH11" s="1402"/>
      <c r="QAI11" s="1402"/>
      <c r="QAJ11" s="1402"/>
      <c r="QAK11" s="1402"/>
      <c r="QAL11" s="1402"/>
      <c r="QAM11" s="1402"/>
      <c r="QAN11" s="1402"/>
      <c r="QAO11" s="1402"/>
      <c r="QAP11" s="1402"/>
      <c r="QAQ11" s="1402"/>
      <c r="QAR11" s="1402"/>
      <c r="QAS11" s="1402"/>
      <c r="QAT11" s="1402"/>
      <c r="QAU11" s="1402"/>
      <c r="QAV11" s="1402"/>
      <c r="QAW11" s="1402"/>
      <c r="QAX11" s="1402"/>
      <c r="QAY11" s="1402"/>
      <c r="QAZ11" s="1402"/>
      <c r="QBA11" s="1402"/>
      <c r="QBB11" s="1402"/>
      <c r="QBC11" s="1402"/>
      <c r="QBD11" s="1402"/>
      <c r="QBE11" s="1402"/>
      <c r="QBF11" s="1402"/>
      <c r="QBG11" s="1402"/>
      <c r="QBH11" s="1402"/>
      <c r="QBI11" s="1402"/>
      <c r="QBJ11" s="1402"/>
      <c r="QBK11" s="1402"/>
      <c r="QBL11" s="1402"/>
      <c r="QBM11" s="1402"/>
      <c r="QBN11" s="1402"/>
      <c r="QBO11" s="1402"/>
      <c r="QBP11" s="1402"/>
      <c r="QBQ11" s="1402"/>
      <c r="QBR11" s="1402"/>
      <c r="QBS11" s="1402"/>
      <c r="QBT11" s="1402"/>
      <c r="QBU11" s="1402"/>
      <c r="QBV11" s="1402"/>
      <c r="QBW11" s="1402"/>
      <c r="QBX11" s="1402"/>
      <c r="QBY11" s="1402"/>
      <c r="QBZ11" s="1402"/>
      <c r="QCA11" s="1402"/>
      <c r="QCB11" s="1402"/>
      <c r="QCC11" s="1402"/>
      <c r="QCD11" s="1402"/>
      <c r="QCE11" s="1402"/>
      <c r="QCF11" s="1402"/>
      <c r="QCG11" s="1402"/>
      <c r="QCH11" s="1402"/>
      <c r="QCI11" s="1402"/>
      <c r="QCJ11" s="1402"/>
      <c r="QCK11" s="1402"/>
      <c r="QCL11" s="1402"/>
      <c r="QCM11" s="1402"/>
      <c r="QCN11" s="1402"/>
      <c r="QCO11" s="1402"/>
      <c r="QCP11" s="1402"/>
      <c r="QCQ11" s="1402"/>
      <c r="QCR11" s="1402"/>
      <c r="QCS11" s="1402"/>
      <c r="QCT11" s="1402"/>
      <c r="QCU11" s="1402"/>
      <c r="QCV11" s="1402"/>
      <c r="QCW11" s="1402"/>
      <c r="QCX11" s="1402"/>
      <c r="QCY11" s="1402"/>
      <c r="QCZ11" s="1402"/>
      <c r="QDA11" s="1402"/>
      <c r="QDB11" s="1402"/>
      <c r="QDC11" s="1402"/>
      <c r="QDD11" s="1402"/>
      <c r="QDE11" s="1402"/>
      <c r="QDF11" s="1402"/>
      <c r="QDG11" s="1402"/>
      <c r="QDH11" s="1402"/>
      <c r="QDI11" s="1402"/>
      <c r="QDJ11" s="1402"/>
      <c r="QDK11" s="1402"/>
      <c r="QDL11" s="1402"/>
      <c r="QDM11" s="1402"/>
      <c r="QDN11" s="1402"/>
      <c r="QDO11" s="1402"/>
      <c r="QDP11" s="1402"/>
      <c r="QDQ11" s="1402"/>
      <c r="QDR11" s="1402"/>
      <c r="QDS11" s="1402"/>
      <c r="QDT11" s="1402"/>
      <c r="QDU11" s="1402"/>
      <c r="QDV11" s="1402"/>
      <c r="QDW11" s="1402"/>
      <c r="QDX11" s="1402"/>
      <c r="QDY11" s="1402"/>
      <c r="QDZ11" s="1402"/>
      <c r="QEA11" s="1402"/>
      <c r="QEB11" s="1402"/>
      <c r="QEC11" s="1402"/>
      <c r="QED11" s="1402"/>
      <c r="QEE11" s="1402"/>
      <c r="QEF11" s="1402"/>
      <c r="QEG11" s="1402"/>
      <c r="QEH11" s="1402"/>
      <c r="QEI11" s="1402"/>
      <c r="QEJ11" s="1402"/>
      <c r="QEK11" s="1402"/>
      <c r="QEL11" s="1402"/>
      <c r="QEM11" s="1402"/>
      <c r="QEN11" s="1402"/>
      <c r="QEO11" s="1402"/>
      <c r="QEP11" s="1402"/>
      <c r="QEQ11" s="1402"/>
      <c r="QER11" s="1402"/>
      <c r="QES11" s="1402"/>
      <c r="QET11" s="1402"/>
      <c r="QEU11" s="1402"/>
      <c r="QEV11" s="1402"/>
      <c r="QEW11" s="1402"/>
      <c r="QEX11" s="1402"/>
      <c r="QEY11" s="1402"/>
      <c r="QEZ11" s="1402"/>
      <c r="QFA11" s="1402"/>
      <c r="QFB11" s="1402"/>
      <c r="QFC11" s="1402"/>
      <c r="QFD11" s="1402"/>
      <c r="QFE11" s="1402"/>
      <c r="QFF11" s="1402"/>
      <c r="QFG11" s="1402"/>
      <c r="QFH11" s="1402"/>
      <c r="QFI11" s="1402"/>
      <c r="QFJ11" s="1402"/>
      <c r="QFK11" s="1402"/>
      <c r="QFL11" s="1402"/>
      <c r="QFM11" s="1402"/>
      <c r="QFN11" s="1402"/>
      <c r="QFO11" s="1402"/>
      <c r="QFP11" s="1402"/>
      <c r="QFQ11" s="1402"/>
      <c r="QFR11" s="1402"/>
      <c r="QFS11" s="1402"/>
      <c r="QFT11" s="1402"/>
      <c r="QFU11" s="1402"/>
      <c r="QFV11" s="1402"/>
      <c r="QFW11" s="1402"/>
      <c r="QFX11" s="1402"/>
      <c r="QFY11" s="1402"/>
      <c r="QFZ11" s="1402"/>
      <c r="QGA11" s="1402"/>
      <c r="QGB11" s="1402"/>
      <c r="QGC11" s="1402"/>
      <c r="QGD11" s="1402"/>
      <c r="QGE11" s="1402"/>
      <c r="QGF11" s="1402"/>
      <c r="QGG11" s="1402"/>
      <c r="QGH11" s="1402"/>
      <c r="QGI11" s="1402"/>
      <c r="QGJ11" s="1402"/>
      <c r="QGK11" s="1402"/>
      <c r="QGL11" s="1402"/>
      <c r="QGM11" s="1402"/>
      <c r="QGN11" s="1402"/>
      <c r="QGO11" s="1402"/>
      <c r="QGP11" s="1402"/>
      <c r="QGQ11" s="1402"/>
      <c r="QGR11" s="1402"/>
      <c r="QGS11" s="1402"/>
      <c r="QGT11" s="1402"/>
      <c r="QGU11" s="1402"/>
      <c r="QGV11" s="1402"/>
      <c r="QGW11" s="1402"/>
      <c r="QGX11" s="1402"/>
      <c r="QGY11" s="1402"/>
      <c r="QGZ11" s="1402"/>
      <c r="QHA11" s="1402"/>
      <c r="QHB11" s="1402"/>
      <c r="QHC11" s="1402"/>
      <c r="QHD11" s="1402"/>
      <c r="QHE11" s="1402"/>
      <c r="QHF11" s="1402"/>
      <c r="QHG11" s="1402"/>
      <c r="QHH11" s="1402"/>
      <c r="QHI11" s="1402"/>
      <c r="QHJ11" s="1402"/>
      <c r="QHK11" s="1402"/>
      <c r="QHL11" s="1402"/>
      <c r="QHM11" s="1402"/>
      <c r="QHN11" s="1402"/>
      <c r="QHO11" s="1402"/>
      <c r="QHP11" s="1402"/>
      <c r="QHQ11" s="1402"/>
      <c r="QHR11" s="1402"/>
      <c r="QHS11" s="1402"/>
      <c r="QHT11" s="1402"/>
      <c r="QHU11" s="1402"/>
      <c r="QHV11" s="1402"/>
      <c r="QHW11" s="1402"/>
      <c r="QHX11" s="1402"/>
      <c r="QHY11" s="1402"/>
      <c r="QHZ11" s="1402"/>
      <c r="QIA11" s="1402"/>
      <c r="QIB11" s="1402"/>
      <c r="QIC11" s="1402"/>
      <c r="QID11" s="1402"/>
      <c r="QIE11" s="1402"/>
      <c r="QIF11" s="1402"/>
      <c r="QIG11" s="1402"/>
      <c r="QIH11" s="1402"/>
      <c r="QII11" s="1402"/>
      <c r="QIJ11" s="1402"/>
      <c r="QIK11" s="1402"/>
      <c r="QIL11" s="1402"/>
      <c r="QIM11" s="1402"/>
      <c r="QIN11" s="1402"/>
      <c r="QIO11" s="1402"/>
      <c r="QIP11" s="1402"/>
      <c r="QIQ11" s="1402"/>
      <c r="QIR11" s="1402"/>
      <c r="QIS11" s="1402"/>
      <c r="QIT11" s="1402"/>
      <c r="QIU11" s="1402"/>
      <c r="QIV11" s="1402"/>
      <c r="QIW11" s="1402"/>
      <c r="QIX11" s="1402"/>
      <c r="QIY11" s="1402"/>
      <c r="QIZ11" s="1402"/>
      <c r="QJA11" s="1402"/>
      <c r="QJB11" s="1402"/>
      <c r="QJC11" s="1402"/>
      <c r="QJD11" s="1402"/>
      <c r="QJE11" s="1402"/>
      <c r="QJF11" s="1402"/>
      <c r="QJG11" s="1402"/>
      <c r="QJH11" s="1402"/>
      <c r="QJI11" s="1402"/>
      <c r="QJJ11" s="1402"/>
      <c r="QJK11" s="1402"/>
      <c r="QJL11" s="1402"/>
      <c r="QJM11" s="1402"/>
      <c r="QJN11" s="1402"/>
      <c r="QJO11" s="1402"/>
      <c r="QJP11" s="1402"/>
      <c r="QJQ11" s="1402"/>
      <c r="QJR11" s="1402"/>
      <c r="QJS11" s="1402"/>
      <c r="QJT11" s="1402"/>
      <c r="QJU11" s="1402"/>
      <c r="QJV11" s="1402"/>
      <c r="QJW11" s="1402"/>
      <c r="QJX11" s="1402"/>
      <c r="QJY11" s="1402"/>
      <c r="QJZ11" s="1402"/>
      <c r="QKA11" s="1402"/>
      <c r="QKB11" s="1402"/>
      <c r="QKC11" s="1402"/>
      <c r="QKD11" s="1402"/>
      <c r="QKE11" s="1402"/>
      <c r="QKF11" s="1402"/>
      <c r="QKG11" s="1402"/>
      <c r="QKH11" s="1402"/>
      <c r="QKI11" s="1402"/>
      <c r="QKJ11" s="1402"/>
      <c r="QKK11" s="1402"/>
      <c r="QKL11" s="1402"/>
      <c r="QKM11" s="1402"/>
      <c r="QKN11" s="1402"/>
      <c r="QKO11" s="1402"/>
      <c r="QKP11" s="1402"/>
      <c r="QKQ11" s="1402"/>
      <c r="QKR11" s="1402"/>
      <c r="QKS11" s="1402"/>
      <c r="QKT11" s="1402"/>
      <c r="QKU11" s="1402"/>
      <c r="QKV11" s="1402"/>
      <c r="QKW11" s="1402"/>
      <c r="QKX11" s="1402"/>
      <c r="QKY11" s="1402"/>
      <c r="QKZ11" s="1402"/>
      <c r="QLA11" s="1402"/>
      <c r="QLB11" s="1402"/>
      <c r="QLC11" s="1402"/>
      <c r="QLD11" s="1402"/>
      <c r="QLE11" s="1402"/>
      <c r="QLF11" s="1402"/>
      <c r="QLG11" s="1402"/>
      <c r="QLH11" s="1402"/>
      <c r="QLI11" s="1402"/>
      <c r="QLJ11" s="1402"/>
      <c r="QLK11" s="1402"/>
      <c r="QLL11" s="1402"/>
      <c r="QLM11" s="1402"/>
      <c r="QLN11" s="1402"/>
      <c r="QLO11" s="1402"/>
      <c r="QLP11" s="1402"/>
      <c r="QLQ11" s="1402"/>
      <c r="QLR11" s="1402"/>
      <c r="QLS11" s="1402"/>
      <c r="QLT11" s="1402"/>
      <c r="QLU11" s="1402"/>
      <c r="QLV11" s="1402"/>
      <c r="QLW11" s="1402"/>
      <c r="QLX11" s="1402"/>
      <c r="QLY11" s="1402"/>
      <c r="QLZ11" s="1402"/>
      <c r="QMA11" s="1402"/>
      <c r="QMB11" s="1402"/>
      <c r="QMC11" s="1402"/>
      <c r="QMD11" s="1402"/>
      <c r="QME11" s="1402"/>
      <c r="QMF11" s="1402"/>
      <c r="QMG11" s="1402"/>
      <c r="QMH11" s="1402"/>
      <c r="QMI11" s="1402"/>
      <c r="QMJ11" s="1402"/>
      <c r="QMK11" s="1402"/>
      <c r="QML11" s="1402"/>
      <c r="QMM11" s="1402"/>
      <c r="QMN11" s="1402"/>
      <c r="QMO11" s="1402"/>
      <c r="QMP11" s="1402"/>
      <c r="QMQ11" s="1402"/>
      <c r="QMR11" s="1402"/>
      <c r="QMS11" s="1402"/>
      <c r="QMT11" s="1402"/>
      <c r="QMU11" s="1402"/>
      <c r="QMV11" s="1402"/>
      <c r="QMW11" s="1402"/>
      <c r="QMX11" s="1402"/>
      <c r="QMY11" s="1402"/>
      <c r="QMZ11" s="1402"/>
      <c r="QNA11" s="1402"/>
      <c r="QNB11" s="1402"/>
      <c r="QNC11" s="1402"/>
      <c r="QND11" s="1402"/>
      <c r="QNE11" s="1402"/>
      <c r="QNF11" s="1402"/>
      <c r="QNG11" s="1402"/>
      <c r="QNH11" s="1402"/>
      <c r="QNI11" s="1402"/>
      <c r="QNJ11" s="1402"/>
      <c r="QNK11" s="1402"/>
      <c r="QNL11" s="1402"/>
      <c r="QNM11" s="1402"/>
      <c r="QNN11" s="1402"/>
      <c r="QNO11" s="1402"/>
      <c r="QNP11" s="1402"/>
      <c r="QNQ11" s="1402"/>
      <c r="QNR11" s="1402"/>
      <c r="QNS11" s="1402"/>
      <c r="QNT11" s="1402"/>
      <c r="QNU11" s="1402"/>
      <c r="QNV11" s="1402"/>
      <c r="QNW11" s="1402"/>
      <c r="QNX11" s="1402"/>
      <c r="QNY11" s="1402"/>
      <c r="QNZ11" s="1402"/>
      <c r="QOA11" s="1402"/>
      <c r="QOB11" s="1402"/>
      <c r="QOC11" s="1402"/>
      <c r="QOD11" s="1402"/>
      <c r="QOE11" s="1402"/>
      <c r="QOF11" s="1402"/>
      <c r="QOG11" s="1402"/>
      <c r="QOH11" s="1402"/>
      <c r="QOI11" s="1402"/>
      <c r="QOJ11" s="1402"/>
      <c r="QOK11" s="1402"/>
      <c r="QOL11" s="1402"/>
      <c r="QOM11" s="1402"/>
      <c r="QON11" s="1402"/>
      <c r="QOO11" s="1402"/>
      <c r="QOP11" s="1402"/>
      <c r="QOQ11" s="1402"/>
      <c r="QOR11" s="1402"/>
      <c r="QOS11" s="1402"/>
      <c r="QOT11" s="1402"/>
      <c r="QOU11" s="1402"/>
      <c r="QOV11" s="1402"/>
      <c r="QOW11" s="1402"/>
      <c r="QOX11" s="1402"/>
      <c r="QOY11" s="1402"/>
      <c r="QOZ11" s="1402"/>
      <c r="QPA11" s="1402"/>
      <c r="QPB11" s="1402"/>
      <c r="QPC11" s="1402"/>
      <c r="QPD11" s="1402"/>
      <c r="QPE11" s="1402"/>
      <c r="QPF11" s="1402"/>
      <c r="QPG11" s="1402"/>
      <c r="QPH11" s="1402"/>
      <c r="QPI11" s="1402"/>
      <c r="QPJ11" s="1402"/>
      <c r="QPK11" s="1402"/>
      <c r="QPL11" s="1402"/>
      <c r="QPM11" s="1402"/>
      <c r="QPN11" s="1402"/>
      <c r="QPO11" s="1402"/>
      <c r="QPP11" s="1402"/>
      <c r="QPQ11" s="1402"/>
      <c r="QPR11" s="1402"/>
      <c r="QPS11" s="1402"/>
      <c r="QPT11" s="1402"/>
      <c r="QPU11" s="1402"/>
      <c r="QPV11" s="1402"/>
      <c r="QPW11" s="1402"/>
      <c r="QPX11" s="1402"/>
      <c r="QPY11" s="1402"/>
      <c r="QPZ11" s="1402"/>
      <c r="QQA11" s="1402"/>
      <c r="QQB11" s="1402"/>
      <c r="QQC11" s="1402"/>
      <c r="QQD11" s="1402"/>
      <c r="QQE11" s="1402"/>
      <c r="QQF11" s="1402"/>
      <c r="QQG11" s="1402"/>
      <c r="QQH11" s="1402"/>
      <c r="QQI11" s="1402"/>
      <c r="QQJ11" s="1402"/>
      <c r="QQK11" s="1402"/>
      <c r="QQL11" s="1402"/>
      <c r="QQM11" s="1402"/>
      <c r="QQN11" s="1402"/>
      <c r="QQO11" s="1402"/>
      <c r="QQP11" s="1402"/>
      <c r="QQQ11" s="1402"/>
      <c r="QQR11" s="1402"/>
      <c r="QQS11" s="1402"/>
      <c r="QQT11" s="1402"/>
      <c r="QQU11" s="1402"/>
      <c r="QQV11" s="1402"/>
      <c r="QQW11" s="1402"/>
      <c r="QQX11" s="1402"/>
      <c r="QQY11" s="1402"/>
      <c r="QQZ11" s="1402"/>
      <c r="QRA11" s="1402"/>
      <c r="QRB11" s="1402"/>
      <c r="QRC11" s="1402"/>
      <c r="QRD11" s="1402"/>
      <c r="QRE11" s="1402"/>
      <c r="QRF11" s="1402"/>
      <c r="QRG11" s="1402"/>
      <c r="QRH11" s="1402"/>
      <c r="QRI11" s="1402"/>
      <c r="QRJ11" s="1402"/>
      <c r="QRK11" s="1402"/>
      <c r="QRL11" s="1402"/>
      <c r="QRM11" s="1402"/>
      <c r="QRN11" s="1402"/>
      <c r="QRO11" s="1402"/>
      <c r="QRP11" s="1402"/>
      <c r="QRQ11" s="1402"/>
      <c r="QRR11" s="1402"/>
      <c r="QRS11" s="1402"/>
      <c r="QRT11" s="1402"/>
      <c r="QRU11" s="1402"/>
      <c r="QRV11" s="1402"/>
      <c r="QRW11" s="1402"/>
      <c r="QRX11" s="1402"/>
      <c r="QRY11" s="1402"/>
      <c r="QRZ11" s="1402"/>
      <c r="QSA11" s="1402"/>
      <c r="QSB11" s="1402"/>
      <c r="QSC11" s="1402"/>
      <c r="QSD11" s="1402"/>
      <c r="QSE11" s="1402"/>
      <c r="QSF11" s="1402"/>
      <c r="QSG11" s="1402"/>
      <c r="QSH11" s="1402"/>
      <c r="QSI11" s="1402"/>
      <c r="QSJ11" s="1402"/>
      <c r="QSK11" s="1402"/>
      <c r="QSL11" s="1402"/>
      <c r="QSM11" s="1402"/>
      <c r="QSN11" s="1402"/>
      <c r="QSO11" s="1402"/>
      <c r="QSP11" s="1402"/>
      <c r="QSQ11" s="1402"/>
      <c r="QSR11" s="1402"/>
      <c r="QSS11" s="1402"/>
      <c r="QST11" s="1402"/>
      <c r="QSU11" s="1402"/>
      <c r="QSV11" s="1402"/>
      <c r="QSW11" s="1402"/>
      <c r="QSX11" s="1402"/>
      <c r="QSY11" s="1402"/>
      <c r="QSZ11" s="1402"/>
      <c r="QTA11" s="1402"/>
      <c r="QTB11" s="1402"/>
      <c r="QTC11" s="1402"/>
      <c r="QTD11" s="1402"/>
      <c r="QTE11" s="1402"/>
      <c r="QTF11" s="1402"/>
      <c r="QTG11" s="1402"/>
      <c r="QTH11" s="1402"/>
      <c r="QTI11" s="1402"/>
      <c r="QTJ11" s="1402"/>
      <c r="QTK11" s="1402"/>
      <c r="QTL11" s="1402"/>
      <c r="QTM11" s="1402"/>
      <c r="QTN11" s="1402"/>
      <c r="QTO11" s="1402"/>
      <c r="QTP11" s="1402"/>
      <c r="QTQ11" s="1402"/>
      <c r="QTR11" s="1402"/>
      <c r="QTS11" s="1402"/>
      <c r="QTT11" s="1402"/>
      <c r="QTU11" s="1402"/>
      <c r="QTV11" s="1402"/>
      <c r="QTW11" s="1402"/>
      <c r="QTX11" s="1402"/>
      <c r="QTY11" s="1402"/>
      <c r="QTZ11" s="1402"/>
      <c r="QUA11" s="1402"/>
      <c r="QUB11" s="1402"/>
      <c r="QUC11" s="1402"/>
      <c r="QUD11" s="1402"/>
      <c r="QUE11" s="1402"/>
      <c r="QUF11" s="1402"/>
      <c r="QUG11" s="1402"/>
      <c r="QUH11" s="1402"/>
      <c r="QUI11" s="1402"/>
      <c r="QUJ11" s="1402"/>
      <c r="QUK11" s="1402"/>
      <c r="QUL11" s="1402"/>
      <c r="QUM11" s="1402"/>
      <c r="QUN11" s="1402"/>
      <c r="QUO11" s="1402"/>
      <c r="QUP11" s="1402"/>
      <c r="QUQ11" s="1402"/>
      <c r="QUR11" s="1402"/>
      <c r="QUS11" s="1402"/>
      <c r="QUT11" s="1402"/>
      <c r="QUU11" s="1402"/>
      <c r="QUV11" s="1402"/>
      <c r="QUW11" s="1402"/>
      <c r="QUX11" s="1402"/>
      <c r="QUY11" s="1402"/>
      <c r="QUZ11" s="1402"/>
      <c r="QVA11" s="1402"/>
      <c r="QVB11" s="1402"/>
      <c r="QVC11" s="1402"/>
      <c r="QVD11" s="1402"/>
      <c r="QVE11" s="1402"/>
      <c r="QVF11" s="1402"/>
      <c r="QVG11" s="1402"/>
      <c r="QVH11" s="1402"/>
      <c r="QVI11" s="1402"/>
      <c r="QVJ11" s="1402"/>
      <c r="QVK11" s="1402"/>
      <c r="QVL11" s="1402"/>
      <c r="QVM11" s="1402"/>
      <c r="QVN11" s="1402"/>
      <c r="QVO11" s="1402"/>
      <c r="QVP11" s="1402"/>
      <c r="QVQ11" s="1402"/>
      <c r="QVR11" s="1402"/>
      <c r="QVS11" s="1402"/>
      <c r="QVT11" s="1402"/>
      <c r="QVU11" s="1402"/>
      <c r="QVV11" s="1402"/>
      <c r="QVW11" s="1402"/>
      <c r="QVX11" s="1402"/>
      <c r="QVY11" s="1402"/>
      <c r="QVZ11" s="1402"/>
      <c r="QWA11" s="1402"/>
      <c r="QWB11" s="1402"/>
      <c r="QWC11" s="1402"/>
      <c r="QWD11" s="1402"/>
      <c r="QWE11" s="1402"/>
      <c r="QWF11" s="1402"/>
      <c r="QWG11" s="1402"/>
      <c r="QWH11" s="1402"/>
      <c r="QWI11" s="1402"/>
      <c r="QWJ11" s="1402"/>
      <c r="QWK11" s="1402"/>
      <c r="QWL11" s="1402"/>
      <c r="QWM11" s="1402"/>
      <c r="QWN11" s="1402"/>
      <c r="QWO11" s="1402"/>
      <c r="QWP11" s="1402"/>
      <c r="QWQ11" s="1402"/>
      <c r="QWR11" s="1402"/>
      <c r="QWS11" s="1402"/>
      <c r="QWT11" s="1402"/>
      <c r="QWU11" s="1402"/>
      <c r="QWV11" s="1402"/>
      <c r="QWW11" s="1402"/>
      <c r="QWX11" s="1402"/>
      <c r="QWY11" s="1402"/>
      <c r="QWZ11" s="1402"/>
      <c r="QXA11" s="1402"/>
      <c r="QXB11" s="1402"/>
      <c r="QXC11" s="1402"/>
      <c r="QXD11" s="1402"/>
      <c r="QXE11" s="1402"/>
      <c r="QXF11" s="1402"/>
      <c r="QXG11" s="1402"/>
      <c r="QXH11" s="1402"/>
      <c r="QXI11" s="1402"/>
      <c r="QXJ11" s="1402"/>
      <c r="QXK11" s="1402"/>
      <c r="QXL11" s="1402"/>
      <c r="QXM11" s="1402"/>
      <c r="QXN11" s="1402"/>
      <c r="QXO11" s="1402"/>
      <c r="QXP11" s="1402"/>
      <c r="QXQ11" s="1402"/>
      <c r="QXR11" s="1402"/>
      <c r="QXS11" s="1402"/>
      <c r="QXT11" s="1402"/>
      <c r="QXU11" s="1402"/>
      <c r="QXV11" s="1402"/>
      <c r="QXW11" s="1402"/>
      <c r="QXX11" s="1402"/>
      <c r="QXY11" s="1402"/>
      <c r="QXZ11" s="1402"/>
      <c r="QYA11" s="1402"/>
      <c r="QYB11" s="1402"/>
      <c r="QYC11" s="1402"/>
      <c r="QYD11" s="1402"/>
      <c r="QYE11" s="1402"/>
      <c r="QYF11" s="1402"/>
      <c r="QYG11" s="1402"/>
      <c r="QYH11" s="1402"/>
      <c r="QYI11" s="1402"/>
      <c r="QYJ11" s="1402"/>
      <c r="QYK11" s="1402"/>
      <c r="QYL11" s="1402"/>
      <c r="QYM11" s="1402"/>
      <c r="QYN11" s="1402"/>
      <c r="QYO11" s="1402"/>
      <c r="QYP11" s="1402"/>
      <c r="QYQ11" s="1402"/>
      <c r="QYR11" s="1402"/>
      <c r="QYS11" s="1402"/>
      <c r="QYT11" s="1402"/>
      <c r="QYU11" s="1402"/>
      <c r="QYV11" s="1402"/>
      <c r="QYW11" s="1402"/>
      <c r="QYX11" s="1402"/>
      <c r="QYY11" s="1402"/>
      <c r="QYZ11" s="1402"/>
      <c r="QZA11" s="1402"/>
      <c r="QZB11" s="1402"/>
      <c r="QZC11" s="1402"/>
      <c r="QZD11" s="1402"/>
      <c r="QZE11" s="1402"/>
      <c r="QZF11" s="1402"/>
      <c r="QZG11" s="1402"/>
      <c r="QZH11" s="1402"/>
      <c r="QZI11" s="1402"/>
      <c r="QZJ11" s="1402"/>
      <c r="QZK11" s="1402"/>
      <c r="QZL11" s="1402"/>
      <c r="QZM11" s="1402"/>
      <c r="QZN11" s="1402"/>
      <c r="QZO11" s="1402"/>
      <c r="QZP11" s="1402"/>
      <c r="QZQ11" s="1402"/>
      <c r="QZR11" s="1402"/>
      <c r="QZS11" s="1402"/>
      <c r="QZT11" s="1402"/>
      <c r="QZU11" s="1402"/>
      <c r="QZV11" s="1402"/>
      <c r="QZW11" s="1402"/>
      <c r="QZX11" s="1402"/>
      <c r="QZY11" s="1402"/>
      <c r="QZZ11" s="1402"/>
      <c r="RAA11" s="1402"/>
      <c r="RAB11" s="1402"/>
      <c r="RAC11" s="1402"/>
      <c r="RAD11" s="1402"/>
      <c r="RAE11" s="1402"/>
      <c r="RAF11" s="1402"/>
      <c r="RAG11" s="1402"/>
      <c r="RAH11" s="1402"/>
      <c r="RAI11" s="1402"/>
      <c r="RAJ11" s="1402"/>
      <c r="RAK11" s="1402"/>
      <c r="RAL11" s="1402"/>
      <c r="RAM11" s="1402"/>
      <c r="RAN11" s="1402"/>
      <c r="RAO11" s="1402"/>
      <c r="RAP11" s="1402"/>
      <c r="RAQ11" s="1402"/>
      <c r="RAR11" s="1402"/>
      <c r="RAS11" s="1402"/>
      <c r="RAT11" s="1402"/>
      <c r="RAU11" s="1402"/>
      <c r="RAV11" s="1402"/>
      <c r="RAW11" s="1402"/>
      <c r="RAX11" s="1402"/>
      <c r="RAY11" s="1402"/>
      <c r="RAZ11" s="1402"/>
      <c r="RBA11" s="1402"/>
      <c r="RBB11" s="1402"/>
      <c r="RBC11" s="1402"/>
      <c r="RBD11" s="1402"/>
      <c r="RBE11" s="1402"/>
      <c r="RBF11" s="1402"/>
      <c r="RBG11" s="1402"/>
      <c r="RBH11" s="1402"/>
      <c r="RBI11" s="1402"/>
      <c r="RBJ11" s="1402"/>
      <c r="RBK11" s="1402"/>
      <c r="RBL11" s="1402"/>
      <c r="RBM11" s="1402"/>
      <c r="RBN11" s="1402"/>
      <c r="RBO11" s="1402"/>
      <c r="RBP11" s="1402"/>
      <c r="RBQ11" s="1402"/>
      <c r="RBR11" s="1402"/>
      <c r="RBS11" s="1402"/>
      <c r="RBT11" s="1402"/>
      <c r="RBU11" s="1402"/>
      <c r="RBV11" s="1402"/>
      <c r="RBW11" s="1402"/>
      <c r="RBX11" s="1402"/>
      <c r="RBY11" s="1402"/>
      <c r="RBZ11" s="1402"/>
      <c r="RCA11" s="1402"/>
      <c r="RCB11" s="1402"/>
      <c r="RCC11" s="1402"/>
      <c r="RCD11" s="1402"/>
      <c r="RCE11" s="1402"/>
      <c r="RCF11" s="1402"/>
      <c r="RCG11" s="1402"/>
      <c r="RCH11" s="1402"/>
      <c r="RCI11" s="1402"/>
      <c r="RCJ11" s="1402"/>
      <c r="RCK11" s="1402"/>
      <c r="RCL11" s="1402"/>
      <c r="RCM11" s="1402"/>
      <c r="RCN11" s="1402"/>
      <c r="RCO11" s="1402"/>
      <c r="RCP11" s="1402"/>
      <c r="RCQ11" s="1402"/>
      <c r="RCR11" s="1402"/>
      <c r="RCS11" s="1402"/>
      <c r="RCT11" s="1402"/>
      <c r="RCU11" s="1402"/>
      <c r="RCV11" s="1402"/>
      <c r="RCW11" s="1402"/>
      <c r="RCX11" s="1402"/>
      <c r="RCY11" s="1402"/>
      <c r="RCZ11" s="1402"/>
      <c r="RDA11" s="1402"/>
      <c r="RDB11" s="1402"/>
      <c r="RDC11" s="1402"/>
      <c r="RDD11" s="1402"/>
      <c r="RDE11" s="1402"/>
      <c r="RDF11" s="1402"/>
      <c r="RDG11" s="1402"/>
      <c r="RDH11" s="1402"/>
      <c r="RDI11" s="1402"/>
      <c r="RDJ11" s="1402"/>
      <c r="RDK11" s="1402"/>
      <c r="RDL11" s="1402"/>
      <c r="RDM11" s="1402"/>
      <c r="RDN11" s="1402"/>
      <c r="RDO11" s="1402"/>
      <c r="RDP11" s="1402"/>
      <c r="RDQ11" s="1402"/>
      <c r="RDR11" s="1402"/>
      <c r="RDS11" s="1402"/>
      <c r="RDT11" s="1402"/>
      <c r="RDU11" s="1402"/>
      <c r="RDV11" s="1402"/>
      <c r="RDW11" s="1402"/>
      <c r="RDX11" s="1402"/>
      <c r="RDY11" s="1402"/>
      <c r="RDZ11" s="1402"/>
      <c r="REA11" s="1402"/>
      <c r="REB11" s="1402"/>
      <c r="REC11" s="1402"/>
      <c r="RED11" s="1402"/>
      <c r="REE11" s="1402"/>
      <c r="REF11" s="1402"/>
      <c r="REG11" s="1402"/>
      <c r="REH11" s="1402"/>
      <c r="REI11" s="1402"/>
      <c r="REJ11" s="1402"/>
      <c r="REK11" s="1402"/>
      <c r="REL11" s="1402"/>
      <c r="REM11" s="1402"/>
      <c r="REN11" s="1402"/>
      <c r="REO11" s="1402"/>
      <c r="REP11" s="1402"/>
      <c r="REQ11" s="1402"/>
      <c r="RER11" s="1402"/>
      <c r="RES11" s="1402"/>
      <c r="RET11" s="1402"/>
      <c r="REU11" s="1402"/>
      <c r="REV11" s="1402"/>
      <c r="REW11" s="1402"/>
      <c r="REX11" s="1402"/>
      <c r="REY11" s="1402"/>
      <c r="REZ11" s="1402"/>
      <c r="RFA11" s="1402"/>
      <c r="RFB11" s="1402"/>
      <c r="RFC11" s="1402"/>
      <c r="RFD11" s="1402"/>
      <c r="RFE11" s="1402"/>
      <c r="RFF11" s="1402"/>
      <c r="RFG11" s="1402"/>
      <c r="RFH11" s="1402"/>
      <c r="RFI11" s="1402"/>
      <c r="RFJ11" s="1402"/>
      <c r="RFK11" s="1402"/>
      <c r="RFL11" s="1402"/>
      <c r="RFM11" s="1402"/>
      <c r="RFN11" s="1402"/>
      <c r="RFO11" s="1402"/>
      <c r="RFP11" s="1402"/>
      <c r="RFQ11" s="1402"/>
      <c r="RFR11" s="1402"/>
      <c r="RFS11" s="1402"/>
      <c r="RFT11" s="1402"/>
      <c r="RFU11" s="1402"/>
      <c r="RFV11" s="1402"/>
      <c r="RFW11" s="1402"/>
      <c r="RFX11" s="1402"/>
      <c r="RFY11" s="1402"/>
      <c r="RFZ11" s="1402"/>
      <c r="RGA11" s="1402"/>
      <c r="RGB11" s="1402"/>
      <c r="RGC11" s="1402"/>
      <c r="RGD11" s="1402"/>
      <c r="RGE11" s="1402"/>
      <c r="RGF11" s="1402"/>
      <c r="RGG11" s="1402"/>
      <c r="RGH11" s="1402"/>
      <c r="RGI11" s="1402"/>
      <c r="RGJ11" s="1402"/>
      <c r="RGK11" s="1402"/>
      <c r="RGL11" s="1402"/>
      <c r="RGM11" s="1402"/>
      <c r="RGN11" s="1402"/>
      <c r="RGO11" s="1402"/>
      <c r="RGP11" s="1402"/>
      <c r="RGQ11" s="1402"/>
      <c r="RGR11" s="1402"/>
      <c r="RGS11" s="1402"/>
      <c r="RGT11" s="1402"/>
      <c r="RGU11" s="1402"/>
      <c r="RGV11" s="1402"/>
      <c r="RGW11" s="1402"/>
      <c r="RGX11" s="1402"/>
      <c r="RGY11" s="1402"/>
      <c r="RGZ11" s="1402"/>
      <c r="RHA11" s="1402"/>
      <c r="RHB11" s="1402"/>
      <c r="RHC11" s="1402"/>
      <c r="RHD11" s="1402"/>
      <c r="RHE11" s="1402"/>
      <c r="RHF11" s="1402"/>
      <c r="RHG11" s="1402"/>
      <c r="RHH11" s="1402"/>
      <c r="RHI11" s="1402"/>
      <c r="RHJ11" s="1402"/>
      <c r="RHK11" s="1402"/>
      <c r="RHL11" s="1402"/>
      <c r="RHM11" s="1402"/>
      <c r="RHN11" s="1402"/>
      <c r="RHO11" s="1402"/>
      <c r="RHP11" s="1402"/>
      <c r="RHQ11" s="1402"/>
      <c r="RHR11" s="1402"/>
      <c r="RHS11" s="1402"/>
      <c r="RHT11" s="1402"/>
      <c r="RHU11" s="1402"/>
      <c r="RHV11" s="1402"/>
      <c r="RHW11" s="1402"/>
      <c r="RHX11" s="1402"/>
      <c r="RHY11" s="1402"/>
      <c r="RHZ11" s="1402"/>
      <c r="RIA11" s="1402"/>
      <c r="RIB11" s="1402"/>
      <c r="RIC11" s="1402"/>
      <c r="RID11" s="1402"/>
      <c r="RIE11" s="1402"/>
      <c r="RIF11" s="1402"/>
      <c r="RIG11" s="1402"/>
      <c r="RIH11" s="1402"/>
      <c r="RII11" s="1402"/>
      <c r="RIJ11" s="1402"/>
      <c r="RIK11" s="1402"/>
      <c r="RIL11" s="1402"/>
      <c r="RIM11" s="1402"/>
      <c r="RIN11" s="1402"/>
      <c r="RIO11" s="1402"/>
      <c r="RIP11" s="1402"/>
      <c r="RIQ11" s="1402"/>
      <c r="RIR11" s="1402"/>
      <c r="RIS11" s="1402"/>
      <c r="RIT11" s="1402"/>
      <c r="RIU11" s="1402"/>
      <c r="RIV11" s="1402"/>
      <c r="RIW11" s="1402"/>
      <c r="RIX11" s="1402"/>
      <c r="RIY11" s="1402"/>
      <c r="RIZ11" s="1402"/>
      <c r="RJA11" s="1402"/>
      <c r="RJB11" s="1402"/>
      <c r="RJC11" s="1402"/>
      <c r="RJD11" s="1402"/>
      <c r="RJE11" s="1402"/>
      <c r="RJF11" s="1402"/>
      <c r="RJG11" s="1402"/>
      <c r="RJH11" s="1402"/>
      <c r="RJI11" s="1402"/>
      <c r="RJJ11" s="1402"/>
      <c r="RJK11" s="1402"/>
      <c r="RJL11" s="1402"/>
      <c r="RJM11" s="1402"/>
      <c r="RJN11" s="1402"/>
      <c r="RJO11" s="1402"/>
      <c r="RJP11" s="1402"/>
      <c r="RJQ11" s="1402"/>
      <c r="RJR11" s="1402"/>
      <c r="RJS11" s="1402"/>
      <c r="RJT11" s="1402"/>
      <c r="RJU11" s="1402"/>
      <c r="RJV11" s="1402"/>
      <c r="RJW11" s="1402"/>
      <c r="RJX11" s="1402"/>
      <c r="RJY11" s="1402"/>
      <c r="RJZ11" s="1402"/>
      <c r="RKA11" s="1402"/>
      <c r="RKB11" s="1402"/>
      <c r="RKC11" s="1402"/>
      <c r="RKD11" s="1402"/>
      <c r="RKE11" s="1402"/>
      <c r="RKF11" s="1402"/>
      <c r="RKG11" s="1402"/>
      <c r="RKH11" s="1402"/>
      <c r="RKI11" s="1402"/>
      <c r="RKJ11" s="1402"/>
      <c r="RKK11" s="1402"/>
      <c r="RKL11" s="1402"/>
      <c r="RKM11" s="1402"/>
      <c r="RKN11" s="1402"/>
      <c r="RKO11" s="1402"/>
      <c r="RKP11" s="1402"/>
      <c r="RKQ11" s="1402"/>
      <c r="RKR11" s="1402"/>
      <c r="RKS11" s="1402"/>
      <c r="RKT11" s="1402"/>
      <c r="RKU11" s="1402"/>
      <c r="RKV11" s="1402"/>
      <c r="RKW11" s="1402"/>
      <c r="RKX11" s="1402"/>
      <c r="RKY11" s="1402"/>
      <c r="RKZ11" s="1402"/>
      <c r="RLA11" s="1402"/>
      <c r="RLB11" s="1402"/>
      <c r="RLC11" s="1402"/>
      <c r="RLD11" s="1402"/>
      <c r="RLE11" s="1402"/>
      <c r="RLF11" s="1402"/>
      <c r="RLG11" s="1402"/>
      <c r="RLH11" s="1402"/>
      <c r="RLI11" s="1402"/>
      <c r="RLJ11" s="1402"/>
      <c r="RLK11" s="1402"/>
      <c r="RLL11" s="1402"/>
      <c r="RLM11" s="1402"/>
      <c r="RLN11" s="1402"/>
      <c r="RLO11" s="1402"/>
      <c r="RLP11" s="1402"/>
      <c r="RLQ11" s="1402"/>
      <c r="RLR11" s="1402"/>
      <c r="RLS11" s="1402"/>
      <c r="RLT11" s="1402"/>
      <c r="RLU11" s="1402"/>
      <c r="RLV11" s="1402"/>
      <c r="RLW11" s="1402"/>
      <c r="RLX11" s="1402"/>
      <c r="RLY11" s="1402"/>
      <c r="RLZ11" s="1402"/>
      <c r="RMA11" s="1402"/>
      <c r="RMB11" s="1402"/>
      <c r="RMC11" s="1402"/>
      <c r="RMD11" s="1402"/>
      <c r="RME11" s="1402"/>
      <c r="RMF11" s="1402"/>
      <c r="RMG11" s="1402"/>
      <c r="RMH11" s="1402"/>
      <c r="RMI11" s="1402"/>
      <c r="RMJ11" s="1402"/>
      <c r="RMK11" s="1402"/>
      <c r="RML11" s="1402"/>
      <c r="RMM11" s="1402"/>
      <c r="RMN11" s="1402"/>
      <c r="RMO11" s="1402"/>
      <c r="RMP11" s="1402"/>
      <c r="RMQ11" s="1402"/>
      <c r="RMR11" s="1402"/>
      <c r="RMS11" s="1402"/>
      <c r="RMT11" s="1402"/>
      <c r="RMU11" s="1402"/>
      <c r="RMV11" s="1402"/>
      <c r="RMW11" s="1402"/>
      <c r="RMX11" s="1402"/>
      <c r="RMY11" s="1402"/>
      <c r="RMZ11" s="1402"/>
      <c r="RNA11" s="1402"/>
      <c r="RNB11" s="1402"/>
      <c r="RNC11" s="1402"/>
      <c r="RND11" s="1402"/>
      <c r="RNE11" s="1402"/>
      <c r="RNF11" s="1402"/>
      <c r="RNG11" s="1402"/>
      <c r="RNH11" s="1402"/>
      <c r="RNI11" s="1402"/>
      <c r="RNJ11" s="1402"/>
      <c r="RNK11" s="1402"/>
      <c r="RNL11" s="1402"/>
      <c r="RNM11" s="1402"/>
      <c r="RNN11" s="1402"/>
      <c r="RNO11" s="1402"/>
      <c r="RNP11" s="1402"/>
      <c r="RNQ11" s="1402"/>
      <c r="RNR11" s="1402"/>
      <c r="RNS11" s="1402"/>
      <c r="RNT11" s="1402"/>
      <c r="RNU11" s="1402"/>
      <c r="RNV11" s="1402"/>
      <c r="RNW11" s="1402"/>
      <c r="RNX11" s="1402"/>
      <c r="RNY11" s="1402"/>
      <c r="RNZ11" s="1402"/>
      <c r="ROA11" s="1402"/>
      <c r="ROB11" s="1402"/>
      <c r="ROC11" s="1402"/>
      <c r="ROD11" s="1402"/>
      <c r="ROE11" s="1402"/>
      <c r="ROF11" s="1402"/>
      <c r="ROG11" s="1402"/>
      <c r="ROH11" s="1402"/>
      <c r="ROI11" s="1402"/>
      <c r="ROJ11" s="1402"/>
      <c r="ROK11" s="1402"/>
      <c r="ROL11" s="1402"/>
      <c r="ROM11" s="1402"/>
      <c r="RON11" s="1402"/>
      <c r="ROO11" s="1402"/>
      <c r="ROP11" s="1402"/>
      <c r="ROQ11" s="1402"/>
      <c r="ROR11" s="1402"/>
      <c r="ROS11" s="1402"/>
      <c r="ROT11" s="1402"/>
      <c r="ROU11" s="1402"/>
      <c r="ROV11" s="1402"/>
      <c r="ROW11" s="1402"/>
      <c r="ROX11" s="1402"/>
      <c r="ROY11" s="1402"/>
      <c r="ROZ11" s="1402"/>
      <c r="RPA11" s="1402"/>
      <c r="RPB11" s="1402"/>
      <c r="RPC11" s="1402"/>
      <c r="RPD11" s="1402"/>
      <c r="RPE11" s="1402"/>
      <c r="RPF11" s="1402"/>
      <c r="RPG11" s="1402"/>
      <c r="RPH11" s="1402"/>
      <c r="RPI11" s="1402"/>
      <c r="RPJ11" s="1402"/>
      <c r="RPK11" s="1402"/>
      <c r="RPL11" s="1402"/>
      <c r="RPM11" s="1402"/>
      <c r="RPN11" s="1402"/>
      <c r="RPO11" s="1402"/>
      <c r="RPP11" s="1402"/>
      <c r="RPQ11" s="1402"/>
      <c r="RPR11" s="1402"/>
      <c r="RPS11" s="1402"/>
      <c r="RPT11" s="1402"/>
      <c r="RPU11" s="1402"/>
      <c r="RPV11" s="1402"/>
      <c r="RPW11" s="1402"/>
      <c r="RPX11" s="1402"/>
      <c r="RPY11" s="1402"/>
      <c r="RPZ11" s="1402"/>
      <c r="RQA11" s="1402"/>
      <c r="RQB11" s="1402"/>
      <c r="RQC11" s="1402"/>
      <c r="RQD11" s="1402"/>
      <c r="RQE11" s="1402"/>
      <c r="RQF11" s="1402"/>
      <c r="RQG11" s="1402"/>
      <c r="RQH11" s="1402"/>
      <c r="RQI11" s="1402"/>
      <c r="RQJ11" s="1402"/>
      <c r="RQK11" s="1402"/>
      <c r="RQL11" s="1402"/>
      <c r="RQM11" s="1402"/>
      <c r="RQN11" s="1402"/>
      <c r="RQO11" s="1402"/>
      <c r="RQP11" s="1402"/>
      <c r="RQQ11" s="1402"/>
      <c r="RQR11" s="1402"/>
      <c r="RQS11" s="1402"/>
      <c r="RQT11" s="1402"/>
      <c r="RQU11" s="1402"/>
      <c r="RQV11" s="1402"/>
      <c r="RQW11" s="1402"/>
      <c r="RQX11" s="1402"/>
      <c r="RQY11" s="1402"/>
      <c r="RQZ11" s="1402"/>
      <c r="RRA11" s="1402"/>
      <c r="RRB11" s="1402"/>
      <c r="RRC11" s="1402"/>
      <c r="RRD11" s="1402"/>
      <c r="RRE11" s="1402"/>
      <c r="RRF11" s="1402"/>
      <c r="RRG11" s="1402"/>
      <c r="RRH11" s="1402"/>
      <c r="RRI11" s="1402"/>
      <c r="RRJ11" s="1402"/>
      <c r="RRK11" s="1402"/>
      <c r="RRL11" s="1402"/>
      <c r="RRM11" s="1402"/>
      <c r="RRN11" s="1402"/>
      <c r="RRO11" s="1402"/>
      <c r="RRP11" s="1402"/>
      <c r="RRQ11" s="1402"/>
      <c r="RRR11" s="1402"/>
      <c r="RRS11" s="1402"/>
      <c r="RRT11" s="1402"/>
      <c r="RRU11" s="1402"/>
      <c r="RRV11" s="1402"/>
      <c r="RRW11" s="1402"/>
      <c r="RRX11" s="1402"/>
      <c r="RRY11" s="1402"/>
      <c r="RRZ11" s="1402"/>
      <c r="RSA11" s="1402"/>
      <c r="RSB11" s="1402"/>
      <c r="RSC11" s="1402"/>
      <c r="RSD11" s="1402"/>
      <c r="RSE11" s="1402"/>
      <c r="RSF11" s="1402"/>
      <c r="RSG11" s="1402"/>
      <c r="RSH11" s="1402"/>
      <c r="RSI11" s="1402"/>
      <c r="RSJ11" s="1402"/>
      <c r="RSK11" s="1402"/>
      <c r="RSL11" s="1402"/>
      <c r="RSM11" s="1402"/>
      <c r="RSN11" s="1402"/>
      <c r="RSO11" s="1402"/>
      <c r="RSP11" s="1402"/>
      <c r="RSQ11" s="1402"/>
      <c r="RSR11" s="1402"/>
      <c r="RSS11" s="1402"/>
      <c r="RST11" s="1402"/>
      <c r="RSU11" s="1402"/>
      <c r="RSV11" s="1402"/>
      <c r="RSW11" s="1402"/>
      <c r="RSX11" s="1402"/>
      <c r="RSY11" s="1402"/>
      <c r="RSZ11" s="1402"/>
      <c r="RTA11" s="1402"/>
      <c r="RTB11" s="1402"/>
      <c r="RTC11" s="1402"/>
      <c r="RTD11" s="1402"/>
      <c r="RTE11" s="1402"/>
      <c r="RTF11" s="1402"/>
      <c r="RTG11" s="1402"/>
      <c r="RTH11" s="1402"/>
      <c r="RTI11" s="1402"/>
      <c r="RTJ11" s="1402"/>
      <c r="RTK11" s="1402"/>
      <c r="RTL11" s="1402"/>
      <c r="RTM11" s="1402"/>
      <c r="RTN11" s="1402"/>
      <c r="RTO11" s="1402"/>
      <c r="RTP11" s="1402"/>
      <c r="RTQ11" s="1402"/>
      <c r="RTR11" s="1402"/>
      <c r="RTS11" s="1402"/>
      <c r="RTT11" s="1402"/>
      <c r="RTU11" s="1402"/>
      <c r="RTV11" s="1402"/>
      <c r="RTW11" s="1402"/>
      <c r="RTX11" s="1402"/>
      <c r="RTY11" s="1402"/>
      <c r="RTZ11" s="1402"/>
      <c r="RUA11" s="1402"/>
      <c r="RUB11" s="1402"/>
      <c r="RUC11" s="1402"/>
      <c r="RUD11" s="1402"/>
      <c r="RUE11" s="1402"/>
      <c r="RUF11" s="1402"/>
      <c r="RUG11" s="1402"/>
      <c r="RUH11" s="1402"/>
      <c r="RUI11" s="1402"/>
      <c r="RUJ11" s="1402"/>
      <c r="RUK11" s="1402"/>
      <c r="RUL11" s="1402"/>
      <c r="RUM11" s="1402"/>
      <c r="RUN11" s="1402"/>
      <c r="RUO11" s="1402"/>
      <c r="RUP11" s="1402"/>
      <c r="RUQ11" s="1402"/>
      <c r="RUR11" s="1402"/>
      <c r="RUS11" s="1402"/>
      <c r="RUT11" s="1402"/>
      <c r="RUU11" s="1402"/>
      <c r="RUV11" s="1402"/>
      <c r="RUW11" s="1402"/>
      <c r="RUX11" s="1402"/>
      <c r="RUY11" s="1402"/>
      <c r="RUZ11" s="1402"/>
      <c r="RVA11" s="1402"/>
      <c r="RVB11" s="1402"/>
      <c r="RVC11" s="1402"/>
      <c r="RVD11" s="1402"/>
      <c r="RVE11" s="1402"/>
      <c r="RVF11" s="1402"/>
      <c r="RVG11" s="1402"/>
      <c r="RVH11" s="1402"/>
      <c r="RVI11" s="1402"/>
      <c r="RVJ11" s="1402"/>
      <c r="RVK11" s="1402"/>
      <c r="RVL11" s="1402"/>
      <c r="RVM11" s="1402"/>
      <c r="RVN11" s="1402"/>
      <c r="RVO11" s="1402"/>
      <c r="RVP11" s="1402"/>
      <c r="RVQ11" s="1402"/>
      <c r="RVR11" s="1402"/>
      <c r="RVS11" s="1402"/>
      <c r="RVT11" s="1402"/>
      <c r="RVU11" s="1402"/>
      <c r="RVV11" s="1402"/>
      <c r="RVW11" s="1402"/>
      <c r="RVX11" s="1402"/>
      <c r="RVY11" s="1402"/>
      <c r="RVZ11" s="1402"/>
      <c r="RWA11" s="1402"/>
      <c r="RWB11" s="1402"/>
      <c r="RWC11" s="1402"/>
      <c r="RWD11" s="1402"/>
      <c r="RWE11" s="1402"/>
      <c r="RWF11" s="1402"/>
      <c r="RWG11" s="1402"/>
      <c r="RWH11" s="1402"/>
      <c r="RWI11" s="1402"/>
      <c r="RWJ11" s="1402"/>
      <c r="RWK11" s="1402"/>
      <c r="RWL11" s="1402"/>
      <c r="RWM11" s="1402"/>
      <c r="RWN11" s="1402"/>
      <c r="RWO11" s="1402"/>
      <c r="RWP11" s="1402"/>
      <c r="RWQ11" s="1402"/>
      <c r="RWR11" s="1402"/>
      <c r="RWS11" s="1402"/>
      <c r="RWT11" s="1402"/>
      <c r="RWU11" s="1402"/>
      <c r="RWV11" s="1402"/>
      <c r="RWW11" s="1402"/>
      <c r="RWX11" s="1402"/>
      <c r="RWY11" s="1402"/>
      <c r="RWZ11" s="1402"/>
      <c r="RXA11" s="1402"/>
      <c r="RXB11" s="1402"/>
      <c r="RXC11" s="1402"/>
      <c r="RXD11" s="1402"/>
      <c r="RXE11" s="1402"/>
      <c r="RXF11" s="1402"/>
      <c r="RXG11" s="1402"/>
      <c r="RXH11" s="1402"/>
      <c r="RXI11" s="1402"/>
      <c r="RXJ11" s="1402"/>
      <c r="RXK11" s="1402"/>
      <c r="RXL11" s="1402"/>
      <c r="RXM11" s="1402"/>
      <c r="RXN11" s="1402"/>
      <c r="RXO11" s="1402"/>
      <c r="RXP11" s="1402"/>
      <c r="RXQ11" s="1402"/>
      <c r="RXR11" s="1402"/>
      <c r="RXS11" s="1402"/>
      <c r="RXT11" s="1402"/>
      <c r="RXU11" s="1402"/>
      <c r="RXV11" s="1402"/>
      <c r="RXW11" s="1402"/>
      <c r="RXX11" s="1402"/>
      <c r="RXY11" s="1402"/>
      <c r="RXZ11" s="1402"/>
      <c r="RYA11" s="1402"/>
      <c r="RYB11" s="1402"/>
      <c r="RYC11" s="1402"/>
      <c r="RYD11" s="1402"/>
      <c r="RYE11" s="1402"/>
      <c r="RYF11" s="1402"/>
      <c r="RYG11" s="1402"/>
      <c r="RYH11" s="1402"/>
      <c r="RYI11" s="1402"/>
      <c r="RYJ11" s="1402"/>
      <c r="RYK11" s="1402"/>
      <c r="RYL11" s="1402"/>
      <c r="RYM11" s="1402"/>
      <c r="RYN11" s="1402"/>
      <c r="RYO11" s="1402"/>
      <c r="RYP11" s="1402"/>
      <c r="RYQ11" s="1402"/>
      <c r="RYR11" s="1402"/>
      <c r="RYS11" s="1402"/>
      <c r="RYT11" s="1402"/>
      <c r="RYU11" s="1402"/>
      <c r="RYV11" s="1402"/>
      <c r="RYW11" s="1402"/>
      <c r="RYX11" s="1402"/>
      <c r="RYY11" s="1402"/>
      <c r="RYZ11" s="1402"/>
      <c r="RZA11" s="1402"/>
      <c r="RZB11" s="1402"/>
      <c r="RZC11" s="1402"/>
      <c r="RZD11" s="1402"/>
      <c r="RZE11" s="1402"/>
      <c r="RZF11" s="1402"/>
      <c r="RZG11" s="1402"/>
      <c r="RZH11" s="1402"/>
      <c r="RZI11" s="1402"/>
      <c r="RZJ11" s="1402"/>
      <c r="RZK11" s="1402"/>
      <c r="RZL11" s="1402"/>
      <c r="RZM11" s="1402"/>
      <c r="RZN11" s="1402"/>
      <c r="RZO11" s="1402"/>
      <c r="RZP11" s="1402"/>
      <c r="RZQ11" s="1402"/>
      <c r="RZR11" s="1402"/>
      <c r="RZS11" s="1402"/>
      <c r="RZT11" s="1402"/>
      <c r="RZU11" s="1402"/>
      <c r="RZV11" s="1402"/>
      <c r="RZW11" s="1402"/>
      <c r="RZX11" s="1402"/>
      <c r="RZY11" s="1402"/>
      <c r="RZZ11" s="1402"/>
      <c r="SAA11" s="1402"/>
      <c r="SAB11" s="1402"/>
      <c r="SAC11" s="1402"/>
      <c r="SAD11" s="1402"/>
      <c r="SAE11" s="1402"/>
      <c r="SAF11" s="1402"/>
      <c r="SAG11" s="1402"/>
      <c r="SAH11" s="1402"/>
      <c r="SAI11" s="1402"/>
      <c r="SAJ11" s="1402"/>
      <c r="SAK11" s="1402"/>
      <c r="SAL11" s="1402"/>
      <c r="SAM11" s="1402"/>
      <c r="SAN11" s="1402"/>
      <c r="SAO11" s="1402"/>
      <c r="SAP11" s="1402"/>
      <c r="SAQ11" s="1402"/>
      <c r="SAR11" s="1402"/>
      <c r="SAS11" s="1402"/>
      <c r="SAT11" s="1402"/>
      <c r="SAU11" s="1402"/>
      <c r="SAV11" s="1402"/>
      <c r="SAW11" s="1402"/>
      <c r="SAX11" s="1402"/>
      <c r="SAY11" s="1402"/>
      <c r="SAZ11" s="1402"/>
      <c r="SBA11" s="1402"/>
      <c r="SBB11" s="1402"/>
      <c r="SBC11" s="1402"/>
      <c r="SBD11" s="1402"/>
      <c r="SBE11" s="1402"/>
      <c r="SBF11" s="1402"/>
      <c r="SBG11" s="1402"/>
      <c r="SBH11" s="1402"/>
      <c r="SBI11" s="1402"/>
      <c r="SBJ11" s="1402"/>
      <c r="SBK11" s="1402"/>
      <c r="SBL11" s="1402"/>
      <c r="SBM11" s="1402"/>
      <c r="SBN11" s="1402"/>
      <c r="SBO11" s="1402"/>
      <c r="SBP11" s="1402"/>
      <c r="SBQ11" s="1402"/>
      <c r="SBR11" s="1402"/>
      <c r="SBS11" s="1402"/>
      <c r="SBT11" s="1402"/>
      <c r="SBU11" s="1402"/>
      <c r="SBV11" s="1402"/>
      <c r="SBW11" s="1402"/>
      <c r="SBX11" s="1402"/>
      <c r="SBY11" s="1402"/>
      <c r="SBZ11" s="1402"/>
      <c r="SCA11" s="1402"/>
      <c r="SCB11" s="1402"/>
      <c r="SCC11" s="1402"/>
      <c r="SCD11" s="1402"/>
      <c r="SCE11" s="1402"/>
      <c r="SCF11" s="1402"/>
      <c r="SCG11" s="1402"/>
      <c r="SCH11" s="1402"/>
      <c r="SCI11" s="1402"/>
      <c r="SCJ11" s="1402"/>
      <c r="SCK11" s="1402"/>
      <c r="SCL11" s="1402"/>
      <c r="SCM11" s="1402"/>
      <c r="SCN11" s="1402"/>
      <c r="SCO11" s="1402"/>
      <c r="SCP11" s="1402"/>
      <c r="SCQ11" s="1402"/>
      <c r="SCR11" s="1402"/>
      <c r="SCS11" s="1402"/>
      <c r="SCT11" s="1402"/>
      <c r="SCU11" s="1402"/>
      <c r="SCV11" s="1402"/>
      <c r="SCW11" s="1402"/>
      <c r="SCX11" s="1402"/>
      <c r="SCY11" s="1402"/>
      <c r="SCZ11" s="1402"/>
      <c r="SDA11" s="1402"/>
      <c r="SDB11" s="1402"/>
      <c r="SDC11" s="1402"/>
      <c r="SDD11" s="1402"/>
      <c r="SDE11" s="1402"/>
      <c r="SDF11" s="1402"/>
      <c r="SDG11" s="1402"/>
      <c r="SDH11" s="1402"/>
      <c r="SDI11" s="1402"/>
      <c r="SDJ11" s="1402"/>
      <c r="SDK11" s="1402"/>
      <c r="SDL11" s="1402"/>
      <c r="SDM11" s="1402"/>
      <c r="SDN11" s="1402"/>
      <c r="SDO11" s="1402"/>
      <c r="SDP11" s="1402"/>
      <c r="SDQ11" s="1402"/>
      <c r="SDR11" s="1402"/>
      <c r="SDS11" s="1402"/>
      <c r="SDT11" s="1402"/>
      <c r="SDU11" s="1402"/>
      <c r="SDV11" s="1402"/>
      <c r="SDW11" s="1402"/>
      <c r="SDX11" s="1402"/>
      <c r="SDY11" s="1402"/>
      <c r="SDZ11" s="1402"/>
      <c r="SEA11" s="1402"/>
      <c r="SEB11" s="1402"/>
      <c r="SEC11" s="1402"/>
      <c r="SED11" s="1402"/>
      <c r="SEE11" s="1402"/>
      <c r="SEF11" s="1402"/>
      <c r="SEG11" s="1402"/>
      <c r="SEH11" s="1402"/>
      <c r="SEI11" s="1402"/>
      <c r="SEJ11" s="1402"/>
      <c r="SEK11" s="1402"/>
      <c r="SEL11" s="1402"/>
      <c r="SEM11" s="1402"/>
      <c r="SEN11" s="1402"/>
      <c r="SEO11" s="1402"/>
      <c r="SEP11" s="1402"/>
      <c r="SEQ11" s="1402"/>
      <c r="SER11" s="1402"/>
      <c r="SES11" s="1402"/>
      <c r="SET11" s="1402"/>
      <c r="SEU11" s="1402"/>
      <c r="SEV11" s="1402"/>
      <c r="SEW11" s="1402"/>
      <c r="SEX11" s="1402"/>
      <c r="SEY11" s="1402"/>
      <c r="SEZ11" s="1402"/>
      <c r="SFA11" s="1402"/>
      <c r="SFB11" s="1402"/>
      <c r="SFC11" s="1402"/>
      <c r="SFD11" s="1402"/>
      <c r="SFE11" s="1402"/>
      <c r="SFF11" s="1402"/>
      <c r="SFG11" s="1402"/>
      <c r="SFH11" s="1402"/>
      <c r="SFI11" s="1402"/>
      <c r="SFJ11" s="1402"/>
      <c r="SFK11" s="1402"/>
      <c r="SFL11" s="1402"/>
      <c r="SFM11" s="1402"/>
      <c r="SFN11" s="1402"/>
      <c r="SFO11" s="1402"/>
      <c r="SFP11" s="1402"/>
      <c r="SFQ11" s="1402"/>
      <c r="SFR11" s="1402"/>
      <c r="SFS11" s="1402"/>
      <c r="SFT11" s="1402"/>
      <c r="SFU11" s="1402"/>
      <c r="SFV11" s="1402"/>
      <c r="SFW11" s="1402"/>
      <c r="SFX11" s="1402"/>
      <c r="SFY11" s="1402"/>
      <c r="SFZ11" s="1402"/>
      <c r="SGA11" s="1402"/>
      <c r="SGB11" s="1402"/>
      <c r="SGC11" s="1402"/>
      <c r="SGD11" s="1402"/>
      <c r="SGE11" s="1402"/>
      <c r="SGF11" s="1402"/>
      <c r="SGG11" s="1402"/>
      <c r="SGH11" s="1402"/>
      <c r="SGI11" s="1402"/>
      <c r="SGJ11" s="1402"/>
      <c r="SGK11" s="1402"/>
      <c r="SGL11" s="1402"/>
      <c r="SGM11" s="1402"/>
      <c r="SGN11" s="1402"/>
      <c r="SGO11" s="1402"/>
      <c r="SGP11" s="1402"/>
      <c r="SGQ11" s="1402"/>
      <c r="SGR11" s="1402"/>
      <c r="SGS11" s="1402"/>
      <c r="SGT11" s="1402"/>
      <c r="SGU11" s="1402"/>
      <c r="SGV11" s="1402"/>
      <c r="SGW11" s="1402"/>
      <c r="SGX11" s="1402"/>
      <c r="SGY11" s="1402"/>
      <c r="SGZ11" s="1402"/>
      <c r="SHA11" s="1402"/>
      <c r="SHB11" s="1402"/>
      <c r="SHC11" s="1402"/>
      <c r="SHD11" s="1402"/>
      <c r="SHE11" s="1402"/>
      <c r="SHF11" s="1402"/>
      <c r="SHG11" s="1402"/>
      <c r="SHH11" s="1402"/>
      <c r="SHI11" s="1402"/>
      <c r="SHJ11" s="1402"/>
      <c r="SHK11" s="1402"/>
      <c r="SHL11" s="1402"/>
      <c r="SHM11" s="1402"/>
      <c r="SHN11" s="1402"/>
      <c r="SHO11" s="1402"/>
      <c r="SHP11" s="1402"/>
      <c r="SHQ11" s="1402"/>
      <c r="SHR11" s="1402"/>
      <c r="SHS11" s="1402"/>
      <c r="SHT11" s="1402"/>
      <c r="SHU11" s="1402"/>
      <c r="SHV11" s="1402"/>
      <c r="SHW11" s="1402"/>
      <c r="SHX11" s="1402"/>
      <c r="SHY11" s="1402"/>
      <c r="SHZ11" s="1402"/>
      <c r="SIA11" s="1402"/>
      <c r="SIB11" s="1402"/>
      <c r="SIC11" s="1402"/>
      <c r="SID11" s="1402"/>
      <c r="SIE11" s="1402"/>
      <c r="SIF11" s="1402"/>
      <c r="SIG11" s="1402"/>
      <c r="SIH11" s="1402"/>
      <c r="SII11" s="1402"/>
      <c r="SIJ11" s="1402"/>
      <c r="SIK11" s="1402"/>
      <c r="SIL11" s="1402"/>
      <c r="SIM11" s="1402"/>
      <c r="SIN11" s="1402"/>
      <c r="SIO11" s="1402"/>
      <c r="SIP11" s="1402"/>
      <c r="SIQ11" s="1402"/>
      <c r="SIR11" s="1402"/>
      <c r="SIS11" s="1402"/>
      <c r="SIT11" s="1402"/>
      <c r="SIU11" s="1402"/>
      <c r="SIV11" s="1402"/>
      <c r="SIW11" s="1402"/>
      <c r="SIX11" s="1402"/>
      <c r="SIY11" s="1402"/>
      <c r="SIZ11" s="1402"/>
      <c r="SJA11" s="1402"/>
      <c r="SJB11" s="1402"/>
      <c r="SJC11" s="1402"/>
      <c r="SJD11" s="1402"/>
      <c r="SJE11" s="1402"/>
      <c r="SJF11" s="1402"/>
      <c r="SJG11" s="1402"/>
      <c r="SJH11" s="1402"/>
      <c r="SJI11" s="1402"/>
      <c r="SJJ11" s="1402"/>
      <c r="SJK11" s="1402"/>
      <c r="SJL11" s="1402"/>
      <c r="SJM11" s="1402"/>
      <c r="SJN11" s="1402"/>
      <c r="SJO11" s="1402"/>
      <c r="SJP11" s="1402"/>
      <c r="SJQ11" s="1402"/>
      <c r="SJR11" s="1402"/>
      <c r="SJS11" s="1402"/>
      <c r="SJT11" s="1402"/>
      <c r="SJU11" s="1402"/>
      <c r="SJV11" s="1402"/>
      <c r="SJW11" s="1402"/>
      <c r="SJX11" s="1402"/>
      <c r="SJY11" s="1402"/>
      <c r="SJZ11" s="1402"/>
      <c r="SKA11" s="1402"/>
      <c r="SKB11" s="1402"/>
      <c r="SKC11" s="1402"/>
      <c r="SKD11" s="1402"/>
      <c r="SKE11" s="1402"/>
      <c r="SKF11" s="1402"/>
      <c r="SKG11" s="1402"/>
      <c r="SKH11" s="1402"/>
      <c r="SKI11" s="1402"/>
      <c r="SKJ11" s="1402"/>
      <c r="SKK11" s="1402"/>
      <c r="SKL11" s="1402"/>
      <c r="SKM11" s="1402"/>
      <c r="SKN11" s="1402"/>
      <c r="SKO11" s="1402"/>
      <c r="SKP11" s="1402"/>
      <c r="SKQ11" s="1402"/>
      <c r="SKR11" s="1402"/>
      <c r="SKS11" s="1402"/>
      <c r="SKT11" s="1402"/>
      <c r="SKU11" s="1402"/>
      <c r="SKV11" s="1402"/>
      <c r="SKW11" s="1402"/>
      <c r="SKX11" s="1402"/>
      <c r="SKY11" s="1402"/>
      <c r="SKZ11" s="1402"/>
      <c r="SLA11" s="1402"/>
      <c r="SLB11" s="1402"/>
      <c r="SLC11" s="1402"/>
      <c r="SLD11" s="1402"/>
      <c r="SLE11" s="1402"/>
      <c r="SLF11" s="1402"/>
      <c r="SLG11" s="1402"/>
      <c r="SLH11" s="1402"/>
      <c r="SLI11" s="1402"/>
      <c r="SLJ11" s="1402"/>
      <c r="SLK11" s="1402"/>
      <c r="SLL11" s="1402"/>
      <c r="SLM11" s="1402"/>
      <c r="SLN11" s="1402"/>
      <c r="SLO11" s="1402"/>
      <c r="SLP11" s="1402"/>
      <c r="SLQ11" s="1402"/>
      <c r="SLR11" s="1402"/>
      <c r="SLS11" s="1402"/>
      <c r="SLT11" s="1402"/>
      <c r="SLU11" s="1402"/>
      <c r="SLV11" s="1402"/>
      <c r="SLW11" s="1402"/>
      <c r="SLX11" s="1402"/>
      <c r="SLY11" s="1402"/>
      <c r="SLZ11" s="1402"/>
      <c r="SMA11" s="1402"/>
      <c r="SMB11" s="1402"/>
      <c r="SMC11" s="1402"/>
      <c r="SMD11" s="1402"/>
      <c r="SME11" s="1402"/>
      <c r="SMF11" s="1402"/>
      <c r="SMG11" s="1402"/>
      <c r="SMH11" s="1402"/>
      <c r="SMI11" s="1402"/>
      <c r="SMJ11" s="1402"/>
      <c r="SMK11" s="1402"/>
      <c r="SML11" s="1402"/>
      <c r="SMM11" s="1402"/>
      <c r="SMN11" s="1402"/>
      <c r="SMO11" s="1402"/>
      <c r="SMP11" s="1402"/>
      <c r="SMQ11" s="1402"/>
      <c r="SMR11" s="1402"/>
      <c r="SMS11" s="1402"/>
      <c r="SMT11" s="1402"/>
      <c r="SMU11" s="1402"/>
      <c r="SMV11" s="1402"/>
      <c r="SMW11" s="1402"/>
      <c r="SMX11" s="1402"/>
      <c r="SMY11" s="1402"/>
      <c r="SMZ11" s="1402"/>
      <c r="SNA11" s="1402"/>
      <c r="SNB11" s="1402"/>
      <c r="SNC11" s="1402"/>
      <c r="SND11" s="1402"/>
      <c r="SNE11" s="1402"/>
      <c r="SNF11" s="1402"/>
      <c r="SNG11" s="1402"/>
      <c r="SNH11" s="1402"/>
      <c r="SNI11" s="1402"/>
      <c r="SNJ11" s="1402"/>
      <c r="SNK11" s="1402"/>
      <c r="SNL11" s="1402"/>
      <c r="SNM11" s="1402"/>
      <c r="SNN11" s="1402"/>
      <c r="SNO11" s="1402"/>
      <c r="SNP11" s="1402"/>
      <c r="SNQ11" s="1402"/>
      <c r="SNR11" s="1402"/>
      <c r="SNS11" s="1402"/>
      <c r="SNT11" s="1402"/>
      <c r="SNU11" s="1402"/>
      <c r="SNV11" s="1402"/>
      <c r="SNW11" s="1402"/>
      <c r="SNX11" s="1402"/>
      <c r="SNY11" s="1402"/>
      <c r="SNZ11" s="1402"/>
      <c r="SOA11" s="1402"/>
      <c r="SOB11" s="1402"/>
      <c r="SOC11" s="1402"/>
      <c r="SOD11" s="1402"/>
      <c r="SOE11" s="1402"/>
      <c r="SOF11" s="1402"/>
      <c r="SOG11" s="1402"/>
      <c r="SOH11" s="1402"/>
      <c r="SOI11" s="1402"/>
      <c r="SOJ11" s="1402"/>
      <c r="SOK11" s="1402"/>
      <c r="SOL11" s="1402"/>
      <c r="SOM11" s="1402"/>
      <c r="SON11" s="1402"/>
      <c r="SOO11" s="1402"/>
      <c r="SOP11" s="1402"/>
      <c r="SOQ11" s="1402"/>
      <c r="SOR11" s="1402"/>
      <c r="SOS11" s="1402"/>
      <c r="SOT11" s="1402"/>
      <c r="SOU11" s="1402"/>
      <c r="SOV11" s="1402"/>
      <c r="SOW11" s="1402"/>
      <c r="SOX11" s="1402"/>
      <c r="SOY11" s="1402"/>
      <c r="SOZ11" s="1402"/>
      <c r="SPA11" s="1402"/>
      <c r="SPB11" s="1402"/>
      <c r="SPC11" s="1402"/>
      <c r="SPD11" s="1402"/>
      <c r="SPE11" s="1402"/>
      <c r="SPF11" s="1402"/>
      <c r="SPG11" s="1402"/>
      <c r="SPH11" s="1402"/>
      <c r="SPI11" s="1402"/>
      <c r="SPJ11" s="1402"/>
      <c r="SPK11" s="1402"/>
      <c r="SPL11" s="1402"/>
      <c r="SPM11" s="1402"/>
      <c r="SPN11" s="1402"/>
      <c r="SPO11" s="1402"/>
      <c r="SPP11" s="1402"/>
      <c r="SPQ11" s="1402"/>
      <c r="SPR11" s="1402"/>
      <c r="SPS11" s="1402"/>
      <c r="SPT11" s="1402"/>
      <c r="SPU11" s="1402"/>
      <c r="SPV11" s="1402"/>
      <c r="SPW11" s="1402"/>
      <c r="SPX11" s="1402"/>
      <c r="SPY11" s="1402"/>
      <c r="SPZ11" s="1402"/>
      <c r="SQA11" s="1402"/>
      <c r="SQB11" s="1402"/>
      <c r="SQC11" s="1402"/>
      <c r="SQD11" s="1402"/>
      <c r="SQE11" s="1402"/>
      <c r="SQF11" s="1402"/>
      <c r="SQG11" s="1402"/>
      <c r="SQH11" s="1402"/>
      <c r="SQI11" s="1402"/>
      <c r="SQJ11" s="1402"/>
      <c r="SQK11" s="1402"/>
      <c r="SQL11" s="1402"/>
      <c r="SQM11" s="1402"/>
      <c r="SQN11" s="1402"/>
      <c r="SQO11" s="1402"/>
      <c r="SQP11" s="1402"/>
      <c r="SQQ11" s="1402"/>
      <c r="SQR11" s="1402"/>
      <c r="SQS11" s="1402"/>
      <c r="SQT11" s="1402"/>
      <c r="SQU11" s="1402"/>
      <c r="SQV11" s="1402"/>
      <c r="SQW11" s="1402"/>
      <c r="SQX11" s="1402"/>
      <c r="SQY11" s="1402"/>
      <c r="SQZ11" s="1402"/>
      <c r="SRA11" s="1402"/>
      <c r="SRB11" s="1402"/>
      <c r="SRC11" s="1402"/>
      <c r="SRD11" s="1402"/>
      <c r="SRE11" s="1402"/>
      <c r="SRF11" s="1402"/>
      <c r="SRG11" s="1402"/>
      <c r="SRH11" s="1402"/>
      <c r="SRI11" s="1402"/>
      <c r="SRJ11" s="1402"/>
      <c r="SRK11" s="1402"/>
      <c r="SRL11" s="1402"/>
      <c r="SRM11" s="1402"/>
      <c r="SRN11" s="1402"/>
      <c r="SRO11" s="1402"/>
      <c r="SRP11" s="1402"/>
      <c r="SRQ11" s="1402"/>
      <c r="SRR11" s="1402"/>
      <c r="SRS11" s="1402"/>
      <c r="SRT11" s="1402"/>
      <c r="SRU11" s="1402"/>
      <c r="SRV11" s="1402"/>
      <c r="SRW11" s="1402"/>
      <c r="SRX11" s="1402"/>
      <c r="SRY11" s="1402"/>
      <c r="SRZ11" s="1402"/>
      <c r="SSA11" s="1402"/>
      <c r="SSB11" s="1402"/>
      <c r="SSC11" s="1402"/>
      <c r="SSD11" s="1402"/>
      <c r="SSE11" s="1402"/>
      <c r="SSF11" s="1402"/>
      <c r="SSG11" s="1402"/>
      <c r="SSH11" s="1402"/>
      <c r="SSI11" s="1402"/>
      <c r="SSJ11" s="1402"/>
      <c r="SSK11" s="1402"/>
      <c r="SSL11" s="1402"/>
      <c r="SSM11" s="1402"/>
      <c r="SSN11" s="1402"/>
      <c r="SSO11" s="1402"/>
      <c r="SSP11" s="1402"/>
      <c r="SSQ11" s="1402"/>
      <c r="SSR11" s="1402"/>
      <c r="SSS11" s="1402"/>
      <c r="SST11" s="1402"/>
      <c r="SSU11" s="1402"/>
      <c r="SSV11" s="1402"/>
      <c r="SSW11" s="1402"/>
      <c r="SSX11" s="1402"/>
      <c r="SSY11" s="1402"/>
      <c r="SSZ11" s="1402"/>
      <c r="STA11" s="1402"/>
      <c r="STB11" s="1402"/>
      <c r="STC11" s="1402"/>
      <c r="STD11" s="1402"/>
      <c r="STE11" s="1402"/>
      <c r="STF11" s="1402"/>
      <c r="STG11" s="1402"/>
      <c r="STH11" s="1402"/>
      <c r="STI11" s="1402"/>
      <c r="STJ11" s="1402"/>
      <c r="STK11" s="1402"/>
      <c r="STL11" s="1402"/>
      <c r="STM11" s="1402"/>
      <c r="STN11" s="1402"/>
      <c r="STO11" s="1402"/>
      <c r="STP11" s="1402"/>
      <c r="STQ11" s="1402"/>
      <c r="STR11" s="1402"/>
      <c r="STS11" s="1402"/>
      <c r="STT11" s="1402"/>
      <c r="STU11" s="1402"/>
      <c r="STV11" s="1402"/>
      <c r="STW11" s="1402"/>
      <c r="STX11" s="1402"/>
      <c r="STY11" s="1402"/>
      <c r="STZ11" s="1402"/>
      <c r="SUA11" s="1402"/>
      <c r="SUB11" s="1402"/>
      <c r="SUC11" s="1402"/>
      <c r="SUD11" s="1402"/>
      <c r="SUE11" s="1402"/>
      <c r="SUF11" s="1402"/>
      <c r="SUG11" s="1402"/>
      <c r="SUH11" s="1402"/>
      <c r="SUI11" s="1402"/>
      <c r="SUJ11" s="1402"/>
      <c r="SUK11" s="1402"/>
      <c r="SUL11" s="1402"/>
      <c r="SUM11" s="1402"/>
      <c r="SUN11" s="1402"/>
      <c r="SUO11" s="1402"/>
      <c r="SUP11" s="1402"/>
      <c r="SUQ11" s="1402"/>
      <c r="SUR11" s="1402"/>
      <c r="SUS11" s="1402"/>
      <c r="SUT11" s="1402"/>
      <c r="SUU11" s="1402"/>
      <c r="SUV11" s="1402"/>
      <c r="SUW11" s="1402"/>
      <c r="SUX11" s="1402"/>
      <c r="SUY11" s="1402"/>
      <c r="SUZ11" s="1402"/>
      <c r="SVA11" s="1402"/>
      <c r="SVB11" s="1402"/>
      <c r="SVC11" s="1402"/>
      <c r="SVD11" s="1402"/>
      <c r="SVE11" s="1402"/>
      <c r="SVF11" s="1402"/>
      <c r="SVG11" s="1402"/>
      <c r="SVH11" s="1402"/>
      <c r="SVI11" s="1402"/>
      <c r="SVJ11" s="1402"/>
      <c r="SVK11" s="1402"/>
      <c r="SVL11" s="1402"/>
      <c r="SVM11" s="1402"/>
      <c r="SVN11" s="1402"/>
      <c r="SVO11" s="1402"/>
      <c r="SVP11" s="1402"/>
      <c r="SVQ11" s="1402"/>
      <c r="SVR11" s="1402"/>
      <c r="SVS11" s="1402"/>
      <c r="SVT11" s="1402"/>
      <c r="SVU11" s="1402"/>
      <c r="SVV11" s="1402"/>
      <c r="SVW11" s="1402"/>
      <c r="SVX11" s="1402"/>
      <c r="SVY11" s="1402"/>
      <c r="SVZ11" s="1402"/>
      <c r="SWA11" s="1402"/>
      <c r="SWB11" s="1402"/>
      <c r="SWC11" s="1402"/>
      <c r="SWD11" s="1402"/>
      <c r="SWE11" s="1402"/>
      <c r="SWF11" s="1402"/>
      <c r="SWG11" s="1402"/>
      <c r="SWH11" s="1402"/>
      <c r="SWI11" s="1402"/>
      <c r="SWJ11" s="1402"/>
      <c r="SWK11" s="1402"/>
      <c r="SWL11" s="1402"/>
      <c r="SWM11" s="1402"/>
      <c r="SWN11" s="1402"/>
      <c r="SWO11" s="1402"/>
      <c r="SWP11" s="1402"/>
      <c r="SWQ11" s="1402"/>
      <c r="SWR11" s="1402"/>
      <c r="SWS11" s="1402"/>
      <c r="SWT11" s="1402"/>
      <c r="SWU11" s="1402"/>
      <c r="SWV11" s="1402"/>
      <c r="SWW11" s="1402"/>
      <c r="SWX11" s="1402"/>
      <c r="SWY11" s="1402"/>
      <c r="SWZ11" s="1402"/>
      <c r="SXA11" s="1402"/>
      <c r="SXB11" s="1402"/>
      <c r="SXC11" s="1402"/>
      <c r="SXD11" s="1402"/>
      <c r="SXE11" s="1402"/>
      <c r="SXF11" s="1402"/>
      <c r="SXG11" s="1402"/>
      <c r="SXH11" s="1402"/>
      <c r="SXI11" s="1402"/>
      <c r="SXJ11" s="1402"/>
      <c r="SXK11" s="1402"/>
      <c r="SXL11" s="1402"/>
      <c r="SXM11" s="1402"/>
      <c r="SXN11" s="1402"/>
      <c r="SXO11" s="1402"/>
      <c r="SXP11" s="1402"/>
      <c r="SXQ11" s="1402"/>
      <c r="SXR11" s="1402"/>
      <c r="SXS11" s="1402"/>
      <c r="SXT11" s="1402"/>
      <c r="SXU11" s="1402"/>
      <c r="SXV11" s="1402"/>
      <c r="SXW11" s="1402"/>
      <c r="SXX11" s="1402"/>
      <c r="SXY11" s="1402"/>
      <c r="SXZ11" s="1402"/>
      <c r="SYA11" s="1402"/>
      <c r="SYB11" s="1402"/>
      <c r="SYC11" s="1402"/>
      <c r="SYD11" s="1402"/>
      <c r="SYE11" s="1402"/>
      <c r="SYF11" s="1402"/>
      <c r="SYG11" s="1402"/>
      <c r="SYH11" s="1402"/>
      <c r="SYI11" s="1402"/>
      <c r="SYJ11" s="1402"/>
      <c r="SYK11" s="1402"/>
      <c r="SYL11" s="1402"/>
      <c r="SYM11" s="1402"/>
      <c r="SYN11" s="1402"/>
      <c r="SYO11" s="1402"/>
      <c r="SYP11" s="1402"/>
      <c r="SYQ11" s="1402"/>
      <c r="SYR11" s="1402"/>
      <c r="SYS11" s="1402"/>
      <c r="SYT11" s="1402"/>
      <c r="SYU11" s="1402"/>
      <c r="SYV11" s="1402"/>
      <c r="SYW11" s="1402"/>
      <c r="SYX11" s="1402"/>
      <c r="SYY11" s="1402"/>
      <c r="SYZ11" s="1402"/>
      <c r="SZA11" s="1402"/>
      <c r="SZB11" s="1402"/>
      <c r="SZC11" s="1402"/>
      <c r="SZD11" s="1402"/>
      <c r="SZE11" s="1402"/>
      <c r="SZF11" s="1402"/>
      <c r="SZG11" s="1402"/>
      <c r="SZH11" s="1402"/>
      <c r="SZI11" s="1402"/>
      <c r="SZJ11" s="1402"/>
      <c r="SZK11" s="1402"/>
      <c r="SZL11" s="1402"/>
      <c r="SZM11" s="1402"/>
      <c r="SZN11" s="1402"/>
      <c r="SZO11" s="1402"/>
      <c r="SZP11" s="1402"/>
      <c r="SZQ11" s="1402"/>
      <c r="SZR11" s="1402"/>
      <c r="SZS11" s="1402"/>
      <c r="SZT11" s="1402"/>
      <c r="SZU11" s="1402"/>
      <c r="SZV11" s="1402"/>
      <c r="SZW11" s="1402"/>
      <c r="SZX11" s="1402"/>
      <c r="SZY11" s="1402"/>
      <c r="SZZ11" s="1402"/>
      <c r="TAA11" s="1402"/>
      <c r="TAB11" s="1402"/>
      <c r="TAC11" s="1402"/>
      <c r="TAD11" s="1402"/>
      <c r="TAE11" s="1402"/>
      <c r="TAF11" s="1402"/>
      <c r="TAG11" s="1402"/>
      <c r="TAH11" s="1402"/>
      <c r="TAI11" s="1402"/>
      <c r="TAJ11" s="1402"/>
      <c r="TAK11" s="1402"/>
      <c r="TAL11" s="1402"/>
      <c r="TAM11" s="1402"/>
      <c r="TAN11" s="1402"/>
      <c r="TAO11" s="1402"/>
      <c r="TAP11" s="1402"/>
      <c r="TAQ11" s="1402"/>
      <c r="TAR11" s="1402"/>
      <c r="TAS11" s="1402"/>
      <c r="TAT11" s="1402"/>
      <c r="TAU11" s="1402"/>
      <c r="TAV11" s="1402"/>
      <c r="TAW11" s="1402"/>
      <c r="TAX11" s="1402"/>
      <c r="TAY11" s="1402"/>
      <c r="TAZ11" s="1402"/>
      <c r="TBA11" s="1402"/>
      <c r="TBB11" s="1402"/>
      <c r="TBC11" s="1402"/>
      <c r="TBD11" s="1402"/>
      <c r="TBE11" s="1402"/>
      <c r="TBF11" s="1402"/>
      <c r="TBG11" s="1402"/>
      <c r="TBH11" s="1402"/>
      <c r="TBI11" s="1402"/>
      <c r="TBJ11" s="1402"/>
      <c r="TBK11" s="1402"/>
      <c r="TBL11" s="1402"/>
      <c r="TBM11" s="1402"/>
      <c r="TBN11" s="1402"/>
      <c r="TBO11" s="1402"/>
      <c r="TBP11" s="1402"/>
      <c r="TBQ11" s="1402"/>
      <c r="TBR11" s="1402"/>
      <c r="TBS11" s="1402"/>
      <c r="TBT11" s="1402"/>
      <c r="TBU11" s="1402"/>
      <c r="TBV11" s="1402"/>
      <c r="TBW11" s="1402"/>
      <c r="TBX11" s="1402"/>
      <c r="TBY11" s="1402"/>
      <c r="TBZ11" s="1402"/>
      <c r="TCA11" s="1402"/>
      <c r="TCB11" s="1402"/>
      <c r="TCC11" s="1402"/>
      <c r="TCD11" s="1402"/>
      <c r="TCE11" s="1402"/>
      <c r="TCF11" s="1402"/>
      <c r="TCG11" s="1402"/>
      <c r="TCH11" s="1402"/>
      <c r="TCI11" s="1402"/>
      <c r="TCJ11" s="1402"/>
      <c r="TCK11" s="1402"/>
      <c r="TCL11" s="1402"/>
      <c r="TCM11" s="1402"/>
      <c r="TCN11" s="1402"/>
      <c r="TCO11" s="1402"/>
      <c r="TCP11" s="1402"/>
      <c r="TCQ11" s="1402"/>
      <c r="TCR11" s="1402"/>
      <c r="TCS11" s="1402"/>
      <c r="TCT11" s="1402"/>
      <c r="TCU11" s="1402"/>
      <c r="TCV11" s="1402"/>
      <c r="TCW11" s="1402"/>
      <c r="TCX11" s="1402"/>
      <c r="TCY11" s="1402"/>
      <c r="TCZ11" s="1402"/>
      <c r="TDA11" s="1402"/>
      <c r="TDB11" s="1402"/>
      <c r="TDC11" s="1402"/>
      <c r="TDD11" s="1402"/>
      <c r="TDE11" s="1402"/>
      <c r="TDF11" s="1402"/>
      <c r="TDG11" s="1402"/>
      <c r="TDH11" s="1402"/>
      <c r="TDI11" s="1402"/>
      <c r="TDJ11" s="1402"/>
      <c r="TDK11" s="1402"/>
      <c r="TDL11" s="1402"/>
      <c r="TDM11" s="1402"/>
      <c r="TDN11" s="1402"/>
      <c r="TDO11" s="1402"/>
      <c r="TDP11" s="1402"/>
      <c r="TDQ11" s="1402"/>
      <c r="TDR11" s="1402"/>
      <c r="TDS11" s="1402"/>
      <c r="TDT11" s="1402"/>
      <c r="TDU11" s="1402"/>
      <c r="TDV11" s="1402"/>
      <c r="TDW11" s="1402"/>
      <c r="TDX11" s="1402"/>
      <c r="TDY11" s="1402"/>
      <c r="TDZ11" s="1402"/>
      <c r="TEA11" s="1402"/>
      <c r="TEB11" s="1402"/>
      <c r="TEC11" s="1402"/>
      <c r="TED11" s="1402"/>
      <c r="TEE11" s="1402"/>
      <c r="TEF11" s="1402"/>
      <c r="TEG11" s="1402"/>
      <c r="TEH11" s="1402"/>
      <c r="TEI11" s="1402"/>
      <c r="TEJ11" s="1402"/>
      <c r="TEK11" s="1402"/>
      <c r="TEL11" s="1402"/>
      <c r="TEM11" s="1402"/>
      <c r="TEN11" s="1402"/>
      <c r="TEO11" s="1402"/>
      <c r="TEP11" s="1402"/>
      <c r="TEQ11" s="1402"/>
      <c r="TER11" s="1402"/>
      <c r="TES11" s="1402"/>
      <c r="TET11" s="1402"/>
      <c r="TEU11" s="1402"/>
      <c r="TEV11" s="1402"/>
      <c r="TEW11" s="1402"/>
      <c r="TEX11" s="1402"/>
      <c r="TEY11" s="1402"/>
      <c r="TEZ11" s="1402"/>
      <c r="TFA11" s="1402"/>
      <c r="TFB11" s="1402"/>
      <c r="TFC11" s="1402"/>
      <c r="TFD11" s="1402"/>
      <c r="TFE11" s="1402"/>
      <c r="TFF11" s="1402"/>
      <c r="TFG11" s="1402"/>
      <c r="TFH11" s="1402"/>
      <c r="TFI11" s="1402"/>
      <c r="TFJ11" s="1402"/>
      <c r="TFK11" s="1402"/>
      <c r="TFL11" s="1402"/>
      <c r="TFM11" s="1402"/>
      <c r="TFN11" s="1402"/>
      <c r="TFO11" s="1402"/>
      <c r="TFP11" s="1402"/>
      <c r="TFQ11" s="1402"/>
      <c r="TFR11" s="1402"/>
      <c r="TFS11" s="1402"/>
      <c r="TFT11" s="1402"/>
      <c r="TFU11" s="1402"/>
      <c r="TFV11" s="1402"/>
      <c r="TFW11" s="1402"/>
      <c r="TFX11" s="1402"/>
      <c r="TFY11" s="1402"/>
      <c r="TFZ11" s="1402"/>
      <c r="TGA11" s="1402"/>
      <c r="TGB11" s="1402"/>
      <c r="TGC11" s="1402"/>
      <c r="TGD11" s="1402"/>
      <c r="TGE11" s="1402"/>
      <c r="TGF11" s="1402"/>
      <c r="TGG11" s="1402"/>
      <c r="TGH11" s="1402"/>
      <c r="TGI11" s="1402"/>
      <c r="TGJ11" s="1402"/>
      <c r="TGK11" s="1402"/>
      <c r="TGL11" s="1402"/>
      <c r="TGM11" s="1402"/>
      <c r="TGN11" s="1402"/>
      <c r="TGO11" s="1402"/>
      <c r="TGP11" s="1402"/>
      <c r="TGQ11" s="1402"/>
      <c r="TGR11" s="1402"/>
      <c r="TGS11" s="1402"/>
      <c r="TGT11" s="1402"/>
      <c r="TGU11" s="1402"/>
      <c r="TGV11" s="1402"/>
      <c r="TGW11" s="1402"/>
      <c r="TGX11" s="1402"/>
      <c r="TGY11" s="1402"/>
      <c r="TGZ11" s="1402"/>
      <c r="THA11" s="1402"/>
      <c r="THB11" s="1402"/>
      <c r="THC11" s="1402"/>
      <c r="THD11" s="1402"/>
      <c r="THE11" s="1402"/>
      <c r="THF11" s="1402"/>
      <c r="THG11" s="1402"/>
      <c r="THH11" s="1402"/>
      <c r="THI11" s="1402"/>
      <c r="THJ11" s="1402"/>
      <c r="THK11" s="1402"/>
      <c r="THL11" s="1402"/>
      <c r="THM11" s="1402"/>
      <c r="THN11" s="1402"/>
      <c r="THO11" s="1402"/>
      <c r="THP11" s="1402"/>
      <c r="THQ11" s="1402"/>
      <c r="THR11" s="1402"/>
      <c r="THS11" s="1402"/>
      <c r="THT11" s="1402"/>
      <c r="THU11" s="1402"/>
      <c r="THV11" s="1402"/>
      <c r="THW11" s="1402"/>
      <c r="THX11" s="1402"/>
      <c r="THY11" s="1402"/>
      <c r="THZ11" s="1402"/>
      <c r="TIA11" s="1402"/>
      <c r="TIB11" s="1402"/>
      <c r="TIC11" s="1402"/>
      <c r="TID11" s="1402"/>
      <c r="TIE11" s="1402"/>
      <c r="TIF11" s="1402"/>
      <c r="TIG11" s="1402"/>
      <c r="TIH11" s="1402"/>
      <c r="TII11" s="1402"/>
      <c r="TIJ11" s="1402"/>
      <c r="TIK11" s="1402"/>
      <c r="TIL11" s="1402"/>
      <c r="TIM11" s="1402"/>
      <c r="TIN11" s="1402"/>
      <c r="TIO11" s="1402"/>
      <c r="TIP11" s="1402"/>
      <c r="TIQ11" s="1402"/>
      <c r="TIR11" s="1402"/>
      <c r="TIS11" s="1402"/>
      <c r="TIT11" s="1402"/>
      <c r="TIU11" s="1402"/>
      <c r="TIV11" s="1402"/>
      <c r="TIW11" s="1402"/>
      <c r="TIX11" s="1402"/>
      <c r="TIY11" s="1402"/>
      <c r="TIZ11" s="1402"/>
      <c r="TJA11" s="1402"/>
      <c r="TJB11" s="1402"/>
      <c r="TJC11" s="1402"/>
      <c r="TJD11" s="1402"/>
      <c r="TJE11" s="1402"/>
      <c r="TJF11" s="1402"/>
      <c r="TJG11" s="1402"/>
      <c r="TJH11" s="1402"/>
      <c r="TJI11" s="1402"/>
      <c r="TJJ11" s="1402"/>
      <c r="TJK11" s="1402"/>
      <c r="TJL11" s="1402"/>
      <c r="TJM11" s="1402"/>
      <c r="TJN11" s="1402"/>
      <c r="TJO11" s="1402"/>
      <c r="TJP11" s="1402"/>
      <c r="TJQ11" s="1402"/>
      <c r="TJR11" s="1402"/>
      <c r="TJS11" s="1402"/>
      <c r="TJT11" s="1402"/>
      <c r="TJU11" s="1402"/>
      <c r="TJV11" s="1402"/>
      <c r="TJW11" s="1402"/>
      <c r="TJX11" s="1402"/>
      <c r="TJY11" s="1402"/>
      <c r="TJZ11" s="1402"/>
      <c r="TKA11" s="1402"/>
      <c r="TKB11" s="1402"/>
      <c r="TKC11" s="1402"/>
      <c r="TKD11" s="1402"/>
      <c r="TKE11" s="1402"/>
      <c r="TKF11" s="1402"/>
      <c r="TKG11" s="1402"/>
      <c r="TKH11" s="1402"/>
      <c r="TKI11" s="1402"/>
      <c r="TKJ11" s="1402"/>
      <c r="TKK11" s="1402"/>
      <c r="TKL11" s="1402"/>
      <c r="TKM11" s="1402"/>
      <c r="TKN11" s="1402"/>
      <c r="TKO11" s="1402"/>
      <c r="TKP11" s="1402"/>
      <c r="TKQ11" s="1402"/>
      <c r="TKR11" s="1402"/>
      <c r="TKS11" s="1402"/>
      <c r="TKT11" s="1402"/>
      <c r="TKU11" s="1402"/>
      <c r="TKV11" s="1402"/>
      <c r="TKW11" s="1402"/>
      <c r="TKX11" s="1402"/>
      <c r="TKY11" s="1402"/>
      <c r="TKZ11" s="1402"/>
      <c r="TLA11" s="1402"/>
      <c r="TLB11" s="1402"/>
      <c r="TLC11" s="1402"/>
      <c r="TLD11" s="1402"/>
      <c r="TLE11" s="1402"/>
      <c r="TLF11" s="1402"/>
      <c r="TLG11" s="1402"/>
      <c r="TLH11" s="1402"/>
      <c r="TLI11" s="1402"/>
      <c r="TLJ11" s="1402"/>
      <c r="TLK11" s="1402"/>
      <c r="TLL11" s="1402"/>
      <c r="TLM11" s="1402"/>
      <c r="TLN11" s="1402"/>
      <c r="TLO11" s="1402"/>
      <c r="TLP11" s="1402"/>
      <c r="TLQ11" s="1402"/>
      <c r="TLR11" s="1402"/>
      <c r="TLS11" s="1402"/>
      <c r="TLT11" s="1402"/>
      <c r="TLU11" s="1402"/>
      <c r="TLV11" s="1402"/>
      <c r="TLW11" s="1402"/>
      <c r="TLX11" s="1402"/>
      <c r="TLY11" s="1402"/>
      <c r="TLZ11" s="1402"/>
      <c r="TMA11" s="1402"/>
      <c r="TMB11" s="1402"/>
      <c r="TMC11" s="1402"/>
      <c r="TMD11" s="1402"/>
      <c r="TME11" s="1402"/>
      <c r="TMF11" s="1402"/>
      <c r="TMG11" s="1402"/>
      <c r="TMH11" s="1402"/>
      <c r="TMI11" s="1402"/>
      <c r="TMJ11" s="1402"/>
      <c r="TMK11" s="1402"/>
      <c r="TML11" s="1402"/>
      <c r="TMM11" s="1402"/>
      <c r="TMN11" s="1402"/>
      <c r="TMO11" s="1402"/>
      <c r="TMP11" s="1402"/>
      <c r="TMQ11" s="1402"/>
      <c r="TMR11" s="1402"/>
      <c r="TMS11" s="1402"/>
      <c r="TMT11" s="1402"/>
      <c r="TMU11" s="1402"/>
      <c r="TMV11" s="1402"/>
      <c r="TMW11" s="1402"/>
      <c r="TMX11" s="1402"/>
      <c r="TMY11" s="1402"/>
      <c r="TMZ11" s="1402"/>
      <c r="TNA11" s="1402"/>
      <c r="TNB11" s="1402"/>
      <c r="TNC11" s="1402"/>
      <c r="TND11" s="1402"/>
      <c r="TNE11" s="1402"/>
      <c r="TNF11" s="1402"/>
      <c r="TNG11" s="1402"/>
      <c r="TNH11" s="1402"/>
      <c r="TNI11" s="1402"/>
      <c r="TNJ11" s="1402"/>
      <c r="TNK11" s="1402"/>
      <c r="TNL11" s="1402"/>
      <c r="TNM11" s="1402"/>
      <c r="TNN11" s="1402"/>
      <c r="TNO11" s="1402"/>
      <c r="TNP11" s="1402"/>
      <c r="TNQ11" s="1402"/>
      <c r="TNR11" s="1402"/>
      <c r="TNS11" s="1402"/>
      <c r="TNT11" s="1402"/>
      <c r="TNU11" s="1402"/>
      <c r="TNV11" s="1402"/>
      <c r="TNW11" s="1402"/>
      <c r="TNX11" s="1402"/>
      <c r="TNY11" s="1402"/>
      <c r="TNZ11" s="1402"/>
      <c r="TOA11" s="1402"/>
      <c r="TOB11" s="1402"/>
      <c r="TOC11" s="1402"/>
      <c r="TOD11" s="1402"/>
      <c r="TOE11" s="1402"/>
      <c r="TOF11" s="1402"/>
      <c r="TOG11" s="1402"/>
      <c r="TOH11" s="1402"/>
      <c r="TOI11" s="1402"/>
      <c r="TOJ11" s="1402"/>
      <c r="TOK11" s="1402"/>
      <c r="TOL11" s="1402"/>
      <c r="TOM11" s="1402"/>
      <c r="TON11" s="1402"/>
      <c r="TOO11" s="1402"/>
      <c r="TOP11" s="1402"/>
      <c r="TOQ11" s="1402"/>
      <c r="TOR11" s="1402"/>
      <c r="TOS11" s="1402"/>
      <c r="TOT11" s="1402"/>
      <c r="TOU11" s="1402"/>
      <c r="TOV11" s="1402"/>
      <c r="TOW11" s="1402"/>
      <c r="TOX11" s="1402"/>
      <c r="TOY11" s="1402"/>
      <c r="TOZ11" s="1402"/>
      <c r="TPA11" s="1402"/>
      <c r="TPB11" s="1402"/>
      <c r="TPC11" s="1402"/>
      <c r="TPD11" s="1402"/>
      <c r="TPE11" s="1402"/>
      <c r="TPF11" s="1402"/>
      <c r="TPG11" s="1402"/>
      <c r="TPH11" s="1402"/>
      <c r="TPI11" s="1402"/>
      <c r="TPJ11" s="1402"/>
      <c r="TPK11" s="1402"/>
      <c r="TPL11" s="1402"/>
      <c r="TPM11" s="1402"/>
      <c r="TPN11" s="1402"/>
      <c r="TPO11" s="1402"/>
      <c r="TPP11" s="1402"/>
      <c r="TPQ11" s="1402"/>
      <c r="TPR11" s="1402"/>
      <c r="TPS11" s="1402"/>
      <c r="TPT11" s="1402"/>
      <c r="TPU11" s="1402"/>
      <c r="TPV11" s="1402"/>
      <c r="TPW11" s="1402"/>
      <c r="TPX11" s="1402"/>
      <c r="TPY11" s="1402"/>
      <c r="TPZ11" s="1402"/>
      <c r="TQA11" s="1402"/>
      <c r="TQB11" s="1402"/>
      <c r="TQC11" s="1402"/>
      <c r="TQD11" s="1402"/>
      <c r="TQE11" s="1402"/>
      <c r="TQF11" s="1402"/>
      <c r="TQG11" s="1402"/>
      <c r="TQH11" s="1402"/>
      <c r="TQI11" s="1402"/>
      <c r="TQJ11" s="1402"/>
      <c r="TQK11" s="1402"/>
      <c r="TQL11" s="1402"/>
      <c r="TQM11" s="1402"/>
      <c r="TQN11" s="1402"/>
      <c r="TQO11" s="1402"/>
      <c r="TQP11" s="1402"/>
      <c r="TQQ11" s="1402"/>
      <c r="TQR11" s="1402"/>
      <c r="TQS11" s="1402"/>
      <c r="TQT11" s="1402"/>
      <c r="TQU11" s="1402"/>
      <c r="TQV11" s="1402"/>
      <c r="TQW11" s="1402"/>
      <c r="TQX11" s="1402"/>
      <c r="TQY11" s="1402"/>
      <c r="TQZ11" s="1402"/>
      <c r="TRA11" s="1402"/>
      <c r="TRB11" s="1402"/>
      <c r="TRC11" s="1402"/>
      <c r="TRD11" s="1402"/>
      <c r="TRE11" s="1402"/>
      <c r="TRF11" s="1402"/>
      <c r="TRG11" s="1402"/>
      <c r="TRH11" s="1402"/>
      <c r="TRI11" s="1402"/>
      <c r="TRJ11" s="1402"/>
      <c r="TRK11" s="1402"/>
      <c r="TRL11" s="1402"/>
      <c r="TRM11" s="1402"/>
      <c r="TRN11" s="1402"/>
      <c r="TRO11" s="1402"/>
      <c r="TRP11" s="1402"/>
      <c r="TRQ11" s="1402"/>
      <c r="TRR11" s="1402"/>
      <c r="TRS11" s="1402"/>
      <c r="TRT11" s="1402"/>
      <c r="TRU11" s="1402"/>
      <c r="TRV11" s="1402"/>
      <c r="TRW11" s="1402"/>
      <c r="TRX11" s="1402"/>
      <c r="TRY11" s="1402"/>
      <c r="TRZ11" s="1402"/>
      <c r="TSA11" s="1402"/>
      <c r="TSB11" s="1402"/>
      <c r="TSC11" s="1402"/>
      <c r="TSD11" s="1402"/>
      <c r="TSE11" s="1402"/>
      <c r="TSF11" s="1402"/>
      <c r="TSG11" s="1402"/>
      <c r="TSH11" s="1402"/>
      <c r="TSI11" s="1402"/>
      <c r="TSJ11" s="1402"/>
      <c r="TSK11" s="1402"/>
      <c r="TSL11" s="1402"/>
      <c r="TSM11" s="1402"/>
      <c r="TSN11" s="1402"/>
      <c r="TSO11" s="1402"/>
      <c r="TSP11" s="1402"/>
      <c r="TSQ11" s="1402"/>
      <c r="TSR11" s="1402"/>
      <c r="TSS11" s="1402"/>
      <c r="TST11" s="1402"/>
      <c r="TSU11" s="1402"/>
      <c r="TSV11" s="1402"/>
      <c r="TSW11" s="1402"/>
      <c r="TSX11" s="1402"/>
      <c r="TSY11" s="1402"/>
      <c r="TSZ11" s="1402"/>
      <c r="TTA11" s="1402"/>
      <c r="TTB11" s="1402"/>
      <c r="TTC11" s="1402"/>
      <c r="TTD11" s="1402"/>
      <c r="TTE11" s="1402"/>
      <c r="TTF11" s="1402"/>
      <c r="TTG11" s="1402"/>
      <c r="TTH11" s="1402"/>
      <c r="TTI11" s="1402"/>
      <c r="TTJ11" s="1402"/>
      <c r="TTK11" s="1402"/>
      <c r="TTL11" s="1402"/>
      <c r="TTM11" s="1402"/>
      <c r="TTN11" s="1402"/>
      <c r="TTO11" s="1402"/>
      <c r="TTP11" s="1402"/>
      <c r="TTQ11" s="1402"/>
      <c r="TTR11" s="1402"/>
      <c r="TTS11" s="1402"/>
      <c r="TTT11" s="1402"/>
      <c r="TTU11" s="1402"/>
      <c r="TTV11" s="1402"/>
      <c r="TTW11" s="1402"/>
      <c r="TTX11" s="1402"/>
      <c r="TTY11" s="1402"/>
      <c r="TTZ11" s="1402"/>
      <c r="TUA11" s="1402"/>
      <c r="TUB11" s="1402"/>
      <c r="TUC11" s="1402"/>
      <c r="TUD11" s="1402"/>
      <c r="TUE11" s="1402"/>
      <c r="TUF11" s="1402"/>
      <c r="TUG11" s="1402"/>
      <c r="TUH11" s="1402"/>
      <c r="TUI11" s="1402"/>
      <c r="TUJ11" s="1402"/>
      <c r="TUK11" s="1402"/>
      <c r="TUL11" s="1402"/>
      <c r="TUM11" s="1402"/>
      <c r="TUN11" s="1402"/>
      <c r="TUO11" s="1402"/>
      <c r="TUP11" s="1402"/>
      <c r="TUQ11" s="1402"/>
      <c r="TUR11" s="1402"/>
      <c r="TUS11" s="1402"/>
      <c r="TUT11" s="1402"/>
      <c r="TUU11" s="1402"/>
      <c r="TUV11" s="1402"/>
      <c r="TUW11" s="1402"/>
      <c r="TUX11" s="1402"/>
      <c r="TUY11" s="1402"/>
      <c r="TUZ11" s="1402"/>
      <c r="TVA11" s="1402"/>
      <c r="TVB11" s="1402"/>
      <c r="TVC11" s="1402"/>
      <c r="TVD11" s="1402"/>
      <c r="TVE11" s="1402"/>
      <c r="TVF11" s="1402"/>
      <c r="TVG11" s="1402"/>
      <c r="TVH11" s="1402"/>
      <c r="TVI11" s="1402"/>
      <c r="TVJ11" s="1402"/>
      <c r="TVK11" s="1402"/>
      <c r="TVL11" s="1402"/>
      <c r="TVM11" s="1402"/>
      <c r="TVN11" s="1402"/>
      <c r="TVO11" s="1402"/>
      <c r="TVP11" s="1402"/>
      <c r="TVQ11" s="1402"/>
      <c r="TVR11" s="1402"/>
      <c r="TVS11" s="1402"/>
      <c r="TVT11" s="1402"/>
      <c r="TVU11" s="1402"/>
      <c r="TVV11" s="1402"/>
      <c r="TVW11" s="1402"/>
      <c r="TVX11" s="1402"/>
      <c r="TVY11" s="1402"/>
      <c r="TVZ11" s="1402"/>
      <c r="TWA11" s="1402"/>
      <c r="TWB11" s="1402"/>
      <c r="TWC11" s="1402"/>
      <c r="TWD11" s="1402"/>
      <c r="TWE11" s="1402"/>
      <c r="TWF11" s="1402"/>
      <c r="TWG11" s="1402"/>
      <c r="TWH11" s="1402"/>
      <c r="TWI11" s="1402"/>
      <c r="TWJ11" s="1402"/>
      <c r="TWK11" s="1402"/>
      <c r="TWL11" s="1402"/>
      <c r="TWM11" s="1402"/>
      <c r="TWN11" s="1402"/>
      <c r="TWO11" s="1402"/>
      <c r="TWP11" s="1402"/>
      <c r="TWQ11" s="1402"/>
      <c r="TWR11" s="1402"/>
      <c r="TWS11" s="1402"/>
      <c r="TWT11" s="1402"/>
      <c r="TWU11" s="1402"/>
      <c r="TWV11" s="1402"/>
      <c r="TWW11" s="1402"/>
      <c r="TWX11" s="1402"/>
      <c r="TWY11" s="1402"/>
      <c r="TWZ11" s="1402"/>
      <c r="TXA11" s="1402"/>
      <c r="TXB11" s="1402"/>
      <c r="TXC11" s="1402"/>
      <c r="TXD11" s="1402"/>
      <c r="TXE11" s="1402"/>
      <c r="TXF11" s="1402"/>
      <c r="TXG11" s="1402"/>
      <c r="TXH11" s="1402"/>
      <c r="TXI11" s="1402"/>
      <c r="TXJ11" s="1402"/>
      <c r="TXK11" s="1402"/>
      <c r="TXL11" s="1402"/>
      <c r="TXM11" s="1402"/>
      <c r="TXN11" s="1402"/>
      <c r="TXO11" s="1402"/>
      <c r="TXP11" s="1402"/>
      <c r="TXQ11" s="1402"/>
      <c r="TXR11" s="1402"/>
      <c r="TXS11" s="1402"/>
      <c r="TXT11" s="1402"/>
      <c r="TXU11" s="1402"/>
      <c r="TXV11" s="1402"/>
      <c r="TXW11" s="1402"/>
      <c r="TXX11" s="1402"/>
      <c r="TXY11" s="1402"/>
      <c r="TXZ11" s="1402"/>
      <c r="TYA11" s="1402"/>
      <c r="TYB11" s="1402"/>
      <c r="TYC11" s="1402"/>
      <c r="TYD11" s="1402"/>
      <c r="TYE11" s="1402"/>
      <c r="TYF11" s="1402"/>
      <c r="TYG11" s="1402"/>
      <c r="TYH11" s="1402"/>
      <c r="TYI11" s="1402"/>
      <c r="TYJ11" s="1402"/>
      <c r="TYK11" s="1402"/>
      <c r="TYL11" s="1402"/>
      <c r="TYM11" s="1402"/>
      <c r="TYN11" s="1402"/>
      <c r="TYO11" s="1402"/>
      <c r="TYP11" s="1402"/>
      <c r="TYQ11" s="1402"/>
      <c r="TYR11" s="1402"/>
      <c r="TYS11" s="1402"/>
      <c r="TYT11" s="1402"/>
      <c r="TYU11" s="1402"/>
      <c r="TYV11" s="1402"/>
      <c r="TYW11" s="1402"/>
      <c r="TYX11" s="1402"/>
      <c r="TYY11" s="1402"/>
      <c r="TYZ11" s="1402"/>
      <c r="TZA11" s="1402"/>
      <c r="TZB11" s="1402"/>
      <c r="TZC11" s="1402"/>
      <c r="TZD11" s="1402"/>
      <c r="TZE11" s="1402"/>
      <c r="TZF11" s="1402"/>
      <c r="TZG11" s="1402"/>
      <c r="TZH11" s="1402"/>
      <c r="TZI11" s="1402"/>
      <c r="TZJ11" s="1402"/>
      <c r="TZK11" s="1402"/>
      <c r="TZL11" s="1402"/>
      <c r="TZM11" s="1402"/>
      <c r="TZN11" s="1402"/>
      <c r="TZO11" s="1402"/>
      <c r="TZP11" s="1402"/>
      <c r="TZQ11" s="1402"/>
      <c r="TZR11" s="1402"/>
      <c r="TZS11" s="1402"/>
      <c r="TZT11" s="1402"/>
      <c r="TZU11" s="1402"/>
      <c r="TZV11" s="1402"/>
      <c r="TZW11" s="1402"/>
      <c r="TZX11" s="1402"/>
      <c r="TZY11" s="1402"/>
      <c r="TZZ11" s="1402"/>
      <c r="UAA11" s="1402"/>
      <c r="UAB11" s="1402"/>
      <c r="UAC11" s="1402"/>
      <c r="UAD11" s="1402"/>
      <c r="UAE11" s="1402"/>
      <c r="UAF11" s="1402"/>
      <c r="UAG11" s="1402"/>
      <c r="UAH11" s="1402"/>
      <c r="UAI11" s="1402"/>
      <c r="UAJ11" s="1402"/>
      <c r="UAK11" s="1402"/>
      <c r="UAL11" s="1402"/>
      <c r="UAM11" s="1402"/>
      <c r="UAN11" s="1402"/>
      <c r="UAO11" s="1402"/>
      <c r="UAP11" s="1402"/>
      <c r="UAQ11" s="1402"/>
      <c r="UAR11" s="1402"/>
      <c r="UAS11" s="1402"/>
      <c r="UAT11" s="1402"/>
      <c r="UAU11" s="1402"/>
      <c r="UAV11" s="1402"/>
      <c r="UAW11" s="1402"/>
      <c r="UAX11" s="1402"/>
      <c r="UAY11" s="1402"/>
      <c r="UAZ11" s="1402"/>
      <c r="UBA11" s="1402"/>
      <c r="UBB11" s="1402"/>
      <c r="UBC11" s="1402"/>
      <c r="UBD11" s="1402"/>
      <c r="UBE11" s="1402"/>
      <c r="UBF11" s="1402"/>
      <c r="UBG11" s="1402"/>
      <c r="UBH11" s="1402"/>
      <c r="UBI11" s="1402"/>
      <c r="UBJ11" s="1402"/>
      <c r="UBK11" s="1402"/>
      <c r="UBL11" s="1402"/>
      <c r="UBM11" s="1402"/>
      <c r="UBN11" s="1402"/>
      <c r="UBO11" s="1402"/>
      <c r="UBP11" s="1402"/>
      <c r="UBQ11" s="1402"/>
      <c r="UBR11" s="1402"/>
      <c r="UBS11" s="1402"/>
      <c r="UBT11" s="1402"/>
      <c r="UBU11" s="1402"/>
      <c r="UBV11" s="1402"/>
      <c r="UBW11" s="1402"/>
      <c r="UBX11" s="1402"/>
      <c r="UBY11" s="1402"/>
      <c r="UBZ11" s="1402"/>
      <c r="UCA11" s="1402"/>
      <c r="UCB11" s="1402"/>
      <c r="UCC11" s="1402"/>
      <c r="UCD11" s="1402"/>
      <c r="UCE11" s="1402"/>
      <c r="UCF11" s="1402"/>
      <c r="UCG11" s="1402"/>
      <c r="UCH11" s="1402"/>
      <c r="UCI11" s="1402"/>
      <c r="UCJ11" s="1402"/>
      <c r="UCK11" s="1402"/>
      <c r="UCL11" s="1402"/>
      <c r="UCM11" s="1402"/>
      <c r="UCN11" s="1402"/>
      <c r="UCO11" s="1402"/>
      <c r="UCP11" s="1402"/>
      <c r="UCQ11" s="1402"/>
      <c r="UCR11" s="1402"/>
      <c r="UCS11" s="1402"/>
      <c r="UCT11" s="1402"/>
      <c r="UCU11" s="1402"/>
      <c r="UCV11" s="1402"/>
      <c r="UCW11" s="1402"/>
      <c r="UCX11" s="1402"/>
      <c r="UCY11" s="1402"/>
      <c r="UCZ11" s="1402"/>
      <c r="UDA11" s="1402"/>
      <c r="UDB11" s="1402"/>
      <c r="UDC11" s="1402"/>
      <c r="UDD11" s="1402"/>
      <c r="UDE11" s="1402"/>
      <c r="UDF11" s="1402"/>
      <c r="UDG11" s="1402"/>
      <c r="UDH11" s="1402"/>
      <c r="UDI11" s="1402"/>
      <c r="UDJ11" s="1402"/>
      <c r="UDK11" s="1402"/>
      <c r="UDL11" s="1402"/>
      <c r="UDM11" s="1402"/>
      <c r="UDN11" s="1402"/>
      <c r="UDO11" s="1402"/>
      <c r="UDP11" s="1402"/>
      <c r="UDQ11" s="1402"/>
      <c r="UDR11" s="1402"/>
      <c r="UDS11" s="1402"/>
      <c r="UDT11" s="1402"/>
      <c r="UDU11" s="1402"/>
      <c r="UDV11" s="1402"/>
      <c r="UDW11" s="1402"/>
      <c r="UDX11" s="1402"/>
      <c r="UDY11" s="1402"/>
      <c r="UDZ11" s="1402"/>
      <c r="UEA11" s="1402"/>
      <c r="UEB11" s="1402"/>
      <c r="UEC11" s="1402"/>
      <c r="UED11" s="1402"/>
      <c r="UEE11" s="1402"/>
      <c r="UEF11" s="1402"/>
      <c r="UEG11" s="1402"/>
      <c r="UEH11" s="1402"/>
      <c r="UEI11" s="1402"/>
      <c r="UEJ11" s="1402"/>
      <c r="UEK11" s="1402"/>
      <c r="UEL11" s="1402"/>
      <c r="UEM11" s="1402"/>
      <c r="UEN11" s="1402"/>
      <c r="UEO11" s="1402"/>
      <c r="UEP11" s="1402"/>
      <c r="UEQ11" s="1402"/>
      <c r="UER11" s="1402"/>
      <c r="UES11" s="1402"/>
      <c r="UET11" s="1402"/>
      <c r="UEU11" s="1402"/>
      <c r="UEV11" s="1402"/>
      <c r="UEW11" s="1402"/>
      <c r="UEX11" s="1402"/>
      <c r="UEY11" s="1402"/>
      <c r="UEZ11" s="1402"/>
      <c r="UFA11" s="1402"/>
      <c r="UFB11" s="1402"/>
      <c r="UFC11" s="1402"/>
      <c r="UFD11" s="1402"/>
      <c r="UFE11" s="1402"/>
      <c r="UFF11" s="1402"/>
      <c r="UFG11" s="1402"/>
      <c r="UFH11" s="1402"/>
      <c r="UFI11" s="1402"/>
      <c r="UFJ11" s="1402"/>
      <c r="UFK11" s="1402"/>
      <c r="UFL11" s="1402"/>
      <c r="UFM11" s="1402"/>
      <c r="UFN11" s="1402"/>
      <c r="UFO11" s="1402"/>
      <c r="UFP11" s="1402"/>
      <c r="UFQ11" s="1402"/>
      <c r="UFR11" s="1402"/>
      <c r="UFS11" s="1402"/>
      <c r="UFT11" s="1402"/>
      <c r="UFU11" s="1402"/>
      <c r="UFV11" s="1402"/>
      <c r="UFW11" s="1402"/>
      <c r="UFX11" s="1402"/>
      <c r="UFY11" s="1402"/>
      <c r="UFZ11" s="1402"/>
      <c r="UGA11" s="1402"/>
      <c r="UGB11" s="1402"/>
      <c r="UGC11" s="1402"/>
      <c r="UGD11" s="1402"/>
      <c r="UGE11" s="1402"/>
      <c r="UGF11" s="1402"/>
      <c r="UGG11" s="1402"/>
      <c r="UGH11" s="1402"/>
      <c r="UGI11" s="1402"/>
      <c r="UGJ11" s="1402"/>
      <c r="UGK11" s="1402"/>
      <c r="UGL11" s="1402"/>
      <c r="UGM11" s="1402"/>
      <c r="UGN11" s="1402"/>
      <c r="UGO11" s="1402"/>
      <c r="UGP11" s="1402"/>
      <c r="UGQ11" s="1402"/>
      <c r="UGR11" s="1402"/>
      <c r="UGS11" s="1402"/>
      <c r="UGT11" s="1402"/>
      <c r="UGU11" s="1402"/>
      <c r="UGV11" s="1402"/>
      <c r="UGW11" s="1402"/>
      <c r="UGX11" s="1402"/>
      <c r="UGY11" s="1402"/>
      <c r="UGZ11" s="1402"/>
      <c r="UHA11" s="1402"/>
      <c r="UHB11" s="1402"/>
      <c r="UHC11" s="1402"/>
      <c r="UHD11" s="1402"/>
      <c r="UHE11" s="1402"/>
      <c r="UHF11" s="1402"/>
      <c r="UHG11" s="1402"/>
      <c r="UHH11" s="1402"/>
      <c r="UHI11" s="1402"/>
      <c r="UHJ11" s="1402"/>
      <c r="UHK11" s="1402"/>
      <c r="UHL11" s="1402"/>
      <c r="UHM11" s="1402"/>
      <c r="UHN11" s="1402"/>
      <c r="UHO11" s="1402"/>
      <c r="UHP11" s="1402"/>
      <c r="UHQ11" s="1402"/>
      <c r="UHR11" s="1402"/>
      <c r="UHS11" s="1402"/>
      <c r="UHT11" s="1402"/>
      <c r="UHU11" s="1402"/>
      <c r="UHV11" s="1402"/>
      <c r="UHW11" s="1402"/>
      <c r="UHX11" s="1402"/>
      <c r="UHY11" s="1402"/>
      <c r="UHZ11" s="1402"/>
      <c r="UIA11" s="1402"/>
      <c r="UIB11" s="1402"/>
      <c r="UIC11" s="1402"/>
      <c r="UID11" s="1402"/>
      <c r="UIE11" s="1402"/>
      <c r="UIF11" s="1402"/>
      <c r="UIG11" s="1402"/>
      <c r="UIH11" s="1402"/>
      <c r="UII11" s="1402"/>
      <c r="UIJ11" s="1402"/>
      <c r="UIK11" s="1402"/>
      <c r="UIL11" s="1402"/>
      <c r="UIM11" s="1402"/>
      <c r="UIN11" s="1402"/>
      <c r="UIO11" s="1402"/>
      <c r="UIP11" s="1402"/>
      <c r="UIQ11" s="1402"/>
      <c r="UIR11" s="1402"/>
      <c r="UIS11" s="1402"/>
      <c r="UIT11" s="1402"/>
      <c r="UIU11" s="1402"/>
      <c r="UIV11" s="1402"/>
      <c r="UIW11" s="1402"/>
      <c r="UIX11" s="1402"/>
      <c r="UIY11" s="1402"/>
      <c r="UIZ11" s="1402"/>
      <c r="UJA11" s="1402"/>
      <c r="UJB11" s="1402"/>
      <c r="UJC11" s="1402"/>
      <c r="UJD11" s="1402"/>
      <c r="UJE11" s="1402"/>
      <c r="UJF11" s="1402"/>
      <c r="UJG11" s="1402"/>
      <c r="UJH11" s="1402"/>
      <c r="UJI11" s="1402"/>
      <c r="UJJ11" s="1402"/>
      <c r="UJK11" s="1402"/>
      <c r="UJL11" s="1402"/>
      <c r="UJM11" s="1402"/>
      <c r="UJN11" s="1402"/>
      <c r="UJO11" s="1402"/>
      <c r="UJP11" s="1402"/>
      <c r="UJQ11" s="1402"/>
      <c r="UJR11" s="1402"/>
      <c r="UJS11" s="1402"/>
      <c r="UJT11" s="1402"/>
      <c r="UJU11" s="1402"/>
      <c r="UJV11" s="1402"/>
      <c r="UJW11" s="1402"/>
      <c r="UJX11" s="1402"/>
      <c r="UJY11" s="1402"/>
      <c r="UJZ11" s="1402"/>
      <c r="UKA11" s="1402"/>
      <c r="UKB11" s="1402"/>
      <c r="UKC11" s="1402"/>
      <c r="UKD11" s="1402"/>
      <c r="UKE11" s="1402"/>
      <c r="UKF11" s="1402"/>
      <c r="UKG11" s="1402"/>
      <c r="UKH11" s="1402"/>
      <c r="UKI11" s="1402"/>
      <c r="UKJ11" s="1402"/>
      <c r="UKK11" s="1402"/>
      <c r="UKL11" s="1402"/>
      <c r="UKM11" s="1402"/>
      <c r="UKN11" s="1402"/>
      <c r="UKO11" s="1402"/>
      <c r="UKP11" s="1402"/>
      <c r="UKQ11" s="1402"/>
      <c r="UKR11" s="1402"/>
      <c r="UKS11" s="1402"/>
      <c r="UKT11" s="1402"/>
      <c r="UKU11" s="1402"/>
      <c r="UKV11" s="1402"/>
      <c r="UKW11" s="1402"/>
      <c r="UKX11" s="1402"/>
      <c r="UKY11" s="1402"/>
      <c r="UKZ11" s="1402"/>
      <c r="ULA11" s="1402"/>
      <c r="ULB11" s="1402"/>
      <c r="ULC11" s="1402"/>
      <c r="ULD11" s="1402"/>
      <c r="ULE11" s="1402"/>
      <c r="ULF11" s="1402"/>
      <c r="ULG11" s="1402"/>
      <c r="ULH11" s="1402"/>
      <c r="ULI11" s="1402"/>
      <c r="ULJ11" s="1402"/>
      <c r="ULK11" s="1402"/>
      <c r="ULL11" s="1402"/>
      <c r="ULM11" s="1402"/>
      <c r="ULN11" s="1402"/>
      <c r="ULO11" s="1402"/>
      <c r="ULP11" s="1402"/>
      <c r="ULQ11" s="1402"/>
      <c r="ULR11" s="1402"/>
      <c r="ULS11" s="1402"/>
      <c r="ULT11" s="1402"/>
      <c r="ULU11" s="1402"/>
      <c r="ULV11" s="1402"/>
      <c r="ULW11" s="1402"/>
      <c r="ULX11" s="1402"/>
      <c r="ULY11" s="1402"/>
      <c r="ULZ11" s="1402"/>
      <c r="UMA11" s="1402"/>
      <c r="UMB11" s="1402"/>
      <c r="UMC11" s="1402"/>
      <c r="UMD11" s="1402"/>
      <c r="UME11" s="1402"/>
      <c r="UMF11" s="1402"/>
      <c r="UMG11" s="1402"/>
      <c r="UMH11" s="1402"/>
      <c r="UMI11" s="1402"/>
      <c r="UMJ11" s="1402"/>
      <c r="UMK11" s="1402"/>
      <c r="UML11" s="1402"/>
      <c r="UMM11" s="1402"/>
      <c r="UMN11" s="1402"/>
      <c r="UMO11" s="1402"/>
      <c r="UMP11" s="1402"/>
      <c r="UMQ11" s="1402"/>
      <c r="UMR11" s="1402"/>
      <c r="UMS11" s="1402"/>
      <c r="UMT11" s="1402"/>
      <c r="UMU11" s="1402"/>
      <c r="UMV11" s="1402"/>
      <c r="UMW11" s="1402"/>
      <c r="UMX11" s="1402"/>
      <c r="UMY11" s="1402"/>
      <c r="UMZ11" s="1402"/>
      <c r="UNA11" s="1402"/>
      <c r="UNB11" s="1402"/>
      <c r="UNC11" s="1402"/>
      <c r="UND11" s="1402"/>
      <c r="UNE11" s="1402"/>
      <c r="UNF11" s="1402"/>
      <c r="UNG11" s="1402"/>
      <c r="UNH11" s="1402"/>
      <c r="UNI11" s="1402"/>
      <c r="UNJ11" s="1402"/>
      <c r="UNK11" s="1402"/>
      <c r="UNL11" s="1402"/>
      <c r="UNM11" s="1402"/>
      <c r="UNN11" s="1402"/>
      <c r="UNO11" s="1402"/>
      <c r="UNP11" s="1402"/>
      <c r="UNQ11" s="1402"/>
      <c r="UNR11" s="1402"/>
      <c r="UNS11" s="1402"/>
      <c r="UNT11" s="1402"/>
      <c r="UNU11" s="1402"/>
      <c r="UNV11" s="1402"/>
      <c r="UNW11" s="1402"/>
      <c r="UNX11" s="1402"/>
      <c r="UNY11" s="1402"/>
      <c r="UNZ11" s="1402"/>
      <c r="UOA11" s="1402"/>
      <c r="UOB11" s="1402"/>
      <c r="UOC11" s="1402"/>
      <c r="UOD11" s="1402"/>
      <c r="UOE11" s="1402"/>
      <c r="UOF11" s="1402"/>
      <c r="UOG11" s="1402"/>
      <c r="UOH11" s="1402"/>
      <c r="UOI11" s="1402"/>
      <c r="UOJ11" s="1402"/>
      <c r="UOK11" s="1402"/>
      <c r="UOL11" s="1402"/>
      <c r="UOM11" s="1402"/>
      <c r="UON11" s="1402"/>
      <c r="UOO11" s="1402"/>
      <c r="UOP11" s="1402"/>
      <c r="UOQ11" s="1402"/>
      <c r="UOR11" s="1402"/>
      <c r="UOS11" s="1402"/>
      <c r="UOT11" s="1402"/>
      <c r="UOU11" s="1402"/>
      <c r="UOV11" s="1402"/>
      <c r="UOW11" s="1402"/>
      <c r="UOX11" s="1402"/>
      <c r="UOY11" s="1402"/>
      <c r="UOZ11" s="1402"/>
      <c r="UPA11" s="1402"/>
      <c r="UPB11" s="1402"/>
      <c r="UPC11" s="1402"/>
      <c r="UPD11" s="1402"/>
      <c r="UPE11" s="1402"/>
      <c r="UPF11" s="1402"/>
      <c r="UPG11" s="1402"/>
      <c r="UPH11" s="1402"/>
      <c r="UPI11" s="1402"/>
      <c r="UPJ11" s="1402"/>
      <c r="UPK11" s="1402"/>
      <c r="UPL11" s="1402"/>
      <c r="UPM11" s="1402"/>
      <c r="UPN11" s="1402"/>
      <c r="UPO11" s="1402"/>
      <c r="UPP11" s="1402"/>
      <c r="UPQ11" s="1402"/>
      <c r="UPR11" s="1402"/>
      <c r="UPS11" s="1402"/>
      <c r="UPT11" s="1402"/>
      <c r="UPU11" s="1402"/>
      <c r="UPV11" s="1402"/>
      <c r="UPW11" s="1402"/>
      <c r="UPX11" s="1402"/>
      <c r="UPY11" s="1402"/>
      <c r="UPZ11" s="1402"/>
      <c r="UQA11" s="1402"/>
      <c r="UQB11" s="1402"/>
      <c r="UQC11" s="1402"/>
      <c r="UQD11" s="1402"/>
      <c r="UQE11" s="1402"/>
      <c r="UQF11" s="1402"/>
      <c r="UQG11" s="1402"/>
      <c r="UQH11" s="1402"/>
      <c r="UQI11" s="1402"/>
      <c r="UQJ11" s="1402"/>
      <c r="UQK11" s="1402"/>
      <c r="UQL11" s="1402"/>
      <c r="UQM11" s="1402"/>
      <c r="UQN11" s="1402"/>
      <c r="UQO11" s="1402"/>
      <c r="UQP11" s="1402"/>
      <c r="UQQ11" s="1402"/>
      <c r="UQR11" s="1402"/>
      <c r="UQS11" s="1402"/>
      <c r="UQT11" s="1402"/>
      <c r="UQU11" s="1402"/>
      <c r="UQV11" s="1402"/>
      <c r="UQW11" s="1402"/>
      <c r="UQX11" s="1402"/>
      <c r="UQY11" s="1402"/>
      <c r="UQZ11" s="1402"/>
      <c r="URA11" s="1402"/>
      <c r="URB11" s="1402"/>
      <c r="URC11" s="1402"/>
      <c r="URD11" s="1402"/>
      <c r="URE11" s="1402"/>
      <c r="URF11" s="1402"/>
      <c r="URG11" s="1402"/>
      <c r="URH11" s="1402"/>
      <c r="URI11" s="1402"/>
      <c r="URJ11" s="1402"/>
      <c r="URK11" s="1402"/>
      <c r="URL11" s="1402"/>
      <c r="URM11" s="1402"/>
      <c r="URN11" s="1402"/>
      <c r="URO11" s="1402"/>
      <c r="URP11" s="1402"/>
      <c r="URQ11" s="1402"/>
      <c r="URR11" s="1402"/>
      <c r="URS11" s="1402"/>
      <c r="URT11" s="1402"/>
      <c r="URU11" s="1402"/>
      <c r="URV11" s="1402"/>
      <c r="URW11" s="1402"/>
      <c r="URX11" s="1402"/>
      <c r="URY11" s="1402"/>
      <c r="URZ11" s="1402"/>
      <c r="USA11" s="1402"/>
      <c r="USB11" s="1402"/>
      <c r="USC11" s="1402"/>
      <c r="USD11" s="1402"/>
      <c r="USE11" s="1402"/>
      <c r="USF11" s="1402"/>
      <c r="USG11" s="1402"/>
      <c r="USH11" s="1402"/>
      <c r="USI11" s="1402"/>
      <c r="USJ11" s="1402"/>
      <c r="USK11" s="1402"/>
      <c r="USL11" s="1402"/>
      <c r="USM11" s="1402"/>
      <c r="USN11" s="1402"/>
      <c r="USO11" s="1402"/>
      <c r="USP11" s="1402"/>
      <c r="USQ11" s="1402"/>
      <c r="USR11" s="1402"/>
      <c r="USS11" s="1402"/>
      <c r="UST11" s="1402"/>
      <c r="USU11" s="1402"/>
      <c r="USV11" s="1402"/>
      <c r="USW11" s="1402"/>
      <c r="USX11" s="1402"/>
      <c r="USY11" s="1402"/>
      <c r="USZ11" s="1402"/>
      <c r="UTA11" s="1402"/>
      <c r="UTB11" s="1402"/>
      <c r="UTC11" s="1402"/>
      <c r="UTD11" s="1402"/>
      <c r="UTE11" s="1402"/>
      <c r="UTF11" s="1402"/>
      <c r="UTG11" s="1402"/>
      <c r="UTH11" s="1402"/>
      <c r="UTI11" s="1402"/>
      <c r="UTJ11" s="1402"/>
      <c r="UTK11" s="1402"/>
      <c r="UTL11" s="1402"/>
      <c r="UTM11" s="1402"/>
      <c r="UTN11" s="1402"/>
      <c r="UTO11" s="1402"/>
      <c r="UTP11" s="1402"/>
      <c r="UTQ11" s="1402"/>
      <c r="UTR11" s="1402"/>
      <c r="UTS11" s="1402"/>
      <c r="UTT11" s="1402"/>
      <c r="UTU11" s="1402"/>
      <c r="UTV11" s="1402"/>
      <c r="UTW11" s="1402"/>
      <c r="UTX11" s="1402"/>
      <c r="UTY11" s="1402"/>
      <c r="UTZ11" s="1402"/>
      <c r="UUA11" s="1402"/>
      <c r="UUB11" s="1402"/>
      <c r="UUC11" s="1402"/>
      <c r="UUD11" s="1402"/>
      <c r="UUE11" s="1402"/>
      <c r="UUF11" s="1402"/>
      <c r="UUG11" s="1402"/>
      <c r="UUH11" s="1402"/>
      <c r="UUI11" s="1402"/>
      <c r="UUJ11" s="1402"/>
      <c r="UUK11" s="1402"/>
      <c r="UUL11" s="1402"/>
      <c r="UUM11" s="1402"/>
      <c r="UUN11" s="1402"/>
      <c r="UUO11" s="1402"/>
      <c r="UUP11" s="1402"/>
      <c r="UUQ11" s="1402"/>
      <c r="UUR11" s="1402"/>
      <c r="UUS11" s="1402"/>
      <c r="UUT11" s="1402"/>
      <c r="UUU11" s="1402"/>
      <c r="UUV11" s="1402"/>
      <c r="UUW11" s="1402"/>
      <c r="UUX11" s="1402"/>
      <c r="UUY11" s="1402"/>
      <c r="UUZ11" s="1402"/>
      <c r="UVA11" s="1402"/>
      <c r="UVB11" s="1402"/>
      <c r="UVC11" s="1402"/>
      <c r="UVD11" s="1402"/>
      <c r="UVE11" s="1402"/>
      <c r="UVF11" s="1402"/>
      <c r="UVG11" s="1402"/>
      <c r="UVH11" s="1402"/>
      <c r="UVI11" s="1402"/>
      <c r="UVJ11" s="1402"/>
      <c r="UVK11" s="1402"/>
      <c r="UVL11" s="1402"/>
      <c r="UVM11" s="1402"/>
      <c r="UVN11" s="1402"/>
      <c r="UVO11" s="1402"/>
      <c r="UVP11" s="1402"/>
      <c r="UVQ11" s="1402"/>
      <c r="UVR11" s="1402"/>
      <c r="UVS11" s="1402"/>
      <c r="UVT11" s="1402"/>
      <c r="UVU11" s="1402"/>
      <c r="UVV11" s="1402"/>
      <c r="UVW11" s="1402"/>
      <c r="UVX11" s="1402"/>
      <c r="UVY11" s="1402"/>
      <c r="UVZ11" s="1402"/>
      <c r="UWA11" s="1402"/>
      <c r="UWB11" s="1402"/>
      <c r="UWC11" s="1402"/>
      <c r="UWD11" s="1402"/>
      <c r="UWE11" s="1402"/>
      <c r="UWF11" s="1402"/>
      <c r="UWG11" s="1402"/>
      <c r="UWH11" s="1402"/>
      <c r="UWI11" s="1402"/>
      <c r="UWJ11" s="1402"/>
      <c r="UWK11" s="1402"/>
      <c r="UWL11" s="1402"/>
      <c r="UWM11" s="1402"/>
      <c r="UWN11" s="1402"/>
      <c r="UWO11" s="1402"/>
      <c r="UWP11" s="1402"/>
      <c r="UWQ11" s="1402"/>
      <c r="UWR11" s="1402"/>
      <c r="UWS11" s="1402"/>
      <c r="UWT11" s="1402"/>
      <c r="UWU11" s="1402"/>
      <c r="UWV11" s="1402"/>
      <c r="UWW11" s="1402"/>
      <c r="UWX11" s="1402"/>
      <c r="UWY11" s="1402"/>
      <c r="UWZ11" s="1402"/>
      <c r="UXA11" s="1402"/>
      <c r="UXB11" s="1402"/>
      <c r="UXC11" s="1402"/>
      <c r="UXD11" s="1402"/>
      <c r="UXE11" s="1402"/>
      <c r="UXF11" s="1402"/>
      <c r="UXG11" s="1402"/>
      <c r="UXH11" s="1402"/>
      <c r="UXI11" s="1402"/>
      <c r="UXJ11" s="1402"/>
      <c r="UXK11" s="1402"/>
      <c r="UXL11" s="1402"/>
      <c r="UXM11" s="1402"/>
      <c r="UXN11" s="1402"/>
      <c r="UXO11" s="1402"/>
      <c r="UXP11" s="1402"/>
      <c r="UXQ11" s="1402"/>
      <c r="UXR11" s="1402"/>
      <c r="UXS11" s="1402"/>
      <c r="UXT11" s="1402"/>
      <c r="UXU11" s="1402"/>
      <c r="UXV11" s="1402"/>
      <c r="UXW11" s="1402"/>
      <c r="UXX11" s="1402"/>
      <c r="UXY11" s="1402"/>
      <c r="UXZ11" s="1402"/>
      <c r="UYA11" s="1402"/>
      <c r="UYB11" s="1402"/>
      <c r="UYC11" s="1402"/>
      <c r="UYD11" s="1402"/>
      <c r="UYE11" s="1402"/>
      <c r="UYF11" s="1402"/>
      <c r="UYG11" s="1402"/>
      <c r="UYH11" s="1402"/>
      <c r="UYI11" s="1402"/>
      <c r="UYJ11" s="1402"/>
      <c r="UYK11" s="1402"/>
      <c r="UYL11" s="1402"/>
      <c r="UYM11" s="1402"/>
      <c r="UYN11" s="1402"/>
      <c r="UYO11" s="1402"/>
      <c r="UYP11" s="1402"/>
      <c r="UYQ11" s="1402"/>
      <c r="UYR11" s="1402"/>
      <c r="UYS11" s="1402"/>
      <c r="UYT11" s="1402"/>
      <c r="UYU11" s="1402"/>
      <c r="UYV11" s="1402"/>
      <c r="UYW11" s="1402"/>
      <c r="UYX11" s="1402"/>
      <c r="UYY11" s="1402"/>
      <c r="UYZ11" s="1402"/>
      <c r="UZA11" s="1402"/>
      <c r="UZB11" s="1402"/>
      <c r="UZC11" s="1402"/>
      <c r="UZD11" s="1402"/>
      <c r="UZE11" s="1402"/>
      <c r="UZF11" s="1402"/>
      <c r="UZG11" s="1402"/>
      <c r="UZH11" s="1402"/>
      <c r="UZI11" s="1402"/>
      <c r="UZJ11" s="1402"/>
      <c r="UZK11" s="1402"/>
      <c r="UZL11" s="1402"/>
      <c r="UZM11" s="1402"/>
      <c r="UZN11" s="1402"/>
      <c r="UZO11" s="1402"/>
      <c r="UZP11" s="1402"/>
      <c r="UZQ11" s="1402"/>
      <c r="UZR11" s="1402"/>
      <c r="UZS11" s="1402"/>
      <c r="UZT11" s="1402"/>
      <c r="UZU11" s="1402"/>
      <c r="UZV11" s="1402"/>
      <c r="UZW11" s="1402"/>
      <c r="UZX11" s="1402"/>
      <c r="UZY11" s="1402"/>
      <c r="UZZ11" s="1402"/>
      <c r="VAA11" s="1402"/>
      <c r="VAB11" s="1402"/>
      <c r="VAC11" s="1402"/>
      <c r="VAD11" s="1402"/>
      <c r="VAE11" s="1402"/>
      <c r="VAF11" s="1402"/>
      <c r="VAG11" s="1402"/>
      <c r="VAH11" s="1402"/>
      <c r="VAI11" s="1402"/>
      <c r="VAJ11" s="1402"/>
      <c r="VAK11" s="1402"/>
      <c r="VAL11" s="1402"/>
      <c r="VAM11" s="1402"/>
      <c r="VAN11" s="1402"/>
      <c r="VAO11" s="1402"/>
      <c r="VAP11" s="1402"/>
      <c r="VAQ11" s="1402"/>
      <c r="VAR11" s="1402"/>
      <c r="VAS11" s="1402"/>
      <c r="VAT11" s="1402"/>
      <c r="VAU11" s="1402"/>
      <c r="VAV11" s="1402"/>
      <c r="VAW11" s="1402"/>
      <c r="VAX11" s="1402"/>
      <c r="VAY11" s="1402"/>
      <c r="VAZ11" s="1402"/>
      <c r="VBA11" s="1402"/>
      <c r="VBB11" s="1402"/>
      <c r="VBC11" s="1402"/>
      <c r="VBD11" s="1402"/>
      <c r="VBE11" s="1402"/>
      <c r="VBF11" s="1402"/>
      <c r="VBG11" s="1402"/>
      <c r="VBH11" s="1402"/>
      <c r="VBI11" s="1402"/>
      <c r="VBJ11" s="1402"/>
      <c r="VBK11" s="1402"/>
      <c r="VBL11" s="1402"/>
      <c r="VBM11" s="1402"/>
      <c r="VBN11" s="1402"/>
      <c r="VBO11" s="1402"/>
      <c r="VBP11" s="1402"/>
      <c r="VBQ11" s="1402"/>
      <c r="VBR11" s="1402"/>
      <c r="VBS11" s="1402"/>
      <c r="VBT11" s="1402"/>
      <c r="VBU11" s="1402"/>
      <c r="VBV11" s="1402"/>
      <c r="VBW11" s="1402"/>
      <c r="VBX11" s="1402"/>
      <c r="VBY11" s="1402"/>
      <c r="VBZ11" s="1402"/>
      <c r="VCA11" s="1402"/>
      <c r="VCB11" s="1402"/>
      <c r="VCC11" s="1402"/>
      <c r="VCD11" s="1402"/>
      <c r="VCE11" s="1402"/>
      <c r="VCF11" s="1402"/>
      <c r="VCG11" s="1402"/>
      <c r="VCH11" s="1402"/>
      <c r="VCI11" s="1402"/>
      <c r="VCJ11" s="1402"/>
      <c r="VCK11" s="1402"/>
      <c r="VCL11" s="1402"/>
      <c r="VCM11" s="1402"/>
      <c r="VCN11" s="1402"/>
      <c r="VCO11" s="1402"/>
      <c r="VCP11" s="1402"/>
      <c r="VCQ11" s="1402"/>
      <c r="VCR11" s="1402"/>
      <c r="VCS11" s="1402"/>
      <c r="VCT11" s="1402"/>
      <c r="VCU11" s="1402"/>
      <c r="VCV11" s="1402"/>
      <c r="VCW11" s="1402"/>
      <c r="VCX11" s="1402"/>
      <c r="VCY11" s="1402"/>
      <c r="VCZ11" s="1402"/>
      <c r="VDA11" s="1402"/>
      <c r="VDB11" s="1402"/>
      <c r="VDC11" s="1402"/>
      <c r="VDD11" s="1402"/>
      <c r="VDE11" s="1402"/>
      <c r="VDF11" s="1402"/>
      <c r="VDG11" s="1402"/>
      <c r="VDH11" s="1402"/>
      <c r="VDI11" s="1402"/>
      <c r="VDJ11" s="1402"/>
      <c r="VDK11" s="1402"/>
      <c r="VDL11" s="1402"/>
      <c r="VDM11" s="1402"/>
      <c r="VDN11" s="1402"/>
      <c r="VDO11" s="1402"/>
      <c r="VDP11" s="1402"/>
      <c r="VDQ11" s="1402"/>
      <c r="VDR11" s="1402"/>
      <c r="VDS11" s="1402"/>
      <c r="VDT11" s="1402"/>
      <c r="VDU11" s="1402"/>
      <c r="VDV11" s="1402"/>
      <c r="VDW11" s="1402"/>
      <c r="VDX11" s="1402"/>
      <c r="VDY11" s="1402"/>
      <c r="VDZ11" s="1402"/>
      <c r="VEA11" s="1402"/>
      <c r="VEB11" s="1402"/>
      <c r="VEC11" s="1402"/>
      <c r="VED11" s="1402"/>
      <c r="VEE11" s="1402"/>
      <c r="VEF11" s="1402"/>
      <c r="VEG11" s="1402"/>
      <c r="VEH11" s="1402"/>
      <c r="VEI11" s="1402"/>
      <c r="VEJ11" s="1402"/>
      <c r="VEK11" s="1402"/>
      <c r="VEL11" s="1402"/>
      <c r="VEM11" s="1402"/>
      <c r="VEN11" s="1402"/>
      <c r="VEO11" s="1402"/>
      <c r="VEP11" s="1402"/>
      <c r="VEQ11" s="1402"/>
      <c r="VER11" s="1402"/>
      <c r="VES11" s="1402"/>
      <c r="VET11" s="1402"/>
      <c r="VEU11" s="1402"/>
      <c r="VEV11" s="1402"/>
      <c r="VEW11" s="1402"/>
      <c r="VEX11" s="1402"/>
      <c r="VEY11" s="1402"/>
      <c r="VEZ11" s="1402"/>
      <c r="VFA11" s="1402"/>
      <c r="VFB11" s="1402"/>
      <c r="VFC11" s="1402"/>
      <c r="VFD11" s="1402"/>
      <c r="VFE11" s="1402"/>
      <c r="VFF11" s="1402"/>
      <c r="VFG11" s="1402"/>
      <c r="VFH11" s="1402"/>
      <c r="VFI11" s="1402"/>
      <c r="VFJ11" s="1402"/>
      <c r="VFK11" s="1402"/>
      <c r="VFL11" s="1402"/>
      <c r="VFM11" s="1402"/>
      <c r="VFN11" s="1402"/>
      <c r="VFO11" s="1402"/>
      <c r="VFP11" s="1402"/>
      <c r="VFQ11" s="1402"/>
      <c r="VFR11" s="1402"/>
      <c r="VFS11" s="1402"/>
      <c r="VFT11" s="1402"/>
      <c r="VFU11" s="1402"/>
      <c r="VFV11" s="1402"/>
      <c r="VFW11" s="1402"/>
      <c r="VFX11" s="1402"/>
      <c r="VFY11" s="1402"/>
      <c r="VFZ11" s="1402"/>
      <c r="VGA11" s="1402"/>
      <c r="VGB11" s="1402"/>
      <c r="VGC11" s="1402"/>
      <c r="VGD11" s="1402"/>
      <c r="VGE11" s="1402"/>
      <c r="VGF11" s="1402"/>
      <c r="VGG11" s="1402"/>
      <c r="VGH11" s="1402"/>
      <c r="VGI11" s="1402"/>
      <c r="VGJ11" s="1402"/>
      <c r="VGK11" s="1402"/>
      <c r="VGL11" s="1402"/>
      <c r="VGM11" s="1402"/>
      <c r="VGN11" s="1402"/>
      <c r="VGO11" s="1402"/>
      <c r="VGP11" s="1402"/>
      <c r="VGQ11" s="1402"/>
      <c r="VGR11" s="1402"/>
      <c r="VGS11" s="1402"/>
      <c r="VGT11" s="1402"/>
      <c r="VGU11" s="1402"/>
      <c r="VGV11" s="1402"/>
      <c r="VGW11" s="1402"/>
      <c r="VGX11" s="1402"/>
      <c r="VGY11" s="1402"/>
      <c r="VGZ11" s="1402"/>
      <c r="VHA11" s="1402"/>
      <c r="VHB11" s="1402"/>
      <c r="VHC11" s="1402"/>
      <c r="VHD11" s="1402"/>
      <c r="VHE11" s="1402"/>
      <c r="VHF11" s="1402"/>
      <c r="VHG11" s="1402"/>
      <c r="VHH11" s="1402"/>
      <c r="VHI11" s="1402"/>
      <c r="VHJ11" s="1402"/>
      <c r="VHK11" s="1402"/>
      <c r="VHL11" s="1402"/>
      <c r="VHM11" s="1402"/>
      <c r="VHN11" s="1402"/>
      <c r="VHO11" s="1402"/>
      <c r="VHP11" s="1402"/>
      <c r="VHQ11" s="1402"/>
      <c r="VHR11" s="1402"/>
      <c r="VHS11" s="1402"/>
      <c r="VHT11" s="1402"/>
      <c r="VHU11" s="1402"/>
      <c r="VHV11" s="1402"/>
      <c r="VHW11" s="1402"/>
      <c r="VHX11" s="1402"/>
      <c r="VHY11" s="1402"/>
      <c r="VHZ11" s="1402"/>
      <c r="VIA11" s="1402"/>
      <c r="VIB11" s="1402"/>
      <c r="VIC11" s="1402"/>
      <c r="VID11" s="1402"/>
      <c r="VIE11" s="1402"/>
      <c r="VIF11" s="1402"/>
      <c r="VIG11" s="1402"/>
      <c r="VIH11" s="1402"/>
      <c r="VII11" s="1402"/>
      <c r="VIJ11" s="1402"/>
      <c r="VIK11" s="1402"/>
      <c r="VIL11" s="1402"/>
      <c r="VIM11" s="1402"/>
      <c r="VIN11" s="1402"/>
      <c r="VIO11" s="1402"/>
      <c r="VIP11" s="1402"/>
      <c r="VIQ11" s="1402"/>
      <c r="VIR11" s="1402"/>
      <c r="VIS11" s="1402"/>
      <c r="VIT11" s="1402"/>
      <c r="VIU11" s="1402"/>
      <c r="VIV11" s="1402"/>
      <c r="VIW11" s="1402"/>
      <c r="VIX11" s="1402"/>
      <c r="VIY11" s="1402"/>
      <c r="VIZ11" s="1402"/>
      <c r="VJA11" s="1402"/>
      <c r="VJB11" s="1402"/>
      <c r="VJC11" s="1402"/>
      <c r="VJD11" s="1402"/>
      <c r="VJE11" s="1402"/>
      <c r="VJF11" s="1402"/>
      <c r="VJG11" s="1402"/>
      <c r="VJH11" s="1402"/>
      <c r="VJI11" s="1402"/>
      <c r="VJJ11" s="1402"/>
      <c r="VJK11" s="1402"/>
      <c r="VJL11" s="1402"/>
      <c r="VJM11" s="1402"/>
      <c r="VJN11" s="1402"/>
      <c r="VJO11" s="1402"/>
      <c r="VJP11" s="1402"/>
      <c r="VJQ11" s="1402"/>
      <c r="VJR11" s="1402"/>
      <c r="VJS11" s="1402"/>
      <c r="VJT11" s="1402"/>
      <c r="VJU11" s="1402"/>
      <c r="VJV11" s="1402"/>
      <c r="VJW11" s="1402"/>
      <c r="VJX11" s="1402"/>
      <c r="VJY11" s="1402"/>
      <c r="VJZ11" s="1402"/>
      <c r="VKA11" s="1402"/>
      <c r="VKB11" s="1402"/>
      <c r="VKC11" s="1402"/>
      <c r="VKD11" s="1402"/>
      <c r="VKE11" s="1402"/>
      <c r="VKF11" s="1402"/>
      <c r="VKG11" s="1402"/>
      <c r="VKH11" s="1402"/>
      <c r="VKI11" s="1402"/>
      <c r="VKJ11" s="1402"/>
      <c r="VKK11" s="1402"/>
      <c r="VKL11" s="1402"/>
      <c r="VKM11" s="1402"/>
      <c r="VKN11" s="1402"/>
      <c r="VKO11" s="1402"/>
      <c r="VKP11" s="1402"/>
      <c r="VKQ11" s="1402"/>
      <c r="VKR11" s="1402"/>
      <c r="VKS11" s="1402"/>
      <c r="VKT11" s="1402"/>
      <c r="VKU11" s="1402"/>
      <c r="VKV11" s="1402"/>
      <c r="VKW11" s="1402"/>
      <c r="VKX11" s="1402"/>
      <c r="VKY11" s="1402"/>
      <c r="VKZ11" s="1402"/>
      <c r="VLA11" s="1402"/>
      <c r="VLB11" s="1402"/>
      <c r="VLC11" s="1402"/>
      <c r="VLD11" s="1402"/>
      <c r="VLE11" s="1402"/>
      <c r="VLF11" s="1402"/>
      <c r="VLG11" s="1402"/>
      <c r="VLH11" s="1402"/>
      <c r="VLI11" s="1402"/>
      <c r="VLJ11" s="1402"/>
      <c r="VLK11" s="1402"/>
      <c r="VLL11" s="1402"/>
      <c r="VLM11" s="1402"/>
      <c r="VLN11" s="1402"/>
      <c r="VLO11" s="1402"/>
      <c r="VLP11" s="1402"/>
      <c r="VLQ11" s="1402"/>
      <c r="VLR11" s="1402"/>
      <c r="VLS11" s="1402"/>
      <c r="VLT11" s="1402"/>
      <c r="VLU11" s="1402"/>
      <c r="VLV11" s="1402"/>
      <c r="VLW11" s="1402"/>
      <c r="VLX11" s="1402"/>
      <c r="VLY11" s="1402"/>
      <c r="VLZ11" s="1402"/>
      <c r="VMA11" s="1402"/>
      <c r="VMB11" s="1402"/>
      <c r="VMC11" s="1402"/>
      <c r="VMD11" s="1402"/>
      <c r="VME11" s="1402"/>
      <c r="VMF11" s="1402"/>
      <c r="VMG11" s="1402"/>
      <c r="VMH11" s="1402"/>
      <c r="VMI11" s="1402"/>
      <c r="VMJ11" s="1402"/>
      <c r="VMK11" s="1402"/>
      <c r="VML11" s="1402"/>
      <c r="VMM11" s="1402"/>
      <c r="VMN11" s="1402"/>
      <c r="VMO11" s="1402"/>
      <c r="VMP11" s="1402"/>
      <c r="VMQ11" s="1402"/>
      <c r="VMR11" s="1402"/>
      <c r="VMS11" s="1402"/>
      <c r="VMT11" s="1402"/>
      <c r="VMU11" s="1402"/>
      <c r="VMV11" s="1402"/>
      <c r="VMW11" s="1402"/>
      <c r="VMX11" s="1402"/>
      <c r="VMY11" s="1402"/>
      <c r="VMZ11" s="1402"/>
      <c r="VNA11" s="1402"/>
      <c r="VNB11" s="1402"/>
      <c r="VNC11" s="1402"/>
      <c r="VND11" s="1402"/>
      <c r="VNE11" s="1402"/>
      <c r="VNF11" s="1402"/>
      <c r="VNG11" s="1402"/>
      <c r="VNH11" s="1402"/>
      <c r="VNI11" s="1402"/>
      <c r="VNJ11" s="1402"/>
      <c r="VNK11" s="1402"/>
      <c r="VNL11" s="1402"/>
      <c r="VNM11" s="1402"/>
      <c r="VNN11" s="1402"/>
      <c r="VNO11" s="1402"/>
      <c r="VNP11" s="1402"/>
      <c r="VNQ11" s="1402"/>
      <c r="VNR11" s="1402"/>
      <c r="VNS11" s="1402"/>
      <c r="VNT11" s="1402"/>
      <c r="VNU11" s="1402"/>
      <c r="VNV11" s="1402"/>
      <c r="VNW11" s="1402"/>
      <c r="VNX11" s="1402"/>
      <c r="VNY11" s="1402"/>
      <c r="VNZ11" s="1402"/>
      <c r="VOA11" s="1402"/>
      <c r="VOB11" s="1402"/>
      <c r="VOC11" s="1402"/>
      <c r="VOD11" s="1402"/>
      <c r="VOE11" s="1402"/>
      <c r="VOF11" s="1402"/>
      <c r="VOG11" s="1402"/>
      <c r="VOH11" s="1402"/>
      <c r="VOI11" s="1402"/>
      <c r="VOJ11" s="1402"/>
      <c r="VOK11" s="1402"/>
      <c r="VOL11" s="1402"/>
      <c r="VOM11" s="1402"/>
      <c r="VON11" s="1402"/>
      <c r="VOO11" s="1402"/>
      <c r="VOP11" s="1402"/>
      <c r="VOQ11" s="1402"/>
      <c r="VOR11" s="1402"/>
      <c r="VOS11" s="1402"/>
      <c r="VOT11" s="1402"/>
      <c r="VOU11" s="1402"/>
      <c r="VOV11" s="1402"/>
      <c r="VOW11" s="1402"/>
      <c r="VOX11" s="1402"/>
      <c r="VOY11" s="1402"/>
      <c r="VOZ11" s="1402"/>
      <c r="VPA11" s="1402"/>
      <c r="VPB11" s="1402"/>
      <c r="VPC11" s="1402"/>
      <c r="VPD11" s="1402"/>
      <c r="VPE11" s="1402"/>
      <c r="VPF11" s="1402"/>
      <c r="VPG11" s="1402"/>
      <c r="VPH11" s="1402"/>
      <c r="VPI11" s="1402"/>
      <c r="VPJ11" s="1402"/>
      <c r="VPK11" s="1402"/>
      <c r="VPL11" s="1402"/>
      <c r="VPM11" s="1402"/>
      <c r="VPN11" s="1402"/>
      <c r="VPO11" s="1402"/>
      <c r="VPP11" s="1402"/>
      <c r="VPQ11" s="1402"/>
      <c r="VPR11" s="1402"/>
      <c r="VPS11" s="1402"/>
      <c r="VPT11" s="1402"/>
      <c r="VPU11" s="1402"/>
      <c r="VPV11" s="1402"/>
      <c r="VPW11" s="1402"/>
      <c r="VPX11" s="1402"/>
      <c r="VPY11" s="1402"/>
      <c r="VPZ11" s="1402"/>
      <c r="VQA11" s="1402"/>
      <c r="VQB11" s="1402"/>
      <c r="VQC11" s="1402"/>
      <c r="VQD11" s="1402"/>
      <c r="VQE11" s="1402"/>
      <c r="VQF11" s="1402"/>
      <c r="VQG11" s="1402"/>
      <c r="VQH11" s="1402"/>
      <c r="VQI11" s="1402"/>
      <c r="VQJ11" s="1402"/>
      <c r="VQK11" s="1402"/>
      <c r="VQL11" s="1402"/>
      <c r="VQM11" s="1402"/>
      <c r="VQN11" s="1402"/>
      <c r="VQO11" s="1402"/>
      <c r="VQP11" s="1402"/>
      <c r="VQQ11" s="1402"/>
      <c r="VQR11" s="1402"/>
      <c r="VQS11" s="1402"/>
      <c r="VQT11" s="1402"/>
      <c r="VQU11" s="1402"/>
      <c r="VQV11" s="1402"/>
      <c r="VQW11" s="1402"/>
      <c r="VQX11" s="1402"/>
      <c r="VQY11" s="1402"/>
      <c r="VQZ11" s="1402"/>
      <c r="VRA11" s="1402"/>
      <c r="VRB11" s="1402"/>
      <c r="VRC11" s="1402"/>
      <c r="VRD11" s="1402"/>
      <c r="VRE11" s="1402"/>
      <c r="VRF11" s="1402"/>
      <c r="VRG11" s="1402"/>
      <c r="VRH11" s="1402"/>
      <c r="VRI11" s="1402"/>
      <c r="VRJ11" s="1402"/>
      <c r="VRK11" s="1402"/>
      <c r="VRL11" s="1402"/>
      <c r="VRM11" s="1402"/>
      <c r="VRN11" s="1402"/>
      <c r="VRO11" s="1402"/>
      <c r="VRP11" s="1402"/>
      <c r="VRQ11" s="1402"/>
      <c r="VRR11" s="1402"/>
      <c r="VRS11" s="1402"/>
      <c r="VRT11" s="1402"/>
      <c r="VRU11" s="1402"/>
      <c r="VRV11" s="1402"/>
      <c r="VRW11" s="1402"/>
      <c r="VRX11" s="1402"/>
      <c r="VRY11" s="1402"/>
      <c r="VRZ11" s="1402"/>
      <c r="VSA11" s="1402"/>
      <c r="VSB11" s="1402"/>
      <c r="VSC11" s="1402"/>
      <c r="VSD11" s="1402"/>
      <c r="VSE11" s="1402"/>
      <c r="VSF11" s="1402"/>
      <c r="VSG11" s="1402"/>
      <c r="VSH11" s="1402"/>
      <c r="VSI11" s="1402"/>
      <c r="VSJ11" s="1402"/>
      <c r="VSK11" s="1402"/>
      <c r="VSL11" s="1402"/>
      <c r="VSM11" s="1402"/>
      <c r="VSN11" s="1402"/>
      <c r="VSO11" s="1402"/>
      <c r="VSP11" s="1402"/>
      <c r="VSQ11" s="1402"/>
      <c r="VSR11" s="1402"/>
      <c r="VSS11" s="1402"/>
      <c r="VST11" s="1402"/>
      <c r="VSU11" s="1402"/>
      <c r="VSV11" s="1402"/>
      <c r="VSW11" s="1402"/>
      <c r="VSX11" s="1402"/>
      <c r="VSY11" s="1402"/>
      <c r="VSZ11" s="1402"/>
      <c r="VTA11" s="1402"/>
      <c r="VTB11" s="1402"/>
      <c r="VTC11" s="1402"/>
      <c r="VTD11" s="1402"/>
      <c r="VTE11" s="1402"/>
      <c r="VTF11" s="1402"/>
      <c r="VTG11" s="1402"/>
      <c r="VTH11" s="1402"/>
      <c r="VTI11" s="1402"/>
      <c r="VTJ11" s="1402"/>
      <c r="VTK11" s="1402"/>
      <c r="VTL11" s="1402"/>
      <c r="VTM11" s="1402"/>
      <c r="VTN11" s="1402"/>
      <c r="VTO11" s="1402"/>
      <c r="VTP11" s="1402"/>
      <c r="VTQ11" s="1402"/>
      <c r="VTR11" s="1402"/>
      <c r="VTS11" s="1402"/>
      <c r="VTT11" s="1402"/>
      <c r="VTU11" s="1402"/>
      <c r="VTV11" s="1402"/>
      <c r="VTW11" s="1402"/>
      <c r="VTX11" s="1402"/>
      <c r="VTY11" s="1402"/>
      <c r="VTZ11" s="1402"/>
      <c r="VUA11" s="1402"/>
      <c r="VUB11" s="1402"/>
      <c r="VUC11" s="1402"/>
      <c r="VUD11" s="1402"/>
      <c r="VUE11" s="1402"/>
      <c r="VUF11" s="1402"/>
      <c r="VUG11" s="1402"/>
      <c r="VUH11" s="1402"/>
      <c r="VUI11" s="1402"/>
      <c r="VUJ11" s="1402"/>
      <c r="VUK11" s="1402"/>
      <c r="VUL11" s="1402"/>
      <c r="VUM11" s="1402"/>
      <c r="VUN11" s="1402"/>
      <c r="VUO11" s="1402"/>
      <c r="VUP11" s="1402"/>
      <c r="VUQ11" s="1402"/>
      <c r="VUR11" s="1402"/>
      <c r="VUS11" s="1402"/>
      <c r="VUT11" s="1402"/>
      <c r="VUU11" s="1402"/>
      <c r="VUV11" s="1402"/>
      <c r="VUW11" s="1402"/>
      <c r="VUX11" s="1402"/>
      <c r="VUY11" s="1402"/>
      <c r="VUZ11" s="1402"/>
      <c r="VVA11" s="1402"/>
      <c r="VVB11" s="1402"/>
      <c r="VVC11" s="1402"/>
      <c r="VVD11" s="1402"/>
      <c r="VVE11" s="1402"/>
      <c r="VVF11" s="1402"/>
      <c r="VVG11" s="1402"/>
      <c r="VVH11" s="1402"/>
      <c r="VVI11" s="1402"/>
      <c r="VVJ11" s="1402"/>
      <c r="VVK11" s="1402"/>
      <c r="VVL11" s="1402"/>
      <c r="VVM11" s="1402"/>
      <c r="VVN11" s="1402"/>
      <c r="VVO11" s="1402"/>
      <c r="VVP11" s="1402"/>
      <c r="VVQ11" s="1402"/>
      <c r="VVR11" s="1402"/>
      <c r="VVS11" s="1402"/>
      <c r="VVT11" s="1402"/>
      <c r="VVU11" s="1402"/>
      <c r="VVV11" s="1402"/>
      <c r="VVW11" s="1402"/>
      <c r="VVX11" s="1402"/>
      <c r="VVY11" s="1402"/>
      <c r="VVZ11" s="1402"/>
      <c r="VWA11" s="1402"/>
      <c r="VWB11" s="1402"/>
      <c r="VWC11" s="1402"/>
      <c r="VWD11" s="1402"/>
      <c r="VWE11" s="1402"/>
      <c r="VWF11" s="1402"/>
      <c r="VWG11" s="1402"/>
      <c r="VWH11" s="1402"/>
      <c r="VWI11" s="1402"/>
      <c r="VWJ11" s="1402"/>
      <c r="VWK11" s="1402"/>
      <c r="VWL11" s="1402"/>
      <c r="VWM11" s="1402"/>
      <c r="VWN11" s="1402"/>
      <c r="VWO11" s="1402"/>
      <c r="VWP11" s="1402"/>
      <c r="VWQ11" s="1402"/>
      <c r="VWR11" s="1402"/>
      <c r="VWS11" s="1402"/>
      <c r="VWT11" s="1402"/>
      <c r="VWU11" s="1402"/>
      <c r="VWV11" s="1402"/>
      <c r="VWW11" s="1402"/>
      <c r="VWX11" s="1402"/>
      <c r="VWY11" s="1402"/>
      <c r="VWZ11" s="1402"/>
      <c r="VXA11" s="1402"/>
      <c r="VXB11" s="1402"/>
      <c r="VXC11" s="1402"/>
      <c r="VXD11" s="1402"/>
      <c r="VXE11" s="1402"/>
      <c r="VXF11" s="1402"/>
      <c r="VXG11" s="1402"/>
      <c r="VXH11" s="1402"/>
      <c r="VXI11" s="1402"/>
      <c r="VXJ11" s="1402"/>
      <c r="VXK11" s="1402"/>
      <c r="VXL11" s="1402"/>
      <c r="VXM11" s="1402"/>
      <c r="VXN11" s="1402"/>
      <c r="VXO11" s="1402"/>
      <c r="VXP11" s="1402"/>
      <c r="VXQ11" s="1402"/>
      <c r="VXR11" s="1402"/>
      <c r="VXS11" s="1402"/>
      <c r="VXT11" s="1402"/>
      <c r="VXU11" s="1402"/>
      <c r="VXV11" s="1402"/>
      <c r="VXW11" s="1402"/>
      <c r="VXX11" s="1402"/>
      <c r="VXY11" s="1402"/>
      <c r="VXZ11" s="1402"/>
      <c r="VYA11" s="1402"/>
      <c r="VYB11" s="1402"/>
      <c r="VYC11" s="1402"/>
      <c r="VYD11" s="1402"/>
      <c r="VYE11" s="1402"/>
      <c r="VYF11" s="1402"/>
      <c r="VYG11" s="1402"/>
      <c r="VYH11" s="1402"/>
      <c r="VYI11" s="1402"/>
      <c r="VYJ11" s="1402"/>
      <c r="VYK11" s="1402"/>
      <c r="VYL11" s="1402"/>
      <c r="VYM11" s="1402"/>
      <c r="VYN11" s="1402"/>
      <c r="VYO11" s="1402"/>
      <c r="VYP11" s="1402"/>
      <c r="VYQ11" s="1402"/>
      <c r="VYR11" s="1402"/>
      <c r="VYS11" s="1402"/>
      <c r="VYT11" s="1402"/>
      <c r="VYU11" s="1402"/>
      <c r="VYV11" s="1402"/>
      <c r="VYW11" s="1402"/>
      <c r="VYX11" s="1402"/>
      <c r="VYY11" s="1402"/>
      <c r="VYZ11" s="1402"/>
      <c r="VZA11" s="1402"/>
      <c r="VZB11" s="1402"/>
      <c r="VZC11" s="1402"/>
      <c r="VZD11" s="1402"/>
      <c r="VZE11" s="1402"/>
      <c r="VZF11" s="1402"/>
      <c r="VZG11" s="1402"/>
      <c r="VZH11" s="1402"/>
      <c r="VZI11" s="1402"/>
      <c r="VZJ11" s="1402"/>
      <c r="VZK11" s="1402"/>
      <c r="VZL11" s="1402"/>
      <c r="VZM11" s="1402"/>
      <c r="VZN11" s="1402"/>
      <c r="VZO11" s="1402"/>
      <c r="VZP11" s="1402"/>
      <c r="VZQ11" s="1402"/>
      <c r="VZR11" s="1402"/>
      <c r="VZS11" s="1402"/>
      <c r="VZT11" s="1402"/>
      <c r="VZU11" s="1402"/>
      <c r="VZV11" s="1402"/>
      <c r="VZW11" s="1402"/>
      <c r="VZX11" s="1402"/>
      <c r="VZY11" s="1402"/>
      <c r="VZZ11" s="1402"/>
      <c r="WAA11" s="1402"/>
      <c r="WAB11" s="1402"/>
      <c r="WAC11" s="1402"/>
      <c r="WAD11" s="1402"/>
      <c r="WAE11" s="1402"/>
      <c r="WAF11" s="1402"/>
      <c r="WAG11" s="1402"/>
      <c r="WAH11" s="1402"/>
      <c r="WAI11" s="1402"/>
      <c r="WAJ11" s="1402"/>
      <c r="WAK11" s="1402"/>
      <c r="WAL11" s="1402"/>
      <c r="WAM11" s="1402"/>
      <c r="WAN11" s="1402"/>
      <c r="WAO11" s="1402"/>
      <c r="WAP11" s="1402"/>
      <c r="WAQ11" s="1402"/>
      <c r="WAR11" s="1402"/>
      <c r="WAS11" s="1402"/>
      <c r="WAT11" s="1402"/>
      <c r="WAU11" s="1402"/>
      <c r="WAV11" s="1402"/>
      <c r="WAW11" s="1402"/>
      <c r="WAX11" s="1402"/>
      <c r="WAY11" s="1402"/>
      <c r="WAZ11" s="1402"/>
      <c r="WBA11" s="1402"/>
      <c r="WBB11" s="1402"/>
      <c r="WBC11" s="1402"/>
      <c r="WBD11" s="1402"/>
      <c r="WBE11" s="1402"/>
      <c r="WBF11" s="1402"/>
      <c r="WBG11" s="1402"/>
      <c r="WBH11" s="1402"/>
      <c r="WBI11" s="1402"/>
      <c r="WBJ11" s="1402"/>
      <c r="WBK11" s="1402"/>
      <c r="WBL11" s="1402"/>
      <c r="WBM11" s="1402"/>
      <c r="WBN11" s="1402"/>
      <c r="WBO11" s="1402"/>
      <c r="WBP11" s="1402"/>
      <c r="WBQ11" s="1402"/>
      <c r="WBR11" s="1402"/>
      <c r="WBS11" s="1402"/>
      <c r="WBT11" s="1402"/>
      <c r="WBU11" s="1402"/>
      <c r="WBV11" s="1402"/>
      <c r="WBW11" s="1402"/>
      <c r="WBX11" s="1402"/>
      <c r="WBY11" s="1402"/>
      <c r="WBZ11" s="1402"/>
      <c r="WCA11" s="1402"/>
      <c r="WCB11" s="1402"/>
      <c r="WCC11" s="1402"/>
      <c r="WCD11" s="1402"/>
      <c r="WCE11" s="1402"/>
      <c r="WCF11" s="1402"/>
      <c r="WCG11" s="1402"/>
      <c r="WCH11" s="1402"/>
      <c r="WCI11" s="1402"/>
      <c r="WCJ11" s="1402"/>
      <c r="WCK11" s="1402"/>
      <c r="WCL11" s="1402"/>
      <c r="WCM11" s="1402"/>
      <c r="WCN11" s="1402"/>
      <c r="WCO11" s="1402"/>
      <c r="WCP11" s="1402"/>
      <c r="WCQ11" s="1402"/>
      <c r="WCR11" s="1402"/>
      <c r="WCS11" s="1402"/>
      <c r="WCT11" s="1402"/>
      <c r="WCU11" s="1402"/>
      <c r="WCV11" s="1402"/>
      <c r="WCW11" s="1402"/>
      <c r="WCX11" s="1402"/>
      <c r="WCY11" s="1402"/>
      <c r="WCZ11" s="1402"/>
      <c r="WDA11" s="1402"/>
      <c r="WDB11" s="1402"/>
      <c r="WDC11" s="1402"/>
      <c r="WDD11" s="1402"/>
      <c r="WDE11" s="1402"/>
      <c r="WDF11" s="1402"/>
      <c r="WDG11" s="1402"/>
      <c r="WDH11" s="1402"/>
      <c r="WDI11" s="1402"/>
      <c r="WDJ11" s="1402"/>
      <c r="WDK11" s="1402"/>
      <c r="WDL11" s="1402"/>
      <c r="WDM11" s="1402"/>
      <c r="WDN11" s="1402"/>
      <c r="WDO11" s="1402"/>
      <c r="WDP11" s="1402"/>
      <c r="WDQ11" s="1402"/>
      <c r="WDR11" s="1402"/>
      <c r="WDS11" s="1402"/>
      <c r="WDT11" s="1402"/>
      <c r="WDU11" s="1402"/>
      <c r="WDV11" s="1402"/>
      <c r="WDW11" s="1402"/>
      <c r="WDX11" s="1402"/>
      <c r="WDY11" s="1402"/>
      <c r="WDZ11" s="1402"/>
      <c r="WEA11" s="1402"/>
      <c r="WEB11" s="1402"/>
      <c r="WEC11" s="1402"/>
      <c r="WED11" s="1402"/>
      <c r="WEE11" s="1402"/>
      <c r="WEF11" s="1402"/>
      <c r="WEG11" s="1402"/>
      <c r="WEH11" s="1402"/>
      <c r="WEI11" s="1402"/>
      <c r="WEJ11" s="1402"/>
      <c r="WEK11" s="1402"/>
      <c r="WEL11" s="1402"/>
      <c r="WEM11" s="1402"/>
      <c r="WEN11" s="1402"/>
      <c r="WEO11" s="1402"/>
      <c r="WEP11" s="1402"/>
      <c r="WEQ11" s="1402"/>
      <c r="WER11" s="1402"/>
      <c r="WES11" s="1402"/>
      <c r="WET11" s="1402"/>
      <c r="WEU11" s="1402"/>
      <c r="WEV11" s="1402"/>
      <c r="WEW11" s="1402"/>
      <c r="WEX11" s="1402"/>
      <c r="WEY11" s="1402"/>
      <c r="WEZ11" s="1402"/>
      <c r="WFA11" s="1402"/>
      <c r="WFB11" s="1402"/>
      <c r="WFC11" s="1402"/>
      <c r="WFD11" s="1402"/>
      <c r="WFE11" s="1402"/>
      <c r="WFF11" s="1402"/>
      <c r="WFG11" s="1402"/>
      <c r="WFH11" s="1402"/>
      <c r="WFI11" s="1402"/>
      <c r="WFJ11" s="1402"/>
      <c r="WFK11" s="1402"/>
      <c r="WFL11" s="1402"/>
      <c r="WFM11" s="1402"/>
      <c r="WFN11" s="1402"/>
      <c r="WFO11" s="1402"/>
      <c r="WFP11" s="1402"/>
      <c r="WFQ11" s="1402"/>
      <c r="WFR11" s="1402"/>
      <c r="WFS11" s="1402"/>
      <c r="WFT11" s="1402"/>
      <c r="WFU11" s="1402"/>
      <c r="WFV11" s="1402"/>
      <c r="WFW11" s="1402"/>
      <c r="WFX11" s="1402"/>
      <c r="WFY11" s="1402"/>
      <c r="WFZ11" s="1402"/>
      <c r="WGA11" s="1402"/>
      <c r="WGB11" s="1402"/>
      <c r="WGC11" s="1402"/>
      <c r="WGD11" s="1402"/>
      <c r="WGE11" s="1402"/>
      <c r="WGF11" s="1402"/>
      <c r="WGG11" s="1402"/>
      <c r="WGH11" s="1402"/>
      <c r="WGI11" s="1402"/>
      <c r="WGJ11" s="1402"/>
      <c r="WGK11" s="1402"/>
      <c r="WGL11" s="1402"/>
      <c r="WGM11" s="1402"/>
      <c r="WGN11" s="1402"/>
      <c r="WGO11" s="1402"/>
      <c r="WGP11" s="1402"/>
      <c r="WGQ11" s="1402"/>
      <c r="WGR11" s="1402"/>
      <c r="WGS11" s="1402"/>
      <c r="WGT11" s="1402"/>
      <c r="WGU11" s="1402"/>
      <c r="WGV11" s="1402"/>
      <c r="WGW11" s="1402"/>
      <c r="WGX11" s="1402"/>
      <c r="WGY11" s="1402"/>
      <c r="WGZ11" s="1402"/>
      <c r="WHA11" s="1402"/>
      <c r="WHB11" s="1402"/>
      <c r="WHC11" s="1402"/>
      <c r="WHD11" s="1402"/>
      <c r="WHE11" s="1402"/>
      <c r="WHF11" s="1402"/>
      <c r="WHG11" s="1402"/>
      <c r="WHH11" s="1402"/>
      <c r="WHI11" s="1402"/>
      <c r="WHJ11" s="1402"/>
      <c r="WHK11" s="1402"/>
      <c r="WHL11" s="1402"/>
      <c r="WHM11" s="1402"/>
      <c r="WHN11" s="1402"/>
      <c r="WHO11" s="1402"/>
      <c r="WHP11" s="1402"/>
      <c r="WHQ11" s="1402"/>
      <c r="WHR11" s="1402"/>
      <c r="WHS11" s="1402"/>
      <c r="WHT11" s="1402"/>
      <c r="WHU11" s="1402"/>
      <c r="WHV11" s="1402"/>
      <c r="WHW11" s="1402"/>
      <c r="WHX11" s="1402"/>
      <c r="WHY11" s="1402"/>
      <c r="WHZ11" s="1402"/>
      <c r="WIA11" s="1402"/>
      <c r="WIB11" s="1402"/>
      <c r="WIC11" s="1402"/>
      <c r="WID11" s="1402"/>
      <c r="WIE11" s="1402"/>
      <c r="WIF11" s="1402"/>
      <c r="WIG11" s="1402"/>
      <c r="WIH11" s="1402"/>
      <c r="WII11" s="1402"/>
      <c r="WIJ11" s="1402"/>
      <c r="WIK11" s="1402"/>
      <c r="WIL11" s="1402"/>
      <c r="WIM11" s="1402"/>
      <c r="WIN11" s="1402"/>
      <c r="WIO11" s="1402"/>
      <c r="WIP11" s="1402"/>
      <c r="WIQ11" s="1402"/>
      <c r="WIR11" s="1402"/>
      <c r="WIS11" s="1402"/>
      <c r="WIT11" s="1402"/>
      <c r="WIU11" s="1402"/>
      <c r="WIV11" s="1402"/>
      <c r="WIW11" s="1402"/>
      <c r="WIX11" s="1402"/>
      <c r="WIY11" s="1402"/>
      <c r="WIZ11" s="1402"/>
      <c r="WJA11" s="1402"/>
      <c r="WJB11" s="1402"/>
      <c r="WJC11" s="1402"/>
      <c r="WJD11" s="1402"/>
      <c r="WJE11" s="1402"/>
      <c r="WJF11" s="1402"/>
      <c r="WJG11" s="1402"/>
      <c r="WJH11" s="1402"/>
      <c r="WJI11" s="1402"/>
      <c r="WJJ11" s="1402"/>
      <c r="WJK11" s="1402"/>
      <c r="WJL11" s="1402"/>
      <c r="WJM11" s="1402"/>
      <c r="WJN11" s="1402"/>
      <c r="WJO11" s="1402"/>
      <c r="WJP11" s="1402"/>
      <c r="WJQ11" s="1402"/>
      <c r="WJR11" s="1402"/>
      <c r="WJS11" s="1402"/>
      <c r="WJT11" s="1402"/>
      <c r="WJU11" s="1402"/>
      <c r="WJV11" s="1402"/>
      <c r="WJW11" s="1402"/>
      <c r="WJX11" s="1402"/>
      <c r="WJY11" s="1402"/>
      <c r="WJZ11" s="1402"/>
      <c r="WKA11" s="1402"/>
      <c r="WKB11" s="1402"/>
      <c r="WKC11" s="1402"/>
      <c r="WKD11" s="1402"/>
      <c r="WKE11" s="1402"/>
      <c r="WKF11" s="1402"/>
      <c r="WKG11" s="1402"/>
      <c r="WKH11" s="1402"/>
      <c r="WKI11" s="1402"/>
      <c r="WKJ11" s="1402"/>
      <c r="WKK11" s="1402"/>
      <c r="WKL11" s="1402"/>
      <c r="WKM11" s="1402"/>
      <c r="WKN11" s="1402"/>
      <c r="WKO11" s="1402"/>
      <c r="WKP11" s="1402"/>
      <c r="WKQ11" s="1402"/>
      <c r="WKR11" s="1402"/>
      <c r="WKS11" s="1402"/>
      <c r="WKT11" s="1402"/>
      <c r="WKU11" s="1402"/>
      <c r="WKV11" s="1402"/>
      <c r="WKW11" s="1402"/>
      <c r="WKX11" s="1402"/>
      <c r="WKY11" s="1402"/>
      <c r="WKZ11" s="1402"/>
      <c r="WLA11" s="1402"/>
      <c r="WLB11" s="1402"/>
      <c r="WLC11" s="1402"/>
      <c r="WLD11" s="1402"/>
      <c r="WLE11" s="1402"/>
      <c r="WLF11" s="1402"/>
      <c r="WLG11" s="1402"/>
      <c r="WLH11" s="1402"/>
      <c r="WLI11" s="1402"/>
      <c r="WLJ11" s="1402"/>
      <c r="WLK11" s="1402"/>
      <c r="WLL11" s="1402"/>
      <c r="WLM11" s="1402"/>
      <c r="WLN11" s="1402"/>
      <c r="WLO11" s="1402"/>
      <c r="WLP11" s="1402"/>
      <c r="WLQ11" s="1402"/>
      <c r="WLR11" s="1402"/>
      <c r="WLS11" s="1402"/>
      <c r="WLT11" s="1402"/>
      <c r="WLU11" s="1402"/>
      <c r="WLV11" s="1402"/>
      <c r="WLW11" s="1402"/>
      <c r="WLX11" s="1402"/>
      <c r="WLY11" s="1402"/>
      <c r="WLZ11" s="1402"/>
      <c r="WMA11" s="1402"/>
      <c r="WMB11" s="1402"/>
      <c r="WMC11" s="1402"/>
      <c r="WMD11" s="1402"/>
      <c r="WME11" s="1402"/>
      <c r="WMF11" s="1402"/>
      <c r="WMG11" s="1402"/>
      <c r="WMH11" s="1402"/>
      <c r="WMI11" s="1402"/>
      <c r="WMJ11" s="1402"/>
      <c r="WMK11" s="1402"/>
      <c r="WML11" s="1402"/>
      <c r="WMM11" s="1402"/>
      <c r="WMN11" s="1402"/>
      <c r="WMO11" s="1402"/>
      <c r="WMP11" s="1402"/>
      <c r="WMQ11" s="1402"/>
      <c r="WMR11" s="1402"/>
      <c r="WMS11" s="1402"/>
      <c r="WMT11" s="1402"/>
      <c r="WMU11" s="1402"/>
      <c r="WMV11" s="1402"/>
      <c r="WMW11" s="1402"/>
      <c r="WMX11" s="1402"/>
      <c r="WMY11" s="1402"/>
      <c r="WMZ11" s="1402"/>
      <c r="WNA11" s="1402"/>
      <c r="WNB11" s="1402"/>
      <c r="WNC11" s="1402"/>
      <c r="WND11" s="1402"/>
      <c r="WNE11" s="1402"/>
      <c r="WNF11" s="1402"/>
      <c r="WNG11" s="1402"/>
      <c r="WNH11" s="1402"/>
      <c r="WNI11" s="1402"/>
      <c r="WNJ11" s="1402"/>
      <c r="WNK11" s="1402"/>
      <c r="WNL11" s="1402"/>
      <c r="WNM11" s="1402"/>
      <c r="WNN11" s="1402"/>
      <c r="WNO11" s="1402"/>
      <c r="WNP11" s="1402"/>
      <c r="WNQ11" s="1402"/>
      <c r="WNR11" s="1402"/>
      <c r="WNS11" s="1402"/>
      <c r="WNT11" s="1402"/>
      <c r="WNU11" s="1402"/>
      <c r="WNV11" s="1402"/>
      <c r="WNW11" s="1402"/>
      <c r="WNX11" s="1402"/>
      <c r="WNY11" s="1402"/>
      <c r="WNZ11" s="1402"/>
      <c r="WOA11" s="1402"/>
      <c r="WOB11" s="1402"/>
      <c r="WOC11" s="1402"/>
      <c r="WOD11" s="1402"/>
      <c r="WOE11" s="1402"/>
      <c r="WOF11" s="1402"/>
      <c r="WOG11" s="1402"/>
      <c r="WOH11" s="1402"/>
      <c r="WOI11" s="1402"/>
      <c r="WOJ11" s="1402"/>
      <c r="WOK11" s="1402"/>
      <c r="WOL11" s="1402"/>
      <c r="WOM11" s="1402"/>
      <c r="WON11" s="1402"/>
      <c r="WOO11" s="1402"/>
      <c r="WOP11" s="1402"/>
      <c r="WOQ11" s="1402"/>
      <c r="WOR11" s="1402"/>
      <c r="WOS11" s="1402"/>
      <c r="WOT11" s="1402"/>
      <c r="WOU11" s="1402"/>
      <c r="WOV11" s="1402"/>
      <c r="WOW11" s="1402"/>
      <c r="WOX11" s="1402"/>
      <c r="WOY11" s="1402"/>
      <c r="WOZ11" s="1402"/>
      <c r="WPA11" s="1402"/>
      <c r="WPB11" s="1402"/>
      <c r="WPC11" s="1402"/>
      <c r="WPD11" s="1402"/>
      <c r="WPE11" s="1402"/>
      <c r="WPF11" s="1402"/>
      <c r="WPG11" s="1402"/>
      <c r="WPH11" s="1402"/>
      <c r="WPI11" s="1402"/>
      <c r="WPJ11" s="1402"/>
      <c r="WPK11" s="1402"/>
      <c r="WPL11" s="1402"/>
      <c r="WPM11" s="1402"/>
      <c r="WPN11" s="1402"/>
      <c r="WPO11" s="1402"/>
      <c r="WPP11" s="1402"/>
      <c r="WPQ11" s="1402"/>
      <c r="WPR11" s="1402"/>
      <c r="WPS11" s="1402"/>
      <c r="WPT11" s="1402"/>
      <c r="WPU11" s="1402"/>
      <c r="WPV11" s="1402"/>
      <c r="WPW11" s="1402"/>
      <c r="WPX11" s="1402"/>
      <c r="WPY11" s="1402"/>
      <c r="WPZ11" s="1402"/>
      <c r="WQA11" s="1402"/>
      <c r="WQB11" s="1402"/>
      <c r="WQC11" s="1402"/>
      <c r="WQD11" s="1402"/>
      <c r="WQE11" s="1402"/>
      <c r="WQF11" s="1402"/>
      <c r="WQG11" s="1402"/>
      <c r="WQH11" s="1402"/>
      <c r="WQI11" s="1402"/>
      <c r="WQJ11" s="1402"/>
      <c r="WQK11" s="1402"/>
      <c r="WQL11" s="1402"/>
      <c r="WQM11" s="1402"/>
      <c r="WQN11" s="1402"/>
      <c r="WQO11" s="1402"/>
      <c r="WQP11" s="1402"/>
      <c r="WQQ11" s="1402"/>
      <c r="WQR11" s="1402"/>
      <c r="WQS11" s="1402"/>
      <c r="WQT11" s="1402"/>
      <c r="WQU11" s="1402"/>
      <c r="WQV11" s="1402"/>
      <c r="WQW11" s="1402"/>
      <c r="WQX11" s="1402"/>
      <c r="WQY11" s="1402"/>
      <c r="WQZ11" s="1402"/>
      <c r="WRA11" s="1402"/>
      <c r="WRB11" s="1402"/>
      <c r="WRC11" s="1402"/>
      <c r="WRD11" s="1402"/>
      <c r="WRE11" s="1402"/>
      <c r="WRF11" s="1402"/>
      <c r="WRG11" s="1402"/>
      <c r="WRH11" s="1402"/>
      <c r="WRI11" s="1402"/>
      <c r="WRJ11" s="1402"/>
      <c r="WRK11" s="1402"/>
      <c r="WRL11" s="1402"/>
      <c r="WRM11" s="1402"/>
      <c r="WRN11" s="1402"/>
      <c r="WRO11" s="1402"/>
      <c r="WRP11" s="1402"/>
      <c r="WRQ11" s="1402"/>
      <c r="WRR11" s="1402"/>
      <c r="WRS11" s="1402"/>
      <c r="WRT11" s="1402"/>
      <c r="WRU11" s="1402"/>
      <c r="WRV11" s="1402"/>
      <c r="WRW11" s="1402"/>
      <c r="WRX11" s="1402"/>
      <c r="WRY11" s="1402"/>
      <c r="WRZ11" s="1402"/>
      <c r="WSA11" s="1402"/>
      <c r="WSB11" s="1402"/>
      <c r="WSC11" s="1402"/>
      <c r="WSD11" s="1402"/>
      <c r="WSE11" s="1402"/>
      <c r="WSF11" s="1402"/>
      <c r="WSG11" s="1402"/>
      <c r="WSH11" s="1402"/>
      <c r="WSI11" s="1402"/>
      <c r="WSJ11" s="1402"/>
      <c r="WSK11" s="1402"/>
      <c r="WSL11" s="1402"/>
      <c r="WSM11" s="1402"/>
      <c r="WSN11" s="1402"/>
      <c r="WSO11" s="1402"/>
      <c r="WSP11" s="1402"/>
      <c r="WSQ11" s="1402"/>
      <c r="WSR11" s="1402"/>
      <c r="WSS11" s="1402"/>
      <c r="WST11" s="1402"/>
      <c r="WSU11" s="1402"/>
      <c r="WSV11" s="1402"/>
      <c r="WSW11" s="1402"/>
      <c r="WSX11" s="1402"/>
      <c r="WSY11" s="1402"/>
      <c r="WSZ11" s="1402"/>
      <c r="WTA11" s="1402"/>
      <c r="WTB11" s="1402"/>
      <c r="WTC11" s="1402"/>
      <c r="WTD11" s="1402"/>
      <c r="WTE11" s="1402"/>
      <c r="WTF11" s="1402"/>
      <c r="WTG11" s="1402"/>
      <c r="WTH11" s="1402"/>
      <c r="WTI11" s="1402"/>
      <c r="WTJ11" s="1402"/>
      <c r="WTK11" s="1402"/>
      <c r="WTL11" s="1402"/>
      <c r="WTM11" s="1402"/>
      <c r="WTN11" s="1402"/>
      <c r="WTO11" s="1402"/>
      <c r="WTP11" s="1402"/>
      <c r="WTQ11" s="1402"/>
      <c r="WTR11" s="1402"/>
      <c r="WTS11" s="1402"/>
      <c r="WTT11" s="1402"/>
      <c r="WTU11" s="1402"/>
      <c r="WTV11" s="1402"/>
      <c r="WTW11" s="1402"/>
      <c r="WTX11" s="1402"/>
      <c r="WTY11" s="1402"/>
      <c r="WTZ11" s="1402"/>
      <c r="WUA11" s="1402"/>
      <c r="WUB11" s="1402"/>
      <c r="WUC11" s="1402"/>
      <c r="WUD11" s="1402"/>
      <c r="WUE11" s="1402"/>
      <c r="WUF11" s="1402"/>
      <c r="WUG11" s="1402"/>
      <c r="WUH11" s="1402"/>
      <c r="WUI11" s="1402"/>
      <c r="WUJ11" s="1402"/>
      <c r="WUK11" s="1402"/>
      <c r="WUL11" s="1402"/>
      <c r="WUM11" s="1402"/>
      <c r="WUN11" s="1402"/>
      <c r="WUO11" s="1402"/>
      <c r="WUP11" s="1402"/>
      <c r="WUQ11" s="1402"/>
      <c r="WUR11" s="1402"/>
      <c r="WUS11" s="1402"/>
      <c r="WUT11" s="1402"/>
      <c r="WUU11" s="1402"/>
      <c r="WUV11" s="1402"/>
      <c r="WUW11" s="1402"/>
      <c r="WUX11" s="1402"/>
      <c r="WUY11" s="1402"/>
      <c r="WUZ11" s="1402"/>
      <c r="WVA11" s="1402"/>
      <c r="WVB11" s="1402"/>
      <c r="WVC11" s="1402"/>
      <c r="WVD11" s="1402"/>
      <c r="WVE11" s="1402"/>
      <c r="WVF11" s="1402"/>
      <c r="WVG11" s="1402"/>
      <c r="WVH11" s="1402"/>
      <c r="WVI11" s="1402"/>
      <c r="WVJ11" s="1402"/>
      <c r="WVK11" s="1402"/>
      <c r="WVL11" s="1402"/>
      <c r="WVM11" s="1402"/>
      <c r="WVN11" s="1402"/>
      <c r="WVO11" s="1402"/>
      <c r="WVP11" s="1402"/>
      <c r="WVQ11" s="1402"/>
      <c r="WVR11" s="1402"/>
      <c r="WVS11" s="1402"/>
      <c r="WVT11" s="1402"/>
      <c r="WVU11" s="1402"/>
      <c r="WVV11" s="1402"/>
      <c r="WVW11" s="1402"/>
      <c r="WVX11" s="1402"/>
      <c r="WVY11" s="1402"/>
      <c r="WVZ11" s="1402"/>
      <c r="WWA11" s="1402"/>
      <c r="WWB11" s="1402"/>
      <c r="WWC11" s="1402"/>
      <c r="WWD11" s="1402"/>
      <c r="WWE11" s="1402"/>
      <c r="WWF11" s="1402"/>
      <c r="WWG11" s="1402"/>
      <c r="WWH11" s="1402"/>
      <c r="WWI11" s="1402"/>
      <c r="WWJ11" s="1402"/>
      <c r="WWK11" s="1402"/>
      <c r="WWL11" s="1402"/>
      <c r="WWM11" s="1402"/>
      <c r="WWN11" s="1402"/>
      <c r="WWO11" s="1402"/>
      <c r="WWP11" s="1402"/>
      <c r="WWQ11" s="1402"/>
      <c r="WWR11" s="1402"/>
      <c r="WWS11" s="1402"/>
      <c r="WWT11" s="1402"/>
      <c r="WWU11" s="1402"/>
      <c r="WWV11" s="1402"/>
      <c r="WWW11" s="1402"/>
      <c r="WWX11" s="1402"/>
      <c r="WWY11" s="1402"/>
      <c r="WWZ11" s="1402"/>
      <c r="WXA11" s="1402"/>
      <c r="WXB11" s="1402"/>
      <c r="WXC11" s="1402"/>
      <c r="WXD11" s="1402"/>
      <c r="WXE11" s="1402"/>
      <c r="WXF11" s="1402"/>
      <c r="WXG11" s="1402"/>
      <c r="WXH11" s="1402"/>
      <c r="WXI11" s="1402"/>
      <c r="WXJ11" s="1402"/>
      <c r="WXK11" s="1402"/>
      <c r="WXL11" s="1402"/>
      <c r="WXM11" s="1402"/>
      <c r="WXN11" s="1402"/>
      <c r="WXO11" s="1402"/>
      <c r="WXP11" s="1402"/>
      <c r="WXQ11" s="1402"/>
      <c r="WXR11" s="1402"/>
      <c r="WXS11" s="1402"/>
      <c r="WXT11" s="1402"/>
      <c r="WXU11" s="1402"/>
      <c r="WXV11" s="1402"/>
      <c r="WXW11" s="1402"/>
      <c r="WXX11" s="1402"/>
      <c r="WXY11" s="1402"/>
      <c r="WXZ11" s="1402"/>
      <c r="WYA11" s="1402"/>
      <c r="WYB11" s="1402"/>
      <c r="WYC11" s="1402"/>
      <c r="WYD11" s="1402"/>
      <c r="WYE11" s="1402"/>
      <c r="WYF11" s="1402"/>
      <c r="WYG11" s="1402"/>
      <c r="WYH11" s="1402"/>
      <c r="WYI11" s="1402"/>
      <c r="WYJ11" s="1402"/>
      <c r="WYK11" s="1402"/>
      <c r="WYL11" s="1402"/>
      <c r="WYM11" s="1402"/>
      <c r="WYN11" s="1402"/>
      <c r="WYO11" s="1402"/>
      <c r="WYP11" s="1402"/>
      <c r="WYQ11" s="1402"/>
      <c r="WYR11" s="1402"/>
      <c r="WYS11" s="1402"/>
      <c r="WYT11" s="1402"/>
      <c r="WYU11" s="1402"/>
      <c r="WYV11" s="1402"/>
      <c r="WYW11" s="1402"/>
      <c r="WYX11" s="1402"/>
      <c r="WYY11" s="1402"/>
      <c r="WYZ11" s="1402"/>
      <c r="WZA11" s="1402"/>
      <c r="WZB11" s="1402"/>
      <c r="WZC11" s="1402"/>
      <c r="WZD11" s="1402"/>
      <c r="WZE11" s="1402"/>
      <c r="WZF11" s="1402"/>
      <c r="WZG11" s="1402"/>
      <c r="WZH11" s="1402"/>
      <c r="WZI11" s="1402"/>
      <c r="WZJ11" s="1402"/>
      <c r="WZK11" s="1402"/>
      <c r="WZL11" s="1402"/>
      <c r="WZM11" s="1402"/>
      <c r="WZN11" s="1402"/>
      <c r="WZO11" s="1402"/>
      <c r="WZP11" s="1402"/>
      <c r="WZQ11" s="1402"/>
      <c r="WZR11" s="1402"/>
      <c r="WZS11" s="1402"/>
      <c r="WZT11" s="1402"/>
      <c r="WZU11" s="1402"/>
      <c r="WZV11" s="1402"/>
      <c r="WZW11" s="1402"/>
      <c r="WZX11" s="1402"/>
      <c r="WZY11" s="1402"/>
      <c r="WZZ11" s="1402"/>
      <c r="XAA11" s="1402"/>
      <c r="XAB11" s="1402"/>
      <c r="XAC11" s="1402"/>
      <c r="XAD11" s="1402"/>
      <c r="XAE11" s="1402"/>
      <c r="XAF11" s="1402"/>
      <c r="XAG11" s="1402"/>
      <c r="XAH11" s="1402"/>
      <c r="XAI11" s="1402"/>
      <c r="XAJ11" s="1402"/>
      <c r="XAK11" s="1402"/>
      <c r="XAL11" s="1402"/>
      <c r="XAM11" s="1402"/>
      <c r="XAN11" s="1402"/>
      <c r="XAO11" s="1402"/>
      <c r="XAP11" s="1402"/>
      <c r="XAQ11" s="1402"/>
      <c r="XAR11" s="1402"/>
      <c r="XAS11" s="1402"/>
      <c r="XAT11" s="1402"/>
      <c r="XAU11" s="1402"/>
      <c r="XAV11" s="1402"/>
      <c r="XAW11" s="1402"/>
      <c r="XAX11" s="1402"/>
      <c r="XAY11" s="1402"/>
      <c r="XAZ11" s="1402"/>
      <c r="XBA11" s="1402"/>
      <c r="XBB11" s="1402"/>
      <c r="XBC11" s="1402"/>
      <c r="XBD11" s="1402"/>
      <c r="XBE11" s="1402"/>
      <c r="XBF11" s="1402"/>
      <c r="XBG11" s="1402"/>
      <c r="XBH11" s="1402"/>
      <c r="XBI11" s="1402"/>
      <c r="XBJ11" s="1402"/>
      <c r="XBK11" s="1402"/>
      <c r="XBL11" s="1402"/>
      <c r="XBM11" s="1402"/>
      <c r="XBN11" s="1402"/>
      <c r="XBO11" s="1402"/>
      <c r="XBP11" s="1402"/>
      <c r="XBQ11" s="1402"/>
      <c r="XBR11" s="1402"/>
      <c r="XBS11" s="1402"/>
      <c r="XBT11" s="1402"/>
      <c r="XBU11" s="1402"/>
      <c r="XBV11" s="1402"/>
      <c r="XBW11" s="1402"/>
      <c r="XBX11" s="1402"/>
      <c r="XBY11" s="1402"/>
      <c r="XBZ11" s="1402"/>
      <c r="XCA11" s="1402"/>
      <c r="XCB11" s="1402"/>
      <c r="XCC11" s="1402"/>
      <c r="XCD11" s="1402"/>
      <c r="XCE11" s="1402"/>
      <c r="XCF11" s="1402"/>
      <c r="XCG11" s="1402"/>
      <c r="XCH11" s="1402"/>
      <c r="XCI11" s="1402"/>
      <c r="XCJ11" s="1402"/>
      <c r="XCK11" s="1402"/>
      <c r="XCL11" s="1402"/>
      <c r="XCM11" s="1402"/>
      <c r="XCN11" s="1402"/>
      <c r="XCO11" s="1402"/>
      <c r="XCP11" s="1402"/>
      <c r="XCQ11" s="1402"/>
      <c r="XCR11" s="1402"/>
      <c r="XCS11" s="1402"/>
      <c r="XCT11" s="1402"/>
      <c r="XCU11" s="1402"/>
      <c r="XCV11" s="1402"/>
      <c r="XCW11" s="1402"/>
      <c r="XCX11" s="1402"/>
      <c r="XCY11" s="1402"/>
      <c r="XCZ11" s="1402"/>
      <c r="XDA11" s="1402"/>
      <c r="XDB11" s="1402"/>
      <c r="XDC11" s="1402"/>
      <c r="XDD11" s="1402"/>
      <c r="XDE11" s="1402"/>
      <c r="XDF11" s="1402"/>
      <c r="XDG11" s="1402"/>
      <c r="XDH11" s="1402"/>
      <c r="XDI11" s="1402"/>
      <c r="XDJ11" s="1402"/>
      <c r="XDK11" s="1402"/>
      <c r="XDL11" s="1402"/>
      <c r="XDM11" s="1402"/>
      <c r="XDN11" s="1402"/>
      <c r="XDO11" s="1402"/>
      <c r="XDP11" s="1402"/>
      <c r="XDQ11" s="1402"/>
      <c r="XDR11" s="1402"/>
      <c r="XDS11" s="1402"/>
      <c r="XDT11" s="1402"/>
      <c r="XDU11" s="1402"/>
      <c r="XDV11" s="1402"/>
      <c r="XDW11" s="1402"/>
      <c r="XDX11" s="1402"/>
      <c r="XDY11" s="1402"/>
      <c r="XDZ11" s="1402"/>
      <c r="XEA11" s="1402"/>
      <c r="XEB11" s="1402"/>
      <c r="XEC11" s="1402"/>
      <c r="XED11" s="1402"/>
      <c r="XEE11" s="1402"/>
      <c r="XEF11" s="1402"/>
      <c r="XEG11" s="1402"/>
      <c r="XEH11" s="1402"/>
      <c r="XEI11" s="1402"/>
      <c r="XEJ11" s="1402"/>
      <c r="XEK11" s="1402"/>
      <c r="XEL11" s="1402"/>
      <c r="XEM11" s="1402"/>
      <c r="XEN11" s="1402"/>
      <c r="XEO11" s="1402"/>
      <c r="XEP11" s="1402"/>
      <c r="XEQ11" s="1402"/>
      <c r="XER11" s="1402"/>
      <c r="XES11" s="1402"/>
      <c r="XET11" s="1402"/>
      <c r="XEU11" s="1402"/>
      <c r="XEV11" s="1402"/>
      <c r="XEW11" s="1402"/>
      <c r="XEX11" s="1402"/>
      <c r="XEY11" s="1402"/>
      <c r="XEZ11" s="1402"/>
      <c r="XFA11" s="1402"/>
      <c r="XFB11" s="1402"/>
      <c r="XFC11" s="1402"/>
      <c r="XFD11" s="1402"/>
    </row>
    <row r="12" spans="1:16384" s="956" customFormat="1" ht="28.5" customHeight="1" x14ac:dyDescent="0.2">
      <c r="A12" s="1407"/>
      <c r="B12" s="1407"/>
      <c r="C12" s="1407"/>
      <c r="D12" s="1407"/>
      <c r="E12" s="1407"/>
      <c r="F12" s="1407"/>
      <c r="G12" s="1407"/>
      <c r="H12" s="1407"/>
      <c r="I12" s="1407"/>
      <c r="J12" s="1407"/>
      <c r="K12" s="1407"/>
      <c r="L12" s="1407"/>
      <c r="M12" s="1407"/>
      <c r="N12" s="1318"/>
      <c r="O12" s="1318"/>
      <c r="P12" s="1318"/>
      <c r="Q12" s="1318"/>
      <c r="R12" s="1318"/>
      <c r="S12" s="1318"/>
      <c r="T12" s="1318"/>
      <c r="U12" s="1318"/>
      <c r="V12" s="1318"/>
      <c r="W12" s="1318"/>
      <c r="X12" s="1318"/>
      <c r="Y12" s="1318"/>
      <c r="Z12" s="131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c r="IW12" s="1402"/>
      <c r="IX12" s="1402"/>
      <c r="IY12" s="1402"/>
      <c r="IZ12" s="1402"/>
      <c r="JA12" s="1402"/>
      <c r="JB12" s="1402"/>
      <c r="JC12" s="1402"/>
      <c r="JD12" s="1402"/>
      <c r="JE12" s="1402"/>
      <c r="JF12" s="1402"/>
      <c r="JG12" s="1402"/>
      <c r="JH12" s="1402"/>
      <c r="JI12" s="1402"/>
      <c r="JJ12" s="1402"/>
      <c r="JK12" s="1402"/>
      <c r="JL12" s="1402"/>
      <c r="JM12" s="1402"/>
      <c r="JN12" s="1402"/>
      <c r="JO12" s="1402"/>
      <c r="JP12" s="1402"/>
      <c r="JQ12" s="1402"/>
      <c r="JR12" s="1402"/>
      <c r="JS12" s="1402"/>
      <c r="JT12" s="1402"/>
      <c r="JU12" s="1402"/>
      <c r="JV12" s="1402"/>
      <c r="JW12" s="1402"/>
      <c r="JX12" s="1402"/>
      <c r="JY12" s="1402"/>
      <c r="JZ12" s="1402"/>
      <c r="KA12" s="1402"/>
      <c r="KB12" s="1402"/>
      <c r="KC12" s="1402"/>
      <c r="KD12" s="1402"/>
      <c r="KE12" s="1402"/>
      <c r="KF12" s="1402"/>
      <c r="KG12" s="1402"/>
      <c r="KH12" s="1402"/>
      <c r="KI12" s="1402"/>
      <c r="KJ12" s="1402"/>
      <c r="KK12" s="1402"/>
      <c r="KL12" s="1402"/>
      <c r="KM12" s="1402"/>
      <c r="KN12" s="1402"/>
      <c r="KO12" s="1402"/>
      <c r="KP12" s="1402"/>
      <c r="KQ12" s="1402"/>
      <c r="KR12" s="1402"/>
      <c r="KS12" s="1402"/>
      <c r="KT12" s="1402"/>
      <c r="KU12" s="1402"/>
      <c r="KV12" s="1402"/>
      <c r="KW12" s="1402"/>
      <c r="KX12" s="1402"/>
      <c r="KY12" s="1402"/>
      <c r="KZ12" s="1402"/>
      <c r="LA12" s="1402"/>
      <c r="LB12" s="1402"/>
      <c r="LC12" s="1402"/>
      <c r="LD12" s="1402"/>
      <c r="LE12" s="1402"/>
      <c r="LF12" s="1402"/>
      <c r="LG12" s="1402"/>
      <c r="LH12" s="1402"/>
      <c r="LI12" s="1402"/>
      <c r="LJ12" s="1402"/>
      <c r="LK12" s="1402"/>
      <c r="LL12" s="1402"/>
      <c r="LM12" s="1402"/>
      <c r="LN12" s="1402"/>
      <c r="LO12" s="1402"/>
      <c r="LP12" s="1402"/>
      <c r="LQ12" s="1402"/>
      <c r="LR12" s="1402"/>
      <c r="LS12" s="1402"/>
      <c r="LT12" s="1402"/>
      <c r="LU12" s="1402"/>
      <c r="LV12" s="1402"/>
      <c r="LW12" s="1402"/>
      <c r="LX12" s="1402"/>
      <c r="LY12" s="1402"/>
      <c r="LZ12" s="1402"/>
      <c r="MA12" s="1402"/>
      <c r="MB12" s="1402"/>
      <c r="MC12" s="1402"/>
      <c r="MD12" s="1402"/>
      <c r="ME12" s="1402"/>
      <c r="MF12" s="1402"/>
      <c r="MG12" s="1402"/>
      <c r="MH12" s="1402"/>
      <c r="MI12" s="1402"/>
      <c r="MJ12" s="1402"/>
      <c r="MK12" s="1402"/>
      <c r="ML12" s="1402"/>
      <c r="MM12" s="1402"/>
      <c r="MN12" s="1402"/>
      <c r="MO12" s="1402"/>
      <c r="MP12" s="1402"/>
      <c r="MQ12" s="1402"/>
      <c r="MR12" s="1402"/>
      <c r="MS12" s="1402"/>
      <c r="MT12" s="1402"/>
      <c r="MU12" s="1402"/>
      <c r="MV12" s="1402"/>
      <c r="MW12" s="1402"/>
      <c r="MX12" s="1402"/>
      <c r="MY12" s="1402"/>
      <c r="MZ12" s="1402"/>
      <c r="NA12" s="1402"/>
      <c r="NB12" s="1402"/>
      <c r="NC12" s="1402"/>
      <c r="ND12" s="1402"/>
      <c r="NE12" s="1402"/>
      <c r="NF12" s="1402"/>
      <c r="NG12" s="1402"/>
      <c r="NH12" s="1402"/>
      <c r="NI12" s="1402"/>
      <c r="NJ12" s="1402"/>
      <c r="NK12" s="1402"/>
      <c r="NL12" s="1402"/>
      <c r="NM12" s="1402"/>
      <c r="NN12" s="1402"/>
      <c r="NO12" s="1402"/>
      <c r="NP12" s="1402"/>
      <c r="NQ12" s="1402"/>
      <c r="NR12" s="1402"/>
      <c r="NS12" s="1402"/>
      <c r="NT12" s="1402"/>
      <c r="NU12" s="1402"/>
      <c r="NV12" s="1402"/>
      <c r="NW12" s="1402"/>
      <c r="NX12" s="1402"/>
      <c r="NY12" s="1402"/>
      <c r="NZ12" s="1402"/>
      <c r="OA12" s="1402"/>
      <c r="OB12" s="1402"/>
      <c r="OC12" s="1402"/>
      <c r="OD12" s="1402"/>
      <c r="OE12" s="1402"/>
      <c r="OF12" s="1402"/>
      <c r="OG12" s="1402"/>
      <c r="OH12" s="1402"/>
      <c r="OI12" s="1402"/>
      <c r="OJ12" s="1402"/>
      <c r="OK12" s="1402"/>
      <c r="OL12" s="1402"/>
      <c r="OM12" s="1402"/>
      <c r="ON12" s="1402"/>
      <c r="OO12" s="1402"/>
      <c r="OP12" s="1402"/>
      <c r="OQ12" s="1402"/>
      <c r="OR12" s="1402"/>
      <c r="OS12" s="1402"/>
      <c r="OT12" s="1402"/>
      <c r="OU12" s="1402"/>
      <c r="OV12" s="1402"/>
      <c r="OW12" s="1402"/>
      <c r="OX12" s="1402"/>
      <c r="OY12" s="1402"/>
      <c r="OZ12" s="1402"/>
      <c r="PA12" s="1402"/>
      <c r="PB12" s="1402"/>
      <c r="PC12" s="1402"/>
      <c r="PD12" s="1402"/>
      <c r="PE12" s="1402"/>
      <c r="PF12" s="1402"/>
      <c r="PG12" s="1402"/>
      <c r="PH12" s="1402"/>
      <c r="PI12" s="1402"/>
      <c r="PJ12" s="1402"/>
      <c r="PK12" s="1402"/>
      <c r="PL12" s="1402"/>
      <c r="PM12" s="1402"/>
      <c r="PN12" s="1402"/>
      <c r="PO12" s="1402"/>
      <c r="PP12" s="1402"/>
      <c r="PQ12" s="1402"/>
      <c r="PR12" s="1402"/>
      <c r="PS12" s="1402"/>
      <c r="PT12" s="1402"/>
      <c r="PU12" s="1402"/>
      <c r="PV12" s="1402"/>
      <c r="PW12" s="1402"/>
      <c r="PX12" s="1402"/>
      <c r="PY12" s="1402"/>
      <c r="PZ12" s="1402"/>
      <c r="QA12" s="1402"/>
      <c r="QB12" s="1402"/>
      <c r="QC12" s="1402"/>
      <c r="QD12" s="1402"/>
      <c r="QE12" s="1402"/>
      <c r="QF12" s="1402"/>
      <c r="QG12" s="1402"/>
      <c r="QH12" s="1402"/>
      <c r="QI12" s="1402"/>
      <c r="QJ12" s="1402"/>
      <c r="QK12" s="1402"/>
      <c r="QL12" s="1402"/>
      <c r="QM12" s="1402"/>
      <c r="QN12" s="1402"/>
      <c r="QO12" s="1402"/>
      <c r="QP12" s="1402"/>
      <c r="QQ12" s="1402"/>
      <c r="QR12" s="1402"/>
      <c r="QS12" s="1402"/>
      <c r="QT12" s="1402"/>
      <c r="QU12" s="1402"/>
      <c r="QV12" s="1402"/>
      <c r="QW12" s="1402"/>
      <c r="QX12" s="1402"/>
      <c r="QY12" s="1402"/>
      <c r="QZ12" s="1402"/>
      <c r="RA12" s="1402"/>
      <c r="RB12" s="1402"/>
      <c r="RC12" s="1402"/>
      <c r="RD12" s="1402"/>
      <c r="RE12" s="1402"/>
      <c r="RF12" s="1402"/>
      <c r="RG12" s="1402"/>
      <c r="RH12" s="1402"/>
      <c r="RI12" s="1402"/>
      <c r="RJ12" s="1402"/>
      <c r="RK12" s="1402"/>
      <c r="RL12" s="1402"/>
      <c r="RM12" s="1402"/>
      <c r="RN12" s="1402"/>
      <c r="RO12" s="1402"/>
      <c r="RP12" s="1402"/>
      <c r="RQ12" s="1402"/>
      <c r="RR12" s="1402"/>
      <c r="RS12" s="1402"/>
      <c r="RT12" s="1402"/>
      <c r="RU12" s="1402"/>
      <c r="RV12" s="1402"/>
      <c r="RW12" s="1402"/>
      <c r="RX12" s="1402"/>
      <c r="RY12" s="1402"/>
      <c r="RZ12" s="1402"/>
      <c r="SA12" s="1402"/>
      <c r="SB12" s="1402"/>
      <c r="SC12" s="1402"/>
      <c r="SD12" s="1402"/>
      <c r="SE12" s="1402"/>
      <c r="SF12" s="1402"/>
      <c r="SG12" s="1402"/>
      <c r="SH12" s="1402"/>
      <c r="SI12" s="1402"/>
      <c r="SJ12" s="1402"/>
      <c r="SK12" s="1402"/>
      <c r="SL12" s="1402"/>
      <c r="SM12" s="1402"/>
      <c r="SN12" s="1402"/>
      <c r="SO12" s="1402"/>
      <c r="SP12" s="1402"/>
      <c r="SQ12" s="1402"/>
      <c r="SR12" s="1402"/>
      <c r="SS12" s="1402"/>
      <c r="ST12" s="1402"/>
      <c r="SU12" s="1402"/>
      <c r="SV12" s="1402"/>
      <c r="SW12" s="1402"/>
      <c r="SX12" s="1402"/>
      <c r="SY12" s="1402"/>
      <c r="SZ12" s="1402"/>
      <c r="TA12" s="1402"/>
      <c r="TB12" s="1402"/>
      <c r="TC12" s="1402"/>
      <c r="TD12" s="1402"/>
      <c r="TE12" s="1402"/>
      <c r="TF12" s="1402"/>
      <c r="TG12" s="1402"/>
      <c r="TH12" s="1402"/>
      <c r="TI12" s="1402"/>
      <c r="TJ12" s="1402"/>
      <c r="TK12" s="1402"/>
      <c r="TL12" s="1402"/>
      <c r="TM12" s="1402"/>
      <c r="TN12" s="1402"/>
      <c r="TO12" s="1402"/>
      <c r="TP12" s="1402"/>
      <c r="TQ12" s="1402"/>
      <c r="TR12" s="1402"/>
      <c r="TS12" s="1402"/>
      <c r="TT12" s="1402"/>
      <c r="TU12" s="1402"/>
      <c r="TV12" s="1402"/>
      <c r="TW12" s="1402"/>
      <c r="TX12" s="1402"/>
      <c r="TY12" s="1402"/>
      <c r="TZ12" s="1402"/>
      <c r="UA12" s="1402"/>
      <c r="UB12" s="1402"/>
      <c r="UC12" s="1402"/>
      <c r="UD12" s="1402"/>
      <c r="UE12" s="1402"/>
      <c r="UF12" s="1402"/>
      <c r="UG12" s="1402"/>
      <c r="UH12" s="1402"/>
      <c r="UI12" s="1402"/>
      <c r="UJ12" s="1402"/>
      <c r="UK12" s="1402"/>
      <c r="UL12" s="1402"/>
      <c r="UM12" s="1402"/>
      <c r="UN12" s="1402"/>
      <c r="UO12" s="1402"/>
      <c r="UP12" s="1402"/>
      <c r="UQ12" s="1402"/>
      <c r="UR12" s="1402"/>
      <c r="US12" s="1402"/>
      <c r="UT12" s="1402"/>
      <c r="UU12" s="1402"/>
      <c r="UV12" s="1402"/>
      <c r="UW12" s="1402"/>
      <c r="UX12" s="1402"/>
      <c r="UY12" s="1402"/>
      <c r="UZ12" s="1402"/>
      <c r="VA12" s="1402"/>
      <c r="VB12" s="1402"/>
      <c r="VC12" s="1402"/>
      <c r="VD12" s="1402"/>
      <c r="VE12" s="1402"/>
      <c r="VF12" s="1402"/>
      <c r="VG12" s="1402"/>
      <c r="VH12" s="1402"/>
      <c r="VI12" s="1402"/>
      <c r="VJ12" s="1402"/>
      <c r="VK12" s="1402"/>
      <c r="VL12" s="1402"/>
      <c r="VM12" s="1402"/>
      <c r="VN12" s="1402"/>
      <c r="VO12" s="1402"/>
      <c r="VP12" s="1402"/>
      <c r="VQ12" s="1402"/>
      <c r="VR12" s="1402"/>
      <c r="VS12" s="1402"/>
      <c r="VT12" s="1402"/>
      <c r="VU12" s="1402"/>
      <c r="VV12" s="1402"/>
      <c r="VW12" s="1402"/>
      <c r="VX12" s="1402"/>
      <c r="VY12" s="1402"/>
      <c r="VZ12" s="1402"/>
      <c r="WA12" s="1402"/>
      <c r="WB12" s="1402"/>
      <c r="WC12" s="1402"/>
      <c r="WD12" s="1402"/>
      <c r="WE12" s="1402"/>
      <c r="WF12" s="1402"/>
      <c r="WG12" s="1402"/>
      <c r="WH12" s="1402"/>
      <c r="WI12" s="1402"/>
      <c r="WJ12" s="1402"/>
      <c r="WK12" s="1402"/>
      <c r="WL12" s="1402"/>
      <c r="WM12" s="1402"/>
      <c r="WN12" s="1402"/>
      <c r="WO12" s="1402"/>
      <c r="WP12" s="1402"/>
      <c r="WQ12" s="1402"/>
      <c r="WR12" s="1402"/>
      <c r="WS12" s="1402"/>
      <c r="WT12" s="1402"/>
      <c r="WU12" s="1402"/>
      <c r="WV12" s="1402"/>
      <c r="WW12" s="1402"/>
      <c r="WX12" s="1402"/>
      <c r="WY12" s="1402"/>
      <c r="WZ12" s="1402"/>
      <c r="XA12" s="1402"/>
      <c r="XB12" s="1402"/>
      <c r="XC12" s="1402"/>
      <c r="XD12" s="1402"/>
      <c r="XE12" s="1402"/>
      <c r="XF12" s="1402"/>
      <c r="XG12" s="1402"/>
      <c r="XH12" s="1402"/>
      <c r="XI12" s="1402"/>
      <c r="XJ12" s="1402"/>
      <c r="XK12" s="1402"/>
      <c r="XL12" s="1402"/>
      <c r="XM12" s="1402"/>
      <c r="XN12" s="1402"/>
      <c r="XO12" s="1402"/>
      <c r="XP12" s="1402"/>
      <c r="XQ12" s="1402"/>
      <c r="XR12" s="1402"/>
      <c r="XS12" s="1402"/>
      <c r="XT12" s="1402"/>
      <c r="XU12" s="1402"/>
      <c r="XV12" s="1402"/>
      <c r="XW12" s="1402"/>
      <c r="XX12" s="1402"/>
      <c r="XY12" s="1402"/>
      <c r="XZ12" s="1402"/>
      <c r="YA12" s="1402"/>
      <c r="YB12" s="1402"/>
      <c r="YC12" s="1402"/>
      <c r="YD12" s="1402"/>
      <c r="YE12" s="1402"/>
      <c r="YF12" s="1402"/>
      <c r="YG12" s="1402"/>
      <c r="YH12" s="1402"/>
      <c r="YI12" s="1402"/>
      <c r="YJ12" s="1402"/>
      <c r="YK12" s="1402"/>
      <c r="YL12" s="1402"/>
      <c r="YM12" s="1402"/>
      <c r="YN12" s="1402"/>
      <c r="YO12" s="1402"/>
      <c r="YP12" s="1402"/>
      <c r="YQ12" s="1402"/>
      <c r="YR12" s="1402"/>
      <c r="YS12" s="1402"/>
      <c r="YT12" s="1402"/>
      <c r="YU12" s="1402"/>
      <c r="YV12" s="1402"/>
      <c r="YW12" s="1402"/>
      <c r="YX12" s="1402"/>
      <c r="YY12" s="1402"/>
      <c r="YZ12" s="1402"/>
      <c r="ZA12" s="1402"/>
      <c r="ZB12" s="1402"/>
      <c r="ZC12" s="1402"/>
      <c r="ZD12" s="1402"/>
      <c r="ZE12" s="1402"/>
      <c r="ZF12" s="1402"/>
      <c r="ZG12" s="1402"/>
      <c r="ZH12" s="1402"/>
      <c r="ZI12" s="1402"/>
      <c r="ZJ12" s="1402"/>
      <c r="ZK12" s="1402"/>
      <c r="ZL12" s="1402"/>
      <c r="ZM12" s="1402"/>
      <c r="ZN12" s="1402"/>
      <c r="ZO12" s="1402"/>
      <c r="ZP12" s="1402"/>
      <c r="ZQ12" s="1402"/>
      <c r="ZR12" s="1402"/>
      <c r="ZS12" s="1402"/>
      <c r="ZT12" s="1402"/>
      <c r="ZU12" s="1402"/>
      <c r="ZV12" s="1402"/>
      <c r="ZW12" s="1402"/>
      <c r="ZX12" s="1402"/>
      <c r="ZY12" s="1402"/>
      <c r="ZZ12" s="1402"/>
      <c r="AAA12" s="1402"/>
      <c r="AAB12" s="1402"/>
      <c r="AAC12" s="1402"/>
      <c r="AAD12" s="1402"/>
      <c r="AAE12" s="1402"/>
      <c r="AAF12" s="1402"/>
      <c r="AAG12" s="1402"/>
      <c r="AAH12" s="1402"/>
      <c r="AAI12" s="1402"/>
      <c r="AAJ12" s="1402"/>
      <c r="AAK12" s="1402"/>
      <c r="AAL12" s="1402"/>
      <c r="AAM12" s="1402"/>
      <c r="AAN12" s="1402"/>
      <c r="AAO12" s="1402"/>
      <c r="AAP12" s="1402"/>
      <c r="AAQ12" s="1402"/>
      <c r="AAR12" s="1402"/>
      <c r="AAS12" s="1402"/>
      <c r="AAT12" s="1402"/>
      <c r="AAU12" s="1402"/>
      <c r="AAV12" s="1402"/>
      <c r="AAW12" s="1402"/>
      <c r="AAX12" s="1402"/>
      <c r="AAY12" s="1402"/>
      <c r="AAZ12" s="1402"/>
      <c r="ABA12" s="1402"/>
      <c r="ABB12" s="1402"/>
      <c r="ABC12" s="1402"/>
      <c r="ABD12" s="1402"/>
      <c r="ABE12" s="1402"/>
      <c r="ABF12" s="1402"/>
      <c r="ABG12" s="1402"/>
      <c r="ABH12" s="1402"/>
      <c r="ABI12" s="1402"/>
      <c r="ABJ12" s="1402"/>
      <c r="ABK12" s="1402"/>
      <c r="ABL12" s="1402"/>
      <c r="ABM12" s="1402"/>
      <c r="ABN12" s="1402"/>
      <c r="ABO12" s="1402"/>
      <c r="ABP12" s="1402"/>
      <c r="ABQ12" s="1402"/>
      <c r="ABR12" s="1402"/>
      <c r="ABS12" s="1402"/>
      <c r="ABT12" s="1402"/>
      <c r="ABU12" s="1402"/>
      <c r="ABV12" s="1402"/>
      <c r="ABW12" s="1402"/>
      <c r="ABX12" s="1402"/>
      <c r="ABY12" s="1402"/>
      <c r="ABZ12" s="1402"/>
      <c r="ACA12" s="1402"/>
      <c r="ACB12" s="1402"/>
      <c r="ACC12" s="1402"/>
      <c r="ACD12" s="1402"/>
      <c r="ACE12" s="1402"/>
      <c r="ACF12" s="1402"/>
      <c r="ACG12" s="1402"/>
      <c r="ACH12" s="1402"/>
      <c r="ACI12" s="1402"/>
      <c r="ACJ12" s="1402"/>
      <c r="ACK12" s="1402"/>
      <c r="ACL12" s="1402"/>
      <c r="ACM12" s="1402"/>
      <c r="ACN12" s="1402"/>
      <c r="ACO12" s="1402"/>
      <c r="ACP12" s="1402"/>
      <c r="ACQ12" s="1402"/>
      <c r="ACR12" s="1402"/>
      <c r="ACS12" s="1402"/>
      <c r="ACT12" s="1402"/>
      <c r="ACU12" s="1402"/>
      <c r="ACV12" s="1402"/>
      <c r="ACW12" s="1402"/>
      <c r="ACX12" s="1402"/>
      <c r="ACY12" s="1402"/>
      <c r="ACZ12" s="1402"/>
      <c r="ADA12" s="1402"/>
      <c r="ADB12" s="1402"/>
      <c r="ADC12" s="1402"/>
      <c r="ADD12" s="1402"/>
      <c r="ADE12" s="1402"/>
      <c r="ADF12" s="1402"/>
      <c r="ADG12" s="1402"/>
      <c r="ADH12" s="1402"/>
      <c r="ADI12" s="1402"/>
      <c r="ADJ12" s="1402"/>
      <c r="ADK12" s="1402"/>
      <c r="ADL12" s="1402"/>
      <c r="ADM12" s="1402"/>
      <c r="ADN12" s="1402"/>
      <c r="ADO12" s="1402"/>
      <c r="ADP12" s="1402"/>
      <c r="ADQ12" s="1402"/>
      <c r="ADR12" s="1402"/>
      <c r="ADS12" s="1402"/>
      <c r="ADT12" s="1402"/>
      <c r="ADU12" s="1402"/>
      <c r="ADV12" s="1402"/>
      <c r="ADW12" s="1402"/>
      <c r="ADX12" s="1402"/>
      <c r="ADY12" s="1402"/>
      <c r="ADZ12" s="1402"/>
      <c r="AEA12" s="1402"/>
      <c r="AEB12" s="1402"/>
      <c r="AEC12" s="1402"/>
      <c r="AED12" s="1402"/>
      <c r="AEE12" s="1402"/>
      <c r="AEF12" s="1402"/>
      <c r="AEG12" s="1402"/>
      <c r="AEH12" s="1402"/>
      <c r="AEI12" s="1402"/>
      <c r="AEJ12" s="1402"/>
      <c r="AEK12" s="1402"/>
      <c r="AEL12" s="1402"/>
      <c r="AEM12" s="1402"/>
      <c r="AEN12" s="1402"/>
      <c r="AEO12" s="1402"/>
      <c r="AEP12" s="1402"/>
      <c r="AEQ12" s="1402"/>
      <c r="AER12" s="1402"/>
      <c r="AES12" s="1402"/>
      <c r="AET12" s="1402"/>
      <c r="AEU12" s="1402"/>
      <c r="AEV12" s="1402"/>
      <c r="AEW12" s="1402"/>
      <c r="AEX12" s="1402"/>
      <c r="AEY12" s="1402"/>
      <c r="AEZ12" s="1402"/>
      <c r="AFA12" s="1402"/>
      <c r="AFB12" s="1402"/>
      <c r="AFC12" s="1402"/>
      <c r="AFD12" s="1402"/>
      <c r="AFE12" s="1402"/>
      <c r="AFF12" s="1402"/>
      <c r="AFG12" s="1402"/>
      <c r="AFH12" s="1402"/>
      <c r="AFI12" s="1402"/>
      <c r="AFJ12" s="1402"/>
      <c r="AFK12" s="1402"/>
      <c r="AFL12" s="1402"/>
      <c r="AFM12" s="1402"/>
      <c r="AFN12" s="1402"/>
      <c r="AFO12" s="1402"/>
      <c r="AFP12" s="1402"/>
      <c r="AFQ12" s="1402"/>
      <c r="AFR12" s="1402"/>
      <c r="AFS12" s="1402"/>
      <c r="AFT12" s="1402"/>
      <c r="AFU12" s="1402"/>
      <c r="AFV12" s="1402"/>
      <c r="AFW12" s="1402"/>
      <c r="AFX12" s="1402"/>
      <c r="AFY12" s="1402"/>
      <c r="AFZ12" s="1402"/>
      <c r="AGA12" s="1402"/>
      <c r="AGB12" s="1402"/>
      <c r="AGC12" s="1402"/>
      <c r="AGD12" s="1402"/>
      <c r="AGE12" s="1402"/>
      <c r="AGF12" s="1402"/>
      <c r="AGG12" s="1402"/>
      <c r="AGH12" s="1402"/>
      <c r="AGI12" s="1402"/>
      <c r="AGJ12" s="1402"/>
      <c r="AGK12" s="1402"/>
      <c r="AGL12" s="1402"/>
      <c r="AGM12" s="1402"/>
      <c r="AGN12" s="1402"/>
      <c r="AGO12" s="1402"/>
      <c r="AGP12" s="1402"/>
      <c r="AGQ12" s="1402"/>
      <c r="AGR12" s="1402"/>
      <c r="AGS12" s="1402"/>
      <c r="AGT12" s="1402"/>
      <c r="AGU12" s="1402"/>
      <c r="AGV12" s="1402"/>
      <c r="AGW12" s="1402"/>
      <c r="AGX12" s="1402"/>
      <c r="AGY12" s="1402"/>
      <c r="AGZ12" s="1402"/>
      <c r="AHA12" s="1402"/>
      <c r="AHB12" s="1402"/>
      <c r="AHC12" s="1402"/>
      <c r="AHD12" s="1402"/>
      <c r="AHE12" s="1402"/>
      <c r="AHF12" s="1402"/>
      <c r="AHG12" s="1402"/>
      <c r="AHH12" s="1402"/>
      <c r="AHI12" s="1402"/>
      <c r="AHJ12" s="1402"/>
      <c r="AHK12" s="1402"/>
      <c r="AHL12" s="1402"/>
      <c r="AHM12" s="1402"/>
      <c r="AHN12" s="1402"/>
      <c r="AHO12" s="1402"/>
      <c r="AHP12" s="1402"/>
      <c r="AHQ12" s="1402"/>
      <c r="AHR12" s="1402"/>
      <c r="AHS12" s="1402"/>
      <c r="AHT12" s="1402"/>
      <c r="AHU12" s="1402"/>
      <c r="AHV12" s="1402"/>
      <c r="AHW12" s="1402"/>
      <c r="AHX12" s="1402"/>
      <c r="AHY12" s="1402"/>
      <c r="AHZ12" s="1402"/>
      <c r="AIA12" s="1402"/>
      <c r="AIB12" s="1402"/>
      <c r="AIC12" s="1402"/>
      <c r="AID12" s="1402"/>
      <c r="AIE12" s="1402"/>
      <c r="AIF12" s="1402"/>
      <c r="AIG12" s="1402"/>
      <c r="AIH12" s="1402"/>
      <c r="AII12" s="1402"/>
      <c r="AIJ12" s="1402"/>
      <c r="AIK12" s="1402"/>
      <c r="AIL12" s="1402"/>
      <c r="AIM12" s="1402"/>
      <c r="AIN12" s="1402"/>
      <c r="AIO12" s="1402"/>
      <c r="AIP12" s="1402"/>
      <c r="AIQ12" s="1402"/>
      <c r="AIR12" s="1402"/>
      <c r="AIS12" s="1402"/>
      <c r="AIT12" s="1402"/>
      <c r="AIU12" s="1402"/>
      <c r="AIV12" s="1402"/>
      <c r="AIW12" s="1402"/>
      <c r="AIX12" s="1402"/>
      <c r="AIY12" s="1402"/>
      <c r="AIZ12" s="1402"/>
      <c r="AJA12" s="1402"/>
      <c r="AJB12" s="1402"/>
      <c r="AJC12" s="1402"/>
      <c r="AJD12" s="1402"/>
      <c r="AJE12" s="1402"/>
      <c r="AJF12" s="1402"/>
      <c r="AJG12" s="1402"/>
      <c r="AJH12" s="1402"/>
      <c r="AJI12" s="1402"/>
      <c r="AJJ12" s="1402"/>
      <c r="AJK12" s="1402"/>
      <c r="AJL12" s="1402"/>
      <c r="AJM12" s="1402"/>
      <c r="AJN12" s="1402"/>
      <c r="AJO12" s="1402"/>
      <c r="AJP12" s="1402"/>
      <c r="AJQ12" s="1402"/>
      <c r="AJR12" s="1402"/>
      <c r="AJS12" s="1402"/>
      <c r="AJT12" s="1402"/>
      <c r="AJU12" s="1402"/>
      <c r="AJV12" s="1402"/>
      <c r="AJW12" s="1402"/>
      <c r="AJX12" s="1402"/>
      <c r="AJY12" s="1402"/>
      <c r="AJZ12" s="1402"/>
      <c r="AKA12" s="1402"/>
      <c r="AKB12" s="1402"/>
      <c r="AKC12" s="1402"/>
      <c r="AKD12" s="1402"/>
      <c r="AKE12" s="1402"/>
      <c r="AKF12" s="1402"/>
      <c r="AKG12" s="1402"/>
      <c r="AKH12" s="1402"/>
      <c r="AKI12" s="1402"/>
      <c r="AKJ12" s="1402"/>
      <c r="AKK12" s="1402"/>
      <c r="AKL12" s="1402"/>
      <c r="AKM12" s="1402"/>
      <c r="AKN12" s="1402"/>
      <c r="AKO12" s="1402"/>
      <c r="AKP12" s="1402"/>
      <c r="AKQ12" s="1402"/>
      <c r="AKR12" s="1402"/>
      <c r="AKS12" s="1402"/>
      <c r="AKT12" s="1402"/>
      <c r="AKU12" s="1402"/>
      <c r="AKV12" s="1402"/>
      <c r="AKW12" s="1402"/>
      <c r="AKX12" s="1402"/>
      <c r="AKY12" s="1402"/>
      <c r="AKZ12" s="1402"/>
      <c r="ALA12" s="1402"/>
      <c r="ALB12" s="1402"/>
      <c r="ALC12" s="1402"/>
      <c r="ALD12" s="1402"/>
      <c r="ALE12" s="1402"/>
      <c r="ALF12" s="1402"/>
      <c r="ALG12" s="1402"/>
      <c r="ALH12" s="1402"/>
      <c r="ALI12" s="1402"/>
      <c r="ALJ12" s="1402"/>
      <c r="ALK12" s="1402"/>
      <c r="ALL12" s="1402"/>
      <c r="ALM12" s="1402"/>
      <c r="ALN12" s="1402"/>
      <c r="ALO12" s="1402"/>
      <c r="ALP12" s="1402"/>
      <c r="ALQ12" s="1402"/>
      <c r="ALR12" s="1402"/>
      <c r="ALS12" s="1402"/>
      <c r="ALT12" s="1402"/>
      <c r="ALU12" s="1402"/>
      <c r="ALV12" s="1402"/>
      <c r="ALW12" s="1402"/>
      <c r="ALX12" s="1402"/>
      <c r="ALY12" s="1402"/>
      <c r="ALZ12" s="1402"/>
      <c r="AMA12" s="1402"/>
      <c r="AMB12" s="1402"/>
      <c r="AMC12" s="1402"/>
      <c r="AMD12" s="1402"/>
      <c r="AME12" s="1402"/>
      <c r="AMF12" s="1402"/>
      <c r="AMG12" s="1402"/>
      <c r="AMH12" s="1402"/>
      <c r="AMI12" s="1402"/>
      <c r="AMJ12" s="1402"/>
      <c r="AMK12" s="1402"/>
      <c r="AML12" s="1402"/>
      <c r="AMM12" s="1402"/>
      <c r="AMN12" s="1402"/>
      <c r="AMO12" s="1402"/>
      <c r="AMP12" s="1402"/>
      <c r="AMQ12" s="1402"/>
      <c r="AMR12" s="1402"/>
      <c r="AMS12" s="1402"/>
      <c r="AMT12" s="1402"/>
      <c r="AMU12" s="1402"/>
      <c r="AMV12" s="1402"/>
      <c r="AMW12" s="1402"/>
      <c r="AMX12" s="1402"/>
      <c r="AMY12" s="1402"/>
      <c r="AMZ12" s="1402"/>
      <c r="ANA12" s="1402"/>
      <c r="ANB12" s="1402"/>
      <c r="ANC12" s="1402"/>
      <c r="AND12" s="1402"/>
      <c r="ANE12" s="1402"/>
      <c r="ANF12" s="1402"/>
      <c r="ANG12" s="1402"/>
      <c r="ANH12" s="1402"/>
      <c r="ANI12" s="1402"/>
      <c r="ANJ12" s="1402"/>
      <c r="ANK12" s="1402"/>
      <c r="ANL12" s="1402"/>
      <c r="ANM12" s="1402"/>
      <c r="ANN12" s="1402"/>
      <c r="ANO12" s="1402"/>
      <c r="ANP12" s="1402"/>
      <c r="ANQ12" s="1402"/>
      <c r="ANR12" s="1402"/>
      <c r="ANS12" s="1402"/>
      <c r="ANT12" s="1402"/>
      <c r="ANU12" s="1402"/>
      <c r="ANV12" s="1402"/>
      <c r="ANW12" s="1402"/>
      <c r="ANX12" s="1402"/>
      <c r="ANY12" s="1402"/>
      <c r="ANZ12" s="1402"/>
      <c r="AOA12" s="1402"/>
      <c r="AOB12" s="1402"/>
      <c r="AOC12" s="1402"/>
      <c r="AOD12" s="1402"/>
      <c r="AOE12" s="1402"/>
      <c r="AOF12" s="1402"/>
      <c r="AOG12" s="1402"/>
      <c r="AOH12" s="1402"/>
      <c r="AOI12" s="1402"/>
      <c r="AOJ12" s="1402"/>
      <c r="AOK12" s="1402"/>
      <c r="AOL12" s="1402"/>
      <c r="AOM12" s="1402"/>
      <c r="AON12" s="1402"/>
      <c r="AOO12" s="1402"/>
      <c r="AOP12" s="1402"/>
      <c r="AOQ12" s="1402"/>
      <c r="AOR12" s="1402"/>
      <c r="AOS12" s="1402"/>
      <c r="AOT12" s="1402"/>
      <c r="AOU12" s="1402"/>
      <c r="AOV12" s="1402"/>
      <c r="AOW12" s="1402"/>
      <c r="AOX12" s="1402"/>
      <c r="AOY12" s="1402"/>
      <c r="AOZ12" s="1402"/>
      <c r="APA12" s="1402"/>
      <c r="APB12" s="1402"/>
      <c r="APC12" s="1402"/>
      <c r="APD12" s="1402"/>
      <c r="APE12" s="1402"/>
      <c r="APF12" s="1402"/>
      <c r="APG12" s="1402"/>
      <c r="APH12" s="1402"/>
      <c r="API12" s="1402"/>
      <c r="APJ12" s="1402"/>
      <c r="APK12" s="1402"/>
      <c r="APL12" s="1402"/>
      <c r="APM12" s="1402"/>
      <c r="APN12" s="1402"/>
      <c r="APO12" s="1402"/>
      <c r="APP12" s="1402"/>
      <c r="APQ12" s="1402"/>
      <c r="APR12" s="1402"/>
      <c r="APS12" s="1402"/>
      <c r="APT12" s="1402"/>
      <c r="APU12" s="1402"/>
      <c r="APV12" s="1402"/>
      <c r="APW12" s="1402"/>
      <c r="APX12" s="1402"/>
      <c r="APY12" s="1402"/>
      <c r="APZ12" s="1402"/>
      <c r="AQA12" s="1402"/>
      <c r="AQB12" s="1402"/>
      <c r="AQC12" s="1402"/>
      <c r="AQD12" s="1402"/>
      <c r="AQE12" s="1402"/>
      <c r="AQF12" s="1402"/>
      <c r="AQG12" s="1402"/>
      <c r="AQH12" s="1402"/>
      <c r="AQI12" s="1402"/>
      <c r="AQJ12" s="1402"/>
      <c r="AQK12" s="1402"/>
      <c r="AQL12" s="1402"/>
      <c r="AQM12" s="1402"/>
      <c r="AQN12" s="1402"/>
      <c r="AQO12" s="1402"/>
      <c r="AQP12" s="1402"/>
      <c r="AQQ12" s="1402"/>
      <c r="AQR12" s="1402"/>
      <c r="AQS12" s="1402"/>
      <c r="AQT12" s="1402"/>
      <c r="AQU12" s="1402"/>
      <c r="AQV12" s="1402"/>
      <c r="AQW12" s="1402"/>
      <c r="AQX12" s="1402"/>
      <c r="AQY12" s="1402"/>
      <c r="AQZ12" s="1402"/>
      <c r="ARA12" s="1402"/>
      <c r="ARB12" s="1402"/>
      <c r="ARC12" s="1402"/>
      <c r="ARD12" s="1402"/>
      <c r="ARE12" s="1402"/>
      <c r="ARF12" s="1402"/>
      <c r="ARG12" s="1402"/>
      <c r="ARH12" s="1402"/>
      <c r="ARI12" s="1402"/>
      <c r="ARJ12" s="1402"/>
      <c r="ARK12" s="1402"/>
      <c r="ARL12" s="1402"/>
      <c r="ARM12" s="1402"/>
      <c r="ARN12" s="1402"/>
      <c r="ARO12" s="1402"/>
      <c r="ARP12" s="1402"/>
      <c r="ARQ12" s="1402"/>
      <c r="ARR12" s="1402"/>
      <c r="ARS12" s="1402"/>
      <c r="ART12" s="1402"/>
      <c r="ARU12" s="1402"/>
      <c r="ARV12" s="1402"/>
      <c r="ARW12" s="1402"/>
      <c r="ARX12" s="1402"/>
      <c r="ARY12" s="1402"/>
      <c r="ARZ12" s="1402"/>
      <c r="ASA12" s="1402"/>
      <c r="ASB12" s="1402"/>
      <c r="ASC12" s="1402"/>
      <c r="ASD12" s="1402"/>
      <c r="ASE12" s="1402"/>
      <c r="ASF12" s="1402"/>
      <c r="ASG12" s="1402"/>
      <c r="ASH12" s="1402"/>
      <c r="ASI12" s="1402"/>
      <c r="ASJ12" s="1402"/>
      <c r="ASK12" s="1402"/>
      <c r="ASL12" s="1402"/>
      <c r="ASM12" s="1402"/>
      <c r="ASN12" s="1402"/>
      <c r="ASO12" s="1402"/>
      <c r="ASP12" s="1402"/>
      <c r="ASQ12" s="1402"/>
      <c r="ASR12" s="1402"/>
      <c r="ASS12" s="1402"/>
      <c r="AST12" s="1402"/>
      <c r="ASU12" s="1402"/>
      <c r="ASV12" s="1402"/>
      <c r="ASW12" s="1402"/>
      <c r="ASX12" s="1402"/>
      <c r="ASY12" s="1402"/>
      <c r="ASZ12" s="1402"/>
      <c r="ATA12" s="1402"/>
      <c r="ATB12" s="1402"/>
      <c r="ATC12" s="1402"/>
      <c r="ATD12" s="1402"/>
      <c r="ATE12" s="1402"/>
      <c r="ATF12" s="1402"/>
      <c r="ATG12" s="1402"/>
      <c r="ATH12" s="1402"/>
      <c r="ATI12" s="1402"/>
      <c r="ATJ12" s="1402"/>
      <c r="ATK12" s="1402"/>
      <c r="ATL12" s="1402"/>
      <c r="ATM12" s="1402"/>
      <c r="ATN12" s="1402"/>
      <c r="ATO12" s="1402"/>
      <c r="ATP12" s="1402"/>
      <c r="ATQ12" s="1402"/>
      <c r="ATR12" s="1402"/>
      <c r="ATS12" s="1402"/>
      <c r="ATT12" s="1402"/>
      <c r="ATU12" s="1402"/>
      <c r="ATV12" s="1402"/>
      <c r="ATW12" s="1402"/>
      <c r="ATX12" s="1402"/>
      <c r="ATY12" s="1402"/>
      <c r="ATZ12" s="1402"/>
      <c r="AUA12" s="1402"/>
      <c r="AUB12" s="1402"/>
      <c r="AUC12" s="1402"/>
      <c r="AUD12" s="1402"/>
      <c r="AUE12" s="1402"/>
      <c r="AUF12" s="1402"/>
      <c r="AUG12" s="1402"/>
      <c r="AUH12" s="1402"/>
      <c r="AUI12" s="1402"/>
      <c r="AUJ12" s="1402"/>
      <c r="AUK12" s="1402"/>
      <c r="AUL12" s="1402"/>
      <c r="AUM12" s="1402"/>
      <c r="AUN12" s="1402"/>
      <c r="AUO12" s="1402"/>
      <c r="AUP12" s="1402"/>
      <c r="AUQ12" s="1402"/>
      <c r="AUR12" s="1402"/>
      <c r="AUS12" s="1402"/>
      <c r="AUT12" s="1402"/>
      <c r="AUU12" s="1402"/>
      <c r="AUV12" s="1402"/>
      <c r="AUW12" s="1402"/>
      <c r="AUX12" s="1402"/>
      <c r="AUY12" s="1402"/>
      <c r="AUZ12" s="1402"/>
      <c r="AVA12" s="1402"/>
      <c r="AVB12" s="1402"/>
      <c r="AVC12" s="1402"/>
      <c r="AVD12" s="1402"/>
      <c r="AVE12" s="1402"/>
      <c r="AVF12" s="1402"/>
      <c r="AVG12" s="1402"/>
      <c r="AVH12" s="1402"/>
      <c r="AVI12" s="1402"/>
      <c r="AVJ12" s="1402"/>
      <c r="AVK12" s="1402"/>
      <c r="AVL12" s="1402"/>
      <c r="AVM12" s="1402"/>
      <c r="AVN12" s="1402"/>
      <c r="AVO12" s="1402"/>
      <c r="AVP12" s="1402"/>
      <c r="AVQ12" s="1402"/>
      <c r="AVR12" s="1402"/>
      <c r="AVS12" s="1402"/>
      <c r="AVT12" s="1402"/>
      <c r="AVU12" s="1402"/>
      <c r="AVV12" s="1402"/>
      <c r="AVW12" s="1402"/>
      <c r="AVX12" s="1402"/>
      <c r="AVY12" s="1402"/>
      <c r="AVZ12" s="1402"/>
      <c r="AWA12" s="1402"/>
      <c r="AWB12" s="1402"/>
      <c r="AWC12" s="1402"/>
      <c r="AWD12" s="1402"/>
      <c r="AWE12" s="1402"/>
      <c r="AWF12" s="1402"/>
      <c r="AWG12" s="1402"/>
      <c r="AWH12" s="1402"/>
      <c r="AWI12" s="1402"/>
      <c r="AWJ12" s="1402"/>
      <c r="AWK12" s="1402"/>
      <c r="AWL12" s="1402"/>
      <c r="AWM12" s="1402"/>
      <c r="AWN12" s="1402"/>
      <c r="AWO12" s="1402"/>
      <c r="AWP12" s="1402"/>
      <c r="AWQ12" s="1402"/>
      <c r="AWR12" s="1402"/>
      <c r="AWS12" s="1402"/>
      <c r="AWT12" s="1402"/>
      <c r="AWU12" s="1402"/>
      <c r="AWV12" s="1402"/>
      <c r="AWW12" s="1402"/>
      <c r="AWX12" s="1402"/>
      <c r="AWY12" s="1402"/>
      <c r="AWZ12" s="1402"/>
      <c r="AXA12" s="1402"/>
      <c r="AXB12" s="1402"/>
      <c r="AXC12" s="1402"/>
      <c r="AXD12" s="1402"/>
      <c r="AXE12" s="1402"/>
      <c r="AXF12" s="1402"/>
      <c r="AXG12" s="1402"/>
      <c r="AXH12" s="1402"/>
      <c r="AXI12" s="1402"/>
      <c r="AXJ12" s="1402"/>
      <c r="AXK12" s="1402"/>
      <c r="AXL12" s="1402"/>
      <c r="AXM12" s="1402"/>
      <c r="AXN12" s="1402"/>
      <c r="AXO12" s="1402"/>
      <c r="AXP12" s="1402"/>
      <c r="AXQ12" s="1402"/>
      <c r="AXR12" s="1402"/>
      <c r="AXS12" s="1402"/>
      <c r="AXT12" s="1402"/>
      <c r="AXU12" s="1402"/>
      <c r="AXV12" s="1402"/>
      <c r="AXW12" s="1402"/>
      <c r="AXX12" s="1402"/>
      <c r="AXY12" s="1402"/>
      <c r="AXZ12" s="1402"/>
      <c r="AYA12" s="1402"/>
      <c r="AYB12" s="1402"/>
      <c r="AYC12" s="1402"/>
      <c r="AYD12" s="1402"/>
      <c r="AYE12" s="1402"/>
      <c r="AYF12" s="1402"/>
      <c r="AYG12" s="1402"/>
      <c r="AYH12" s="1402"/>
      <c r="AYI12" s="1402"/>
      <c r="AYJ12" s="1402"/>
      <c r="AYK12" s="1402"/>
      <c r="AYL12" s="1402"/>
      <c r="AYM12" s="1402"/>
      <c r="AYN12" s="1402"/>
      <c r="AYO12" s="1402"/>
      <c r="AYP12" s="1402"/>
      <c r="AYQ12" s="1402"/>
      <c r="AYR12" s="1402"/>
      <c r="AYS12" s="1402"/>
      <c r="AYT12" s="1402"/>
      <c r="AYU12" s="1402"/>
      <c r="AYV12" s="1402"/>
      <c r="AYW12" s="1402"/>
      <c r="AYX12" s="1402"/>
      <c r="AYY12" s="1402"/>
      <c r="AYZ12" s="1402"/>
      <c r="AZA12" s="1402"/>
      <c r="AZB12" s="1402"/>
      <c r="AZC12" s="1402"/>
      <c r="AZD12" s="1402"/>
      <c r="AZE12" s="1402"/>
      <c r="AZF12" s="1402"/>
      <c r="AZG12" s="1402"/>
      <c r="AZH12" s="1402"/>
      <c r="AZI12" s="1402"/>
      <c r="AZJ12" s="1402"/>
      <c r="AZK12" s="1402"/>
      <c r="AZL12" s="1402"/>
      <c r="AZM12" s="1402"/>
      <c r="AZN12" s="1402"/>
      <c r="AZO12" s="1402"/>
      <c r="AZP12" s="1402"/>
      <c r="AZQ12" s="1402"/>
      <c r="AZR12" s="1402"/>
      <c r="AZS12" s="1402"/>
      <c r="AZT12" s="1402"/>
      <c r="AZU12" s="1402"/>
      <c r="AZV12" s="1402"/>
      <c r="AZW12" s="1402"/>
      <c r="AZX12" s="1402"/>
      <c r="AZY12" s="1402"/>
      <c r="AZZ12" s="1402"/>
      <c r="BAA12" s="1402"/>
      <c r="BAB12" s="1402"/>
      <c r="BAC12" s="1402"/>
      <c r="BAD12" s="1402"/>
      <c r="BAE12" s="1402"/>
      <c r="BAF12" s="1402"/>
      <c r="BAG12" s="1402"/>
      <c r="BAH12" s="1402"/>
      <c r="BAI12" s="1402"/>
      <c r="BAJ12" s="1402"/>
      <c r="BAK12" s="1402"/>
      <c r="BAL12" s="1402"/>
      <c r="BAM12" s="1402"/>
      <c r="BAN12" s="1402"/>
      <c r="BAO12" s="1402"/>
      <c r="BAP12" s="1402"/>
      <c r="BAQ12" s="1402"/>
      <c r="BAR12" s="1402"/>
      <c r="BAS12" s="1402"/>
      <c r="BAT12" s="1402"/>
      <c r="BAU12" s="1402"/>
      <c r="BAV12" s="1402"/>
      <c r="BAW12" s="1402"/>
      <c r="BAX12" s="1402"/>
      <c r="BAY12" s="1402"/>
      <c r="BAZ12" s="1402"/>
      <c r="BBA12" s="1402"/>
      <c r="BBB12" s="1402"/>
      <c r="BBC12" s="1402"/>
      <c r="BBD12" s="1402"/>
      <c r="BBE12" s="1402"/>
      <c r="BBF12" s="1402"/>
      <c r="BBG12" s="1402"/>
      <c r="BBH12" s="1402"/>
      <c r="BBI12" s="1402"/>
      <c r="BBJ12" s="1402"/>
      <c r="BBK12" s="1402"/>
      <c r="BBL12" s="1402"/>
      <c r="BBM12" s="1402"/>
      <c r="BBN12" s="1402"/>
      <c r="BBO12" s="1402"/>
      <c r="BBP12" s="1402"/>
      <c r="BBQ12" s="1402"/>
      <c r="BBR12" s="1402"/>
      <c r="BBS12" s="1402"/>
      <c r="BBT12" s="1402"/>
      <c r="BBU12" s="1402"/>
      <c r="BBV12" s="1402"/>
      <c r="BBW12" s="1402"/>
      <c r="BBX12" s="1402"/>
      <c r="BBY12" s="1402"/>
      <c r="BBZ12" s="1402"/>
      <c r="BCA12" s="1402"/>
      <c r="BCB12" s="1402"/>
      <c r="BCC12" s="1402"/>
      <c r="BCD12" s="1402"/>
      <c r="BCE12" s="1402"/>
      <c r="BCF12" s="1402"/>
      <c r="BCG12" s="1402"/>
      <c r="BCH12" s="1402"/>
      <c r="BCI12" s="1402"/>
      <c r="BCJ12" s="1402"/>
      <c r="BCK12" s="1402"/>
      <c r="BCL12" s="1402"/>
      <c r="BCM12" s="1402"/>
      <c r="BCN12" s="1402"/>
      <c r="BCO12" s="1402"/>
      <c r="BCP12" s="1402"/>
      <c r="BCQ12" s="1402"/>
      <c r="BCR12" s="1402"/>
      <c r="BCS12" s="1402"/>
      <c r="BCT12" s="1402"/>
      <c r="BCU12" s="1402"/>
      <c r="BCV12" s="1402"/>
      <c r="BCW12" s="1402"/>
      <c r="BCX12" s="1402"/>
      <c r="BCY12" s="1402"/>
      <c r="BCZ12" s="1402"/>
      <c r="BDA12" s="1402"/>
      <c r="BDB12" s="1402"/>
      <c r="BDC12" s="1402"/>
      <c r="BDD12" s="1402"/>
      <c r="BDE12" s="1402"/>
      <c r="BDF12" s="1402"/>
      <c r="BDG12" s="1402"/>
      <c r="BDH12" s="1402"/>
      <c r="BDI12" s="1402"/>
      <c r="BDJ12" s="1402"/>
      <c r="BDK12" s="1402"/>
      <c r="BDL12" s="1402"/>
      <c r="BDM12" s="1402"/>
      <c r="BDN12" s="1402"/>
      <c r="BDO12" s="1402"/>
      <c r="BDP12" s="1402"/>
      <c r="BDQ12" s="1402"/>
      <c r="BDR12" s="1402"/>
      <c r="BDS12" s="1402"/>
      <c r="BDT12" s="1402"/>
      <c r="BDU12" s="1402"/>
      <c r="BDV12" s="1402"/>
      <c r="BDW12" s="1402"/>
      <c r="BDX12" s="1402"/>
      <c r="BDY12" s="1402"/>
      <c r="BDZ12" s="1402"/>
      <c r="BEA12" s="1402"/>
      <c r="BEB12" s="1402"/>
      <c r="BEC12" s="1402"/>
      <c r="BED12" s="1402"/>
      <c r="BEE12" s="1402"/>
      <c r="BEF12" s="1402"/>
      <c r="BEG12" s="1402"/>
      <c r="BEH12" s="1402"/>
      <c r="BEI12" s="1402"/>
      <c r="BEJ12" s="1402"/>
      <c r="BEK12" s="1402"/>
      <c r="BEL12" s="1402"/>
      <c r="BEM12" s="1402"/>
      <c r="BEN12" s="1402"/>
      <c r="BEO12" s="1402"/>
      <c r="BEP12" s="1402"/>
      <c r="BEQ12" s="1402"/>
      <c r="BER12" s="1402"/>
      <c r="BES12" s="1402"/>
      <c r="BET12" s="1402"/>
      <c r="BEU12" s="1402"/>
      <c r="BEV12" s="1402"/>
      <c r="BEW12" s="1402"/>
      <c r="BEX12" s="1402"/>
      <c r="BEY12" s="1402"/>
      <c r="BEZ12" s="1402"/>
      <c r="BFA12" s="1402"/>
      <c r="BFB12" s="1402"/>
      <c r="BFC12" s="1402"/>
      <c r="BFD12" s="1402"/>
      <c r="BFE12" s="1402"/>
      <c r="BFF12" s="1402"/>
      <c r="BFG12" s="1402"/>
      <c r="BFH12" s="1402"/>
      <c r="BFI12" s="1402"/>
      <c r="BFJ12" s="1402"/>
      <c r="BFK12" s="1402"/>
      <c r="BFL12" s="1402"/>
      <c r="BFM12" s="1402"/>
      <c r="BFN12" s="1402"/>
      <c r="BFO12" s="1402"/>
      <c r="BFP12" s="1402"/>
      <c r="BFQ12" s="1402"/>
      <c r="BFR12" s="1402"/>
      <c r="BFS12" s="1402"/>
      <c r="BFT12" s="1402"/>
      <c r="BFU12" s="1402"/>
      <c r="BFV12" s="1402"/>
      <c r="BFW12" s="1402"/>
      <c r="BFX12" s="1402"/>
      <c r="BFY12" s="1402"/>
      <c r="BFZ12" s="1402"/>
      <c r="BGA12" s="1402"/>
      <c r="BGB12" s="1402"/>
      <c r="BGC12" s="1402"/>
      <c r="BGD12" s="1402"/>
      <c r="BGE12" s="1402"/>
      <c r="BGF12" s="1402"/>
      <c r="BGG12" s="1402"/>
      <c r="BGH12" s="1402"/>
      <c r="BGI12" s="1402"/>
      <c r="BGJ12" s="1402"/>
      <c r="BGK12" s="1402"/>
      <c r="BGL12" s="1402"/>
      <c r="BGM12" s="1402"/>
      <c r="BGN12" s="1402"/>
      <c r="BGO12" s="1402"/>
      <c r="BGP12" s="1402"/>
      <c r="BGQ12" s="1402"/>
      <c r="BGR12" s="1402"/>
      <c r="BGS12" s="1402"/>
      <c r="BGT12" s="1402"/>
      <c r="BGU12" s="1402"/>
      <c r="BGV12" s="1402"/>
      <c r="BGW12" s="1402"/>
      <c r="BGX12" s="1402"/>
      <c r="BGY12" s="1402"/>
      <c r="BGZ12" s="1402"/>
      <c r="BHA12" s="1402"/>
      <c r="BHB12" s="1402"/>
      <c r="BHC12" s="1402"/>
      <c r="BHD12" s="1402"/>
      <c r="BHE12" s="1402"/>
      <c r="BHF12" s="1402"/>
      <c r="BHG12" s="1402"/>
      <c r="BHH12" s="1402"/>
      <c r="BHI12" s="1402"/>
      <c r="BHJ12" s="1402"/>
      <c r="BHK12" s="1402"/>
      <c r="BHL12" s="1402"/>
      <c r="BHM12" s="1402"/>
      <c r="BHN12" s="1402"/>
      <c r="BHO12" s="1402"/>
      <c r="BHP12" s="1402"/>
      <c r="BHQ12" s="1402"/>
      <c r="BHR12" s="1402"/>
      <c r="BHS12" s="1402"/>
      <c r="BHT12" s="1402"/>
      <c r="BHU12" s="1402"/>
      <c r="BHV12" s="1402"/>
      <c r="BHW12" s="1402"/>
      <c r="BHX12" s="1402"/>
      <c r="BHY12" s="1402"/>
      <c r="BHZ12" s="1402"/>
      <c r="BIA12" s="1402"/>
      <c r="BIB12" s="1402"/>
      <c r="BIC12" s="1402"/>
      <c r="BID12" s="1402"/>
      <c r="BIE12" s="1402"/>
      <c r="BIF12" s="1402"/>
      <c r="BIG12" s="1402"/>
      <c r="BIH12" s="1402"/>
      <c r="BII12" s="1402"/>
      <c r="BIJ12" s="1402"/>
      <c r="BIK12" s="1402"/>
      <c r="BIL12" s="1402"/>
      <c r="BIM12" s="1402"/>
      <c r="BIN12" s="1402"/>
      <c r="BIO12" s="1402"/>
      <c r="BIP12" s="1402"/>
      <c r="BIQ12" s="1402"/>
      <c r="BIR12" s="1402"/>
      <c r="BIS12" s="1402"/>
      <c r="BIT12" s="1402"/>
      <c r="BIU12" s="1402"/>
      <c r="BIV12" s="1402"/>
      <c r="BIW12" s="1402"/>
      <c r="BIX12" s="1402"/>
      <c r="BIY12" s="1402"/>
      <c r="BIZ12" s="1402"/>
      <c r="BJA12" s="1402"/>
      <c r="BJB12" s="1402"/>
      <c r="BJC12" s="1402"/>
      <c r="BJD12" s="1402"/>
      <c r="BJE12" s="1402"/>
      <c r="BJF12" s="1402"/>
      <c r="BJG12" s="1402"/>
      <c r="BJH12" s="1402"/>
      <c r="BJI12" s="1402"/>
      <c r="BJJ12" s="1402"/>
      <c r="BJK12" s="1402"/>
      <c r="BJL12" s="1402"/>
      <c r="BJM12" s="1402"/>
      <c r="BJN12" s="1402"/>
      <c r="BJO12" s="1402"/>
      <c r="BJP12" s="1402"/>
      <c r="BJQ12" s="1402"/>
      <c r="BJR12" s="1402"/>
      <c r="BJS12" s="1402"/>
      <c r="BJT12" s="1402"/>
      <c r="BJU12" s="1402"/>
      <c r="BJV12" s="1402"/>
      <c r="BJW12" s="1402"/>
      <c r="BJX12" s="1402"/>
      <c r="BJY12" s="1402"/>
      <c r="BJZ12" s="1402"/>
      <c r="BKA12" s="1402"/>
      <c r="BKB12" s="1402"/>
      <c r="BKC12" s="1402"/>
      <c r="BKD12" s="1402"/>
      <c r="BKE12" s="1402"/>
      <c r="BKF12" s="1402"/>
      <c r="BKG12" s="1402"/>
      <c r="BKH12" s="1402"/>
      <c r="BKI12" s="1402"/>
      <c r="BKJ12" s="1402"/>
      <c r="BKK12" s="1402"/>
      <c r="BKL12" s="1402"/>
      <c r="BKM12" s="1402"/>
      <c r="BKN12" s="1402"/>
      <c r="BKO12" s="1402"/>
      <c r="BKP12" s="1402"/>
      <c r="BKQ12" s="1402"/>
      <c r="BKR12" s="1402"/>
      <c r="BKS12" s="1402"/>
      <c r="BKT12" s="1402"/>
      <c r="BKU12" s="1402"/>
      <c r="BKV12" s="1402"/>
      <c r="BKW12" s="1402"/>
      <c r="BKX12" s="1402"/>
      <c r="BKY12" s="1402"/>
      <c r="BKZ12" s="1402"/>
      <c r="BLA12" s="1402"/>
      <c r="BLB12" s="1402"/>
      <c r="BLC12" s="1402"/>
      <c r="BLD12" s="1402"/>
      <c r="BLE12" s="1402"/>
      <c r="BLF12" s="1402"/>
      <c r="BLG12" s="1402"/>
      <c r="BLH12" s="1402"/>
      <c r="BLI12" s="1402"/>
      <c r="BLJ12" s="1402"/>
      <c r="BLK12" s="1402"/>
      <c r="BLL12" s="1402"/>
      <c r="BLM12" s="1402"/>
      <c r="BLN12" s="1402"/>
      <c r="BLO12" s="1402"/>
      <c r="BLP12" s="1402"/>
      <c r="BLQ12" s="1402"/>
      <c r="BLR12" s="1402"/>
      <c r="BLS12" s="1402"/>
      <c r="BLT12" s="1402"/>
      <c r="BLU12" s="1402"/>
      <c r="BLV12" s="1402"/>
      <c r="BLW12" s="1402"/>
      <c r="BLX12" s="1402"/>
      <c r="BLY12" s="1402"/>
      <c r="BLZ12" s="1402"/>
      <c r="BMA12" s="1402"/>
      <c r="BMB12" s="1402"/>
      <c r="BMC12" s="1402"/>
      <c r="BMD12" s="1402"/>
      <c r="BME12" s="1402"/>
      <c r="BMF12" s="1402"/>
      <c r="BMG12" s="1402"/>
      <c r="BMH12" s="1402"/>
      <c r="BMI12" s="1402"/>
      <c r="BMJ12" s="1402"/>
      <c r="BMK12" s="1402"/>
      <c r="BML12" s="1402"/>
      <c r="BMM12" s="1402"/>
      <c r="BMN12" s="1402"/>
      <c r="BMO12" s="1402"/>
      <c r="BMP12" s="1402"/>
      <c r="BMQ12" s="1402"/>
      <c r="BMR12" s="1402"/>
      <c r="BMS12" s="1402"/>
      <c r="BMT12" s="1402"/>
      <c r="BMU12" s="1402"/>
      <c r="BMV12" s="1402"/>
      <c r="BMW12" s="1402"/>
      <c r="BMX12" s="1402"/>
      <c r="BMY12" s="1402"/>
      <c r="BMZ12" s="1402"/>
      <c r="BNA12" s="1402"/>
      <c r="BNB12" s="1402"/>
      <c r="BNC12" s="1402"/>
      <c r="BND12" s="1402"/>
      <c r="BNE12" s="1402"/>
      <c r="BNF12" s="1402"/>
      <c r="BNG12" s="1402"/>
      <c r="BNH12" s="1402"/>
      <c r="BNI12" s="1402"/>
      <c r="BNJ12" s="1402"/>
      <c r="BNK12" s="1402"/>
      <c r="BNL12" s="1402"/>
      <c r="BNM12" s="1402"/>
      <c r="BNN12" s="1402"/>
      <c r="BNO12" s="1402"/>
      <c r="BNP12" s="1402"/>
      <c r="BNQ12" s="1402"/>
      <c r="BNR12" s="1402"/>
      <c r="BNS12" s="1402"/>
      <c r="BNT12" s="1402"/>
      <c r="BNU12" s="1402"/>
      <c r="BNV12" s="1402"/>
      <c r="BNW12" s="1402"/>
      <c r="BNX12" s="1402"/>
      <c r="BNY12" s="1402"/>
      <c r="BNZ12" s="1402"/>
      <c r="BOA12" s="1402"/>
      <c r="BOB12" s="1402"/>
      <c r="BOC12" s="1402"/>
      <c r="BOD12" s="1402"/>
      <c r="BOE12" s="1402"/>
      <c r="BOF12" s="1402"/>
      <c r="BOG12" s="1402"/>
      <c r="BOH12" s="1402"/>
      <c r="BOI12" s="1402"/>
      <c r="BOJ12" s="1402"/>
      <c r="BOK12" s="1402"/>
      <c r="BOL12" s="1402"/>
      <c r="BOM12" s="1402"/>
      <c r="BON12" s="1402"/>
      <c r="BOO12" s="1402"/>
      <c r="BOP12" s="1402"/>
      <c r="BOQ12" s="1402"/>
      <c r="BOR12" s="1402"/>
      <c r="BOS12" s="1402"/>
      <c r="BOT12" s="1402"/>
      <c r="BOU12" s="1402"/>
      <c r="BOV12" s="1402"/>
      <c r="BOW12" s="1402"/>
      <c r="BOX12" s="1402"/>
      <c r="BOY12" s="1402"/>
      <c r="BOZ12" s="1402"/>
      <c r="BPA12" s="1402"/>
      <c r="BPB12" s="1402"/>
      <c r="BPC12" s="1402"/>
      <c r="BPD12" s="1402"/>
      <c r="BPE12" s="1402"/>
      <c r="BPF12" s="1402"/>
      <c r="BPG12" s="1402"/>
      <c r="BPH12" s="1402"/>
      <c r="BPI12" s="1402"/>
      <c r="BPJ12" s="1402"/>
      <c r="BPK12" s="1402"/>
      <c r="BPL12" s="1402"/>
      <c r="BPM12" s="1402"/>
      <c r="BPN12" s="1402"/>
      <c r="BPO12" s="1402"/>
      <c r="BPP12" s="1402"/>
      <c r="BPQ12" s="1402"/>
      <c r="BPR12" s="1402"/>
      <c r="BPS12" s="1402"/>
      <c r="BPT12" s="1402"/>
      <c r="BPU12" s="1402"/>
      <c r="BPV12" s="1402"/>
      <c r="BPW12" s="1402"/>
      <c r="BPX12" s="1402"/>
      <c r="BPY12" s="1402"/>
      <c r="BPZ12" s="1402"/>
      <c r="BQA12" s="1402"/>
      <c r="BQB12" s="1402"/>
      <c r="BQC12" s="1402"/>
      <c r="BQD12" s="1402"/>
      <c r="BQE12" s="1402"/>
      <c r="BQF12" s="1402"/>
      <c r="BQG12" s="1402"/>
      <c r="BQH12" s="1402"/>
      <c r="BQI12" s="1402"/>
      <c r="BQJ12" s="1402"/>
      <c r="BQK12" s="1402"/>
      <c r="BQL12" s="1402"/>
      <c r="BQM12" s="1402"/>
      <c r="BQN12" s="1402"/>
      <c r="BQO12" s="1402"/>
      <c r="BQP12" s="1402"/>
      <c r="BQQ12" s="1402"/>
      <c r="BQR12" s="1402"/>
      <c r="BQS12" s="1402"/>
      <c r="BQT12" s="1402"/>
      <c r="BQU12" s="1402"/>
      <c r="BQV12" s="1402"/>
      <c r="BQW12" s="1402"/>
      <c r="BQX12" s="1402"/>
      <c r="BQY12" s="1402"/>
      <c r="BQZ12" s="1402"/>
      <c r="BRA12" s="1402"/>
      <c r="BRB12" s="1402"/>
      <c r="BRC12" s="1402"/>
      <c r="BRD12" s="1402"/>
      <c r="BRE12" s="1402"/>
      <c r="BRF12" s="1402"/>
      <c r="BRG12" s="1402"/>
      <c r="BRH12" s="1402"/>
      <c r="BRI12" s="1402"/>
      <c r="BRJ12" s="1402"/>
      <c r="BRK12" s="1402"/>
      <c r="BRL12" s="1402"/>
      <c r="BRM12" s="1402"/>
      <c r="BRN12" s="1402"/>
      <c r="BRO12" s="1402"/>
      <c r="BRP12" s="1402"/>
      <c r="BRQ12" s="1402"/>
      <c r="BRR12" s="1402"/>
      <c r="BRS12" s="1402"/>
      <c r="BRT12" s="1402"/>
      <c r="BRU12" s="1402"/>
      <c r="BRV12" s="1402"/>
      <c r="BRW12" s="1402"/>
      <c r="BRX12" s="1402"/>
      <c r="BRY12" s="1402"/>
      <c r="BRZ12" s="1402"/>
      <c r="BSA12" s="1402"/>
      <c r="BSB12" s="1402"/>
      <c r="BSC12" s="1402"/>
      <c r="BSD12" s="1402"/>
      <c r="BSE12" s="1402"/>
      <c r="BSF12" s="1402"/>
      <c r="BSG12" s="1402"/>
      <c r="BSH12" s="1402"/>
      <c r="BSI12" s="1402"/>
      <c r="BSJ12" s="1402"/>
      <c r="BSK12" s="1402"/>
      <c r="BSL12" s="1402"/>
      <c r="BSM12" s="1402"/>
      <c r="BSN12" s="1402"/>
      <c r="BSO12" s="1402"/>
      <c r="BSP12" s="1402"/>
      <c r="BSQ12" s="1402"/>
      <c r="BSR12" s="1402"/>
      <c r="BSS12" s="1402"/>
      <c r="BST12" s="1402"/>
      <c r="BSU12" s="1402"/>
      <c r="BSV12" s="1402"/>
      <c r="BSW12" s="1402"/>
      <c r="BSX12" s="1402"/>
      <c r="BSY12" s="1402"/>
      <c r="BSZ12" s="1402"/>
      <c r="BTA12" s="1402"/>
      <c r="BTB12" s="1402"/>
      <c r="BTC12" s="1402"/>
      <c r="BTD12" s="1402"/>
      <c r="BTE12" s="1402"/>
      <c r="BTF12" s="1402"/>
      <c r="BTG12" s="1402"/>
      <c r="BTH12" s="1402"/>
      <c r="BTI12" s="1402"/>
      <c r="BTJ12" s="1402"/>
      <c r="BTK12" s="1402"/>
      <c r="BTL12" s="1402"/>
      <c r="BTM12" s="1402"/>
      <c r="BTN12" s="1402"/>
      <c r="BTO12" s="1402"/>
      <c r="BTP12" s="1402"/>
      <c r="BTQ12" s="1402"/>
      <c r="BTR12" s="1402"/>
      <c r="BTS12" s="1402"/>
      <c r="BTT12" s="1402"/>
      <c r="BTU12" s="1402"/>
      <c r="BTV12" s="1402"/>
      <c r="BTW12" s="1402"/>
      <c r="BTX12" s="1402"/>
      <c r="BTY12" s="1402"/>
      <c r="BTZ12" s="1402"/>
      <c r="BUA12" s="1402"/>
      <c r="BUB12" s="1402"/>
      <c r="BUC12" s="1402"/>
      <c r="BUD12" s="1402"/>
      <c r="BUE12" s="1402"/>
      <c r="BUF12" s="1402"/>
      <c r="BUG12" s="1402"/>
      <c r="BUH12" s="1402"/>
      <c r="BUI12" s="1402"/>
      <c r="BUJ12" s="1402"/>
      <c r="BUK12" s="1402"/>
      <c r="BUL12" s="1402"/>
      <c r="BUM12" s="1402"/>
      <c r="BUN12" s="1402"/>
      <c r="BUO12" s="1402"/>
      <c r="BUP12" s="1402"/>
      <c r="BUQ12" s="1402"/>
      <c r="BUR12" s="1402"/>
      <c r="BUS12" s="1402"/>
      <c r="BUT12" s="1402"/>
      <c r="BUU12" s="1402"/>
      <c r="BUV12" s="1402"/>
      <c r="BUW12" s="1402"/>
      <c r="BUX12" s="1402"/>
      <c r="BUY12" s="1402"/>
      <c r="BUZ12" s="1402"/>
      <c r="BVA12" s="1402"/>
      <c r="BVB12" s="1402"/>
      <c r="BVC12" s="1402"/>
      <c r="BVD12" s="1402"/>
      <c r="BVE12" s="1402"/>
      <c r="BVF12" s="1402"/>
      <c r="BVG12" s="1402"/>
      <c r="BVH12" s="1402"/>
      <c r="BVI12" s="1402"/>
      <c r="BVJ12" s="1402"/>
      <c r="BVK12" s="1402"/>
      <c r="BVL12" s="1402"/>
      <c r="BVM12" s="1402"/>
      <c r="BVN12" s="1402"/>
      <c r="BVO12" s="1402"/>
      <c r="BVP12" s="1402"/>
      <c r="BVQ12" s="1402"/>
      <c r="BVR12" s="1402"/>
      <c r="BVS12" s="1402"/>
      <c r="BVT12" s="1402"/>
      <c r="BVU12" s="1402"/>
      <c r="BVV12" s="1402"/>
      <c r="BVW12" s="1402"/>
      <c r="BVX12" s="1402"/>
      <c r="BVY12" s="1402"/>
      <c r="BVZ12" s="1402"/>
      <c r="BWA12" s="1402"/>
      <c r="BWB12" s="1402"/>
      <c r="BWC12" s="1402"/>
      <c r="BWD12" s="1402"/>
      <c r="BWE12" s="1402"/>
      <c r="BWF12" s="1402"/>
      <c r="BWG12" s="1402"/>
      <c r="BWH12" s="1402"/>
      <c r="BWI12" s="1402"/>
      <c r="BWJ12" s="1402"/>
      <c r="BWK12" s="1402"/>
      <c r="BWL12" s="1402"/>
      <c r="BWM12" s="1402"/>
      <c r="BWN12" s="1402"/>
      <c r="BWO12" s="1402"/>
      <c r="BWP12" s="1402"/>
      <c r="BWQ12" s="1402"/>
      <c r="BWR12" s="1402"/>
      <c r="BWS12" s="1402"/>
      <c r="BWT12" s="1402"/>
      <c r="BWU12" s="1402"/>
      <c r="BWV12" s="1402"/>
      <c r="BWW12" s="1402"/>
      <c r="BWX12" s="1402"/>
      <c r="BWY12" s="1402"/>
      <c r="BWZ12" s="1402"/>
      <c r="BXA12" s="1402"/>
      <c r="BXB12" s="1402"/>
      <c r="BXC12" s="1402"/>
      <c r="BXD12" s="1402"/>
      <c r="BXE12" s="1402"/>
      <c r="BXF12" s="1402"/>
      <c r="BXG12" s="1402"/>
      <c r="BXH12" s="1402"/>
      <c r="BXI12" s="1402"/>
      <c r="BXJ12" s="1402"/>
      <c r="BXK12" s="1402"/>
      <c r="BXL12" s="1402"/>
      <c r="BXM12" s="1402"/>
      <c r="BXN12" s="1402"/>
      <c r="BXO12" s="1402"/>
      <c r="BXP12" s="1402"/>
      <c r="BXQ12" s="1402"/>
      <c r="BXR12" s="1402"/>
      <c r="BXS12" s="1402"/>
      <c r="BXT12" s="1402"/>
      <c r="BXU12" s="1402"/>
      <c r="BXV12" s="1402"/>
      <c r="BXW12" s="1402"/>
      <c r="BXX12" s="1402"/>
      <c r="BXY12" s="1402"/>
      <c r="BXZ12" s="1402"/>
      <c r="BYA12" s="1402"/>
      <c r="BYB12" s="1402"/>
      <c r="BYC12" s="1402"/>
      <c r="BYD12" s="1402"/>
      <c r="BYE12" s="1402"/>
      <c r="BYF12" s="1402"/>
      <c r="BYG12" s="1402"/>
      <c r="BYH12" s="1402"/>
      <c r="BYI12" s="1402"/>
      <c r="BYJ12" s="1402"/>
      <c r="BYK12" s="1402"/>
      <c r="BYL12" s="1402"/>
      <c r="BYM12" s="1402"/>
      <c r="BYN12" s="1402"/>
      <c r="BYO12" s="1402"/>
      <c r="BYP12" s="1402"/>
      <c r="BYQ12" s="1402"/>
      <c r="BYR12" s="1402"/>
      <c r="BYS12" s="1402"/>
      <c r="BYT12" s="1402"/>
      <c r="BYU12" s="1402"/>
      <c r="BYV12" s="1402"/>
      <c r="BYW12" s="1402"/>
      <c r="BYX12" s="1402"/>
      <c r="BYY12" s="1402"/>
      <c r="BYZ12" s="1402"/>
      <c r="BZA12" s="1402"/>
      <c r="BZB12" s="1402"/>
      <c r="BZC12" s="1402"/>
      <c r="BZD12" s="1402"/>
      <c r="BZE12" s="1402"/>
      <c r="BZF12" s="1402"/>
      <c r="BZG12" s="1402"/>
      <c r="BZH12" s="1402"/>
      <c r="BZI12" s="1402"/>
      <c r="BZJ12" s="1402"/>
      <c r="BZK12" s="1402"/>
      <c r="BZL12" s="1402"/>
      <c r="BZM12" s="1402"/>
      <c r="BZN12" s="1402"/>
      <c r="BZO12" s="1402"/>
      <c r="BZP12" s="1402"/>
      <c r="BZQ12" s="1402"/>
      <c r="BZR12" s="1402"/>
      <c r="BZS12" s="1402"/>
      <c r="BZT12" s="1402"/>
      <c r="BZU12" s="1402"/>
      <c r="BZV12" s="1402"/>
      <c r="BZW12" s="1402"/>
      <c r="BZX12" s="1402"/>
      <c r="BZY12" s="1402"/>
      <c r="BZZ12" s="1402"/>
      <c r="CAA12" s="1402"/>
      <c r="CAB12" s="1402"/>
      <c r="CAC12" s="1402"/>
      <c r="CAD12" s="1402"/>
      <c r="CAE12" s="1402"/>
      <c r="CAF12" s="1402"/>
      <c r="CAG12" s="1402"/>
      <c r="CAH12" s="1402"/>
      <c r="CAI12" s="1402"/>
      <c r="CAJ12" s="1402"/>
      <c r="CAK12" s="1402"/>
      <c r="CAL12" s="1402"/>
      <c r="CAM12" s="1402"/>
      <c r="CAN12" s="1402"/>
      <c r="CAO12" s="1402"/>
      <c r="CAP12" s="1402"/>
      <c r="CAQ12" s="1402"/>
      <c r="CAR12" s="1402"/>
      <c r="CAS12" s="1402"/>
      <c r="CAT12" s="1402"/>
      <c r="CAU12" s="1402"/>
      <c r="CAV12" s="1402"/>
      <c r="CAW12" s="1402"/>
      <c r="CAX12" s="1402"/>
      <c r="CAY12" s="1402"/>
      <c r="CAZ12" s="1402"/>
      <c r="CBA12" s="1402"/>
      <c r="CBB12" s="1402"/>
      <c r="CBC12" s="1402"/>
      <c r="CBD12" s="1402"/>
      <c r="CBE12" s="1402"/>
      <c r="CBF12" s="1402"/>
      <c r="CBG12" s="1402"/>
      <c r="CBH12" s="1402"/>
      <c r="CBI12" s="1402"/>
      <c r="CBJ12" s="1402"/>
      <c r="CBK12" s="1402"/>
      <c r="CBL12" s="1402"/>
      <c r="CBM12" s="1402"/>
      <c r="CBN12" s="1402"/>
      <c r="CBO12" s="1402"/>
      <c r="CBP12" s="1402"/>
      <c r="CBQ12" s="1402"/>
      <c r="CBR12" s="1402"/>
      <c r="CBS12" s="1402"/>
      <c r="CBT12" s="1402"/>
      <c r="CBU12" s="1402"/>
      <c r="CBV12" s="1402"/>
      <c r="CBW12" s="1402"/>
      <c r="CBX12" s="1402"/>
      <c r="CBY12" s="1402"/>
      <c r="CBZ12" s="1402"/>
      <c r="CCA12" s="1402"/>
      <c r="CCB12" s="1402"/>
      <c r="CCC12" s="1402"/>
      <c r="CCD12" s="1402"/>
      <c r="CCE12" s="1402"/>
      <c r="CCF12" s="1402"/>
      <c r="CCG12" s="1402"/>
      <c r="CCH12" s="1402"/>
      <c r="CCI12" s="1402"/>
      <c r="CCJ12" s="1402"/>
      <c r="CCK12" s="1402"/>
      <c r="CCL12" s="1402"/>
      <c r="CCM12" s="1402"/>
      <c r="CCN12" s="1402"/>
      <c r="CCO12" s="1402"/>
      <c r="CCP12" s="1402"/>
      <c r="CCQ12" s="1402"/>
      <c r="CCR12" s="1402"/>
      <c r="CCS12" s="1402"/>
      <c r="CCT12" s="1402"/>
      <c r="CCU12" s="1402"/>
      <c r="CCV12" s="1402"/>
      <c r="CCW12" s="1402"/>
      <c r="CCX12" s="1402"/>
      <c r="CCY12" s="1402"/>
      <c r="CCZ12" s="1402"/>
      <c r="CDA12" s="1402"/>
      <c r="CDB12" s="1402"/>
      <c r="CDC12" s="1402"/>
      <c r="CDD12" s="1402"/>
      <c r="CDE12" s="1402"/>
      <c r="CDF12" s="1402"/>
      <c r="CDG12" s="1402"/>
      <c r="CDH12" s="1402"/>
      <c r="CDI12" s="1402"/>
      <c r="CDJ12" s="1402"/>
      <c r="CDK12" s="1402"/>
      <c r="CDL12" s="1402"/>
      <c r="CDM12" s="1402"/>
      <c r="CDN12" s="1402"/>
      <c r="CDO12" s="1402"/>
      <c r="CDP12" s="1402"/>
      <c r="CDQ12" s="1402"/>
      <c r="CDR12" s="1402"/>
      <c r="CDS12" s="1402"/>
      <c r="CDT12" s="1402"/>
      <c r="CDU12" s="1402"/>
      <c r="CDV12" s="1402"/>
      <c r="CDW12" s="1402"/>
      <c r="CDX12" s="1402"/>
      <c r="CDY12" s="1402"/>
      <c r="CDZ12" s="1402"/>
      <c r="CEA12" s="1402"/>
      <c r="CEB12" s="1402"/>
      <c r="CEC12" s="1402"/>
      <c r="CED12" s="1402"/>
      <c r="CEE12" s="1402"/>
      <c r="CEF12" s="1402"/>
      <c r="CEG12" s="1402"/>
      <c r="CEH12" s="1402"/>
      <c r="CEI12" s="1402"/>
      <c r="CEJ12" s="1402"/>
      <c r="CEK12" s="1402"/>
      <c r="CEL12" s="1402"/>
      <c r="CEM12" s="1402"/>
      <c r="CEN12" s="1402"/>
      <c r="CEO12" s="1402"/>
      <c r="CEP12" s="1402"/>
      <c r="CEQ12" s="1402"/>
      <c r="CER12" s="1402"/>
      <c r="CES12" s="1402"/>
      <c r="CET12" s="1402"/>
      <c r="CEU12" s="1402"/>
      <c r="CEV12" s="1402"/>
      <c r="CEW12" s="1402"/>
      <c r="CEX12" s="1402"/>
      <c r="CEY12" s="1402"/>
      <c r="CEZ12" s="1402"/>
      <c r="CFA12" s="1402"/>
      <c r="CFB12" s="1402"/>
      <c r="CFC12" s="1402"/>
      <c r="CFD12" s="1402"/>
      <c r="CFE12" s="1402"/>
      <c r="CFF12" s="1402"/>
      <c r="CFG12" s="1402"/>
      <c r="CFH12" s="1402"/>
      <c r="CFI12" s="1402"/>
      <c r="CFJ12" s="1402"/>
      <c r="CFK12" s="1402"/>
      <c r="CFL12" s="1402"/>
      <c r="CFM12" s="1402"/>
      <c r="CFN12" s="1402"/>
      <c r="CFO12" s="1402"/>
      <c r="CFP12" s="1402"/>
      <c r="CFQ12" s="1402"/>
      <c r="CFR12" s="1402"/>
      <c r="CFS12" s="1402"/>
      <c r="CFT12" s="1402"/>
      <c r="CFU12" s="1402"/>
      <c r="CFV12" s="1402"/>
      <c r="CFW12" s="1402"/>
      <c r="CFX12" s="1402"/>
      <c r="CFY12" s="1402"/>
      <c r="CFZ12" s="1402"/>
      <c r="CGA12" s="1402"/>
      <c r="CGB12" s="1402"/>
      <c r="CGC12" s="1402"/>
      <c r="CGD12" s="1402"/>
      <c r="CGE12" s="1402"/>
      <c r="CGF12" s="1402"/>
      <c r="CGG12" s="1402"/>
      <c r="CGH12" s="1402"/>
      <c r="CGI12" s="1402"/>
      <c r="CGJ12" s="1402"/>
      <c r="CGK12" s="1402"/>
      <c r="CGL12" s="1402"/>
      <c r="CGM12" s="1402"/>
      <c r="CGN12" s="1402"/>
      <c r="CGO12" s="1402"/>
      <c r="CGP12" s="1402"/>
      <c r="CGQ12" s="1402"/>
      <c r="CGR12" s="1402"/>
      <c r="CGS12" s="1402"/>
      <c r="CGT12" s="1402"/>
      <c r="CGU12" s="1402"/>
      <c r="CGV12" s="1402"/>
      <c r="CGW12" s="1402"/>
      <c r="CGX12" s="1402"/>
      <c r="CGY12" s="1402"/>
      <c r="CGZ12" s="1402"/>
      <c r="CHA12" s="1402"/>
      <c r="CHB12" s="1402"/>
      <c r="CHC12" s="1402"/>
      <c r="CHD12" s="1402"/>
      <c r="CHE12" s="1402"/>
      <c r="CHF12" s="1402"/>
      <c r="CHG12" s="1402"/>
      <c r="CHH12" s="1402"/>
      <c r="CHI12" s="1402"/>
      <c r="CHJ12" s="1402"/>
      <c r="CHK12" s="1402"/>
      <c r="CHL12" s="1402"/>
      <c r="CHM12" s="1402"/>
      <c r="CHN12" s="1402"/>
      <c r="CHO12" s="1402"/>
      <c r="CHP12" s="1402"/>
      <c r="CHQ12" s="1402"/>
      <c r="CHR12" s="1402"/>
      <c r="CHS12" s="1402"/>
      <c r="CHT12" s="1402"/>
      <c r="CHU12" s="1402"/>
      <c r="CHV12" s="1402"/>
      <c r="CHW12" s="1402"/>
      <c r="CHX12" s="1402"/>
      <c r="CHY12" s="1402"/>
      <c r="CHZ12" s="1402"/>
      <c r="CIA12" s="1402"/>
      <c r="CIB12" s="1402"/>
      <c r="CIC12" s="1402"/>
      <c r="CID12" s="1402"/>
      <c r="CIE12" s="1402"/>
      <c r="CIF12" s="1402"/>
      <c r="CIG12" s="1402"/>
      <c r="CIH12" s="1402"/>
      <c r="CII12" s="1402"/>
      <c r="CIJ12" s="1402"/>
      <c r="CIK12" s="1402"/>
      <c r="CIL12" s="1402"/>
      <c r="CIM12" s="1402"/>
      <c r="CIN12" s="1402"/>
      <c r="CIO12" s="1402"/>
      <c r="CIP12" s="1402"/>
      <c r="CIQ12" s="1402"/>
      <c r="CIR12" s="1402"/>
      <c r="CIS12" s="1402"/>
      <c r="CIT12" s="1402"/>
      <c r="CIU12" s="1402"/>
      <c r="CIV12" s="1402"/>
      <c r="CIW12" s="1402"/>
      <c r="CIX12" s="1402"/>
      <c r="CIY12" s="1402"/>
      <c r="CIZ12" s="1402"/>
      <c r="CJA12" s="1402"/>
      <c r="CJB12" s="1402"/>
      <c r="CJC12" s="1402"/>
      <c r="CJD12" s="1402"/>
      <c r="CJE12" s="1402"/>
      <c r="CJF12" s="1402"/>
      <c r="CJG12" s="1402"/>
      <c r="CJH12" s="1402"/>
      <c r="CJI12" s="1402"/>
      <c r="CJJ12" s="1402"/>
      <c r="CJK12" s="1402"/>
      <c r="CJL12" s="1402"/>
      <c r="CJM12" s="1402"/>
      <c r="CJN12" s="1402"/>
      <c r="CJO12" s="1402"/>
      <c r="CJP12" s="1402"/>
      <c r="CJQ12" s="1402"/>
      <c r="CJR12" s="1402"/>
      <c r="CJS12" s="1402"/>
      <c r="CJT12" s="1402"/>
      <c r="CJU12" s="1402"/>
      <c r="CJV12" s="1402"/>
      <c r="CJW12" s="1402"/>
      <c r="CJX12" s="1402"/>
      <c r="CJY12" s="1402"/>
      <c r="CJZ12" s="1402"/>
      <c r="CKA12" s="1402"/>
      <c r="CKB12" s="1402"/>
      <c r="CKC12" s="1402"/>
      <c r="CKD12" s="1402"/>
      <c r="CKE12" s="1402"/>
      <c r="CKF12" s="1402"/>
      <c r="CKG12" s="1402"/>
      <c r="CKH12" s="1402"/>
      <c r="CKI12" s="1402"/>
      <c r="CKJ12" s="1402"/>
      <c r="CKK12" s="1402"/>
      <c r="CKL12" s="1402"/>
      <c r="CKM12" s="1402"/>
      <c r="CKN12" s="1402"/>
      <c r="CKO12" s="1402"/>
      <c r="CKP12" s="1402"/>
      <c r="CKQ12" s="1402"/>
      <c r="CKR12" s="1402"/>
      <c r="CKS12" s="1402"/>
      <c r="CKT12" s="1402"/>
      <c r="CKU12" s="1402"/>
      <c r="CKV12" s="1402"/>
      <c r="CKW12" s="1402"/>
      <c r="CKX12" s="1402"/>
      <c r="CKY12" s="1402"/>
      <c r="CKZ12" s="1402"/>
      <c r="CLA12" s="1402"/>
      <c r="CLB12" s="1402"/>
      <c r="CLC12" s="1402"/>
      <c r="CLD12" s="1402"/>
      <c r="CLE12" s="1402"/>
      <c r="CLF12" s="1402"/>
      <c r="CLG12" s="1402"/>
      <c r="CLH12" s="1402"/>
      <c r="CLI12" s="1402"/>
      <c r="CLJ12" s="1402"/>
      <c r="CLK12" s="1402"/>
      <c r="CLL12" s="1402"/>
      <c r="CLM12" s="1402"/>
      <c r="CLN12" s="1402"/>
      <c r="CLO12" s="1402"/>
      <c r="CLP12" s="1402"/>
      <c r="CLQ12" s="1402"/>
      <c r="CLR12" s="1402"/>
      <c r="CLS12" s="1402"/>
      <c r="CLT12" s="1402"/>
      <c r="CLU12" s="1402"/>
      <c r="CLV12" s="1402"/>
      <c r="CLW12" s="1402"/>
      <c r="CLX12" s="1402"/>
      <c r="CLY12" s="1402"/>
      <c r="CLZ12" s="1402"/>
      <c r="CMA12" s="1402"/>
      <c r="CMB12" s="1402"/>
      <c r="CMC12" s="1402"/>
      <c r="CMD12" s="1402"/>
      <c r="CME12" s="1402"/>
      <c r="CMF12" s="1402"/>
      <c r="CMG12" s="1402"/>
      <c r="CMH12" s="1402"/>
      <c r="CMI12" s="1402"/>
      <c r="CMJ12" s="1402"/>
      <c r="CMK12" s="1402"/>
      <c r="CML12" s="1402"/>
      <c r="CMM12" s="1402"/>
      <c r="CMN12" s="1402"/>
      <c r="CMO12" s="1402"/>
      <c r="CMP12" s="1402"/>
      <c r="CMQ12" s="1402"/>
      <c r="CMR12" s="1402"/>
      <c r="CMS12" s="1402"/>
      <c r="CMT12" s="1402"/>
      <c r="CMU12" s="1402"/>
      <c r="CMV12" s="1402"/>
      <c r="CMW12" s="1402"/>
      <c r="CMX12" s="1402"/>
      <c r="CMY12" s="1402"/>
      <c r="CMZ12" s="1402"/>
      <c r="CNA12" s="1402"/>
      <c r="CNB12" s="1402"/>
      <c r="CNC12" s="1402"/>
      <c r="CND12" s="1402"/>
      <c r="CNE12" s="1402"/>
      <c r="CNF12" s="1402"/>
      <c r="CNG12" s="1402"/>
      <c r="CNH12" s="1402"/>
      <c r="CNI12" s="1402"/>
      <c r="CNJ12" s="1402"/>
      <c r="CNK12" s="1402"/>
      <c r="CNL12" s="1402"/>
      <c r="CNM12" s="1402"/>
      <c r="CNN12" s="1402"/>
      <c r="CNO12" s="1402"/>
      <c r="CNP12" s="1402"/>
      <c r="CNQ12" s="1402"/>
      <c r="CNR12" s="1402"/>
      <c r="CNS12" s="1402"/>
      <c r="CNT12" s="1402"/>
      <c r="CNU12" s="1402"/>
      <c r="CNV12" s="1402"/>
      <c r="CNW12" s="1402"/>
      <c r="CNX12" s="1402"/>
      <c r="CNY12" s="1402"/>
      <c r="CNZ12" s="1402"/>
      <c r="COA12" s="1402"/>
      <c r="COB12" s="1402"/>
      <c r="COC12" s="1402"/>
      <c r="COD12" s="1402"/>
      <c r="COE12" s="1402"/>
      <c r="COF12" s="1402"/>
      <c r="COG12" s="1402"/>
      <c r="COH12" s="1402"/>
      <c r="COI12" s="1402"/>
      <c r="COJ12" s="1402"/>
      <c r="COK12" s="1402"/>
      <c r="COL12" s="1402"/>
      <c r="COM12" s="1402"/>
      <c r="CON12" s="1402"/>
      <c r="COO12" s="1402"/>
      <c r="COP12" s="1402"/>
      <c r="COQ12" s="1402"/>
      <c r="COR12" s="1402"/>
      <c r="COS12" s="1402"/>
      <c r="COT12" s="1402"/>
      <c r="COU12" s="1402"/>
      <c r="COV12" s="1402"/>
      <c r="COW12" s="1402"/>
      <c r="COX12" s="1402"/>
      <c r="COY12" s="1402"/>
      <c r="COZ12" s="1402"/>
      <c r="CPA12" s="1402"/>
      <c r="CPB12" s="1402"/>
      <c r="CPC12" s="1402"/>
      <c r="CPD12" s="1402"/>
      <c r="CPE12" s="1402"/>
      <c r="CPF12" s="1402"/>
      <c r="CPG12" s="1402"/>
      <c r="CPH12" s="1402"/>
      <c r="CPI12" s="1402"/>
      <c r="CPJ12" s="1402"/>
      <c r="CPK12" s="1402"/>
      <c r="CPL12" s="1402"/>
      <c r="CPM12" s="1402"/>
      <c r="CPN12" s="1402"/>
      <c r="CPO12" s="1402"/>
      <c r="CPP12" s="1402"/>
      <c r="CPQ12" s="1402"/>
      <c r="CPR12" s="1402"/>
      <c r="CPS12" s="1402"/>
      <c r="CPT12" s="1402"/>
      <c r="CPU12" s="1402"/>
      <c r="CPV12" s="1402"/>
      <c r="CPW12" s="1402"/>
      <c r="CPX12" s="1402"/>
      <c r="CPY12" s="1402"/>
      <c r="CPZ12" s="1402"/>
      <c r="CQA12" s="1402"/>
      <c r="CQB12" s="1402"/>
      <c r="CQC12" s="1402"/>
      <c r="CQD12" s="1402"/>
      <c r="CQE12" s="1402"/>
      <c r="CQF12" s="1402"/>
      <c r="CQG12" s="1402"/>
      <c r="CQH12" s="1402"/>
      <c r="CQI12" s="1402"/>
      <c r="CQJ12" s="1402"/>
      <c r="CQK12" s="1402"/>
      <c r="CQL12" s="1402"/>
      <c r="CQM12" s="1402"/>
      <c r="CQN12" s="1402"/>
      <c r="CQO12" s="1402"/>
      <c r="CQP12" s="1402"/>
      <c r="CQQ12" s="1402"/>
      <c r="CQR12" s="1402"/>
      <c r="CQS12" s="1402"/>
      <c r="CQT12" s="1402"/>
      <c r="CQU12" s="1402"/>
      <c r="CQV12" s="1402"/>
      <c r="CQW12" s="1402"/>
      <c r="CQX12" s="1402"/>
      <c r="CQY12" s="1402"/>
      <c r="CQZ12" s="1402"/>
      <c r="CRA12" s="1402"/>
      <c r="CRB12" s="1402"/>
      <c r="CRC12" s="1402"/>
      <c r="CRD12" s="1402"/>
      <c r="CRE12" s="1402"/>
      <c r="CRF12" s="1402"/>
      <c r="CRG12" s="1402"/>
      <c r="CRH12" s="1402"/>
      <c r="CRI12" s="1402"/>
      <c r="CRJ12" s="1402"/>
      <c r="CRK12" s="1402"/>
      <c r="CRL12" s="1402"/>
      <c r="CRM12" s="1402"/>
      <c r="CRN12" s="1402"/>
      <c r="CRO12" s="1402"/>
      <c r="CRP12" s="1402"/>
      <c r="CRQ12" s="1402"/>
      <c r="CRR12" s="1402"/>
      <c r="CRS12" s="1402"/>
      <c r="CRT12" s="1402"/>
      <c r="CRU12" s="1402"/>
      <c r="CRV12" s="1402"/>
      <c r="CRW12" s="1402"/>
      <c r="CRX12" s="1402"/>
      <c r="CRY12" s="1402"/>
      <c r="CRZ12" s="1402"/>
      <c r="CSA12" s="1402"/>
      <c r="CSB12" s="1402"/>
      <c r="CSC12" s="1402"/>
      <c r="CSD12" s="1402"/>
      <c r="CSE12" s="1402"/>
      <c r="CSF12" s="1402"/>
      <c r="CSG12" s="1402"/>
      <c r="CSH12" s="1402"/>
      <c r="CSI12" s="1402"/>
      <c r="CSJ12" s="1402"/>
      <c r="CSK12" s="1402"/>
      <c r="CSL12" s="1402"/>
      <c r="CSM12" s="1402"/>
      <c r="CSN12" s="1402"/>
      <c r="CSO12" s="1402"/>
      <c r="CSP12" s="1402"/>
      <c r="CSQ12" s="1402"/>
      <c r="CSR12" s="1402"/>
      <c r="CSS12" s="1402"/>
      <c r="CST12" s="1402"/>
      <c r="CSU12" s="1402"/>
      <c r="CSV12" s="1402"/>
      <c r="CSW12" s="1402"/>
      <c r="CSX12" s="1402"/>
      <c r="CSY12" s="1402"/>
      <c r="CSZ12" s="1402"/>
      <c r="CTA12" s="1402"/>
      <c r="CTB12" s="1402"/>
      <c r="CTC12" s="1402"/>
      <c r="CTD12" s="1402"/>
      <c r="CTE12" s="1402"/>
      <c r="CTF12" s="1402"/>
      <c r="CTG12" s="1402"/>
      <c r="CTH12" s="1402"/>
      <c r="CTI12" s="1402"/>
      <c r="CTJ12" s="1402"/>
      <c r="CTK12" s="1402"/>
      <c r="CTL12" s="1402"/>
      <c r="CTM12" s="1402"/>
      <c r="CTN12" s="1402"/>
      <c r="CTO12" s="1402"/>
      <c r="CTP12" s="1402"/>
      <c r="CTQ12" s="1402"/>
      <c r="CTR12" s="1402"/>
      <c r="CTS12" s="1402"/>
      <c r="CTT12" s="1402"/>
      <c r="CTU12" s="1402"/>
      <c r="CTV12" s="1402"/>
      <c r="CTW12" s="1402"/>
      <c r="CTX12" s="1402"/>
      <c r="CTY12" s="1402"/>
      <c r="CTZ12" s="1402"/>
      <c r="CUA12" s="1402"/>
      <c r="CUB12" s="1402"/>
      <c r="CUC12" s="1402"/>
      <c r="CUD12" s="1402"/>
      <c r="CUE12" s="1402"/>
      <c r="CUF12" s="1402"/>
      <c r="CUG12" s="1402"/>
      <c r="CUH12" s="1402"/>
      <c r="CUI12" s="1402"/>
      <c r="CUJ12" s="1402"/>
      <c r="CUK12" s="1402"/>
      <c r="CUL12" s="1402"/>
      <c r="CUM12" s="1402"/>
      <c r="CUN12" s="1402"/>
      <c r="CUO12" s="1402"/>
      <c r="CUP12" s="1402"/>
      <c r="CUQ12" s="1402"/>
      <c r="CUR12" s="1402"/>
      <c r="CUS12" s="1402"/>
      <c r="CUT12" s="1402"/>
      <c r="CUU12" s="1402"/>
      <c r="CUV12" s="1402"/>
      <c r="CUW12" s="1402"/>
      <c r="CUX12" s="1402"/>
      <c r="CUY12" s="1402"/>
      <c r="CUZ12" s="1402"/>
      <c r="CVA12" s="1402"/>
      <c r="CVB12" s="1402"/>
      <c r="CVC12" s="1402"/>
      <c r="CVD12" s="1402"/>
      <c r="CVE12" s="1402"/>
      <c r="CVF12" s="1402"/>
      <c r="CVG12" s="1402"/>
      <c r="CVH12" s="1402"/>
      <c r="CVI12" s="1402"/>
      <c r="CVJ12" s="1402"/>
      <c r="CVK12" s="1402"/>
      <c r="CVL12" s="1402"/>
      <c r="CVM12" s="1402"/>
      <c r="CVN12" s="1402"/>
      <c r="CVO12" s="1402"/>
      <c r="CVP12" s="1402"/>
      <c r="CVQ12" s="1402"/>
      <c r="CVR12" s="1402"/>
      <c r="CVS12" s="1402"/>
      <c r="CVT12" s="1402"/>
      <c r="CVU12" s="1402"/>
      <c r="CVV12" s="1402"/>
      <c r="CVW12" s="1402"/>
      <c r="CVX12" s="1402"/>
      <c r="CVY12" s="1402"/>
      <c r="CVZ12" s="1402"/>
      <c r="CWA12" s="1402"/>
      <c r="CWB12" s="1402"/>
      <c r="CWC12" s="1402"/>
      <c r="CWD12" s="1402"/>
      <c r="CWE12" s="1402"/>
      <c r="CWF12" s="1402"/>
      <c r="CWG12" s="1402"/>
      <c r="CWH12" s="1402"/>
      <c r="CWI12" s="1402"/>
      <c r="CWJ12" s="1402"/>
      <c r="CWK12" s="1402"/>
      <c r="CWL12" s="1402"/>
      <c r="CWM12" s="1402"/>
      <c r="CWN12" s="1402"/>
      <c r="CWO12" s="1402"/>
      <c r="CWP12" s="1402"/>
      <c r="CWQ12" s="1402"/>
      <c r="CWR12" s="1402"/>
      <c r="CWS12" s="1402"/>
      <c r="CWT12" s="1402"/>
      <c r="CWU12" s="1402"/>
      <c r="CWV12" s="1402"/>
      <c r="CWW12" s="1402"/>
      <c r="CWX12" s="1402"/>
      <c r="CWY12" s="1402"/>
      <c r="CWZ12" s="1402"/>
      <c r="CXA12" s="1402"/>
      <c r="CXB12" s="1402"/>
      <c r="CXC12" s="1402"/>
      <c r="CXD12" s="1402"/>
      <c r="CXE12" s="1402"/>
      <c r="CXF12" s="1402"/>
      <c r="CXG12" s="1402"/>
      <c r="CXH12" s="1402"/>
      <c r="CXI12" s="1402"/>
      <c r="CXJ12" s="1402"/>
      <c r="CXK12" s="1402"/>
      <c r="CXL12" s="1402"/>
      <c r="CXM12" s="1402"/>
      <c r="CXN12" s="1402"/>
      <c r="CXO12" s="1402"/>
      <c r="CXP12" s="1402"/>
      <c r="CXQ12" s="1402"/>
      <c r="CXR12" s="1402"/>
      <c r="CXS12" s="1402"/>
      <c r="CXT12" s="1402"/>
      <c r="CXU12" s="1402"/>
      <c r="CXV12" s="1402"/>
      <c r="CXW12" s="1402"/>
      <c r="CXX12" s="1402"/>
      <c r="CXY12" s="1402"/>
      <c r="CXZ12" s="1402"/>
      <c r="CYA12" s="1402"/>
      <c r="CYB12" s="1402"/>
      <c r="CYC12" s="1402"/>
      <c r="CYD12" s="1402"/>
      <c r="CYE12" s="1402"/>
      <c r="CYF12" s="1402"/>
      <c r="CYG12" s="1402"/>
      <c r="CYH12" s="1402"/>
      <c r="CYI12" s="1402"/>
      <c r="CYJ12" s="1402"/>
      <c r="CYK12" s="1402"/>
      <c r="CYL12" s="1402"/>
      <c r="CYM12" s="1402"/>
      <c r="CYN12" s="1402"/>
      <c r="CYO12" s="1402"/>
      <c r="CYP12" s="1402"/>
      <c r="CYQ12" s="1402"/>
      <c r="CYR12" s="1402"/>
      <c r="CYS12" s="1402"/>
      <c r="CYT12" s="1402"/>
      <c r="CYU12" s="1402"/>
      <c r="CYV12" s="1402"/>
      <c r="CYW12" s="1402"/>
      <c r="CYX12" s="1402"/>
      <c r="CYY12" s="1402"/>
      <c r="CYZ12" s="1402"/>
      <c r="CZA12" s="1402"/>
      <c r="CZB12" s="1402"/>
      <c r="CZC12" s="1402"/>
      <c r="CZD12" s="1402"/>
      <c r="CZE12" s="1402"/>
      <c r="CZF12" s="1402"/>
      <c r="CZG12" s="1402"/>
      <c r="CZH12" s="1402"/>
      <c r="CZI12" s="1402"/>
      <c r="CZJ12" s="1402"/>
      <c r="CZK12" s="1402"/>
      <c r="CZL12" s="1402"/>
      <c r="CZM12" s="1402"/>
      <c r="CZN12" s="1402"/>
      <c r="CZO12" s="1402"/>
      <c r="CZP12" s="1402"/>
      <c r="CZQ12" s="1402"/>
      <c r="CZR12" s="1402"/>
      <c r="CZS12" s="1402"/>
      <c r="CZT12" s="1402"/>
      <c r="CZU12" s="1402"/>
      <c r="CZV12" s="1402"/>
      <c r="CZW12" s="1402"/>
      <c r="CZX12" s="1402"/>
      <c r="CZY12" s="1402"/>
      <c r="CZZ12" s="1402"/>
      <c r="DAA12" s="1402"/>
      <c r="DAB12" s="1402"/>
      <c r="DAC12" s="1402"/>
      <c r="DAD12" s="1402"/>
      <c r="DAE12" s="1402"/>
      <c r="DAF12" s="1402"/>
      <c r="DAG12" s="1402"/>
      <c r="DAH12" s="1402"/>
      <c r="DAI12" s="1402"/>
      <c r="DAJ12" s="1402"/>
      <c r="DAK12" s="1402"/>
      <c r="DAL12" s="1402"/>
      <c r="DAM12" s="1402"/>
      <c r="DAN12" s="1402"/>
      <c r="DAO12" s="1402"/>
      <c r="DAP12" s="1402"/>
      <c r="DAQ12" s="1402"/>
      <c r="DAR12" s="1402"/>
      <c r="DAS12" s="1402"/>
      <c r="DAT12" s="1402"/>
      <c r="DAU12" s="1402"/>
      <c r="DAV12" s="1402"/>
      <c r="DAW12" s="1402"/>
      <c r="DAX12" s="1402"/>
      <c r="DAY12" s="1402"/>
      <c r="DAZ12" s="1402"/>
      <c r="DBA12" s="1402"/>
      <c r="DBB12" s="1402"/>
      <c r="DBC12" s="1402"/>
      <c r="DBD12" s="1402"/>
      <c r="DBE12" s="1402"/>
      <c r="DBF12" s="1402"/>
      <c r="DBG12" s="1402"/>
      <c r="DBH12" s="1402"/>
      <c r="DBI12" s="1402"/>
      <c r="DBJ12" s="1402"/>
      <c r="DBK12" s="1402"/>
      <c r="DBL12" s="1402"/>
      <c r="DBM12" s="1402"/>
      <c r="DBN12" s="1402"/>
      <c r="DBO12" s="1402"/>
      <c r="DBP12" s="1402"/>
      <c r="DBQ12" s="1402"/>
      <c r="DBR12" s="1402"/>
      <c r="DBS12" s="1402"/>
      <c r="DBT12" s="1402"/>
      <c r="DBU12" s="1402"/>
      <c r="DBV12" s="1402"/>
      <c r="DBW12" s="1402"/>
      <c r="DBX12" s="1402"/>
      <c r="DBY12" s="1402"/>
      <c r="DBZ12" s="1402"/>
      <c r="DCA12" s="1402"/>
      <c r="DCB12" s="1402"/>
      <c r="DCC12" s="1402"/>
      <c r="DCD12" s="1402"/>
      <c r="DCE12" s="1402"/>
      <c r="DCF12" s="1402"/>
      <c r="DCG12" s="1402"/>
      <c r="DCH12" s="1402"/>
      <c r="DCI12" s="1402"/>
      <c r="DCJ12" s="1402"/>
      <c r="DCK12" s="1402"/>
      <c r="DCL12" s="1402"/>
      <c r="DCM12" s="1402"/>
      <c r="DCN12" s="1402"/>
      <c r="DCO12" s="1402"/>
      <c r="DCP12" s="1402"/>
      <c r="DCQ12" s="1402"/>
      <c r="DCR12" s="1402"/>
      <c r="DCS12" s="1402"/>
      <c r="DCT12" s="1402"/>
      <c r="DCU12" s="1402"/>
      <c r="DCV12" s="1402"/>
      <c r="DCW12" s="1402"/>
      <c r="DCX12" s="1402"/>
      <c r="DCY12" s="1402"/>
      <c r="DCZ12" s="1402"/>
      <c r="DDA12" s="1402"/>
      <c r="DDB12" s="1402"/>
      <c r="DDC12" s="1402"/>
      <c r="DDD12" s="1402"/>
      <c r="DDE12" s="1402"/>
      <c r="DDF12" s="1402"/>
      <c r="DDG12" s="1402"/>
      <c r="DDH12" s="1402"/>
      <c r="DDI12" s="1402"/>
      <c r="DDJ12" s="1402"/>
      <c r="DDK12" s="1402"/>
      <c r="DDL12" s="1402"/>
      <c r="DDM12" s="1402"/>
      <c r="DDN12" s="1402"/>
      <c r="DDO12" s="1402"/>
      <c r="DDP12" s="1402"/>
      <c r="DDQ12" s="1402"/>
      <c r="DDR12" s="1402"/>
      <c r="DDS12" s="1402"/>
      <c r="DDT12" s="1402"/>
      <c r="DDU12" s="1402"/>
      <c r="DDV12" s="1402"/>
      <c r="DDW12" s="1402"/>
      <c r="DDX12" s="1402"/>
      <c r="DDY12" s="1402"/>
      <c r="DDZ12" s="1402"/>
      <c r="DEA12" s="1402"/>
      <c r="DEB12" s="1402"/>
      <c r="DEC12" s="1402"/>
      <c r="DED12" s="1402"/>
      <c r="DEE12" s="1402"/>
      <c r="DEF12" s="1402"/>
      <c r="DEG12" s="1402"/>
      <c r="DEH12" s="1402"/>
      <c r="DEI12" s="1402"/>
      <c r="DEJ12" s="1402"/>
      <c r="DEK12" s="1402"/>
      <c r="DEL12" s="1402"/>
      <c r="DEM12" s="1402"/>
      <c r="DEN12" s="1402"/>
      <c r="DEO12" s="1402"/>
      <c r="DEP12" s="1402"/>
      <c r="DEQ12" s="1402"/>
      <c r="DER12" s="1402"/>
      <c r="DES12" s="1402"/>
      <c r="DET12" s="1402"/>
      <c r="DEU12" s="1402"/>
      <c r="DEV12" s="1402"/>
      <c r="DEW12" s="1402"/>
      <c r="DEX12" s="1402"/>
      <c r="DEY12" s="1402"/>
      <c r="DEZ12" s="1402"/>
      <c r="DFA12" s="1402"/>
      <c r="DFB12" s="1402"/>
      <c r="DFC12" s="1402"/>
      <c r="DFD12" s="1402"/>
      <c r="DFE12" s="1402"/>
      <c r="DFF12" s="1402"/>
      <c r="DFG12" s="1402"/>
      <c r="DFH12" s="1402"/>
      <c r="DFI12" s="1402"/>
      <c r="DFJ12" s="1402"/>
      <c r="DFK12" s="1402"/>
      <c r="DFL12" s="1402"/>
      <c r="DFM12" s="1402"/>
      <c r="DFN12" s="1402"/>
      <c r="DFO12" s="1402"/>
      <c r="DFP12" s="1402"/>
      <c r="DFQ12" s="1402"/>
      <c r="DFR12" s="1402"/>
      <c r="DFS12" s="1402"/>
      <c r="DFT12" s="1402"/>
      <c r="DFU12" s="1402"/>
      <c r="DFV12" s="1402"/>
      <c r="DFW12" s="1402"/>
      <c r="DFX12" s="1402"/>
      <c r="DFY12" s="1402"/>
      <c r="DFZ12" s="1402"/>
      <c r="DGA12" s="1402"/>
      <c r="DGB12" s="1402"/>
      <c r="DGC12" s="1402"/>
      <c r="DGD12" s="1402"/>
      <c r="DGE12" s="1402"/>
      <c r="DGF12" s="1402"/>
      <c r="DGG12" s="1402"/>
      <c r="DGH12" s="1402"/>
      <c r="DGI12" s="1402"/>
      <c r="DGJ12" s="1402"/>
      <c r="DGK12" s="1402"/>
      <c r="DGL12" s="1402"/>
      <c r="DGM12" s="1402"/>
      <c r="DGN12" s="1402"/>
      <c r="DGO12" s="1402"/>
      <c r="DGP12" s="1402"/>
      <c r="DGQ12" s="1402"/>
      <c r="DGR12" s="1402"/>
      <c r="DGS12" s="1402"/>
      <c r="DGT12" s="1402"/>
      <c r="DGU12" s="1402"/>
      <c r="DGV12" s="1402"/>
      <c r="DGW12" s="1402"/>
      <c r="DGX12" s="1402"/>
      <c r="DGY12" s="1402"/>
      <c r="DGZ12" s="1402"/>
      <c r="DHA12" s="1402"/>
      <c r="DHB12" s="1402"/>
      <c r="DHC12" s="1402"/>
      <c r="DHD12" s="1402"/>
      <c r="DHE12" s="1402"/>
      <c r="DHF12" s="1402"/>
      <c r="DHG12" s="1402"/>
      <c r="DHH12" s="1402"/>
      <c r="DHI12" s="1402"/>
      <c r="DHJ12" s="1402"/>
      <c r="DHK12" s="1402"/>
      <c r="DHL12" s="1402"/>
      <c r="DHM12" s="1402"/>
      <c r="DHN12" s="1402"/>
      <c r="DHO12" s="1402"/>
      <c r="DHP12" s="1402"/>
      <c r="DHQ12" s="1402"/>
      <c r="DHR12" s="1402"/>
      <c r="DHS12" s="1402"/>
      <c r="DHT12" s="1402"/>
      <c r="DHU12" s="1402"/>
      <c r="DHV12" s="1402"/>
      <c r="DHW12" s="1402"/>
      <c r="DHX12" s="1402"/>
      <c r="DHY12" s="1402"/>
      <c r="DHZ12" s="1402"/>
      <c r="DIA12" s="1402"/>
      <c r="DIB12" s="1402"/>
      <c r="DIC12" s="1402"/>
      <c r="DID12" s="1402"/>
      <c r="DIE12" s="1402"/>
      <c r="DIF12" s="1402"/>
      <c r="DIG12" s="1402"/>
      <c r="DIH12" s="1402"/>
      <c r="DII12" s="1402"/>
      <c r="DIJ12" s="1402"/>
      <c r="DIK12" s="1402"/>
      <c r="DIL12" s="1402"/>
      <c r="DIM12" s="1402"/>
      <c r="DIN12" s="1402"/>
      <c r="DIO12" s="1402"/>
      <c r="DIP12" s="1402"/>
      <c r="DIQ12" s="1402"/>
      <c r="DIR12" s="1402"/>
      <c r="DIS12" s="1402"/>
      <c r="DIT12" s="1402"/>
      <c r="DIU12" s="1402"/>
      <c r="DIV12" s="1402"/>
      <c r="DIW12" s="1402"/>
      <c r="DIX12" s="1402"/>
      <c r="DIY12" s="1402"/>
      <c r="DIZ12" s="1402"/>
      <c r="DJA12" s="1402"/>
      <c r="DJB12" s="1402"/>
      <c r="DJC12" s="1402"/>
      <c r="DJD12" s="1402"/>
      <c r="DJE12" s="1402"/>
      <c r="DJF12" s="1402"/>
      <c r="DJG12" s="1402"/>
      <c r="DJH12" s="1402"/>
      <c r="DJI12" s="1402"/>
      <c r="DJJ12" s="1402"/>
      <c r="DJK12" s="1402"/>
      <c r="DJL12" s="1402"/>
      <c r="DJM12" s="1402"/>
      <c r="DJN12" s="1402"/>
      <c r="DJO12" s="1402"/>
      <c r="DJP12" s="1402"/>
      <c r="DJQ12" s="1402"/>
      <c r="DJR12" s="1402"/>
      <c r="DJS12" s="1402"/>
      <c r="DJT12" s="1402"/>
      <c r="DJU12" s="1402"/>
      <c r="DJV12" s="1402"/>
      <c r="DJW12" s="1402"/>
      <c r="DJX12" s="1402"/>
      <c r="DJY12" s="1402"/>
      <c r="DJZ12" s="1402"/>
      <c r="DKA12" s="1402"/>
      <c r="DKB12" s="1402"/>
      <c r="DKC12" s="1402"/>
      <c r="DKD12" s="1402"/>
      <c r="DKE12" s="1402"/>
      <c r="DKF12" s="1402"/>
      <c r="DKG12" s="1402"/>
      <c r="DKH12" s="1402"/>
      <c r="DKI12" s="1402"/>
      <c r="DKJ12" s="1402"/>
      <c r="DKK12" s="1402"/>
      <c r="DKL12" s="1402"/>
      <c r="DKM12" s="1402"/>
      <c r="DKN12" s="1402"/>
      <c r="DKO12" s="1402"/>
      <c r="DKP12" s="1402"/>
      <c r="DKQ12" s="1402"/>
      <c r="DKR12" s="1402"/>
      <c r="DKS12" s="1402"/>
      <c r="DKT12" s="1402"/>
      <c r="DKU12" s="1402"/>
      <c r="DKV12" s="1402"/>
      <c r="DKW12" s="1402"/>
      <c r="DKX12" s="1402"/>
      <c r="DKY12" s="1402"/>
      <c r="DKZ12" s="1402"/>
      <c r="DLA12" s="1402"/>
      <c r="DLB12" s="1402"/>
      <c r="DLC12" s="1402"/>
      <c r="DLD12" s="1402"/>
      <c r="DLE12" s="1402"/>
      <c r="DLF12" s="1402"/>
      <c r="DLG12" s="1402"/>
      <c r="DLH12" s="1402"/>
      <c r="DLI12" s="1402"/>
      <c r="DLJ12" s="1402"/>
      <c r="DLK12" s="1402"/>
      <c r="DLL12" s="1402"/>
      <c r="DLM12" s="1402"/>
      <c r="DLN12" s="1402"/>
      <c r="DLO12" s="1402"/>
      <c r="DLP12" s="1402"/>
      <c r="DLQ12" s="1402"/>
      <c r="DLR12" s="1402"/>
      <c r="DLS12" s="1402"/>
      <c r="DLT12" s="1402"/>
      <c r="DLU12" s="1402"/>
      <c r="DLV12" s="1402"/>
      <c r="DLW12" s="1402"/>
      <c r="DLX12" s="1402"/>
      <c r="DLY12" s="1402"/>
      <c r="DLZ12" s="1402"/>
      <c r="DMA12" s="1402"/>
      <c r="DMB12" s="1402"/>
      <c r="DMC12" s="1402"/>
      <c r="DMD12" s="1402"/>
      <c r="DME12" s="1402"/>
      <c r="DMF12" s="1402"/>
      <c r="DMG12" s="1402"/>
      <c r="DMH12" s="1402"/>
      <c r="DMI12" s="1402"/>
      <c r="DMJ12" s="1402"/>
      <c r="DMK12" s="1402"/>
      <c r="DML12" s="1402"/>
      <c r="DMM12" s="1402"/>
      <c r="DMN12" s="1402"/>
      <c r="DMO12" s="1402"/>
      <c r="DMP12" s="1402"/>
      <c r="DMQ12" s="1402"/>
      <c r="DMR12" s="1402"/>
      <c r="DMS12" s="1402"/>
      <c r="DMT12" s="1402"/>
      <c r="DMU12" s="1402"/>
      <c r="DMV12" s="1402"/>
      <c r="DMW12" s="1402"/>
      <c r="DMX12" s="1402"/>
      <c r="DMY12" s="1402"/>
      <c r="DMZ12" s="1402"/>
      <c r="DNA12" s="1402"/>
      <c r="DNB12" s="1402"/>
      <c r="DNC12" s="1402"/>
      <c r="DND12" s="1402"/>
      <c r="DNE12" s="1402"/>
      <c r="DNF12" s="1402"/>
      <c r="DNG12" s="1402"/>
      <c r="DNH12" s="1402"/>
      <c r="DNI12" s="1402"/>
      <c r="DNJ12" s="1402"/>
      <c r="DNK12" s="1402"/>
      <c r="DNL12" s="1402"/>
      <c r="DNM12" s="1402"/>
      <c r="DNN12" s="1402"/>
      <c r="DNO12" s="1402"/>
      <c r="DNP12" s="1402"/>
      <c r="DNQ12" s="1402"/>
      <c r="DNR12" s="1402"/>
      <c r="DNS12" s="1402"/>
      <c r="DNT12" s="1402"/>
      <c r="DNU12" s="1402"/>
      <c r="DNV12" s="1402"/>
      <c r="DNW12" s="1402"/>
      <c r="DNX12" s="1402"/>
      <c r="DNY12" s="1402"/>
      <c r="DNZ12" s="1402"/>
      <c r="DOA12" s="1402"/>
      <c r="DOB12" s="1402"/>
      <c r="DOC12" s="1402"/>
      <c r="DOD12" s="1402"/>
      <c r="DOE12" s="1402"/>
      <c r="DOF12" s="1402"/>
      <c r="DOG12" s="1402"/>
      <c r="DOH12" s="1402"/>
      <c r="DOI12" s="1402"/>
      <c r="DOJ12" s="1402"/>
      <c r="DOK12" s="1402"/>
      <c r="DOL12" s="1402"/>
      <c r="DOM12" s="1402"/>
      <c r="DON12" s="1402"/>
      <c r="DOO12" s="1402"/>
      <c r="DOP12" s="1402"/>
      <c r="DOQ12" s="1402"/>
      <c r="DOR12" s="1402"/>
      <c r="DOS12" s="1402"/>
      <c r="DOT12" s="1402"/>
      <c r="DOU12" s="1402"/>
      <c r="DOV12" s="1402"/>
      <c r="DOW12" s="1402"/>
      <c r="DOX12" s="1402"/>
      <c r="DOY12" s="1402"/>
      <c r="DOZ12" s="1402"/>
      <c r="DPA12" s="1402"/>
      <c r="DPB12" s="1402"/>
      <c r="DPC12" s="1402"/>
      <c r="DPD12" s="1402"/>
      <c r="DPE12" s="1402"/>
      <c r="DPF12" s="1402"/>
      <c r="DPG12" s="1402"/>
      <c r="DPH12" s="1402"/>
      <c r="DPI12" s="1402"/>
      <c r="DPJ12" s="1402"/>
      <c r="DPK12" s="1402"/>
      <c r="DPL12" s="1402"/>
      <c r="DPM12" s="1402"/>
      <c r="DPN12" s="1402"/>
      <c r="DPO12" s="1402"/>
      <c r="DPP12" s="1402"/>
      <c r="DPQ12" s="1402"/>
      <c r="DPR12" s="1402"/>
      <c r="DPS12" s="1402"/>
      <c r="DPT12" s="1402"/>
      <c r="DPU12" s="1402"/>
      <c r="DPV12" s="1402"/>
      <c r="DPW12" s="1402"/>
      <c r="DPX12" s="1402"/>
      <c r="DPY12" s="1402"/>
      <c r="DPZ12" s="1402"/>
      <c r="DQA12" s="1402"/>
      <c r="DQB12" s="1402"/>
      <c r="DQC12" s="1402"/>
      <c r="DQD12" s="1402"/>
      <c r="DQE12" s="1402"/>
      <c r="DQF12" s="1402"/>
      <c r="DQG12" s="1402"/>
      <c r="DQH12" s="1402"/>
      <c r="DQI12" s="1402"/>
      <c r="DQJ12" s="1402"/>
      <c r="DQK12" s="1402"/>
      <c r="DQL12" s="1402"/>
      <c r="DQM12" s="1402"/>
      <c r="DQN12" s="1402"/>
      <c r="DQO12" s="1402"/>
      <c r="DQP12" s="1402"/>
      <c r="DQQ12" s="1402"/>
      <c r="DQR12" s="1402"/>
      <c r="DQS12" s="1402"/>
      <c r="DQT12" s="1402"/>
      <c r="DQU12" s="1402"/>
      <c r="DQV12" s="1402"/>
      <c r="DQW12" s="1402"/>
      <c r="DQX12" s="1402"/>
      <c r="DQY12" s="1402"/>
      <c r="DQZ12" s="1402"/>
      <c r="DRA12" s="1402"/>
      <c r="DRB12" s="1402"/>
      <c r="DRC12" s="1402"/>
      <c r="DRD12" s="1402"/>
      <c r="DRE12" s="1402"/>
      <c r="DRF12" s="1402"/>
      <c r="DRG12" s="1402"/>
      <c r="DRH12" s="1402"/>
      <c r="DRI12" s="1402"/>
      <c r="DRJ12" s="1402"/>
      <c r="DRK12" s="1402"/>
      <c r="DRL12" s="1402"/>
      <c r="DRM12" s="1402"/>
      <c r="DRN12" s="1402"/>
      <c r="DRO12" s="1402"/>
      <c r="DRP12" s="1402"/>
      <c r="DRQ12" s="1402"/>
      <c r="DRR12" s="1402"/>
      <c r="DRS12" s="1402"/>
      <c r="DRT12" s="1402"/>
      <c r="DRU12" s="1402"/>
      <c r="DRV12" s="1402"/>
      <c r="DRW12" s="1402"/>
      <c r="DRX12" s="1402"/>
      <c r="DRY12" s="1402"/>
      <c r="DRZ12" s="1402"/>
      <c r="DSA12" s="1402"/>
      <c r="DSB12" s="1402"/>
      <c r="DSC12" s="1402"/>
      <c r="DSD12" s="1402"/>
      <c r="DSE12" s="1402"/>
      <c r="DSF12" s="1402"/>
      <c r="DSG12" s="1402"/>
      <c r="DSH12" s="1402"/>
      <c r="DSI12" s="1402"/>
      <c r="DSJ12" s="1402"/>
      <c r="DSK12" s="1402"/>
      <c r="DSL12" s="1402"/>
      <c r="DSM12" s="1402"/>
      <c r="DSN12" s="1402"/>
      <c r="DSO12" s="1402"/>
      <c r="DSP12" s="1402"/>
      <c r="DSQ12" s="1402"/>
      <c r="DSR12" s="1402"/>
      <c r="DSS12" s="1402"/>
      <c r="DST12" s="1402"/>
      <c r="DSU12" s="1402"/>
      <c r="DSV12" s="1402"/>
      <c r="DSW12" s="1402"/>
      <c r="DSX12" s="1402"/>
      <c r="DSY12" s="1402"/>
      <c r="DSZ12" s="1402"/>
      <c r="DTA12" s="1402"/>
      <c r="DTB12" s="1402"/>
      <c r="DTC12" s="1402"/>
      <c r="DTD12" s="1402"/>
      <c r="DTE12" s="1402"/>
      <c r="DTF12" s="1402"/>
      <c r="DTG12" s="1402"/>
      <c r="DTH12" s="1402"/>
      <c r="DTI12" s="1402"/>
      <c r="DTJ12" s="1402"/>
      <c r="DTK12" s="1402"/>
      <c r="DTL12" s="1402"/>
      <c r="DTM12" s="1402"/>
      <c r="DTN12" s="1402"/>
      <c r="DTO12" s="1402"/>
      <c r="DTP12" s="1402"/>
      <c r="DTQ12" s="1402"/>
      <c r="DTR12" s="1402"/>
      <c r="DTS12" s="1402"/>
      <c r="DTT12" s="1402"/>
      <c r="DTU12" s="1402"/>
      <c r="DTV12" s="1402"/>
      <c r="DTW12" s="1402"/>
      <c r="DTX12" s="1402"/>
      <c r="DTY12" s="1402"/>
      <c r="DTZ12" s="1402"/>
      <c r="DUA12" s="1402"/>
      <c r="DUB12" s="1402"/>
      <c r="DUC12" s="1402"/>
      <c r="DUD12" s="1402"/>
      <c r="DUE12" s="1402"/>
      <c r="DUF12" s="1402"/>
      <c r="DUG12" s="1402"/>
      <c r="DUH12" s="1402"/>
      <c r="DUI12" s="1402"/>
      <c r="DUJ12" s="1402"/>
      <c r="DUK12" s="1402"/>
      <c r="DUL12" s="1402"/>
      <c r="DUM12" s="1402"/>
      <c r="DUN12" s="1402"/>
      <c r="DUO12" s="1402"/>
      <c r="DUP12" s="1402"/>
      <c r="DUQ12" s="1402"/>
      <c r="DUR12" s="1402"/>
      <c r="DUS12" s="1402"/>
      <c r="DUT12" s="1402"/>
      <c r="DUU12" s="1402"/>
      <c r="DUV12" s="1402"/>
      <c r="DUW12" s="1402"/>
      <c r="DUX12" s="1402"/>
      <c r="DUY12" s="1402"/>
      <c r="DUZ12" s="1402"/>
      <c r="DVA12" s="1402"/>
      <c r="DVB12" s="1402"/>
      <c r="DVC12" s="1402"/>
      <c r="DVD12" s="1402"/>
      <c r="DVE12" s="1402"/>
      <c r="DVF12" s="1402"/>
      <c r="DVG12" s="1402"/>
      <c r="DVH12" s="1402"/>
      <c r="DVI12" s="1402"/>
      <c r="DVJ12" s="1402"/>
      <c r="DVK12" s="1402"/>
      <c r="DVL12" s="1402"/>
      <c r="DVM12" s="1402"/>
      <c r="DVN12" s="1402"/>
      <c r="DVO12" s="1402"/>
      <c r="DVP12" s="1402"/>
      <c r="DVQ12" s="1402"/>
      <c r="DVR12" s="1402"/>
      <c r="DVS12" s="1402"/>
      <c r="DVT12" s="1402"/>
      <c r="DVU12" s="1402"/>
      <c r="DVV12" s="1402"/>
      <c r="DVW12" s="1402"/>
      <c r="DVX12" s="1402"/>
      <c r="DVY12" s="1402"/>
      <c r="DVZ12" s="1402"/>
      <c r="DWA12" s="1402"/>
      <c r="DWB12" s="1402"/>
      <c r="DWC12" s="1402"/>
      <c r="DWD12" s="1402"/>
      <c r="DWE12" s="1402"/>
      <c r="DWF12" s="1402"/>
      <c r="DWG12" s="1402"/>
      <c r="DWH12" s="1402"/>
      <c r="DWI12" s="1402"/>
      <c r="DWJ12" s="1402"/>
      <c r="DWK12" s="1402"/>
      <c r="DWL12" s="1402"/>
      <c r="DWM12" s="1402"/>
      <c r="DWN12" s="1402"/>
      <c r="DWO12" s="1402"/>
      <c r="DWP12" s="1402"/>
      <c r="DWQ12" s="1402"/>
      <c r="DWR12" s="1402"/>
      <c r="DWS12" s="1402"/>
      <c r="DWT12" s="1402"/>
      <c r="DWU12" s="1402"/>
      <c r="DWV12" s="1402"/>
      <c r="DWW12" s="1402"/>
      <c r="DWX12" s="1402"/>
      <c r="DWY12" s="1402"/>
      <c r="DWZ12" s="1402"/>
      <c r="DXA12" s="1402"/>
      <c r="DXB12" s="1402"/>
      <c r="DXC12" s="1402"/>
      <c r="DXD12" s="1402"/>
      <c r="DXE12" s="1402"/>
      <c r="DXF12" s="1402"/>
      <c r="DXG12" s="1402"/>
      <c r="DXH12" s="1402"/>
      <c r="DXI12" s="1402"/>
      <c r="DXJ12" s="1402"/>
      <c r="DXK12" s="1402"/>
      <c r="DXL12" s="1402"/>
      <c r="DXM12" s="1402"/>
      <c r="DXN12" s="1402"/>
      <c r="DXO12" s="1402"/>
      <c r="DXP12" s="1402"/>
      <c r="DXQ12" s="1402"/>
      <c r="DXR12" s="1402"/>
      <c r="DXS12" s="1402"/>
      <c r="DXT12" s="1402"/>
      <c r="DXU12" s="1402"/>
      <c r="DXV12" s="1402"/>
      <c r="DXW12" s="1402"/>
      <c r="DXX12" s="1402"/>
      <c r="DXY12" s="1402"/>
      <c r="DXZ12" s="1402"/>
      <c r="DYA12" s="1402"/>
      <c r="DYB12" s="1402"/>
      <c r="DYC12" s="1402"/>
      <c r="DYD12" s="1402"/>
      <c r="DYE12" s="1402"/>
      <c r="DYF12" s="1402"/>
      <c r="DYG12" s="1402"/>
      <c r="DYH12" s="1402"/>
      <c r="DYI12" s="1402"/>
      <c r="DYJ12" s="1402"/>
      <c r="DYK12" s="1402"/>
      <c r="DYL12" s="1402"/>
      <c r="DYM12" s="1402"/>
      <c r="DYN12" s="1402"/>
      <c r="DYO12" s="1402"/>
      <c r="DYP12" s="1402"/>
      <c r="DYQ12" s="1402"/>
      <c r="DYR12" s="1402"/>
      <c r="DYS12" s="1402"/>
      <c r="DYT12" s="1402"/>
      <c r="DYU12" s="1402"/>
      <c r="DYV12" s="1402"/>
      <c r="DYW12" s="1402"/>
      <c r="DYX12" s="1402"/>
      <c r="DYY12" s="1402"/>
      <c r="DYZ12" s="1402"/>
      <c r="DZA12" s="1402"/>
      <c r="DZB12" s="1402"/>
      <c r="DZC12" s="1402"/>
      <c r="DZD12" s="1402"/>
      <c r="DZE12" s="1402"/>
      <c r="DZF12" s="1402"/>
      <c r="DZG12" s="1402"/>
      <c r="DZH12" s="1402"/>
      <c r="DZI12" s="1402"/>
      <c r="DZJ12" s="1402"/>
      <c r="DZK12" s="1402"/>
      <c r="DZL12" s="1402"/>
      <c r="DZM12" s="1402"/>
      <c r="DZN12" s="1402"/>
      <c r="DZO12" s="1402"/>
      <c r="DZP12" s="1402"/>
      <c r="DZQ12" s="1402"/>
      <c r="DZR12" s="1402"/>
      <c r="DZS12" s="1402"/>
      <c r="DZT12" s="1402"/>
      <c r="DZU12" s="1402"/>
      <c r="DZV12" s="1402"/>
      <c r="DZW12" s="1402"/>
      <c r="DZX12" s="1402"/>
      <c r="DZY12" s="1402"/>
      <c r="DZZ12" s="1402"/>
      <c r="EAA12" s="1402"/>
      <c r="EAB12" s="1402"/>
      <c r="EAC12" s="1402"/>
      <c r="EAD12" s="1402"/>
      <c r="EAE12" s="1402"/>
      <c r="EAF12" s="1402"/>
      <c r="EAG12" s="1402"/>
      <c r="EAH12" s="1402"/>
      <c r="EAI12" s="1402"/>
      <c r="EAJ12" s="1402"/>
      <c r="EAK12" s="1402"/>
      <c r="EAL12" s="1402"/>
      <c r="EAM12" s="1402"/>
      <c r="EAN12" s="1402"/>
      <c r="EAO12" s="1402"/>
      <c r="EAP12" s="1402"/>
      <c r="EAQ12" s="1402"/>
      <c r="EAR12" s="1402"/>
      <c r="EAS12" s="1402"/>
      <c r="EAT12" s="1402"/>
      <c r="EAU12" s="1402"/>
      <c r="EAV12" s="1402"/>
      <c r="EAW12" s="1402"/>
      <c r="EAX12" s="1402"/>
      <c r="EAY12" s="1402"/>
      <c r="EAZ12" s="1402"/>
      <c r="EBA12" s="1402"/>
      <c r="EBB12" s="1402"/>
      <c r="EBC12" s="1402"/>
      <c r="EBD12" s="1402"/>
      <c r="EBE12" s="1402"/>
      <c r="EBF12" s="1402"/>
      <c r="EBG12" s="1402"/>
      <c r="EBH12" s="1402"/>
      <c r="EBI12" s="1402"/>
      <c r="EBJ12" s="1402"/>
      <c r="EBK12" s="1402"/>
      <c r="EBL12" s="1402"/>
      <c r="EBM12" s="1402"/>
      <c r="EBN12" s="1402"/>
      <c r="EBO12" s="1402"/>
      <c r="EBP12" s="1402"/>
      <c r="EBQ12" s="1402"/>
      <c r="EBR12" s="1402"/>
      <c r="EBS12" s="1402"/>
      <c r="EBT12" s="1402"/>
      <c r="EBU12" s="1402"/>
      <c r="EBV12" s="1402"/>
      <c r="EBW12" s="1402"/>
      <c r="EBX12" s="1402"/>
      <c r="EBY12" s="1402"/>
      <c r="EBZ12" s="1402"/>
      <c r="ECA12" s="1402"/>
      <c r="ECB12" s="1402"/>
      <c r="ECC12" s="1402"/>
      <c r="ECD12" s="1402"/>
      <c r="ECE12" s="1402"/>
      <c r="ECF12" s="1402"/>
      <c r="ECG12" s="1402"/>
      <c r="ECH12" s="1402"/>
      <c r="ECI12" s="1402"/>
      <c r="ECJ12" s="1402"/>
      <c r="ECK12" s="1402"/>
      <c r="ECL12" s="1402"/>
      <c r="ECM12" s="1402"/>
      <c r="ECN12" s="1402"/>
      <c r="ECO12" s="1402"/>
      <c r="ECP12" s="1402"/>
      <c r="ECQ12" s="1402"/>
      <c r="ECR12" s="1402"/>
      <c r="ECS12" s="1402"/>
      <c r="ECT12" s="1402"/>
      <c r="ECU12" s="1402"/>
      <c r="ECV12" s="1402"/>
      <c r="ECW12" s="1402"/>
      <c r="ECX12" s="1402"/>
      <c r="ECY12" s="1402"/>
      <c r="ECZ12" s="1402"/>
      <c r="EDA12" s="1402"/>
      <c r="EDB12" s="1402"/>
      <c r="EDC12" s="1402"/>
      <c r="EDD12" s="1402"/>
      <c r="EDE12" s="1402"/>
      <c r="EDF12" s="1402"/>
      <c r="EDG12" s="1402"/>
      <c r="EDH12" s="1402"/>
      <c r="EDI12" s="1402"/>
      <c r="EDJ12" s="1402"/>
      <c r="EDK12" s="1402"/>
      <c r="EDL12" s="1402"/>
      <c r="EDM12" s="1402"/>
      <c r="EDN12" s="1402"/>
      <c r="EDO12" s="1402"/>
      <c r="EDP12" s="1402"/>
      <c r="EDQ12" s="1402"/>
      <c r="EDR12" s="1402"/>
      <c r="EDS12" s="1402"/>
      <c r="EDT12" s="1402"/>
      <c r="EDU12" s="1402"/>
      <c r="EDV12" s="1402"/>
      <c r="EDW12" s="1402"/>
      <c r="EDX12" s="1402"/>
      <c r="EDY12" s="1402"/>
      <c r="EDZ12" s="1402"/>
      <c r="EEA12" s="1402"/>
      <c r="EEB12" s="1402"/>
      <c r="EEC12" s="1402"/>
      <c r="EED12" s="1402"/>
      <c r="EEE12" s="1402"/>
      <c r="EEF12" s="1402"/>
      <c r="EEG12" s="1402"/>
      <c r="EEH12" s="1402"/>
      <c r="EEI12" s="1402"/>
      <c r="EEJ12" s="1402"/>
      <c r="EEK12" s="1402"/>
      <c r="EEL12" s="1402"/>
      <c r="EEM12" s="1402"/>
      <c r="EEN12" s="1402"/>
      <c r="EEO12" s="1402"/>
      <c r="EEP12" s="1402"/>
      <c r="EEQ12" s="1402"/>
      <c r="EER12" s="1402"/>
      <c r="EES12" s="1402"/>
      <c r="EET12" s="1402"/>
      <c r="EEU12" s="1402"/>
      <c r="EEV12" s="1402"/>
      <c r="EEW12" s="1402"/>
      <c r="EEX12" s="1402"/>
      <c r="EEY12" s="1402"/>
      <c r="EEZ12" s="1402"/>
      <c r="EFA12" s="1402"/>
      <c r="EFB12" s="1402"/>
      <c r="EFC12" s="1402"/>
      <c r="EFD12" s="1402"/>
      <c r="EFE12" s="1402"/>
      <c r="EFF12" s="1402"/>
      <c r="EFG12" s="1402"/>
      <c r="EFH12" s="1402"/>
      <c r="EFI12" s="1402"/>
      <c r="EFJ12" s="1402"/>
      <c r="EFK12" s="1402"/>
      <c r="EFL12" s="1402"/>
      <c r="EFM12" s="1402"/>
      <c r="EFN12" s="1402"/>
      <c r="EFO12" s="1402"/>
      <c r="EFP12" s="1402"/>
      <c r="EFQ12" s="1402"/>
      <c r="EFR12" s="1402"/>
      <c r="EFS12" s="1402"/>
      <c r="EFT12" s="1402"/>
      <c r="EFU12" s="1402"/>
      <c r="EFV12" s="1402"/>
      <c r="EFW12" s="1402"/>
      <c r="EFX12" s="1402"/>
      <c r="EFY12" s="1402"/>
      <c r="EFZ12" s="1402"/>
      <c r="EGA12" s="1402"/>
      <c r="EGB12" s="1402"/>
      <c r="EGC12" s="1402"/>
      <c r="EGD12" s="1402"/>
      <c r="EGE12" s="1402"/>
      <c r="EGF12" s="1402"/>
      <c r="EGG12" s="1402"/>
      <c r="EGH12" s="1402"/>
      <c r="EGI12" s="1402"/>
      <c r="EGJ12" s="1402"/>
      <c r="EGK12" s="1402"/>
      <c r="EGL12" s="1402"/>
      <c r="EGM12" s="1402"/>
      <c r="EGN12" s="1402"/>
      <c r="EGO12" s="1402"/>
      <c r="EGP12" s="1402"/>
      <c r="EGQ12" s="1402"/>
      <c r="EGR12" s="1402"/>
      <c r="EGS12" s="1402"/>
      <c r="EGT12" s="1402"/>
      <c r="EGU12" s="1402"/>
      <c r="EGV12" s="1402"/>
      <c r="EGW12" s="1402"/>
      <c r="EGX12" s="1402"/>
      <c r="EGY12" s="1402"/>
      <c r="EGZ12" s="1402"/>
      <c r="EHA12" s="1402"/>
      <c r="EHB12" s="1402"/>
      <c r="EHC12" s="1402"/>
      <c r="EHD12" s="1402"/>
      <c r="EHE12" s="1402"/>
      <c r="EHF12" s="1402"/>
      <c r="EHG12" s="1402"/>
      <c r="EHH12" s="1402"/>
      <c r="EHI12" s="1402"/>
      <c r="EHJ12" s="1402"/>
      <c r="EHK12" s="1402"/>
      <c r="EHL12" s="1402"/>
      <c r="EHM12" s="1402"/>
      <c r="EHN12" s="1402"/>
      <c r="EHO12" s="1402"/>
      <c r="EHP12" s="1402"/>
      <c r="EHQ12" s="1402"/>
      <c r="EHR12" s="1402"/>
      <c r="EHS12" s="1402"/>
      <c r="EHT12" s="1402"/>
      <c r="EHU12" s="1402"/>
      <c r="EHV12" s="1402"/>
      <c r="EHW12" s="1402"/>
      <c r="EHX12" s="1402"/>
      <c r="EHY12" s="1402"/>
      <c r="EHZ12" s="1402"/>
      <c r="EIA12" s="1402"/>
      <c r="EIB12" s="1402"/>
      <c r="EIC12" s="1402"/>
      <c r="EID12" s="1402"/>
      <c r="EIE12" s="1402"/>
      <c r="EIF12" s="1402"/>
      <c r="EIG12" s="1402"/>
      <c r="EIH12" s="1402"/>
      <c r="EII12" s="1402"/>
      <c r="EIJ12" s="1402"/>
      <c r="EIK12" s="1402"/>
      <c r="EIL12" s="1402"/>
      <c r="EIM12" s="1402"/>
      <c r="EIN12" s="1402"/>
      <c r="EIO12" s="1402"/>
      <c r="EIP12" s="1402"/>
      <c r="EIQ12" s="1402"/>
      <c r="EIR12" s="1402"/>
      <c r="EIS12" s="1402"/>
      <c r="EIT12" s="1402"/>
      <c r="EIU12" s="1402"/>
      <c r="EIV12" s="1402"/>
      <c r="EIW12" s="1402"/>
      <c r="EIX12" s="1402"/>
      <c r="EIY12" s="1402"/>
      <c r="EIZ12" s="1402"/>
      <c r="EJA12" s="1402"/>
      <c r="EJB12" s="1402"/>
      <c r="EJC12" s="1402"/>
      <c r="EJD12" s="1402"/>
      <c r="EJE12" s="1402"/>
      <c r="EJF12" s="1402"/>
      <c r="EJG12" s="1402"/>
      <c r="EJH12" s="1402"/>
      <c r="EJI12" s="1402"/>
      <c r="EJJ12" s="1402"/>
      <c r="EJK12" s="1402"/>
      <c r="EJL12" s="1402"/>
      <c r="EJM12" s="1402"/>
      <c r="EJN12" s="1402"/>
      <c r="EJO12" s="1402"/>
      <c r="EJP12" s="1402"/>
      <c r="EJQ12" s="1402"/>
      <c r="EJR12" s="1402"/>
      <c r="EJS12" s="1402"/>
      <c r="EJT12" s="1402"/>
      <c r="EJU12" s="1402"/>
      <c r="EJV12" s="1402"/>
      <c r="EJW12" s="1402"/>
      <c r="EJX12" s="1402"/>
      <c r="EJY12" s="1402"/>
      <c r="EJZ12" s="1402"/>
      <c r="EKA12" s="1402"/>
      <c r="EKB12" s="1402"/>
      <c r="EKC12" s="1402"/>
      <c r="EKD12" s="1402"/>
      <c r="EKE12" s="1402"/>
      <c r="EKF12" s="1402"/>
      <c r="EKG12" s="1402"/>
      <c r="EKH12" s="1402"/>
      <c r="EKI12" s="1402"/>
      <c r="EKJ12" s="1402"/>
      <c r="EKK12" s="1402"/>
      <c r="EKL12" s="1402"/>
      <c r="EKM12" s="1402"/>
      <c r="EKN12" s="1402"/>
      <c r="EKO12" s="1402"/>
      <c r="EKP12" s="1402"/>
      <c r="EKQ12" s="1402"/>
      <c r="EKR12" s="1402"/>
      <c r="EKS12" s="1402"/>
      <c r="EKT12" s="1402"/>
      <c r="EKU12" s="1402"/>
      <c r="EKV12" s="1402"/>
      <c r="EKW12" s="1402"/>
      <c r="EKX12" s="1402"/>
      <c r="EKY12" s="1402"/>
      <c r="EKZ12" s="1402"/>
      <c r="ELA12" s="1402"/>
      <c r="ELB12" s="1402"/>
      <c r="ELC12" s="1402"/>
      <c r="ELD12" s="1402"/>
      <c r="ELE12" s="1402"/>
      <c r="ELF12" s="1402"/>
      <c r="ELG12" s="1402"/>
      <c r="ELH12" s="1402"/>
      <c r="ELI12" s="1402"/>
      <c r="ELJ12" s="1402"/>
      <c r="ELK12" s="1402"/>
      <c r="ELL12" s="1402"/>
      <c r="ELM12" s="1402"/>
      <c r="ELN12" s="1402"/>
      <c r="ELO12" s="1402"/>
      <c r="ELP12" s="1402"/>
      <c r="ELQ12" s="1402"/>
      <c r="ELR12" s="1402"/>
      <c r="ELS12" s="1402"/>
      <c r="ELT12" s="1402"/>
      <c r="ELU12" s="1402"/>
      <c r="ELV12" s="1402"/>
      <c r="ELW12" s="1402"/>
      <c r="ELX12" s="1402"/>
      <c r="ELY12" s="1402"/>
      <c r="ELZ12" s="1402"/>
      <c r="EMA12" s="1402"/>
      <c r="EMB12" s="1402"/>
      <c r="EMC12" s="1402"/>
      <c r="EMD12" s="1402"/>
      <c r="EME12" s="1402"/>
      <c r="EMF12" s="1402"/>
      <c r="EMG12" s="1402"/>
      <c r="EMH12" s="1402"/>
      <c r="EMI12" s="1402"/>
      <c r="EMJ12" s="1402"/>
      <c r="EMK12" s="1402"/>
      <c r="EML12" s="1402"/>
      <c r="EMM12" s="1402"/>
      <c r="EMN12" s="1402"/>
      <c r="EMO12" s="1402"/>
      <c r="EMP12" s="1402"/>
      <c r="EMQ12" s="1402"/>
      <c r="EMR12" s="1402"/>
      <c r="EMS12" s="1402"/>
      <c r="EMT12" s="1402"/>
      <c r="EMU12" s="1402"/>
      <c r="EMV12" s="1402"/>
      <c r="EMW12" s="1402"/>
      <c r="EMX12" s="1402"/>
      <c r="EMY12" s="1402"/>
      <c r="EMZ12" s="1402"/>
      <c r="ENA12" s="1402"/>
      <c r="ENB12" s="1402"/>
      <c r="ENC12" s="1402"/>
      <c r="END12" s="1402"/>
      <c r="ENE12" s="1402"/>
      <c r="ENF12" s="1402"/>
      <c r="ENG12" s="1402"/>
      <c r="ENH12" s="1402"/>
      <c r="ENI12" s="1402"/>
      <c r="ENJ12" s="1402"/>
      <c r="ENK12" s="1402"/>
      <c r="ENL12" s="1402"/>
      <c r="ENM12" s="1402"/>
      <c r="ENN12" s="1402"/>
      <c r="ENO12" s="1402"/>
      <c r="ENP12" s="1402"/>
      <c r="ENQ12" s="1402"/>
      <c r="ENR12" s="1402"/>
      <c r="ENS12" s="1402"/>
      <c r="ENT12" s="1402"/>
      <c r="ENU12" s="1402"/>
      <c r="ENV12" s="1402"/>
      <c r="ENW12" s="1402"/>
      <c r="ENX12" s="1402"/>
      <c r="ENY12" s="1402"/>
      <c r="ENZ12" s="1402"/>
      <c r="EOA12" s="1402"/>
      <c r="EOB12" s="1402"/>
      <c r="EOC12" s="1402"/>
      <c r="EOD12" s="1402"/>
      <c r="EOE12" s="1402"/>
      <c r="EOF12" s="1402"/>
      <c r="EOG12" s="1402"/>
      <c r="EOH12" s="1402"/>
      <c r="EOI12" s="1402"/>
      <c r="EOJ12" s="1402"/>
      <c r="EOK12" s="1402"/>
      <c r="EOL12" s="1402"/>
      <c r="EOM12" s="1402"/>
      <c r="EON12" s="1402"/>
      <c r="EOO12" s="1402"/>
      <c r="EOP12" s="1402"/>
      <c r="EOQ12" s="1402"/>
      <c r="EOR12" s="1402"/>
      <c r="EOS12" s="1402"/>
      <c r="EOT12" s="1402"/>
      <c r="EOU12" s="1402"/>
      <c r="EOV12" s="1402"/>
      <c r="EOW12" s="1402"/>
      <c r="EOX12" s="1402"/>
      <c r="EOY12" s="1402"/>
      <c r="EOZ12" s="1402"/>
      <c r="EPA12" s="1402"/>
      <c r="EPB12" s="1402"/>
      <c r="EPC12" s="1402"/>
      <c r="EPD12" s="1402"/>
      <c r="EPE12" s="1402"/>
      <c r="EPF12" s="1402"/>
      <c r="EPG12" s="1402"/>
      <c r="EPH12" s="1402"/>
      <c r="EPI12" s="1402"/>
      <c r="EPJ12" s="1402"/>
      <c r="EPK12" s="1402"/>
      <c r="EPL12" s="1402"/>
      <c r="EPM12" s="1402"/>
      <c r="EPN12" s="1402"/>
      <c r="EPO12" s="1402"/>
      <c r="EPP12" s="1402"/>
      <c r="EPQ12" s="1402"/>
      <c r="EPR12" s="1402"/>
      <c r="EPS12" s="1402"/>
      <c r="EPT12" s="1402"/>
      <c r="EPU12" s="1402"/>
      <c r="EPV12" s="1402"/>
      <c r="EPW12" s="1402"/>
      <c r="EPX12" s="1402"/>
      <c r="EPY12" s="1402"/>
      <c r="EPZ12" s="1402"/>
      <c r="EQA12" s="1402"/>
      <c r="EQB12" s="1402"/>
      <c r="EQC12" s="1402"/>
      <c r="EQD12" s="1402"/>
      <c r="EQE12" s="1402"/>
      <c r="EQF12" s="1402"/>
      <c r="EQG12" s="1402"/>
      <c r="EQH12" s="1402"/>
      <c r="EQI12" s="1402"/>
      <c r="EQJ12" s="1402"/>
      <c r="EQK12" s="1402"/>
      <c r="EQL12" s="1402"/>
      <c r="EQM12" s="1402"/>
      <c r="EQN12" s="1402"/>
      <c r="EQO12" s="1402"/>
      <c r="EQP12" s="1402"/>
      <c r="EQQ12" s="1402"/>
      <c r="EQR12" s="1402"/>
      <c r="EQS12" s="1402"/>
      <c r="EQT12" s="1402"/>
      <c r="EQU12" s="1402"/>
      <c r="EQV12" s="1402"/>
      <c r="EQW12" s="1402"/>
      <c r="EQX12" s="1402"/>
      <c r="EQY12" s="1402"/>
      <c r="EQZ12" s="1402"/>
      <c r="ERA12" s="1402"/>
      <c r="ERB12" s="1402"/>
      <c r="ERC12" s="1402"/>
      <c r="ERD12" s="1402"/>
      <c r="ERE12" s="1402"/>
      <c r="ERF12" s="1402"/>
      <c r="ERG12" s="1402"/>
      <c r="ERH12" s="1402"/>
      <c r="ERI12" s="1402"/>
      <c r="ERJ12" s="1402"/>
      <c r="ERK12" s="1402"/>
      <c r="ERL12" s="1402"/>
      <c r="ERM12" s="1402"/>
      <c r="ERN12" s="1402"/>
      <c r="ERO12" s="1402"/>
      <c r="ERP12" s="1402"/>
      <c r="ERQ12" s="1402"/>
      <c r="ERR12" s="1402"/>
      <c r="ERS12" s="1402"/>
      <c r="ERT12" s="1402"/>
      <c r="ERU12" s="1402"/>
      <c r="ERV12" s="1402"/>
      <c r="ERW12" s="1402"/>
      <c r="ERX12" s="1402"/>
      <c r="ERY12" s="1402"/>
      <c r="ERZ12" s="1402"/>
      <c r="ESA12" s="1402"/>
      <c r="ESB12" s="1402"/>
      <c r="ESC12" s="1402"/>
      <c r="ESD12" s="1402"/>
      <c r="ESE12" s="1402"/>
      <c r="ESF12" s="1402"/>
      <c r="ESG12" s="1402"/>
      <c r="ESH12" s="1402"/>
      <c r="ESI12" s="1402"/>
      <c r="ESJ12" s="1402"/>
      <c r="ESK12" s="1402"/>
      <c r="ESL12" s="1402"/>
      <c r="ESM12" s="1402"/>
      <c r="ESN12" s="1402"/>
      <c r="ESO12" s="1402"/>
      <c r="ESP12" s="1402"/>
      <c r="ESQ12" s="1402"/>
      <c r="ESR12" s="1402"/>
      <c r="ESS12" s="1402"/>
      <c r="EST12" s="1402"/>
      <c r="ESU12" s="1402"/>
      <c r="ESV12" s="1402"/>
      <c r="ESW12" s="1402"/>
      <c r="ESX12" s="1402"/>
      <c r="ESY12" s="1402"/>
      <c r="ESZ12" s="1402"/>
      <c r="ETA12" s="1402"/>
      <c r="ETB12" s="1402"/>
      <c r="ETC12" s="1402"/>
      <c r="ETD12" s="1402"/>
      <c r="ETE12" s="1402"/>
      <c r="ETF12" s="1402"/>
      <c r="ETG12" s="1402"/>
      <c r="ETH12" s="1402"/>
      <c r="ETI12" s="1402"/>
      <c r="ETJ12" s="1402"/>
      <c r="ETK12" s="1402"/>
      <c r="ETL12" s="1402"/>
      <c r="ETM12" s="1402"/>
      <c r="ETN12" s="1402"/>
      <c r="ETO12" s="1402"/>
      <c r="ETP12" s="1402"/>
      <c r="ETQ12" s="1402"/>
      <c r="ETR12" s="1402"/>
      <c r="ETS12" s="1402"/>
      <c r="ETT12" s="1402"/>
      <c r="ETU12" s="1402"/>
      <c r="ETV12" s="1402"/>
      <c r="ETW12" s="1402"/>
      <c r="ETX12" s="1402"/>
      <c r="ETY12" s="1402"/>
      <c r="ETZ12" s="1402"/>
      <c r="EUA12" s="1402"/>
      <c r="EUB12" s="1402"/>
      <c r="EUC12" s="1402"/>
      <c r="EUD12" s="1402"/>
      <c r="EUE12" s="1402"/>
      <c r="EUF12" s="1402"/>
      <c r="EUG12" s="1402"/>
      <c r="EUH12" s="1402"/>
      <c r="EUI12" s="1402"/>
      <c r="EUJ12" s="1402"/>
      <c r="EUK12" s="1402"/>
      <c r="EUL12" s="1402"/>
      <c r="EUM12" s="1402"/>
      <c r="EUN12" s="1402"/>
      <c r="EUO12" s="1402"/>
      <c r="EUP12" s="1402"/>
      <c r="EUQ12" s="1402"/>
      <c r="EUR12" s="1402"/>
      <c r="EUS12" s="1402"/>
      <c r="EUT12" s="1402"/>
      <c r="EUU12" s="1402"/>
      <c r="EUV12" s="1402"/>
      <c r="EUW12" s="1402"/>
      <c r="EUX12" s="1402"/>
      <c r="EUY12" s="1402"/>
      <c r="EUZ12" s="1402"/>
      <c r="EVA12" s="1402"/>
      <c r="EVB12" s="1402"/>
      <c r="EVC12" s="1402"/>
      <c r="EVD12" s="1402"/>
      <c r="EVE12" s="1402"/>
      <c r="EVF12" s="1402"/>
      <c r="EVG12" s="1402"/>
      <c r="EVH12" s="1402"/>
      <c r="EVI12" s="1402"/>
      <c r="EVJ12" s="1402"/>
      <c r="EVK12" s="1402"/>
      <c r="EVL12" s="1402"/>
      <c r="EVM12" s="1402"/>
      <c r="EVN12" s="1402"/>
      <c r="EVO12" s="1402"/>
      <c r="EVP12" s="1402"/>
      <c r="EVQ12" s="1402"/>
      <c r="EVR12" s="1402"/>
      <c r="EVS12" s="1402"/>
      <c r="EVT12" s="1402"/>
      <c r="EVU12" s="1402"/>
      <c r="EVV12" s="1402"/>
      <c r="EVW12" s="1402"/>
      <c r="EVX12" s="1402"/>
      <c r="EVY12" s="1402"/>
      <c r="EVZ12" s="1402"/>
      <c r="EWA12" s="1402"/>
      <c r="EWB12" s="1402"/>
      <c r="EWC12" s="1402"/>
      <c r="EWD12" s="1402"/>
      <c r="EWE12" s="1402"/>
      <c r="EWF12" s="1402"/>
      <c r="EWG12" s="1402"/>
      <c r="EWH12" s="1402"/>
      <c r="EWI12" s="1402"/>
      <c r="EWJ12" s="1402"/>
      <c r="EWK12" s="1402"/>
      <c r="EWL12" s="1402"/>
      <c r="EWM12" s="1402"/>
      <c r="EWN12" s="1402"/>
      <c r="EWO12" s="1402"/>
      <c r="EWP12" s="1402"/>
      <c r="EWQ12" s="1402"/>
      <c r="EWR12" s="1402"/>
      <c r="EWS12" s="1402"/>
      <c r="EWT12" s="1402"/>
      <c r="EWU12" s="1402"/>
      <c r="EWV12" s="1402"/>
      <c r="EWW12" s="1402"/>
      <c r="EWX12" s="1402"/>
      <c r="EWY12" s="1402"/>
      <c r="EWZ12" s="1402"/>
      <c r="EXA12" s="1402"/>
      <c r="EXB12" s="1402"/>
      <c r="EXC12" s="1402"/>
      <c r="EXD12" s="1402"/>
      <c r="EXE12" s="1402"/>
      <c r="EXF12" s="1402"/>
      <c r="EXG12" s="1402"/>
      <c r="EXH12" s="1402"/>
      <c r="EXI12" s="1402"/>
      <c r="EXJ12" s="1402"/>
      <c r="EXK12" s="1402"/>
      <c r="EXL12" s="1402"/>
      <c r="EXM12" s="1402"/>
      <c r="EXN12" s="1402"/>
      <c r="EXO12" s="1402"/>
      <c r="EXP12" s="1402"/>
      <c r="EXQ12" s="1402"/>
      <c r="EXR12" s="1402"/>
      <c r="EXS12" s="1402"/>
      <c r="EXT12" s="1402"/>
      <c r="EXU12" s="1402"/>
      <c r="EXV12" s="1402"/>
      <c r="EXW12" s="1402"/>
      <c r="EXX12" s="1402"/>
      <c r="EXY12" s="1402"/>
      <c r="EXZ12" s="1402"/>
      <c r="EYA12" s="1402"/>
      <c r="EYB12" s="1402"/>
      <c r="EYC12" s="1402"/>
      <c r="EYD12" s="1402"/>
      <c r="EYE12" s="1402"/>
      <c r="EYF12" s="1402"/>
      <c r="EYG12" s="1402"/>
      <c r="EYH12" s="1402"/>
      <c r="EYI12" s="1402"/>
      <c r="EYJ12" s="1402"/>
      <c r="EYK12" s="1402"/>
      <c r="EYL12" s="1402"/>
      <c r="EYM12" s="1402"/>
      <c r="EYN12" s="1402"/>
      <c r="EYO12" s="1402"/>
      <c r="EYP12" s="1402"/>
      <c r="EYQ12" s="1402"/>
      <c r="EYR12" s="1402"/>
      <c r="EYS12" s="1402"/>
      <c r="EYT12" s="1402"/>
      <c r="EYU12" s="1402"/>
      <c r="EYV12" s="1402"/>
      <c r="EYW12" s="1402"/>
      <c r="EYX12" s="1402"/>
      <c r="EYY12" s="1402"/>
      <c r="EYZ12" s="1402"/>
      <c r="EZA12" s="1402"/>
      <c r="EZB12" s="1402"/>
      <c r="EZC12" s="1402"/>
      <c r="EZD12" s="1402"/>
      <c r="EZE12" s="1402"/>
      <c r="EZF12" s="1402"/>
      <c r="EZG12" s="1402"/>
      <c r="EZH12" s="1402"/>
      <c r="EZI12" s="1402"/>
      <c r="EZJ12" s="1402"/>
      <c r="EZK12" s="1402"/>
      <c r="EZL12" s="1402"/>
      <c r="EZM12" s="1402"/>
      <c r="EZN12" s="1402"/>
      <c r="EZO12" s="1402"/>
      <c r="EZP12" s="1402"/>
      <c r="EZQ12" s="1402"/>
      <c r="EZR12" s="1402"/>
      <c r="EZS12" s="1402"/>
      <c r="EZT12" s="1402"/>
      <c r="EZU12" s="1402"/>
      <c r="EZV12" s="1402"/>
      <c r="EZW12" s="1402"/>
      <c r="EZX12" s="1402"/>
      <c r="EZY12" s="1402"/>
      <c r="EZZ12" s="1402"/>
      <c r="FAA12" s="1402"/>
      <c r="FAB12" s="1402"/>
      <c r="FAC12" s="1402"/>
      <c r="FAD12" s="1402"/>
      <c r="FAE12" s="1402"/>
      <c r="FAF12" s="1402"/>
      <c r="FAG12" s="1402"/>
      <c r="FAH12" s="1402"/>
      <c r="FAI12" s="1402"/>
      <c r="FAJ12" s="1402"/>
      <c r="FAK12" s="1402"/>
      <c r="FAL12" s="1402"/>
      <c r="FAM12" s="1402"/>
      <c r="FAN12" s="1402"/>
      <c r="FAO12" s="1402"/>
      <c r="FAP12" s="1402"/>
      <c r="FAQ12" s="1402"/>
      <c r="FAR12" s="1402"/>
      <c r="FAS12" s="1402"/>
      <c r="FAT12" s="1402"/>
      <c r="FAU12" s="1402"/>
      <c r="FAV12" s="1402"/>
      <c r="FAW12" s="1402"/>
      <c r="FAX12" s="1402"/>
      <c r="FAY12" s="1402"/>
      <c r="FAZ12" s="1402"/>
      <c r="FBA12" s="1402"/>
      <c r="FBB12" s="1402"/>
      <c r="FBC12" s="1402"/>
      <c r="FBD12" s="1402"/>
      <c r="FBE12" s="1402"/>
      <c r="FBF12" s="1402"/>
      <c r="FBG12" s="1402"/>
      <c r="FBH12" s="1402"/>
      <c r="FBI12" s="1402"/>
      <c r="FBJ12" s="1402"/>
      <c r="FBK12" s="1402"/>
      <c r="FBL12" s="1402"/>
      <c r="FBM12" s="1402"/>
      <c r="FBN12" s="1402"/>
      <c r="FBO12" s="1402"/>
      <c r="FBP12" s="1402"/>
      <c r="FBQ12" s="1402"/>
      <c r="FBR12" s="1402"/>
      <c r="FBS12" s="1402"/>
      <c r="FBT12" s="1402"/>
      <c r="FBU12" s="1402"/>
      <c r="FBV12" s="1402"/>
      <c r="FBW12" s="1402"/>
      <c r="FBX12" s="1402"/>
      <c r="FBY12" s="1402"/>
      <c r="FBZ12" s="1402"/>
      <c r="FCA12" s="1402"/>
      <c r="FCB12" s="1402"/>
      <c r="FCC12" s="1402"/>
      <c r="FCD12" s="1402"/>
      <c r="FCE12" s="1402"/>
      <c r="FCF12" s="1402"/>
      <c r="FCG12" s="1402"/>
      <c r="FCH12" s="1402"/>
      <c r="FCI12" s="1402"/>
      <c r="FCJ12" s="1402"/>
      <c r="FCK12" s="1402"/>
      <c r="FCL12" s="1402"/>
      <c r="FCM12" s="1402"/>
      <c r="FCN12" s="1402"/>
      <c r="FCO12" s="1402"/>
      <c r="FCP12" s="1402"/>
      <c r="FCQ12" s="1402"/>
      <c r="FCR12" s="1402"/>
      <c r="FCS12" s="1402"/>
      <c r="FCT12" s="1402"/>
      <c r="FCU12" s="1402"/>
      <c r="FCV12" s="1402"/>
      <c r="FCW12" s="1402"/>
      <c r="FCX12" s="1402"/>
      <c r="FCY12" s="1402"/>
      <c r="FCZ12" s="1402"/>
      <c r="FDA12" s="1402"/>
      <c r="FDB12" s="1402"/>
      <c r="FDC12" s="1402"/>
      <c r="FDD12" s="1402"/>
      <c r="FDE12" s="1402"/>
      <c r="FDF12" s="1402"/>
      <c r="FDG12" s="1402"/>
      <c r="FDH12" s="1402"/>
      <c r="FDI12" s="1402"/>
      <c r="FDJ12" s="1402"/>
      <c r="FDK12" s="1402"/>
      <c r="FDL12" s="1402"/>
      <c r="FDM12" s="1402"/>
      <c r="FDN12" s="1402"/>
      <c r="FDO12" s="1402"/>
      <c r="FDP12" s="1402"/>
      <c r="FDQ12" s="1402"/>
      <c r="FDR12" s="1402"/>
      <c r="FDS12" s="1402"/>
      <c r="FDT12" s="1402"/>
      <c r="FDU12" s="1402"/>
      <c r="FDV12" s="1402"/>
      <c r="FDW12" s="1402"/>
      <c r="FDX12" s="1402"/>
      <c r="FDY12" s="1402"/>
      <c r="FDZ12" s="1402"/>
      <c r="FEA12" s="1402"/>
      <c r="FEB12" s="1402"/>
      <c r="FEC12" s="1402"/>
      <c r="FED12" s="1402"/>
      <c r="FEE12" s="1402"/>
      <c r="FEF12" s="1402"/>
      <c r="FEG12" s="1402"/>
      <c r="FEH12" s="1402"/>
      <c r="FEI12" s="1402"/>
      <c r="FEJ12" s="1402"/>
      <c r="FEK12" s="1402"/>
      <c r="FEL12" s="1402"/>
      <c r="FEM12" s="1402"/>
      <c r="FEN12" s="1402"/>
      <c r="FEO12" s="1402"/>
      <c r="FEP12" s="1402"/>
      <c r="FEQ12" s="1402"/>
      <c r="FER12" s="1402"/>
      <c r="FES12" s="1402"/>
      <c r="FET12" s="1402"/>
      <c r="FEU12" s="1402"/>
      <c r="FEV12" s="1402"/>
      <c r="FEW12" s="1402"/>
      <c r="FEX12" s="1402"/>
      <c r="FEY12" s="1402"/>
      <c r="FEZ12" s="1402"/>
      <c r="FFA12" s="1402"/>
      <c r="FFB12" s="1402"/>
      <c r="FFC12" s="1402"/>
      <c r="FFD12" s="1402"/>
      <c r="FFE12" s="1402"/>
      <c r="FFF12" s="1402"/>
      <c r="FFG12" s="1402"/>
      <c r="FFH12" s="1402"/>
      <c r="FFI12" s="1402"/>
      <c r="FFJ12" s="1402"/>
      <c r="FFK12" s="1402"/>
      <c r="FFL12" s="1402"/>
      <c r="FFM12" s="1402"/>
      <c r="FFN12" s="1402"/>
      <c r="FFO12" s="1402"/>
      <c r="FFP12" s="1402"/>
      <c r="FFQ12" s="1402"/>
      <c r="FFR12" s="1402"/>
      <c r="FFS12" s="1402"/>
      <c r="FFT12" s="1402"/>
      <c r="FFU12" s="1402"/>
      <c r="FFV12" s="1402"/>
      <c r="FFW12" s="1402"/>
      <c r="FFX12" s="1402"/>
      <c r="FFY12" s="1402"/>
      <c r="FFZ12" s="1402"/>
      <c r="FGA12" s="1402"/>
      <c r="FGB12" s="1402"/>
      <c r="FGC12" s="1402"/>
      <c r="FGD12" s="1402"/>
      <c r="FGE12" s="1402"/>
      <c r="FGF12" s="1402"/>
      <c r="FGG12" s="1402"/>
      <c r="FGH12" s="1402"/>
      <c r="FGI12" s="1402"/>
      <c r="FGJ12" s="1402"/>
      <c r="FGK12" s="1402"/>
      <c r="FGL12" s="1402"/>
      <c r="FGM12" s="1402"/>
      <c r="FGN12" s="1402"/>
      <c r="FGO12" s="1402"/>
      <c r="FGP12" s="1402"/>
      <c r="FGQ12" s="1402"/>
      <c r="FGR12" s="1402"/>
      <c r="FGS12" s="1402"/>
      <c r="FGT12" s="1402"/>
      <c r="FGU12" s="1402"/>
      <c r="FGV12" s="1402"/>
      <c r="FGW12" s="1402"/>
      <c r="FGX12" s="1402"/>
      <c r="FGY12" s="1402"/>
      <c r="FGZ12" s="1402"/>
      <c r="FHA12" s="1402"/>
      <c r="FHB12" s="1402"/>
      <c r="FHC12" s="1402"/>
      <c r="FHD12" s="1402"/>
      <c r="FHE12" s="1402"/>
      <c r="FHF12" s="1402"/>
      <c r="FHG12" s="1402"/>
      <c r="FHH12" s="1402"/>
      <c r="FHI12" s="1402"/>
      <c r="FHJ12" s="1402"/>
      <c r="FHK12" s="1402"/>
      <c r="FHL12" s="1402"/>
      <c r="FHM12" s="1402"/>
      <c r="FHN12" s="1402"/>
      <c r="FHO12" s="1402"/>
      <c r="FHP12" s="1402"/>
      <c r="FHQ12" s="1402"/>
      <c r="FHR12" s="1402"/>
      <c r="FHS12" s="1402"/>
      <c r="FHT12" s="1402"/>
      <c r="FHU12" s="1402"/>
      <c r="FHV12" s="1402"/>
      <c r="FHW12" s="1402"/>
      <c r="FHX12" s="1402"/>
      <c r="FHY12" s="1402"/>
      <c r="FHZ12" s="1402"/>
      <c r="FIA12" s="1402"/>
      <c r="FIB12" s="1402"/>
      <c r="FIC12" s="1402"/>
      <c r="FID12" s="1402"/>
      <c r="FIE12" s="1402"/>
      <c r="FIF12" s="1402"/>
      <c r="FIG12" s="1402"/>
      <c r="FIH12" s="1402"/>
      <c r="FII12" s="1402"/>
      <c r="FIJ12" s="1402"/>
      <c r="FIK12" s="1402"/>
      <c r="FIL12" s="1402"/>
      <c r="FIM12" s="1402"/>
      <c r="FIN12" s="1402"/>
      <c r="FIO12" s="1402"/>
      <c r="FIP12" s="1402"/>
      <c r="FIQ12" s="1402"/>
      <c r="FIR12" s="1402"/>
      <c r="FIS12" s="1402"/>
      <c r="FIT12" s="1402"/>
      <c r="FIU12" s="1402"/>
      <c r="FIV12" s="1402"/>
      <c r="FIW12" s="1402"/>
      <c r="FIX12" s="1402"/>
      <c r="FIY12" s="1402"/>
      <c r="FIZ12" s="1402"/>
      <c r="FJA12" s="1402"/>
      <c r="FJB12" s="1402"/>
      <c r="FJC12" s="1402"/>
      <c r="FJD12" s="1402"/>
      <c r="FJE12" s="1402"/>
      <c r="FJF12" s="1402"/>
      <c r="FJG12" s="1402"/>
      <c r="FJH12" s="1402"/>
      <c r="FJI12" s="1402"/>
      <c r="FJJ12" s="1402"/>
      <c r="FJK12" s="1402"/>
      <c r="FJL12" s="1402"/>
      <c r="FJM12" s="1402"/>
      <c r="FJN12" s="1402"/>
      <c r="FJO12" s="1402"/>
      <c r="FJP12" s="1402"/>
      <c r="FJQ12" s="1402"/>
      <c r="FJR12" s="1402"/>
      <c r="FJS12" s="1402"/>
      <c r="FJT12" s="1402"/>
      <c r="FJU12" s="1402"/>
      <c r="FJV12" s="1402"/>
      <c r="FJW12" s="1402"/>
      <c r="FJX12" s="1402"/>
      <c r="FJY12" s="1402"/>
      <c r="FJZ12" s="1402"/>
      <c r="FKA12" s="1402"/>
      <c r="FKB12" s="1402"/>
      <c r="FKC12" s="1402"/>
      <c r="FKD12" s="1402"/>
      <c r="FKE12" s="1402"/>
      <c r="FKF12" s="1402"/>
      <c r="FKG12" s="1402"/>
      <c r="FKH12" s="1402"/>
      <c r="FKI12" s="1402"/>
      <c r="FKJ12" s="1402"/>
      <c r="FKK12" s="1402"/>
      <c r="FKL12" s="1402"/>
      <c r="FKM12" s="1402"/>
      <c r="FKN12" s="1402"/>
      <c r="FKO12" s="1402"/>
      <c r="FKP12" s="1402"/>
      <c r="FKQ12" s="1402"/>
      <c r="FKR12" s="1402"/>
      <c r="FKS12" s="1402"/>
      <c r="FKT12" s="1402"/>
      <c r="FKU12" s="1402"/>
      <c r="FKV12" s="1402"/>
      <c r="FKW12" s="1402"/>
      <c r="FKX12" s="1402"/>
      <c r="FKY12" s="1402"/>
      <c r="FKZ12" s="1402"/>
      <c r="FLA12" s="1402"/>
      <c r="FLB12" s="1402"/>
      <c r="FLC12" s="1402"/>
      <c r="FLD12" s="1402"/>
      <c r="FLE12" s="1402"/>
      <c r="FLF12" s="1402"/>
      <c r="FLG12" s="1402"/>
      <c r="FLH12" s="1402"/>
      <c r="FLI12" s="1402"/>
      <c r="FLJ12" s="1402"/>
      <c r="FLK12" s="1402"/>
      <c r="FLL12" s="1402"/>
      <c r="FLM12" s="1402"/>
      <c r="FLN12" s="1402"/>
      <c r="FLO12" s="1402"/>
      <c r="FLP12" s="1402"/>
      <c r="FLQ12" s="1402"/>
      <c r="FLR12" s="1402"/>
      <c r="FLS12" s="1402"/>
      <c r="FLT12" s="1402"/>
      <c r="FLU12" s="1402"/>
      <c r="FLV12" s="1402"/>
      <c r="FLW12" s="1402"/>
      <c r="FLX12" s="1402"/>
      <c r="FLY12" s="1402"/>
      <c r="FLZ12" s="1402"/>
      <c r="FMA12" s="1402"/>
      <c r="FMB12" s="1402"/>
      <c r="FMC12" s="1402"/>
      <c r="FMD12" s="1402"/>
      <c r="FME12" s="1402"/>
      <c r="FMF12" s="1402"/>
      <c r="FMG12" s="1402"/>
      <c r="FMH12" s="1402"/>
      <c r="FMI12" s="1402"/>
      <c r="FMJ12" s="1402"/>
      <c r="FMK12" s="1402"/>
      <c r="FML12" s="1402"/>
      <c r="FMM12" s="1402"/>
      <c r="FMN12" s="1402"/>
      <c r="FMO12" s="1402"/>
      <c r="FMP12" s="1402"/>
      <c r="FMQ12" s="1402"/>
      <c r="FMR12" s="1402"/>
      <c r="FMS12" s="1402"/>
      <c r="FMT12" s="1402"/>
      <c r="FMU12" s="1402"/>
      <c r="FMV12" s="1402"/>
      <c r="FMW12" s="1402"/>
      <c r="FMX12" s="1402"/>
      <c r="FMY12" s="1402"/>
      <c r="FMZ12" s="1402"/>
      <c r="FNA12" s="1402"/>
      <c r="FNB12" s="1402"/>
      <c r="FNC12" s="1402"/>
      <c r="FND12" s="1402"/>
      <c r="FNE12" s="1402"/>
      <c r="FNF12" s="1402"/>
      <c r="FNG12" s="1402"/>
      <c r="FNH12" s="1402"/>
      <c r="FNI12" s="1402"/>
      <c r="FNJ12" s="1402"/>
      <c r="FNK12" s="1402"/>
      <c r="FNL12" s="1402"/>
      <c r="FNM12" s="1402"/>
      <c r="FNN12" s="1402"/>
      <c r="FNO12" s="1402"/>
      <c r="FNP12" s="1402"/>
      <c r="FNQ12" s="1402"/>
      <c r="FNR12" s="1402"/>
      <c r="FNS12" s="1402"/>
      <c r="FNT12" s="1402"/>
      <c r="FNU12" s="1402"/>
      <c r="FNV12" s="1402"/>
      <c r="FNW12" s="1402"/>
      <c r="FNX12" s="1402"/>
      <c r="FNY12" s="1402"/>
      <c r="FNZ12" s="1402"/>
      <c r="FOA12" s="1402"/>
      <c r="FOB12" s="1402"/>
      <c r="FOC12" s="1402"/>
      <c r="FOD12" s="1402"/>
      <c r="FOE12" s="1402"/>
      <c r="FOF12" s="1402"/>
      <c r="FOG12" s="1402"/>
      <c r="FOH12" s="1402"/>
      <c r="FOI12" s="1402"/>
      <c r="FOJ12" s="1402"/>
      <c r="FOK12" s="1402"/>
      <c r="FOL12" s="1402"/>
      <c r="FOM12" s="1402"/>
      <c r="FON12" s="1402"/>
      <c r="FOO12" s="1402"/>
      <c r="FOP12" s="1402"/>
      <c r="FOQ12" s="1402"/>
      <c r="FOR12" s="1402"/>
      <c r="FOS12" s="1402"/>
      <c r="FOT12" s="1402"/>
      <c r="FOU12" s="1402"/>
      <c r="FOV12" s="1402"/>
      <c r="FOW12" s="1402"/>
      <c r="FOX12" s="1402"/>
      <c r="FOY12" s="1402"/>
      <c r="FOZ12" s="1402"/>
      <c r="FPA12" s="1402"/>
      <c r="FPB12" s="1402"/>
      <c r="FPC12" s="1402"/>
      <c r="FPD12" s="1402"/>
      <c r="FPE12" s="1402"/>
      <c r="FPF12" s="1402"/>
      <c r="FPG12" s="1402"/>
      <c r="FPH12" s="1402"/>
      <c r="FPI12" s="1402"/>
      <c r="FPJ12" s="1402"/>
      <c r="FPK12" s="1402"/>
      <c r="FPL12" s="1402"/>
      <c r="FPM12" s="1402"/>
      <c r="FPN12" s="1402"/>
      <c r="FPO12" s="1402"/>
      <c r="FPP12" s="1402"/>
      <c r="FPQ12" s="1402"/>
      <c r="FPR12" s="1402"/>
      <c r="FPS12" s="1402"/>
      <c r="FPT12" s="1402"/>
      <c r="FPU12" s="1402"/>
      <c r="FPV12" s="1402"/>
      <c r="FPW12" s="1402"/>
      <c r="FPX12" s="1402"/>
      <c r="FPY12" s="1402"/>
      <c r="FPZ12" s="1402"/>
      <c r="FQA12" s="1402"/>
      <c r="FQB12" s="1402"/>
      <c r="FQC12" s="1402"/>
      <c r="FQD12" s="1402"/>
      <c r="FQE12" s="1402"/>
      <c r="FQF12" s="1402"/>
      <c r="FQG12" s="1402"/>
      <c r="FQH12" s="1402"/>
      <c r="FQI12" s="1402"/>
      <c r="FQJ12" s="1402"/>
      <c r="FQK12" s="1402"/>
      <c r="FQL12" s="1402"/>
      <c r="FQM12" s="1402"/>
      <c r="FQN12" s="1402"/>
      <c r="FQO12" s="1402"/>
      <c r="FQP12" s="1402"/>
      <c r="FQQ12" s="1402"/>
      <c r="FQR12" s="1402"/>
      <c r="FQS12" s="1402"/>
      <c r="FQT12" s="1402"/>
      <c r="FQU12" s="1402"/>
      <c r="FQV12" s="1402"/>
      <c r="FQW12" s="1402"/>
      <c r="FQX12" s="1402"/>
      <c r="FQY12" s="1402"/>
      <c r="FQZ12" s="1402"/>
      <c r="FRA12" s="1402"/>
      <c r="FRB12" s="1402"/>
      <c r="FRC12" s="1402"/>
      <c r="FRD12" s="1402"/>
      <c r="FRE12" s="1402"/>
      <c r="FRF12" s="1402"/>
      <c r="FRG12" s="1402"/>
      <c r="FRH12" s="1402"/>
      <c r="FRI12" s="1402"/>
      <c r="FRJ12" s="1402"/>
      <c r="FRK12" s="1402"/>
      <c r="FRL12" s="1402"/>
      <c r="FRM12" s="1402"/>
      <c r="FRN12" s="1402"/>
      <c r="FRO12" s="1402"/>
      <c r="FRP12" s="1402"/>
      <c r="FRQ12" s="1402"/>
      <c r="FRR12" s="1402"/>
      <c r="FRS12" s="1402"/>
      <c r="FRT12" s="1402"/>
      <c r="FRU12" s="1402"/>
      <c r="FRV12" s="1402"/>
      <c r="FRW12" s="1402"/>
      <c r="FRX12" s="1402"/>
      <c r="FRY12" s="1402"/>
      <c r="FRZ12" s="1402"/>
      <c r="FSA12" s="1402"/>
      <c r="FSB12" s="1402"/>
      <c r="FSC12" s="1402"/>
      <c r="FSD12" s="1402"/>
      <c r="FSE12" s="1402"/>
      <c r="FSF12" s="1402"/>
      <c r="FSG12" s="1402"/>
      <c r="FSH12" s="1402"/>
      <c r="FSI12" s="1402"/>
      <c r="FSJ12" s="1402"/>
      <c r="FSK12" s="1402"/>
      <c r="FSL12" s="1402"/>
      <c r="FSM12" s="1402"/>
      <c r="FSN12" s="1402"/>
      <c r="FSO12" s="1402"/>
      <c r="FSP12" s="1402"/>
      <c r="FSQ12" s="1402"/>
      <c r="FSR12" s="1402"/>
      <c r="FSS12" s="1402"/>
      <c r="FST12" s="1402"/>
      <c r="FSU12" s="1402"/>
      <c r="FSV12" s="1402"/>
      <c r="FSW12" s="1402"/>
      <c r="FSX12" s="1402"/>
      <c r="FSY12" s="1402"/>
      <c r="FSZ12" s="1402"/>
      <c r="FTA12" s="1402"/>
      <c r="FTB12" s="1402"/>
      <c r="FTC12" s="1402"/>
      <c r="FTD12" s="1402"/>
      <c r="FTE12" s="1402"/>
      <c r="FTF12" s="1402"/>
      <c r="FTG12" s="1402"/>
      <c r="FTH12" s="1402"/>
      <c r="FTI12" s="1402"/>
      <c r="FTJ12" s="1402"/>
      <c r="FTK12" s="1402"/>
      <c r="FTL12" s="1402"/>
      <c r="FTM12" s="1402"/>
      <c r="FTN12" s="1402"/>
      <c r="FTO12" s="1402"/>
      <c r="FTP12" s="1402"/>
      <c r="FTQ12" s="1402"/>
      <c r="FTR12" s="1402"/>
      <c r="FTS12" s="1402"/>
      <c r="FTT12" s="1402"/>
      <c r="FTU12" s="1402"/>
      <c r="FTV12" s="1402"/>
      <c r="FTW12" s="1402"/>
      <c r="FTX12" s="1402"/>
      <c r="FTY12" s="1402"/>
      <c r="FTZ12" s="1402"/>
      <c r="FUA12" s="1402"/>
      <c r="FUB12" s="1402"/>
      <c r="FUC12" s="1402"/>
      <c r="FUD12" s="1402"/>
      <c r="FUE12" s="1402"/>
      <c r="FUF12" s="1402"/>
      <c r="FUG12" s="1402"/>
      <c r="FUH12" s="1402"/>
      <c r="FUI12" s="1402"/>
      <c r="FUJ12" s="1402"/>
      <c r="FUK12" s="1402"/>
      <c r="FUL12" s="1402"/>
      <c r="FUM12" s="1402"/>
      <c r="FUN12" s="1402"/>
      <c r="FUO12" s="1402"/>
      <c r="FUP12" s="1402"/>
      <c r="FUQ12" s="1402"/>
      <c r="FUR12" s="1402"/>
      <c r="FUS12" s="1402"/>
      <c r="FUT12" s="1402"/>
      <c r="FUU12" s="1402"/>
      <c r="FUV12" s="1402"/>
      <c r="FUW12" s="1402"/>
      <c r="FUX12" s="1402"/>
      <c r="FUY12" s="1402"/>
      <c r="FUZ12" s="1402"/>
      <c r="FVA12" s="1402"/>
      <c r="FVB12" s="1402"/>
      <c r="FVC12" s="1402"/>
      <c r="FVD12" s="1402"/>
      <c r="FVE12" s="1402"/>
      <c r="FVF12" s="1402"/>
      <c r="FVG12" s="1402"/>
      <c r="FVH12" s="1402"/>
      <c r="FVI12" s="1402"/>
      <c r="FVJ12" s="1402"/>
      <c r="FVK12" s="1402"/>
      <c r="FVL12" s="1402"/>
      <c r="FVM12" s="1402"/>
      <c r="FVN12" s="1402"/>
      <c r="FVO12" s="1402"/>
      <c r="FVP12" s="1402"/>
      <c r="FVQ12" s="1402"/>
      <c r="FVR12" s="1402"/>
      <c r="FVS12" s="1402"/>
      <c r="FVT12" s="1402"/>
      <c r="FVU12" s="1402"/>
      <c r="FVV12" s="1402"/>
      <c r="FVW12" s="1402"/>
      <c r="FVX12" s="1402"/>
      <c r="FVY12" s="1402"/>
      <c r="FVZ12" s="1402"/>
      <c r="FWA12" s="1402"/>
      <c r="FWB12" s="1402"/>
      <c r="FWC12" s="1402"/>
      <c r="FWD12" s="1402"/>
      <c r="FWE12" s="1402"/>
      <c r="FWF12" s="1402"/>
      <c r="FWG12" s="1402"/>
      <c r="FWH12" s="1402"/>
      <c r="FWI12" s="1402"/>
      <c r="FWJ12" s="1402"/>
      <c r="FWK12" s="1402"/>
      <c r="FWL12" s="1402"/>
      <c r="FWM12" s="1402"/>
      <c r="FWN12" s="1402"/>
      <c r="FWO12" s="1402"/>
      <c r="FWP12" s="1402"/>
      <c r="FWQ12" s="1402"/>
      <c r="FWR12" s="1402"/>
      <c r="FWS12" s="1402"/>
      <c r="FWT12" s="1402"/>
      <c r="FWU12" s="1402"/>
      <c r="FWV12" s="1402"/>
      <c r="FWW12" s="1402"/>
      <c r="FWX12" s="1402"/>
      <c r="FWY12" s="1402"/>
      <c r="FWZ12" s="1402"/>
      <c r="FXA12" s="1402"/>
      <c r="FXB12" s="1402"/>
      <c r="FXC12" s="1402"/>
      <c r="FXD12" s="1402"/>
      <c r="FXE12" s="1402"/>
      <c r="FXF12" s="1402"/>
      <c r="FXG12" s="1402"/>
      <c r="FXH12" s="1402"/>
      <c r="FXI12" s="1402"/>
      <c r="FXJ12" s="1402"/>
      <c r="FXK12" s="1402"/>
      <c r="FXL12" s="1402"/>
      <c r="FXM12" s="1402"/>
      <c r="FXN12" s="1402"/>
      <c r="FXO12" s="1402"/>
      <c r="FXP12" s="1402"/>
      <c r="FXQ12" s="1402"/>
      <c r="FXR12" s="1402"/>
      <c r="FXS12" s="1402"/>
      <c r="FXT12" s="1402"/>
      <c r="FXU12" s="1402"/>
      <c r="FXV12" s="1402"/>
      <c r="FXW12" s="1402"/>
      <c r="FXX12" s="1402"/>
      <c r="FXY12" s="1402"/>
      <c r="FXZ12" s="1402"/>
      <c r="FYA12" s="1402"/>
      <c r="FYB12" s="1402"/>
      <c r="FYC12" s="1402"/>
      <c r="FYD12" s="1402"/>
      <c r="FYE12" s="1402"/>
      <c r="FYF12" s="1402"/>
      <c r="FYG12" s="1402"/>
      <c r="FYH12" s="1402"/>
      <c r="FYI12" s="1402"/>
      <c r="FYJ12" s="1402"/>
      <c r="FYK12" s="1402"/>
      <c r="FYL12" s="1402"/>
      <c r="FYM12" s="1402"/>
      <c r="FYN12" s="1402"/>
      <c r="FYO12" s="1402"/>
      <c r="FYP12" s="1402"/>
      <c r="FYQ12" s="1402"/>
      <c r="FYR12" s="1402"/>
      <c r="FYS12" s="1402"/>
      <c r="FYT12" s="1402"/>
      <c r="FYU12" s="1402"/>
      <c r="FYV12" s="1402"/>
      <c r="FYW12" s="1402"/>
      <c r="FYX12" s="1402"/>
      <c r="FYY12" s="1402"/>
      <c r="FYZ12" s="1402"/>
      <c r="FZA12" s="1402"/>
      <c r="FZB12" s="1402"/>
      <c r="FZC12" s="1402"/>
      <c r="FZD12" s="1402"/>
      <c r="FZE12" s="1402"/>
      <c r="FZF12" s="1402"/>
      <c r="FZG12" s="1402"/>
      <c r="FZH12" s="1402"/>
      <c r="FZI12" s="1402"/>
      <c r="FZJ12" s="1402"/>
      <c r="FZK12" s="1402"/>
      <c r="FZL12" s="1402"/>
      <c r="FZM12" s="1402"/>
      <c r="FZN12" s="1402"/>
      <c r="FZO12" s="1402"/>
      <c r="FZP12" s="1402"/>
      <c r="FZQ12" s="1402"/>
      <c r="FZR12" s="1402"/>
      <c r="FZS12" s="1402"/>
      <c r="FZT12" s="1402"/>
      <c r="FZU12" s="1402"/>
      <c r="FZV12" s="1402"/>
      <c r="FZW12" s="1402"/>
      <c r="FZX12" s="1402"/>
      <c r="FZY12" s="1402"/>
      <c r="FZZ12" s="1402"/>
      <c r="GAA12" s="1402"/>
      <c r="GAB12" s="1402"/>
      <c r="GAC12" s="1402"/>
      <c r="GAD12" s="1402"/>
      <c r="GAE12" s="1402"/>
      <c r="GAF12" s="1402"/>
      <c r="GAG12" s="1402"/>
      <c r="GAH12" s="1402"/>
      <c r="GAI12" s="1402"/>
      <c r="GAJ12" s="1402"/>
      <c r="GAK12" s="1402"/>
      <c r="GAL12" s="1402"/>
      <c r="GAM12" s="1402"/>
      <c r="GAN12" s="1402"/>
      <c r="GAO12" s="1402"/>
      <c r="GAP12" s="1402"/>
      <c r="GAQ12" s="1402"/>
      <c r="GAR12" s="1402"/>
      <c r="GAS12" s="1402"/>
      <c r="GAT12" s="1402"/>
      <c r="GAU12" s="1402"/>
      <c r="GAV12" s="1402"/>
      <c r="GAW12" s="1402"/>
      <c r="GAX12" s="1402"/>
      <c r="GAY12" s="1402"/>
      <c r="GAZ12" s="1402"/>
      <c r="GBA12" s="1402"/>
      <c r="GBB12" s="1402"/>
      <c r="GBC12" s="1402"/>
      <c r="GBD12" s="1402"/>
      <c r="GBE12" s="1402"/>
      <c r="GBF12" s="1402"/>
      <c r="GBG12" s="1402"/>
      <c r="GBH12" s="1402"/>
      <c r="GBI12" s="1402"/>
      <c r="GBJ12" s="1402"/>
      <c r="GBK12" s="1402"/>
      <c r="GBL12" s="1402"/>
      <c r="GBM12" s="1402"/>
      <c r="GBN12" s="1402"/>
      <c r="GBO12" s="1402"/>
      <c r="GBP12" s="1402"/>
      <c r="GBQ12" s="1402"/>
      <c r="GBR12" s="1402"/>
      <c r="GBS12" s="1402"/>
      <c r="GBT12" s="1402"/>
      <c r="GBU12" s="1402"/>
      <c r="GBV12" s="1402"/>
      <c r="GBW12" s="1402"/>
      <c r="GBX12" s="1402"/>
      <c r="GBY12" s="1402"/>
      <c r="GBZ12" s="1402"/>
      <c r="GCA12" s="1402"/>
      <c r="GCB12" s="1402"/>
      <c r="GCC12" s="1402"/>
      <c r="GCD12" s="1402"/>
      <c r="GCE12" s="1402"/>
      <c r="GCF12" s="1402"/>
      <c r="GCG12" s="1402"/>
      <c r="GCH12" s="1402"/>
      <c r="GCI12" s="1402"/>
      <c r="GCJ12" s="1402"/>
      <c r="GCK12" s="1402"/>
      <c r="GCL12" s="1402"/>
      <c r="GCM12" s="1402"/>
      <c r="GCN12" s="1402"/>
      <c r="GCO12" s="1402"/>
      <c r="GCP12" s="1402"/>
      <c r="GCQ12" s="1402"/>
      <c r="GCR12" s="1402"/>
      <c r="GCS12" s="1402"/>
      <c r="GCT12" s="1402"/>
      <c r="GCU12" s="1402"/>
      <c r="GCV12" s="1402"/>
      <c r="GCW12" s="1402"/>
      <c r="GCX12" s="1402"/>
      <c r="GCY12" s="1402"/>
      <c r="GCZ12" s="1402"/>
      <c r="GDA12" s="1402"/>
      <c r="GDB12" s="1402"/>
      <c r="GDC12" s="1402"/>
      <c r="GDD12" s="1402"/>
      <c r="GDE12" s="1402"/>
      <c r="GDF12" s="1402"/>
      <c r="GDG12" s="1402"/>
      <c r="GDH12" s="1402"/>
      <c r="GDI12" s="1402"/>
      <c r="GDJ12" s="1402"/>
      <c r="GDK12" s="1402"/>
      <c r="GDL12" s="1402"/>
      <c r="GDM12" s="1402"/>
      <c r="GDN12" s="1402"/>
      <c r="GDO12" s="1402"/>
      <c r="GDP12" s="1402"/>
      <c r="GDQ12" s="1402"/>
      <c r="GDR12" s="1402"/>
      <c r="GDS12" s="1402"/>
      <c r="GDT12" s="1402"/>
      <c r="GDU12" s="1402"/>
      <c r="GDV12" s="1402"/>
      <c r="GDW12" s="1402"/>
      <c r="GDX12" s="1402"/>
      <c r="GDY12" s="1402"/>
      <c r="GDZ12" s="1402"/>
      <c r="GEA12" s="1402"/>
      <c r="GEB12" s="1402"/>
      <c r="GEC12" s="1402"/>
      <c r="GED12" s="1402"/>
      <c r="GEE12" s="1402"/>
      <c r="GEF12" s="1402"/>
      <c r="GEG12" s="1402"/>
      <c r="GEH12" s="1402"/>
      <c r="GEI12" s="1402"/>
      <c r="GEJ12" s="1402"/>
      <c r="GEK12" s="1402"/>
      <c r="GEL12" s="1402"/>
      <c r="GEM12" s="1402"/>
      <c r="GEN12" s="1402"/>
      <c r="GEO12" s="1402"/>
      <c r="GEP12" s="1402"/>
      <c r="GEQ12" s="1402"/>
      <c r="GER12" s="1402"/>
      <c r="GES12" s="1402"/>
      <c r="GET12" s="1402"/>
      <c r="GEU12" s="1402"/>
      <c r="GEV12" s="1402"/>
      <c r="GEW12" s="1402"/>
      <c r="GEX12" s="1402"/>
      <c r="GEY12" s="1402"/>
      <c r="GEZ12" s="1402"/>
      <c r="GFA12" s="1402"/>
      <c r="GFB12" s="1402"/>
      <c r="GFC12" s="1402"/>
      <c r="GFD12" s="1402"/>
      <c r="GFE12" s="1402"/>
      <c r="GFF12" s="1402"/>
      <c r="GFG12" s="1402"/>
      <c r="GFH12" s="1402"/>
      <c r="GFI12" s="1402"/>
      <c r="GFJ12" s="1402"/>
      <c r="GFK12" s="1402"/>
      <c r="GFL12" s="1402"/>
      <c r="GFM12" s="1402"/>
      <c r="GFN12" s="1402"/>
      <c r="GFO12" s="1402"/>
      <c r="GFP12" s="1402"/>
      <c r="GFQ12" s="1402"/>
      <c r="GFR12" s="1402"/>
      <c r="GFS12" s="1402"/>
      <c r="GFT12" s="1402"/>
      <c r="GFU12" s="1402"/>
      <c r="GFV12" s="1402"/>
      <c r="GFW12" s="1402"/>
      <c r="GFX12" s="1402"/>
      <c r="GFY12" s="1402"/>
      <c r="GFZ12" s="1402"/>
      <c r="GGA12" s="1402"/>
      <c r="GGB12" s="1402"/>
      <c r="GGC12" s="1402"/>
      <c r="GGD12" s="1402"/>
      <c r="GGE12" s="1402"/>
      <c r="GGF12" s="1402"/>
      <c r="GGG12" s="1402"/>
      <c r="GGH12" s="1402"/>
      <c r="GGI12" s="1402"/>
      <c r="GGJ12" s="1402"/>
      <c r="GGK12" s="1402"/>
      <c r="GGL12" s="1402"/>
      <c r="GGM12" s="1402"/>
      <c r="GGN12" s="1402"/>
      <c r="GGO12" s="1402"/>
      <c r="GGP12" s="1402"/>
      <c r="GGQ12" s="1402"/>
      <c r="GGR12" s="1402"/>
      <c r="GGS12" s="1402"/>
      <c r="GGT12" s="1402"/>
      <c r="GGU12" s="1402"/>
      <c r="GGV12" s="1402"/>
      <c r="GGW12" s="1402"/>
      <c r="GGX12" s="1402"/>
      <c r="GGY12" s="1402"/>
      <c r="GGZ12" s="1402"/>
      <c r="GHA12" s="1402"/>
      <c r="GHB12" s="1402"/>
      <c r="GHC12" s="1402"/>
      <c r="GHD12" s="1402"/>
      <c r="GHE12" s="1402"/>
      <c r="GHF12" s="1402"/>
      <c r="GHG12" s="1402"/>
      <c r="GHH12" s="1402"/>
      <c r="GHI12" s="1402"/>
      <c r="GHJ12" s="1402"/>
      <c r="GHK12" s="1402"/>
      <c r="GHL12" s="1402"/>
      <c r="GHM12" s="1402"/>
      <c r="GHN12" s="1402"/>
      <c r="GHO12" s="1402"/>
      <c r="GHP12" s="1402"/>
      <c r="GHQ12" s="1402"/>
      <c r="GHR12" s="1402"/>
      <c r="GHS12" s="1402"/>
      <c r="GHT12" s="1402"/>
      <c r="GHU12" s="1402"/>
      <c r="GHV12" s="1402"/>
      <c r="GHW12" s="1402"/>
      <c r="GHX12" s="1402"/>
      <c r="GHY12" s="1402"/>
      <c r="GHZ12" s="1402"/>
      <c r="GIA12" s="1402"/>
      <c r="GIB12" s="1402"/>
      <c r="GIC12" s="1402"/>
      <c r="GID12" s="1402"/>
      <c r="GIE12" s="1402"/>
      <c r="GIF12" s="1402"/>
      <c r="GIG12" s="1402"/>
      <c r="GIH12" s="1402"/>
      <c r="GII12" s="1402"/>
      <c r="GIJ12" s="1402"/>
      <c r="GIK12" s="1402"/>
      <c r="GIL12" s="1402"/>
      <c r="GIM12" s="1402"/>
      <c r="GIN12" s="1402"/>
      <c r="GIO12" s="1402"/>
      <c r="GIP12" s="1402"/>
      <c r="GIQ12" s="1402"/>
      <c r="GIR12" s="1402"/>
      <c r="GIS12" s="1402"/>
      <c r="GIT12" s="1402"/>
      <c r="GIU12" s="1402"/>
      <c r="GIV12" s="1402"/>
      <c r="GIW12" s="1402"/>
      <c r="GIX12" s="1402"/>
      <c r="GIY12" s="1402"/>
      <c r="GIZ12" s="1402"/>
      <c r="GJA12" s="1402"/>
      <c r="GJB12" s="1402"/>
      <c r="GJC12" s="1402"/>
      <c r="GJD12" s="1402"/>
      <c r="GJE12" s="1402"/>
      <c r="GJF12" s="1402"/>
      <c r="GJG12" s="1402"/>
      <c r="GJH12" s="1402"/>
      <c r="GJI12" s="1402"/>
      <c r="GJJ12" s="1402"/>
      <c r="GJK12" s="1402"/>
      <c r="GJL12" s="1402"/>
      <c r="GJM12" s="1402"/>
      <c r="GJN12" s="1402"/>
      <c r="GJO12" s="1402"/>
      <c r="GJP12" s="1402"/>
      <c r="GJQ12" s="1402"/>
      <c r="GJR12" s="1402"/>
      <c r="GJS12" s="1402"/>
      <c r="GJT12" s="1402"/>
      <c r="GJU12" s="1402"/>
      <c r="GJV12" s="1402"/>
      <c r="GJW12" s="1402"/>
      <c r="GJX12" s="1402"/>
      <c r="GJY12" s="1402"/>
      <c r="GJZ12" s="1402"/>
      <c r="GKA12" s="1402"/>
      <c r="GKB12" s="1402"/>
      <c r="GKC12" s="1402"/>
      <c r="GKD12" s="1402"/>
      <c r="GKE12" s="1402"/>
      <c r="GKF12" s="1402"/>
      <c r="GKG12" s="1402"/>
      <c r="GKH12" s="1402"/>
      <c r="GKI12" s="1402"/>
      <c r="GKJ12" s="1402"/>
      <c r="GKK12" s="1402"/>
      <c r="GKL12" s="1402"/>
      <c r="GKM12" s="1402"/>
      <c r="GKN12" s="1402"/>
      <c r="GKO12" s="1402"/>
      <c r="GKP12" s="1402"/>
      <c r="GKQ12" s="1402"/>
      <c r="GKR12" s="1402"/>
      <c r="GKS12" s="1402"/>
      <c r="GKT12" s="1402"/>
      <c r="GKU12" s="1402"/>
      <c r="GKV12" s="1402"/>
      <c r="GKW12" s="1402"/>
      <c r="GKX12" s="1402"/>
      <c r="GKY12" s="1402"/>
      <c r="GKZ12" s="1402"/>
      <c r="GLA12" s="1402"/>
      <c r="GLB12" s="1402"/>
      <c r="GLC12" s="1402"/>
      <c r="GLD12" s="1402"/>
      <c r="GLE12" s="1402"/>
      <c r="GLF12" s="1402"/>
      <c r="GLG12" s="1402"/>
      <c r="GLH12" s="1402"/>
      <c r="GLI12" s="1402"/>
      <c r="GLJ12" s="1402"/>
      <c r="GLK12" s="1402"/>
      <c r="GLL12" s="1402"/>
      <c r="GLM12" s="1402"/>
      <c r="GLN12" s="1402"/>
      <c r="GLO12" s="1402"/>
      <c r="GLP12" s="1402"/>
      <c r="GLQ12" s="1402"/>
      <c r="GLR12" s="1402"/>
      <c r="GLS12" s="1402"/>
      <c r="GLT12" s="1402"/>
      <c r="GLU12" s="1402"/>
      <c r="GLV12" s="1402"/>
      <c r="GLW12" s="1402"/>
      <c r="GLX12" s="1402"/>
      <c r="GLY12" s="1402"/>
      <c r="GLZ12" s="1402"/>
      <c r="GMA12" s="1402"/>
      <c r="GMB12" s="1402"/>
      <c r="GMC12" s="1402"/>
      <c r="GMD12" s="1402"/>
      <c r="GME12" s="1402"/>
      <c r="GMF12" s="1402"/>
      <c r="GMG12" s="1402"/>
      <c r="GMH12" s="1402"/>
      <c r="GMI12" s="1402"/>
      <c r="GMJ12" s="1402"/>
      <c r="GMK12" s="1402"/>
      <c r="GML12" s="1402"/>
      <c r="GMM12" s="1402"/>
      <c r="GMN12" s="1402"/>
      <c r="GMO12" s="1402"/>
      <c r="GMP12" s="1402"/>
      <c r="GMQ12" s="1402"/>
      <c r="GMR12" s="1402"/>
      <c r="GMS12" s="1402"/>
      <c r="GMT12" s="1402"/>
      <c r="GMU12" s="1402"/>
      <c r="GMV12" s="1402"/>
      <c r="GMW12" s="1402"/>
      <c r="GMX12" s="1402"/>
      <c r="GMY12" s="1402"/>
      <c r="GMZ12" s="1402"/>
      <c r="GNA12" s="1402"/>
      <c r="GNB12" s="1402"/>
      <c r="GNC12" s="1402"/>
      <c r="GND12" s="1402"/>
      <c r="GNE12" s="1402"/>
      <c r="GNF12" s="1402"/>
      <c r="GNG12" s="1402"/>
      <c r="GNH12" s="1402"/>
      <c r="GNI12" s="1402"/>
      <c r="GNJ12" s="1402"/>
      <c r="GNK12" s="1402"/>
      <c r="GNL12" s="1402"/>
      <c r="GNM12" s="1402"/>
      <c r="GNN12" s="1402"/>
      <c r="GNO12" s="1402"/>
      <c r="GNP12" s="1402"/>
      <c r="GNQ12" s="1402"/>
      <c r="GNR12" s="1402"/>
      <c r="GNS12" s="1402"/>
      <c r="GNT12" s="1402"/>
      <c r="GNU12" s="1402"/>
      <c r="GNV12" s="1402"/>
      <c r="GNW12" s="1402"/>
      <c r="GNX12" s="1402"/>
      <c r="GNY12" s="1402"/>
      <c r="GNZ12" s="1402"/>
      <c r="GOA12" s="1402"/>
      <c r="GOB12" s="1402"/>
      <c r="GOC12" s="1402"/>
      <c r="GOD12" s="1402"/>
      <c r="GOE12" s="1402"/>
      <c r="GOF12" s="1402"/>
      <c r="GOG12" s="1402"/>
      <c r="GOH12" s="1402"/>
      <c r="GOI12" s="1402"/>
      <c r="GOJ12" s="1402"/>
      <c r="GOK12" s="1402"/>
      <c r="GOL12" s="1402"/>
      <c r="GOM12" s="1402"/>
      <c r="GON12" s="1402"/>
      <c r="GOO12" s="1402"/>
      <c r="GOP12" s="1402"/>
      <c r="GOQ12" s="1402"/>
      <c r="GOR12" s="1402"/>
      <c r="GOS12" s="1402"/>
      <c r="GOT12" s="1402"/>
      <c r="GOU12" s="1402"/>
      <c r="GOV12" s="1402"/>
      <c r="GOW12" s="1402"/>
      <c r="GOX12" s="1402"/>
      <c r="GOY12" s="1402"/>
      <c r="GOZ12" s="1402"/>
      <c r="GPA12" s="1402"/>
      <c r="GPB12" s="1402"/>
      <c r="GPC12" s="1402"/>
      <c r="GPD12" s="1402"/>
      <c r="GPE12" s="1402"/>
      <c r="GPF12" s="1402"/>
      <c r="GPG12" s="1402"/>
      <c r="GPH12" s="1402"/>
      <c r="GPI12" s="1402"/>
      <c r="GPJ12" s="1402"/>
      <c r="GPK12" s="1402"/>
      <c r="GPL12" s="1402"/>
      <c r="GPM12" s="1402"/>
      <c r="GPN12" s="1402"/>
      <c r="GPO12" s="1402"/>
      <c r="GPP12" s="1402"/>
      <c r="GPQ12" s="1402"/>
      <c r="GPR12" s="1402"/>
      <c r="GPS12" s="1402"/>
      <c r="GPT12" s="1402"/>
      <c r="GPU12" s="1402"/>
      <c r="GPV12" s="1402"/>
      <c r="GPW12" s="1402"/>
      <c r="GPX12" s="1402"/>
      <c r="GPY12" s="1402"/>
      <c r="GPZ12" s="1402"/>
      <c r="GQA12" s="1402"/>
      <c r="GQB12" s="1402"/>
      <c r="GQC12" s="1402"/>
      <c r="GQD12" s="1402"/>
      <c r="GQE12" s="1402"/>
      <c r="GQF12" s="1402"/>
      <c r="GQG12" s="1402"/>
      <c r="GQH12" s="1402"/>
      <c r="GQI12" s="1402"/>
      <c r="GQJ12" s="1402"/>
      <c r="GQK12" s="1402"/>
      <c r="GQL12" s="1402"/>
      <c r="GQM12" s="1402"/>
      <c r="GQN12" s="1402"/>
      <c r="GQO12" s="1402"/>
      <c r="GQP12" s="1402"/>
      <c r="GQQ12" s="1402"/>
      <c r="GQR12" s="1402"/>
      <c r="GQS12" s="1402"/>
      <c r="GQT12" s="1402"/>
      <c r="GQU12" s="1402"/>
      <c r="GQV12" s="1402"/>
      <c r="GQW12" s="1402"/>
      <c r="GQX12" s="1402"/>
      <c r="GQY12" s="1402"/>
      <c r="GQZ12" s="1402"/>
      <c r="GRA12" s="1402"/>
      <c r="GRB12" s="1402"/>
      <c r="GRC12" s="1402"/>
      <c r="GRD12" s="1402"/>
      <c r="GRE12" s="1402"/>
      <c r="GRF12" s="1402"/>
      <c r="GRG12" s="1402"/>
      <c r="GRH12" s="1402"/>
      <c r="GRI12" s="1402"/>
      <c r="GRJ12" s="1402"/>
      <c r="GRK12" s="1402"/>
      <c r="GRL12" s="1402"/>
      <c r="GRM12" s="1402"/>
      <c r="GRN12" s="1402"/>
      <c r="GRO12" s="1402"/>
      <c r="GRP12" s="1402"/>
      <c r="GRQ12" s="1402"/>
      <c r="GRR12" s="1402"/>
      <c r="GRS12" s="1402"/>
      <c r="GRT12" s="1402"/>
      <c r="GRU12" s="1402"/>
      <c r="GRV12" s="1402"/>
      <c r="GRW12" s="1402"/>
      <c r="GRX12" s="1402"/>
      <c r="GRY12" s="1402"/>
      <c r="GRZ12" s="1402"/>
      <c r="GSA12" s="1402"/>
      <c r="GSB12" s="1402"/>
      <c r="GSC12" s="1402"/>
      <c r="GSD12" s="1402"/>
      <c r="GSE12" s="1402"/>
      <c r="GSF12" s="1402"/>
      <c r="GSG12" s="1402"/>
      <c r="GSH12" s="1402"/>
      <c r="GSI12" s="1402"/>
      <c r="GSJ12" s="1402"/>
      <c r="GSK12" s="1402"/>
      <c r="GSL12" s="1402"/>
      <c r="GSM12" s="1402"/>
      <c r="GSN12" s="1402"/>
      <c r="GSO12" s="1402"/>
      <c r="GSP12" s="1402"/>
      <c r="GSQ12" s="1402"/>
      <c r="GSR12" s="1402"/>
      <c r="GSS12" s="1402"/>
      <c r="GST12" s="1402"/>
      <c r="GSU12" s="1402"/>
      <c r="GSV12" s="1402"/>
      <c r="GSW12" s="1402"/>
      <c r="GSX12" s="1402"/>
      <c r="GSY12" s="1402"/>
      <c r="GSZ12" s="1402"/>
      <c r="GTA12" s="1402"/>
      <c r="GTB12" s="1402"/>
      <c r="GTC12" s="1402"/>
      <c r="GTD12" s="1402"/>
      <c r="GTE12" s="1402"/>
      <c r="GTF12" s="1402"/>
      <c r="GTG12" s="1402"/>
      <c r="GTH12" s="1402"/>
      <c r="GTI12" s="1402"/>
      <c r="GTJ12" s="1402"/>
      <c r="GTK12" s="1402"/>
      <c r="GTL12" s="1402"/>
      <c r="GTM12" s="1402"/>
      <c r="GTN12" s="1402"/>
      <c r="GTO12" s="1402"/>
      <c r="GTP12" s="1402"/>
      <c r="GTQ12" s="1402"/>
      <c r="GTR12" s="1402"/>
      <c r="GTS12" s="1402"/>
      <c r="GTT12" s="1402"/>
      <c r="GTU12" s="1402"/>
      <c r="GTV12" s="1402"/>
      <c r="GTW12" s="1402"/>
      <c r="GTX12" s="1402"/>
      <c r="GTY12" s="1402"/>
      <c r="GTZ12" s="1402"/>
      <c r="GUA12" s="1402"/>
      <c r="GUB12" s="1402"/>
      <c r="GUC12" s="1402"/>
      <c r="GUD12" s="1402"/>
      <c r="GUE12" s="1402"/>
      <c r="GUF12" s="1402"/>
      <c r="GUG12" s="1402"/>
      <c r="GUH12" s="1402"/>
      <c r="GUI12" s="1402"/>
      <c r="GUJ12" s="1402"/>
      <c r="GUK12" s="1402"/>
      <c r="GUL12" s="1402"/>
      <c r="GUM12" s="1402"/>
      <c r="GUN12" s="1402"/>
      <c r="GUO12" s="1402"/>
      <c r="GUP12" s="1402"/>
      <c r="GUQ12" s="1402"/>
      <c r="GUR12" s="1402"/>
      <c r="GUS12" s="1402"/>
      <c r="GUT12" s="1402"/>
      <c r="GUU12" s="1402"/>
      <c r="GUV12" s="1402"/>
      <c r="GUW12" s="1402"/>
      <c r="GUX12" s="1402"/>
      <c r="GUY12" s="1402"/>
      <c r="GUZ12" s="1402"/>
      <c r="GVA12" s="1402"/>
      <c r="GVB12" s="1402"/>
      <c r="GVC12" s="1402"/>
      <c r="GVD12" s="1402"/>
      <c r="GVE12" s="1402"/>
      <c r="GVF12" s="1402"/>
      <c r="GVG12" s="1402"/>
      <c r="GVH12" s="1402"/>
      <c r="GVI12" s="1402"/>
      <c r="GVJ12" s="1402"/>
      <c r="GVK12" s="1402"/>
      <c r="GVL12" s="1402"/>
      <c r="GVM12" s="1402"/>
      <c r="GVN12" s="1402"/>
      <c r="GVO12" s="1402"/>
      <c r="GVP12" s="1402"/>
      <c r="GVQ12" s="1402"/>
      <c r="GVR12" s="1402"/>
      <c r="GVS12" s="1402"/>
      <c r="GVT12" s="1402"/>
      <c r="GVU12" s="1402"/>
      <c r="GVV12" s="1402"/>
      <c r="GVW12" s="1402"/>
      <c r="GVX12" s="1402"/>
      <c r="GVY12" s="1402"/>
      <c r="GVZ12" s="1402"/>
      <c r="GWA12" s="1402"/>
      <c r="GWB12" s="1402"/>
      <c r="GWC12" s="1402"/>
      <c r="GWD12" s="1402"/>
      <c r="GWE12" s="1402"/>
      <c r="GWF12" s="1402"/>
      <c r="GWG12" s="1402"/>
      <c r="GWH12" s="1402"/>
      <c r="GWI12" s="1402"/>
      <c r="GWJ12" s="1402"/>
      <c r="GWK12" s="1402"/>
      <c r="GWL12" s="1402"/>
      <c r="GWM12" s="1402"/>
      <c r="GWN12" s="1402"/>
      <c r="GWO12" s="1402"/>
      <c r="GWP12" s="1402"/>
      <c r="GWQ12" s="1402"/>
      <c r="GWR12" s="1402"/>
      <c r="GWS12" s="1402"/>
      <c r="GWT12" s="1402"/>
      <c r="GWU12" s="1402"/>
      <c r="GWV12" s="1402"/>
      <c r="GWW12" s="1402"/>
      <c r="GWX12" s="1402"/>
      <c r="GWY12" s="1402"/>
      <c r="GWZ12" s="1402"/>
      <c r="GXA12" s="1402"/>
      <c r="GXB12" s="1402"/>
      <c r="GXC12" s="1402"/>
      <c r="GXD12" s="1402"/>
      <c r="GXE12" s="1402"/>
      <c r="GXF12" s="1402"/>
      <c r="GXG12" s="1402"/>
      <c r="GXH12" s="1402"/>
      <c r="GXI12" s="1402"/>
      <c r="GXJ12" s="1402"/>
      <c r="GXK12" s="1402"/>
      <c r="GXL12" s="1402"/>
      <c r="GXM12" s="1402"/>
      <c r="GXN12" s="1402"/>
      <c r="GXO12" s="1402"/>
      <c r="GXP12" s="1402"/>
      <c r="GXQ12" s="1402"/>
      <c r="GXR12" s="1402"/>
      <c r="GXS12" s="1402"/>
      <c r="GXT12" s="1402"/>
      <c r="GXU12" s="1402"/>
      <c r="GXV12" s="1402"/>
      <c r="GXW12" s="1402"/>
      <c r="GXX12" s="1402"/>
      <c r="GXY12" s="1402"/>
      <c r="GXZ12" s="1402"/>
      <c r="GYA12" s="1402"/>
      <c r="GYB12" s="1402"/>
      <c r="GYC12" s="1402"/>
      <c r="GYD12" s="1402"/>
      <c r="GYE12" s="1402"/>
      <c r="GYF12" s="1402"/>
      <c r="GYG12" s="1402"/>
      <c r="GYH12" s="1402"/>
      <c r="GYI12" s="1402"/>
      <c r="GYJ12" s="1402"/>
      <c r="GYK12" s="1402"/>
      <c r="GYL12" s="1402"/>
      <c r="GYM12" s="1402"/>
      <c r="GYN12" s="1402"/>
      <c r="GYO12" s="1402"/>
      <c r="GYP12" s="1402"/>
      <c r="GYQ12" s="1402"/>
      <c r="GYR12" s="1402"/>
      <c r="GYS12" s="1402"/>
      <c r="GYT12" s="1402"/>
      <c r="GYU12" s="1402"/>
      <c r="GYV12" s="1402"/>
      <c r="GYW12" s="1402"/>
      <c r="GYX12" s="1402"/>
      <c r="GYY12" s="1402"/>
      <c r="GYZ12" s="1402"/>
      <c r="GZA12" s="1402"/>
      <c r="GZB12" s="1402"/>
      <c r="GZC12" s="1402"/>
      <c r="GZD12" s="1402"/>
      <c r="GZE12" s="1402"/>
      <c r="GZF12" s="1402"/>
      <c r="GZG12" s="1402"/>
      <c r="GZH12" s="1402"/>
      <c r="GZI12" s="1402"/>
      <c r="GZJ12" s="1402"/>
      <c r="GZK12" s="1402"/>
      <c r="GZL12" s="1402"/>
      <c r="GZM12" s="1402"/>
      <c r="GZN12" s="1402"/>
      <c r="GZO12" s="1402"/>
      <c r="GZP12" s="1402"/>
      <c r="GZQ12" s="1402"/>
      <c r="GZR12" s="1402"/>
      <c r="GZS12" s="1402"/>
      <c r="GZT12" s="1402"/>
      <c r="GZU12" s="1402"/>
      <c r="GZV12" s="1402"/>
      <c r="GZW12" s="1402"/>
      <c r="GZX12" s="1402"/>
      <c r="GZY12" s="1402"/>
      <c r="GZZ12" s="1402"/>
      <c r="HAA12" s="1402"/>
      <c r="HAB12" s="1402"/>
      <c r="HAC12" s="1402"/>
      <c r="HAD12" s="1402"/>
      <c r="HAE12" s="1402"/>
      <c r="HAF12" s="1402"/>
      <c r="HAG12" s="1402"/>
      <c r="HAH12" s="1402"/>
      <c r="HAI12" s="1402"/>
      <c r="HAJ12" s="1402"/>
      <c r="HAK12" s="1402"/>
      <c r="HAL12" s="1402"/>
      <c r="HAM12" s="1402"/>
      <c r="HAN12" s="1402"/>
      <c r="HAO12" s="1402"/>
      <c r="HAP12" s="1402"/>
      <c r="HAQ12" s="1402"/>
      <c r="HAR12" s="1402"/>
      <c r="HAS12" s="1402"/>
      <c r="HAT12" s="1402"/>
      <c r="HAU12" s="1402"/>
      <c r="HAV12" s="1402"/>
      <c r="HAW12" s="1402"/>
      <c r="HAX12" s="1402"/>
      <c r="HAY12" s="1402"/>
      <c r="HAZ12" s="1402"/>
      <c r="HBA12" s="1402"/>
      <c r="HBB12" s="1402"/>
      <c r="HBC12" s="1402"/>
      <c r="HBD12" s="1402"/>
      <c r="HBE12" s="1402"/>
      <c r="HBF12" s="1402"/>
      <c r="HBG12" s="1402"/>
      <c r="HBH12" s="1402"/>
      <c r="HBI12" s="1402"/>
      <c r="HBJ12" s="1402"/>
      <c r="HBK12" s="1402"/>
      <c r="HBL12" s="1402"/>
      <c r="HBM12" s="1402"/>
      <c r="HBN12" s="1402"/>
      <c r="HBO12" s="1402"/>
      <c r="HBP12" s="1402"/>
      <c r="HBQ12" s="1402"/>
      <c r="HBR12" s="1402"/>
      <c r="HBS12" s="1402"/>
      <c r="HBT12" s="1402"/>
      <c r="HBU12" s="1402"/>
      <c r="HBV12" s="1402"/>
      <c r="HBW12" s="1402"/>
      <c r="HBX12" s="1402"/>
      <c r="HBY12" s="1402"/>
      <c r="HBZ12" s="1402"/>
      <c r="HCA12" s="1402"/>
      <c r="HCB12" s="1402"/>
      <c r="HCC12" s="1402"/>
      <c r="HCD12" s="1402"/>
      <c r="HCE12" s="1402"/>
      <c r="HCF12" s="1402"/>
      <c r="HCG12" s="1402"/>
      <c r="HCH12" s="1402"/>
      <c r="HCI12" s="1402"/>
      <c r="HCJ12" s="1402"/>
      <c r="HCK12" s="1402"/>
      <c r="HCL12" s="1402"/>
      <c r="HCM12" s="1402"/>
      <c r="HCN12" s="1402"/>
      <c r="HCO12" s="1402"/>
      <c r="HCP12" s="1402"/>
      <c r="HCQ12" s="1402"/>
      <c r="HCR12" s="1402"/>
      <c r="HCS12" s="1402"/>
      <c r="HCT12" s="1402"/>
      <c r="HCU12" s="1402"/>
      <c r="HCV12" s="1402"/>
      <c r="HCW12" s="1402"/>
      <c r="HCX12" s="1402"/>
      <c r="HCY12" s="1402"/>
      <c r="HCZ12" s="1402"/>
      <c r="HDA12" s="1402"/>
      <c r="HDB12" s="1402"/>
      <c r="HDC12" s="1402"/>
      <c r="HDD12" s="1402"/>
      <c r="HDE12" s="1402"/>
      <c r="HDF12" s="1402"/>
      <c r="HDG12" s="1402"/>
      <c r="HDH12" s="1402"/>
      <c r="HDI12" s="1402"/>
      <c r="HDJ12" s="1402"/>
      <c r="HDK12" s="1402"/>
      <c r="HDL12" s="1402"/>
      <c r="HDM12" s="1402"/>
      <c r="HDN12" s="1402"/>
      <c r="HDO12" s="1402"/>
      <c r="HDP12" s="1402"/>
      <c r="HDQ12" s="1402"/>
      <c r="HDR12" s="1402"/>
      <c r="HDS12" s="1402"/>
      <c r="HDT12" s="1402"/>
      <c r="HDU12" s="1402"/>
      <c r="HDV12" s="1402"/>
      <c r="HDW12" s="1402"/>
      <c r="HDX12" s="1402"/>
      <c r="HDY12" s="1402"/>
      <c r="HDZ12" s="1402"/>
      <c r="HEA12" s="1402"/>
      <c r="HEB12" s="1402"/>
      <c r="HEC12" s="1402"/>
      <c r="HED12" s="1402"/>
      <c r="HEE12" s="1402"/>
      <c r="HEF12" s="1402"/>
      <c r="HEG12" s="1402"/>
      <c r="HEH12" s="1402"/>
      <c r="HEI12" s="1402"/>
      <c r="HEJ12" s="1402"/>
      <c r="HEK12" s="1402"/>
      <c r="HEL12" s="1402"/>
      <c r="HEM12" s="1402"/>
      <c r="HEN12" s="1402"/>
      <c r="HEO12" s="1402"/>
      <c r="HEP12" s="1402"/>
      <c r="HEQ12" s="1402"/>
      <c r="HER12" s="1402"/>
      <c r="HES12" s="1402"/>
      <c r="HET12" s="1402"/>
      <c r="HEU12" s="1402"/>
      <c r="HEV12" s="1402"/>
      <c r="HEW12" s="1402"/>
      <c r="HEX12" s="1402"/>
      <c r="HEY12" s="1402"/>
      <c r="HEZ12" s="1402"/>
      <c r="HFA12" s="1402"/>
      <c r="HFB12" s="1402"/>
      <c r="HFC12" s="1402"/>
      <c r="HFD12" s="1402"/>
      <c r="HFE12" s="1402"/>
      <c r="HFF12" s="1402"/>
      <c r="HFG12" s="1402"/>
      <c r="HFH12" s="1402"/>
      <c r="HFI12" s="1402"/>
      <c r="HFJ12" s="1402"/>
      <c r="HFK12" s="1402"/>
      <c r="HFL12" s="1402"/>
      <c r="HFM12" s="1402"/>
      <c r="HFN12" s="1402"/>
      <c r="HFO12" s="1402"/>
      <c r="HFP12" s="1402"/>
      <c r="HFQ12" s="1402"/>
      <c r="HFR12" s="1402"/>
      <c r="HFS12" s="1402"/>
      <c r="HFT12" s="1402"/>
      <c r="HFU12" s="1402"/>
      <c r="HFV12" s="1402"/>
      <c r="HFW12" s="1402"/>
      <c r="HFX12" s="1402"/>
      <c r="HFY12" s="1402"/>
      <c r="HFZ12" s="1402"/>
      <c r="HGA12" s="1402"/>
      <c r="HGB12" s="1402"/>
      <c r="HGC12" s="1402"/>
      <c r="HGD12" s="1402"/>
      <c r="HGE12" s="1402"/>
      <c r="HGF12" s="1402"/>
      <c r="HGG12" s="1402"/>
      <c r="HGH12" s="1402"/>
      <c r="HGI12" s="1402"/>
      <c r="HGJ12" s="1402"/>
      <c r="HGK12" s="1402"/>
      <c r="HGL12" s="1402"/>
      <c r="HGM12" s="1402"/>
      <c r="HGN12" s="1402"/>
      <c r="HGO12" s="1402"/>
      <c r="HGP12" s="1402"/>
      <c r="HGQ12" s="1402"/>
      <c r="HGR12" s="1402"/>
      <c r="HGS12" s="1402"/>
      <c r="HGT12" s="1402"/>
      <c r="HGU12" s="1402"/>
      <c r="HGV12" s="1402"/>
      <c r="HGW12" s="1402"/>
      <c r="HGX12" s="1402"/>
      <c r="HGY12" s="1402"/>
      <c r="HGZ12" s="1402"/>
      <c r="HHA12" s="1402"/>
      <c r="HHB12" s="1402"/>
      <c r="HHC12" s="1402"/>
      <c r="HHD12" s="1402"/>
      <c r="HHE12" s="1402"/>
      <c r="HHF12" s="1402"/>
      <c r="HHG12" s="1402"/>
      <c r="HHH12" s="1402"/>
      <c r="HHI12" s="1402"/>
      <c r="HHJ12" s="1402"/>
      <c r="HHK12" s="1402"/>
      <c r="HHL12" s="1402"/>
      <c r="HHM12" s="1402"/>
      <c r="HHN12" s="1402"/>
      <c r="HHO12" s="1402"/>
      <c r="HHP12" s="1402"/>
      <c r="HHQ12" s="1402"/>
      <c r="HHR12" s="1402"/>
      <c r="HHS12" s="1402"/>
      <c r="HHT12" s="1402"/>
      <c r="HHU12" s="1402"/>
      <c r="HHV12" s="1402"/>
      <c r="HHW12" s="1402"/>
      <c r="HHX12" s="1402"/>
      <c r="HHY12" s="1402"/>
      <c r="HHZ12" s="1402"/>
      <c r="HIA12" s="1402"/>
      <c r="HIB12" s="1402"/>
      <c r="HIC12" s="1402"/>
      <c r="HID12" s="1402"/>
      <c r="HIE12" s="1402"/>
      <c r="HIF12" s="1402"/>
      <c r="HIG12" s="1402"/>
      <c r="HIH12" s="1402"/>
      <c r="HII12" s="1402"/>
      <c r="HIJ12" s="1402"/>
      <c r="HIK12" s="1402"/>
      <c r="HIL12" s="1402"/>
      <c r="HIM12" s="1402"/>
      <c r="HIN12" s="1402"/>
      <c r="HIO12" s="1402"/>
      <c r="HIP12" s="1402"/>
      <c r="HIQ12" s="1402"/>
      <c r="HIR12" s="1402"/>
      <c r="HIS12" s="1402"/>
      <c r="HIT12" s="1402"/>
      <c r="HIU12" s="1402"/>
      <c r="HIV12" s="1402"/>
      <c r="HIW12" s="1402"/>
      <c r="HIX12" s="1402"/>
      <c r="HIY12" s="1402"/>
      <c r="HIZ12" s="1402"/>
      <c r="HJA12" s="1402"/>
      <c r="HJB12" s="1402"/>
      <c r="HJC12" s="1402"/>
      <c r="HJD12" s="1402"/>
      <c r="HJE12" s="1402"/>
      <c r="HJF12" s="1402"/>
      <c r="HJG12" s="1402"/>
      <c r="HJH12" s="1402"/>
      <c r="HJI12" s="1402"/>
      <c r="HJJ12" s="1402"/>
      <c r="HJK12" s="1402"/>
      <c r="HJL12" s="1402"/>
      <c r="HJM12" s="1402"/>
      <c r="HJN12" s="1402"/>
      <c r="HJO12" s="1402"/>
      <c r="HJP12" s="1402"/>
      <c r="HJQ12" s="1402"/>
      <c r="HJR12" s="1402"/>
      <c r="HJS12" s="1402"/>
      <c r="HJT12" s="1402"/>
      <c r="HJU12" s="1402"/>
      <c r="HJV12" s="1402"/>
      <c r="HJW12" s="1402"/>
      <c r="HJX12" s="1402"/>
      <c r="HJY12" s="1402"/>
      <c r="HJZ12" s="1402"/>
      <c r="HKA12" s="1402"/>
      <c r="HKB12" s="1402"/>
      <c r="HKC12" s="1402"/>
      <c r="HKD12" s="1402"/>
      <c r="HKE12" s="1402"/>
      <c r="HKF12" s="1402"/>
      <c r="HKG12" s="1402"/>
      <c r="HKH12" s="1402"/>
      <c r="HKI12" s="1402"/>
      <c r="HKJ12" s="1402"/>
      <c r="HKK12" s="1402"/>
      <c r="HKL12" s="1402"/>
      <c r="HKM12" s="1402"/>
      <c r="HKN12" s="1402"/>
      <c r="HKO12" s="1402"/>
      <c r="HKP12" s="1402"/>
      <c r="HKQ12" s="1402"/>
      <c r="HKR12" s="1402"/>
      <c r="HKS12" s="1402"/>
      <c r="HKT12" s="1402"/>
      <c r="HKU12" s="1402"/>
      <c r="HKV12" s="1402"/>
      <c r="HKW12" s="1402"/>
      <c r="HKX12" s="1402"/>
      <c r="HKY12" s="1402"/>
      <c r="HKZ12" s="1402"/>
      <c r="HLA12" s="1402"/>
      <c r="HLB12" s="1402"/>
      <c r="HLC12" s="1402"/>
      <c r="HLD12" s="1402"/>
      <c r="HLE12" s="1402"/>
      <c r="HLF12" s="1402"/>
      <c r="HLG12" s="1402"/>
      <c r="HLH12" s="1402"/>
      <c r="HLI12" s="1402"/>
      <c r="HLJ12" s="1402"/>
      <c r="HLK12" s="1402"/>
      <c r="HLL12" s="1402"/>
      <c r="HLM12" s="1402"/>
      <c r="HLN12" s="1402"/>
      <c r="HLO12" s="1402"/>
      <c r="HLP12" s="1402"/>
      <c r="HLQ12" s="1402"/>
      <c r="HLR12" s="1402"/>
      <c r="HLS12" s="1402"/>
      <c r="HLT12" s="1402"/>
      <c r="HLU12" s="1402"/>
      <c r="HLV12" s="1402"/>
      <c r="HLW12" s="1402"/>
      <c r="HLX12" s="1402"/>
      <c r="HLY12" s="1402"/>
      <c r="HLZ12" s="1402"/>
      <c r="HMA12" s="1402"/>
      <c r="HMB12" s="1402"/>
      <c r="HMC12" s="1402"/>
      <c r="HMD12" s="1402"/>
      <c r="HME12" s="1402"/>
      <c r="HMF12" s="1402"/>
      <c r="HMG12" s="1402"/>
      <c r="HMH12" s="1402"/>
      <c r="HMI12" s="1402"/>
      <c r="HMJ12" s="1402"/>
      <c r="HMK12" s="1402"/>
      <c r="HML12" s="1402"/>
      <c r="HMM12" s="1402"/>
      <c r="HMN12" s="1402"/>
      <c r="HMO12" s="1402"/>
      <c r="HMP12" s="1402"/>
      <c r="HMQ12" s="1402"/>
      <c r="HMR12" s="1402"/>
      <c r="HMS12" s="1402"/>
      <c r="HMT12" s="1402"/>
      <c r="HMU12" s="1402"/>
      <c r="HMV12" s="1402"/>
      <c r="HMW12" s="1402"/>
      <c r="HMX12" s="1402"/>
      <c r="HMY12" s="1402"/>
      <c r="HMZ12" s="1402"/>
      <c r="HNA12" s="1402"/>
      <c r="HNB12" s="1402"/>
      <c r="HNC12" s="1402"/>
      <c r="HND12" s="1402"/>
      <c r="HNE12" s="1402"/>
      <c r="HNF12" s="1402"/>
      <c r="HNG12" s="1402"/>
      <c r="HNH12" s="1402"/>
      <c r="HNI12" s="1402"/>
      <c r="HNJ12" s="1402"/>
      <c r="HNK12" s="1402"/>
      <c r="HNL12" s="1402"/>
      <c r="HNM12" s="1402"/>
      <c r="HNN12" s="1402"/>
      <c r="HNO12" s="1402"/>
      <c r="HNP12" s="1402"/>
      <c r="HNQ12" s="1402"/>
      <c r="HNR12" s="1402"/>
      <c r="HNS12" s="1402"/>
      <c r="HNT12" s="1402"/>
      <c r="HNU12" s="1402"/>
      <c r="HNV12" s="1402"/>
      <c r="HNW12" s="1402"/>
      <c r="HNX12" s="1402"/>
      <c r="HNY12" s="1402"/>
      <c r="HNZ12" s="1402"/>
      <c r="HOA12" s="1402"/>
      <c r="HOB12" s="1402"/>
      <c r="HOC12" s="1402"/>
      <c r="HOD12" s="1402"/>
      <c r="HOE12" s="1402"/>
      <c r="HOF12" s="1402"/>
      <c r="HOG12" s="1402"/>
      <c r="HOH12" s="1402"/>
      <c r="HOI12" s="1402"/>
      <c r="HOJ12" s="1402"/>
      <c r="HOK12" s="1402"/>
      <c r="HOL12" s="1402"/>
      <c r="HOM12" s="1402"/>
      <c r="HON12" s="1402"/>
      <c r="HOO12" s="1402"/>
      <c r="HOP12" s="1402"/>
      <c r="HOQ12" s="1402"/>
      <c r="HOR12" s="1402"/>
      <c r="HOS12" s="1402"/>
      <c r="HOT12" s="1402"/>
      <c r="HOU12" s="1402"/>
      <c r="HOV12" s="1402"/>
      <c r="HOW12" s="1402"/>
      <c r="HOX12" s="1402"/>
      <c r="HOY12" s="1402"/>
      <c r="HOZ12" s="1402"/>
      <c r="HPA12" s="1402"/>
      <c r="HPB12" s="1402"/>
      <c r="HPC12" s="1402"/>
      <c r="HPD12" s="1402"/>
      <c r="HPE12" s="1402"/>
      <c r="HPF12" s="1402"/>
      <c r="HPG12" s="1402"/>
      <c r="HPH12" s="1402"/>
      <c r="HPI12" s="1402"/>
      <c r="HPJ12" s="1402"/>
      <c r="HPK12" s="1402"/>
      <c r="HPL12" s="1402"/>
      <c r="HPM12" s="1402"/>
      <c r="HPN12" s="1402"/>
      <c r="HPO12" s="1402"/>
      <c r="HPP12" s="1402"/>
      <c r="HPQ12" s="1402"/>
      <c r="HPR12" s="1402"/>
      <c r="HPS12" s="1402"/>
      <c r="HPT12" s="1402"/>
      <c r="HPU12" s="1402"/>
      <c r="HPV12" s="1402"/>
      <c r="HPW12" s="1402"/>
      <c r="HPX12" s="1402"/>
      <c r="HPY12" s="1402"/>
      <c r="HPZ12" s="1402"/>
      <c r="HQA12" s="1402"/>
      <c r="HQB12" s="1402"/>
      <c r="HQC12" s="1402"/>
      <c r="HQD12" s="1402"/>
      <c r="HQE12" s="1402"/>
      <c r="HQF12" s="1402"/>
      <c r="HQG12" s="1402"/>
      <c r="HQH12" s="1402"/>
      <c r="HQI12" s="1402"/>
      <c r="HQJ12" s="1402"/>
      <c r="HQK12" s="1402"/>
      <c r="HQL12" s="1402"/>
      <c r="HQM12" s="1402"/>
      <c r="HQN12" s="1402"/>
      <c r="HQO12" s="1402"/>
      <c r="HQP12" s="1402"/>
      <c r="HQQ12" s="1402"/>
      <c r="HQR12" s="1402"/>
      <c r="HQS12" s="1402"/>
      <c r="HQT12" s="1402"/>
      <c r="HQU12" s="1402"/>
      <c r="HQV12" s="1402"/>
      <c r="HQW12" s="1402"/>
      <c r="HQX12" s="1402"/>
      <c r="HQY12" s="1402"/>
      <c r="HQZ12" s="1402"/>
      <c r="HRA12" s="1402"/>
      <c r="HRB12" s="1402"/>
      <c r="HRC12" s="1402"/>
      <c r="HRD12" s="1402"/>
      <c r="HRE12" s="1402"/>
      <c r="HRF12" s="1402"/>
      <c r="HRG12" s="1402"/>
      <c r="HRH12" s="1402"/>
      <c r="HRI12" s="1402"/>
      <c r="HRJ12" s="1402"/>
      <c r="HRK12" s="1402"/>
      <c r="HRL12" s="1402"/>
      <c r="HRM12" s="1402"/>
      <c r="HRN12" s="1402"/>
      <c r="HRO12" s="1402"/>
      <c r="HRP12" s="1402"/>
      <c r="HRQ12" s="1402"/>
      <c r="HRR12" s="1402"/>
      <c r="HRS12" s="1402"/>
      <c r="HRT12" s="1402"/>
      <c r="HRU12" s="1402"/>
      <c r="HRV12" s="1402"/>
      <c r="HRW12" s="1402"/>
      <c r="HRX12" s="1402"/>
      <c r="HRY12" s="1402"/>
      <c r="HRZ12" s="1402"/>
      <c r="HSA12" s="1402"/>
      <c r="HSB12" s="1402"/>
      <c r="HSC12" s="1402"/>
      <c r="HSD12" s="1402"/>
      <c r="HSE12" s="1402"/>
      <c r="HSF12" s="1402"/>
      <c r="HSG12" s="1402"/>
      <c r="HSH12" s="1402"/>
      <c r="HSI12" s="1402"/>
      <c r="HSJ12" s="1402"/>
      <c r="HSK12" s="1402"/>
      <c r="HSL12" s="1402"/>
      <c r="HSM12" s="1402"/>
      <c r="HSN12" s="1402"/>
      <c r="HSO12" s="1402"/>
      <c r="HSP12" s="1402"/>
      <c r="HSQ12" s="1402"/>
      <c r="HSR12" s="1402"/>
      <c r="HSS12" s="1402"/>
      <c r="HST12" s="1402"/>
      <c r="HSU12" s="1402"/>
      <c r="HSV12" s="1402"/>
      <c r="HSW12" s="1402"/>
      <c r="HSX12" s="1402"/>
      <c r="HSY12" s="1402"/>
      <c r="HSZ12" s="1402"/>
      <c r="HTA12" s="1402"/>
      <c r="HTB12" s="1402"/>
      <c r="HTC12" s="1402"/>
      <c r="HTD12" s="1402"/>
      <c r="HTE12" s="1402"/>
      <c r="HTF12" s="1402"/>
      <c r="HTG12" s="1402"/>
      <c r="HTH12" s="1402"/>
      <c r="HTI12" s="1402"/>
      <c r="HTJ12" s="1402"/>
      <c r="HTK12" s="1402"/>
      <c r="HTL12" s="1402"/>
      <c r="HTM12" s="1402"/>
      <c r="HTN12" s="1402"/>
      <c r="HTO12" s="1402"/>
      <c r="HTP12" s="1402"/>
      <c r="HTQ12" s="1402"/>
      <c r="HTR12" s="1402"/>
      <c r="HTS12" s="1402"/>
      <c r="HTT12" s="1402"/>
      <c r="HTU12" s="1402"/>
      <c r="HTV12" s="1402"/>
      <c r="HTW12" s="1402"/>
      <c r="HTX12" s="1402"/>
      <c r="HTY12" s="1402"/>
      <c r="HTZ12" s="1402"/>
      <c r="HUA12" s="1402"/>
      <c r="HUB12" s="1402"/>
      <c r="HUC12" s="1402"/>
      <c r="HUD12" s="1402"/>
      <c r="HUE12" s="1402"/>
      <c r="HUF12" s="1402"/>
      <c r="HUG12" s="1402"/>
      <c r="HUH12" s="1402"/>
      <c r="HUI12" s="1402"/>
      <c r="HUJ12" s="1402"/>
      <c r="HUK12" s="1402"/>
      <c r="HUL12" s="1402"/>
      <c r="HUM12" s="1402"/>
      <c r="HUN12" s="1402"/>
      <c r="HUO12" s="1402"/>
      <c r="HUP12" s="1402"/>
      <c r="HUQ12" s="1402"/>
      <c r="HUR12" s="1402"/>
      <c r="HUS12" s="1402"/>
      <c r="HUT12" s="1402"/>
      <c r="HUU12" s="1402"/>
      <c r="HUV12" s="1402"/>
      <c r="HUW12" s="1402"/>
      <c r="HUX12" s="1402"/>
      <c r="HUY12" s="1402"/>
      <c r="HUZ12" s="1402"/>
      <c r="HVA12" s="1402"/>
      <c r="HVB12" s="1402"/>
      <c r="HVC12" s="1402"/>
      <c r="HVD12" s="1402"/>
      <c r="HVE12" s="1402"/>
      <c r="HVF12" s="1402"/>
      <c r="HVG12" s="1402"/>
      <c r="HVH12" s="1402"/>
      <c r="HVI12" s="1402"/>
      <c r="HVJ12" s="1402"/>
      <c r="HVK12" s="1402"/>
      <c r="HVL12" s="1402"/>
      <c r="HVM12" s="1402"/>
      <c r="HVN12" s="1402"/>
      <c r="HVO12" s="1402"/>
      <c r="HVP12" s="1402"/>
      <c r="HVQ12" s="1402"/>
      <c r="HVR12" s="1402"/>
      <c r="HVS12" s="1402"/>
      <c r="HVT12" s="1402"/>
      <c r="HVU12" s="1402"/>
      <c r="HVV12" s="1402"/>
      <c r="HVW12" s="1402"/>
      <c r="HVX12" s="1402"/>
      <c r="HVY12" s="1402"/>
      <c r="HVZ12" s="1402"/>
      <c r="HWA12" s="1402"/>
      <c r="HWB12" s="1402"/>
      <c r="HWC12" s="1402"/>
      <c r="HWD12" s="1402"/>
      <c r="HWE12" s="1402"/>
      <c r="HWF12" s="1402"/>
      <c r="HWG12" s="1402"/>
      <c r="HWH12" s="1402"/>
      <c r="HWI12" s="1402"/>
      <c r="HWJ12" s="1402"/>
      <c r="HWK12" s="1402"/>
      <c r="HWL12" s="1402"/>
      <c r="HWM12" s="1402"/>
      <c r="HWN12" s="1402"/>
      <c r="HWO12" s="1402"/>
      <c r="HWP12" s="1402"/>
      <c r="HWQ12" s="1402"/>
      <c r="HWR12" s="1402"/>
      <c r="HWS12" s="1402"/>
      <c r="HWT12" s="1402"/>
      <c r="HWU12" s="1402"/>
      <c r="HWV12" s="1402"/>
      <c r="HWW12" s="1402"/>
      <c r="HWX12" s="1402"/>
      <c r="HWY12" s="1402"/>
      <c r="HWZ12" s="1402"/>
      <c r="HXA12" s="1402"/>
      <c r="HXB12" s="1402"/>
      <c r="HXC12" s="1402"/>
      <c r="HXD12" s="1402"/>
      <c r="HXE12" s="1402"/>
      <c r="HXF12" s="1402"/>
      <c r="HXG12" s="1402"/>
      <c r="HXH12" s="1402"/>
      <c r="HXI12" s="1402"/>
      <c r="HXJ12" s="1402"/>
      <c r="HXK12" s="1402"/>
      <c r="HXL12" s="1402"/>
      <c r="HXM12" s="1402"/>
      <c r="HXN12" s="1402"/>
      <c r="HXO12" s="1402"/>
      <c r="HXP12" s="1402"/>
      <c r="HXQ12" s="1402"/>
      <c r="HXR12" s="1402"/>
      <c r="HXS12" s="1402"/>
      <c r="HXT12" s="1402"/>
      <c r="HXU12" s="1402"/>
      <c r="HXV12" s="1402"/>
      <c r="HXW12" s="1402"/>
      <c r="HXX12" s="1402"/>
      <c r="HXY12" s="1402"/>
      <c r="HXZ12" s="1402"/>
      <c r="HYA12" s="1402"/>
      <c r="HYB12" s="1402"/>
      <c r="HYC12" s="1402"/>
      <c r="HYD12" s="1402"/>
      <c r="HYE12" s="1402"/>
      <c r="HYF12" s="1402"/>
      <c r="HYG12" s="1402"/>
      <c r="HYH12" s="1402"/>
      <c r="HYI12" s="1402"/>
      <c r="HYJ12" s="1402"/>
      <c r="HYK12" s="1402"/>
      <c r="HYL12" s="1402"/>
      <c r="HYM12" s="1402"/>
      <c r="HYN12" s="1402"/>
      <c r="HYO12" s="1402"/>
      <c r="HYP12" s="1402"/>
      <c r="HYQ12" s="1402"/>
      <c r="HYR12" s="1402"/>
      <c r="HYS12" s="1402"/>
      <c r="HYT12" s="1402"/>
      <c r="HYU12" s="1402"/>
      <c r="HYV12" s="1402"/>
      <c r="HYW12" s="1402"/>
      <c r="HYX12" s="1402"/>
      <c r="HYY12" s="1402"/>
      <c r="HYZ12" s="1402"/>
      <c r="HZA12" s="1402"/>
      <c r="HZB12" s="1402"/>
      <c r="HZC12" s="1402"/>
      <c r="HZD12" s="1402"/>
      <c r="HZE12" s="1402"/>
      <c r="HZF12" s="1402"/>
      <c r="HZG12" s="1402"/>
      <c r="HZH12" s="1402"/>
      <c r="HZI12" s="1402"/>
      <c r="HZJ12" s="1402"/>
      <c r="HZK12" s="1402"/>
      <c r="HZL12" s="1402"/>
      <c r="HZM12" s="1402"/>
      <c r="HZN12" s="1402"/>
      <c r="HZO12" s="1402"/>
      <c r="HZP12" s="1402"/>
      <c r="HZQ12" s="1402"/>
      <c r="HZR12" s="1402"/>
      <c r="HZS12" s="1402"/>
      <c r="HZT12" s="1402"/>
      <c r="HZU12" s="1402"/>
      <c r="HZV12" s="1402"/>
      <c r="HZW12" s="1402"/>
      <c r="HZX12" s="1402"/>
      <c r="HZY12" s="1402"/>
      <c r="HZZ12" s="1402"/>
      <c r="IAA12" s="1402"/>
      <c r="IAB12" s="1402"/>
      <c r="IAC12" s="1402"/>
      <c r="IAD12" s="1402"/>
      <c r="IAE12" s="1402"/>
      <c r="IAF12" s="1402"/>
      <c r="IAG12" s="1402"/>
      <c r="IAH12" s="1402"/>
      <c r="IAI12" s="1402"/>
      <c r="IAJ12" s="1402"/>
      <c r="IAK12" s="1402"/>
      <c r="IAL12" s="1402"/>
      <c r="IAM12" s="1402"/>
      <c r="IAN12" s="1402"/>
      <c r="IAO12" s="1402"/>
      <c r="IAP12" s="1402"/>
      <c r="IAQ12" s="1402"/>
      <c r="IAR12" s="1402"/>
      <c r="IAS12" s="1402"/>
      <c r="IAT12" s="1402"/>
      <c r="IAU12" s="1402"/>
      <c r="IAV12" s="1402"/>
      <c r="IAW12" s="1402"/>
      <c r="IAX12" s="1402"/>
      <c r="IAY12" s="1402"/>
      <c r="IAZ12" s="1402"/>
      <c r="IBA12" s="1402"/>
      <c r="IBB12" s="1402"/>
      <c r="IBC12" s="1402"/>
      <c r="IBD12" s="1402"/>
      <c r="IBE12" s="1402"/>
      <c r="IBF12" s="1402"/>
      <c r="IBG12" s="1402"/>
      <c r="IBH12" s="1402"/>
      <c r="IBI12" s="1402"/>
      <c r="IBJ12" s="1402"/>
      <c r="IBK12" s="1402"/>
      <c r="IBL12" s="1402"/>
      <c r="IBM12" s="1402"/>
      <c r="IBN12" s="1402"/>
      <c r="IBO12" s="1402"/>
      <c r="IBP12" s="1402"/>
      <c r="IBQ12" s="1402"/>
      <c r="IBR12" s="1402"/>
      <c r="IBS12" s="1402"/>
      <c r="IBT12" s="1402"/>
      <c r="IBU12" s="1402"/>
      <c r="IBV12" s="1402"/>
      <c r="IBW12" s="1402"/>
      <c r="IBX12" s="1402"/>
      <c r="IBY12" s="1402"/>
      <c r="IBZ12" s="1402"/>
      <c r="ICA12" s="1402"/>
      <c r="ICB12" s="1402"/>
      <c r="ICC12" s="1402"/>
      <c r="ICD12" s="1402"/>
      <c r="ICE12" s="1402"/>
      <c r="ICF12" s="1402"/>
      <c r="ICG12" s="1402"/>
      <c r="ICH12" s="1402"/>
      <c r="ICI12" s="1402"/>
      <c r="ICJ12" s="1402"/>
      <c r="ICK12" s="1402"/>
      <c r="ICL12" s="1402"/>
      <c r="ICM12" s="1402"/>
      <c r="ICN12" s="1402"/>
      <c r="ICO12" s="1402"/>
      <c r="ICP12" s="1402"/>
      <c r="ICQ12" s="1402"/>
      <c r="ICR12" s="1402"/>
      <c r="ICS12" s="1402"/>
      <c r="ICT12" s="1402"/>
      <c r="ICU12" s="1402"/>
      <c r="ICV12" s="1402"/>
      <c r="ICW12" s="1402"/>
      <c r="ICX12" s="1402"/>
      <c r="ICY12" s="1402"/>
      <c r="ICZ12" s="1402"/>
      <c r="IDA12" s="1402"/>
      <c r="IDB12" s="1402"/>
      <c r="IDC12" s="1402"/>
      <c r="IDD12" s="1402"/>
      <c r="IDE12" s="1402"/>
      <c r="IDF12" s="1402"/>
      <c r="IDG12" s="1402"/>
      <c r="IDH12" s="1402"/>
      <c r="IDI12" s="1402"/>
      <c r="IDJ12" s="1402"/>
      <c r="IDK12" s="1402"/>
      <c r="IDL12" s="1402"/>
      <c r="IDM12" s="1402"/>
      <c r="IDN12" s="1402"/>
      <c r="IDO12" s="1402"/>
      <c r="IDP12" s="1402"/>
      <c r="IDQ12" s="1402"/>
      <c r="IDR12" s="1402"/>
      <c r="IDS12" s="1402"/>
      <c r="IDT12" s="1402"/>
      <c r="IDU12" s="1402"/>
      <c r="IDV12" s="1402"/>
      <c r="IDW12" s="1402"/>
      <c r="IDX12" s="1402"/>
      <c r="IDY12" s="1402"/>
      <c r="IDZ12" s="1402"/>
      <c r="IEA12" s="1402"/>
      <c r="IEB12" s="1402"/>
      <c r="IEC12" s="1402"/>
      <c r="IED12" s="1402"/>
      <c r="IEE12" s="1402"/>
      <c r="IEF12" s="1402"/>
      <c r="IEG12" s="1402"/>
      <c r="IEH12" s="1402"/>
      <c r="IEI12" s="1402"/>
      <c r="IEJ12" s="1402"/>
      <c r="IEK12" s="1402"/>
      <c r="IEL12" s="1402"/>
      <c r="IEM12" s="1402"/>
      <c r="IEN12" s="1402"/>
      <c r="IEO12" s="1402"/>
      <c r="IEP12" s="1402"/>
      <c r="IEQ12" s="1402"/>
      <c r="IER12" s="1402"/>
      <c r="IES12" s="1402"/>
      <c r="IET12" s="1402"/>
      <c r="IEU12" s="1402"/>
      <c r="IEV12" s="1402"/>
      <c r="IEW12" s="1402"/>
      <c r="IEX12" s="1402"/>
      <c r="IEY12" s="1402"/>
      <c r="IEZ12" s="1402"/>
      <c r="IFA12" s="1402"/>
      <c r="IFB12" s="1402"/>
      <c r="IFC12" s="1402"/>
      <c r="IFD12" s="1402"/>
      <c r="IFE12" s="1402"/>
      <c r="IFF12" s="1402"/>
      <c r="IFG12" s="1402"/>
      <c r="IFH12" s="1402"/>
      <c r="IFI12" s="1402"/>
      <c r="IFJ12" s="1402"/>
      <c r="IFK12" s="1402"/>
      <c r="IFL12" s="1402"/>
      <c r="IFM12" s="1402"/>
      <c r="IFN12" s="1402"/>
      <c r="IFO12" s="1402"/>
      <c r="IFP12" s="1402"/>
      <c r="IFQ12" s="1402"/>
      <c r="IFR12" s="1402"/>
      <c r="IFS12" s="1402"/>
      <c r="IFT12" s="1402"/>
      <c r="IFU12" s="1402"/>
      <c r="IFV12" s="1402"/>
      <c r="IFW12" s="1402"/>
      <c r="IFX12" s="1402"/>
      <c r="IFY12" s="1402"/>
      <c r="IFZ12" s="1402"/>
      <c r="IGA12" s="1402"/>
      <c r="IGB12" s="1402"/>
      <c r="IGC12" s="1402"/>
      <c r="IGD12" s="1402"/>
      <c r="IGE12" s="1402"/>
      <c r="IGF12" s="1402"/>
      <c r="IGG12" s="1402"/>
      <c r="IGH12" s="1402"/>
      <c r="IGI12" s="1402"/>
      <c r="IGJ12" s="1402"/>
      <c r="IGK12" s="1402"/>
      <c r="IGL12" s="1402"/>
      <c r="IGM12" s="1402"/>
      <c r="IGN12" s="1402"/>
      <c r="IGO12" s="1402"/>
      <c r="IGP12" s="1402"/>
      <c r="IGQ12" s="1402"/>
      <c r="IGR12" s="1402"/>
      <c r="IGS12" s="1402"/>
      <c r="IGT12" s="1402"/>
      <c r="IGU12" s="1402"/>
      <c r="IGV12" s="1402"/>
      <c r="IGW12" s="1402"/>
      <c r="IGX12" s="1402"/>
      <c r="IGY12" s="1402"/>
      <c r="IGZ12" s="1402"/>
      <c r="IHA12" s="1402"/>
      <c r="IHB12" s="1402"/>
      <c r="IHC12" s="1402"/>
      <c r="IHD12" s="1402"/>
      <c r="IHE12" s="1402"/>
      <c r="IHF12" s="1402"/>
      <c r="IHG12" s="1402"/>
      <c r="IHH12" s="1402"/>
      <c r="IHI12" s="1402"/>
      <c r="IHJ12" s="1402"/>
      <c r="IHK12" s="1402"/>
      <c r="IHL12" s="1402"/>
      <c r="IHM12" s="1402"/>
      <c r="IHN12" s="1402"/>
      <c r="IHO12" s="1402"/>
      <c r="IHP12" s="1402"/>
      <c r="IHQ12" s="1402"/>
      <c r="IHR12" s="1402"/>
      <c r="IHS12" s="1402"/>
      <c r="IHT12" s="1402"/>
      <c r="IHU12" s="1402"/>
      <c r="IHV12" s="1402"/>
      <c r="IHW12" s="1402"/>
      <c r="IHX12" s="1402"/>
      <c r="IHY12" s="1402"/>
      <c r="IHZ12" s="1402"/>
      <c r="IIA12" s="1402"/>
      <c r="IIB12" s="1402"/>
      <c r="IIC12" s="1402"/>
      <c r="IID12" s="1402"/>
      <c r="IIE12" s="1402"/>
      <c r="IIF12" s="1402"/>
      <c r="IIG12" s="1402"/>
      <c r="IIH12" s="1402"/>
      <c r="III12" s="1402"/>
      <c r="IIJ12" s="1402"/>
      <c r="IIK12" s="1402"/>
      <c r="IIL12" s="1402"/>
      <c r="IIM12" s="1402"/>
      <c r="IIN12" s="1402"/>
      <c r="IIO12" s="1402"/>
      <c r="IIP12" s="1402"/>
      <c r="IIQ12" s="1402"/>
      <c r="IIR12" s="1402"/>
      <c r="IIS12" s="1402"/>
      <c r="IIT12" s="1402"/>
      <c r="IIU12" s="1402"/>
      <c r="IIV12" s="1402"/>
      <c r="IIW12" s="1402"/>
      <c r="IIX12" s="1402"/>
      <c r="IIY12" s="1402"/>
      <c r="IIZ12" s="1402"/>
      <c r="IJA12" s="1402"/>
      <c r="IJB12" s="1402"/>
      <c r="IJC12" s="1402"/>
      <c r="IJD12" s="1402"/>
      <c r="IJE12" s="1402"/>
      <c r="IJF12" s="1402"/>
      <c r="IJG12" s="1402"/>
      <c r="IJH12" s="1402"/>
      <c r="IJI12" s="1402"/>
      <c r="IJJ12" s="1402"/>
      <c r="IJK12" s="1402"/>
      <c r="IJL12" s="1402"/>
      <c r="IJM12" s="1402"/>
      <c r="IJN12" s="1402"/>
      <c r="IJO12" s="1402"/>
      <c r="IJP12" s="1402"/>
      <c r="IJQ12" s="1402"/>
      <c r="IJR12" s="1402"/>
      <c r="IJS12" s="1402"/>
      <c r="IJT12" s="1402"/>
      <c r="IJU12" s="1402"/>
      <c r="IJV12" s="1402"/>
      <c r="IJW12" s="1402"/>
      <c r="IJX12" s="1402"/>
      <c r="IJY12" s="1402"/>
      <c r="IJZ12" s="1402"/>
      <c r="IKA12" s="1402"/>
      <c r="IKB12" s="1402"/>
      <c r="IKC12" s="1402"/>
      <c r="IKD12" s="1402"/>
      <c r="IKE12" s="1402"/>
      <c r="IKF12" s="1402"/>
      <c r="IKG12" s="1402"/>
      <c r="IKH12" s="1402"/>
      <c r="IKI12" s="1402"/>
      <c r="IKJ12" s="1402"/>
      <c r="IKK12" s="1402"/>
      <c r="IKL12" s="1402"/>
      <c r="IKM12" s="1402"/>
      <c r="IKN12" s="1402"/>
      <c r="IKO12" s="1402"/>
      <c r="IKP12" s="1402"/>
      <c r="IKQ12" s="1402"/>
      <c r="IKR12" s="1402"/>
      <c r="IKS12" s="1402"/>
      <c r="IKT12" s="1402"/>
      <c r="IKU12" s="1402"/>
      <c r="IKV12" s="1402"/>
      <c r="IKW12" s="1402"/>
      <c r="IKX12" s="1402"/>
      <c r="IKY12" s="1402"/>
      <c r="IKZ12" s="1402"/>
      <c r="ILA12" s="1402"/>
      <c r="ILB12" s="1402"/>
      <c r="ILC12" s="1402"/>
      <c r="ILD12" s="1402"/>
      <c r="ILE12" s="1402"/>
      <c r="ILF12" s="1402"/>
      <c r="ILG12" s="1402"/>
      <c r="ILH12" s="1402"/>
      <c r="ILI12" s="1402"/>
      <c r="ILJ12" s="1402"/>
      <c r="ILK12" s="1402"/>
      <c r="ILL12" s="1402"/>
      <c r="ILM12" s="1402"/>
      <c r="ILN12" s="1402"/>
      <c r="ILO12" s="1402"/>
      <c r="ILP12" s="1402"/>
      <c r="ILQ12" s="1402"/>
      <c r="ILR12" s="1402"/>
      <c r="ILS12" s="1402"/>
      <c r="ILT12" s="1402"/>
      <c r="ILU12" s="1402"/>
      <c r="ILV12" s="1402"/>
      <c r="ILW12" s="1402"/>
      <c r="ILX12" s="1402"/>
      <c r="ILY12" s="1402"/>
      <c r="ILZ12" s="1402"/>
      <c r="IMA12" s="1402"/>
      <c r="IMB12" s="1402"/>
      <c r="IMC12" s="1402"/>
      <c r="IMD12" s="1402"/>
      <c r="IME12" s="1402"/>
      <c r="IMF12" s="1402"/>
      <c r="IMG12" s="1402"/>
      <c r="IMH12" s="1402"/>
      <c r="IMI12" s="1402"/>
      <c r="IMJ12" s="1402"/>
      <c r="IMK12" s="1402"/>
      <c r="IML12" s="1402"/>
      <c r="IMM12" s="1402"/>
      <c r="IMN12" s="1402"/>
      <c r="IMO12" s="1402"/>
      <c r="IMP12" s="1402"/>
      <c r="IMQ12" s="1402"/>
      <c r="IMR12" s="1402"/>
      <c r="IMS12" s="1402"/>
      <c r="IMT12" s="1402"/>
      <c r="IMU12" s="1402"/>
      <c r="IMV12" s="1402"/>
      <c r="IMW12" s="1402"/>
      <c r="IMX12" s="1402"/>
      <c r="IMY12" s="1402"/>
      <c r="IMZ12" s="1402"/>
      <c r="INA12" s="1402"/>
      <c r="INB12" s="1402"/>
      <c r="INC12" s="1402"/>
      <c r="IND12" s="1402"/>
      <c r="INE12" s="1402"/>
      <c r="INF12" s="1402"/>
      <c r="ING12" s="1402"/>
      <c r="INH12" s="1402"/>
      <c r="INI12" s="1402"/>
      <c r="INJ12" s="1402"/>
      <c r="INK12" s="1402"/>
      <c r="INL12" s="1402"/>
      <c r="INM12" s="1402"/>
      <c r="INN12" s="1402"/>
      <c r="INO12" s="1402"/>
      <c r="INP12" s="1402"/>
      <c r="INQ12" s="1402"/>
      <c r="INR12" s="1402"/>
      <c r="INS12" s="1402"/>
      <c r="INT12" s="1402"/>
      <c r="INU12" s="1402"/>
      <c r="INV12" s="1402"/>
      <c r="INW12" s="1402"/>
      <c r="INX12" s="1402"/>
      <c r="INY12" s="1402"/>
      <c r="INZ12" s="1402"/>
      <c r="IOA12" s="1402"/>
      <c r="IOB12" s="1402"/>
      <c r="IOC12" s="1402"/>
      <c r="IOD12" s="1402"/>
      <c r="IOE12" s="1402"/>
      <c r="IOF12" s="1402"/>
      <c r="IOG12" s="1402"/>
      <c r="IOH12" s="1402"/>
      <c r="IOI12" s="1402"/>
      <c r="IOJ12" s="1402"/>
      <c r="IOK12" s="1402"/>
      <c r="IOL12" s="1402"/>
      <c r="IOM12" s="1402"/>
      <c r="ION12" s="1402"/>
      <c r="IOO12" s="1402"/>
      <c r="IOP12" s="1402"/>
      <c r="IOQ12" s="1402"/>
      <c r="IOR12" s="1402"/>
      <c r="IOS12" s="1402"/>
      <c r="IOT12" s="1402"/>
      <c r="IOU12" s="1402"/>
      <c r="IOV12" s="1402"/>
      <c r="IOW12" s="1402"/>
      <c r="IOX12" s="1402"/>
      <c r="IOY12" s="1402"/>
      <c r="IOZ12" s="1402"/>
      <c r="IPA12" s="1402"/>
      <c r="IPB12" s="1402"/>
      <c r="IPC12" s="1402"/>
      <c r="IPD12" s="1402"/>
      <c r="IPE12" s="1402"/>
      <c r="IPF12" s="1402"/>
      <c r="IPG12" s="1402"/>
      <c r="IPH12" s="1402"/>
      <c r="IPI12" s="1402"/>
      <c r="IPJ12" s="1402"/>
      <c r="IPK12" s="1402"/>
      <c r="IPL12" s="1402"/>
      <c r="IPM12" s="1402"/>
      <c r="IPN12" s="1402"/>
      <c r="IPO12" s="1402"/>
      <c r="IPP12" s="1402"/>
      <c r="IPQ12" s="1402"/>
      <c r="IPR12" s="1402"/>
      <c r="IPS12" s="1402"/>
      <c r="IPT12" s="1402"/>
      <c r="IPU12" s="1402"/>
      <c r="IPV12" s="1402"/>
      <c r="IPW12" s="1402"/>
      <c r="IPX12" s="1402"/>
      <c r="IPY12" s="1402"/>
      <c r="IPZ12" s="1402"/>
      <c r="IQA12" s="1402"/>
      <c r="IQB12" s="1402"/>
      <c r="IQC12" s="1402"/>
      <c r="IQD12" s="1402"/>
      <c r="IQE12" s="1402"/>
      <c r="IQF12" s="1402"/>
      <c r="IQG12" s="1402"/>
      <c r="IQH12" s="1402"/>
      <c r="IQI12" s="1402"/>
      <c r="IQJ12" s="1402"/>
      <c r="IQK12" s="1402"/>
      <c r="IQL12" s="1402"/>
      <c r="IQM12" s="1402"/>
      <c r="IQN12" s="1402"/>
      <c r="IQO12" s="1402"/>
      <c r="IQP12" s="1402"/>
      <c r="IQQ12" s="1402"/>
      <c r="IQR12" s="1402"/>
      <c r="IQS12" s="1402"/>
      <c r="IQT12" s="1402"/>
      <c r="IQU12" s="1402"/>
      <c r="IQV12" s="1402"/>
      <c r="IQW12" s="1402"/>
      <c r="IQX12" s="1402"/>
      <c r="IQY12" s="1402"/>
      <c r="IQZ12" s="1402"/>
      <c r="IRA12" s="1402"/>
      <c r="IRB12" s="1402"/>
      <c r="IRC12" s="1402"/>
      <c r="IRD12" s="1402"/>
      <c r="IRE12" s="1402"/>
      <c r="IRF12" s="1402"/>
      <c r="IRG12" s="1402"/>
      <c r="IRH12" s="1402"/>
      <c r="IRI12" s="1402"/>
      <c r="IRJ12" s="1402"/>
      <c r="IRK12" s="1402"/>
      <c r="IRL12" s="1402"/>
      <c r="IRM12" s="1402"/>
      <c r="IRN12" s="1402"/>
      <c r="IRO12" s="1402"/>
      <c r="IRP12" s="1402"/>
      <c r="IRQ12" s="1402"/>
      <c r="IRR12" s="1402"/>
      <c r="IRS12" s="1402"/>
      <c r="IRT12" s="1402"/>
      <c r="IRU12" s="1402"/>
      <c r="IRV12" s="1402"/>
      <c r="IRW12" s="1402"/>
      <c r="IRX12" s="1402"/>
      <c r="IRY12" s="1402"/>
      <c r="IRZ12" s="1402"/>
      <c r="ISA12" s="1402"/>
      <c r="ISB12" s="1402"/>
      <c r="ISC12" s="1402"/>
      <c r="ISD12" s="1402"/>
      <c r="ISE12" s="1402"/>
      <c r="ISF12" s="1402"/>
      <c r="ISG12" s="1402"/>
      <c r="ISH12" s="1402"/>
      <c r="ISI12" s="1402"/>
      <c r="ISJ12" s="1402"/>
      <c r="ISK12" s="1402"/>
      <c r="ISL12" s="1402"/>
      <c r="ISM12" s="1402"/>
      <c r="ISN12" s="1402"/>
      <c r="ISO12" s="1402"/>
      <c r="ISP12" s="1402"/>
      <c r="ISQ12" s="1402"/>
      <c r="ISR12" s="1402"/>
      <c r="ISS12" s="1402"/>
      <c r="IST12" s="1402"/>
      <c r="ISU12" s="1402"/>
      <c r="ISV12" s="1402"/>
      <c r="ISW12" s="1402"/>
      <c r="ISX12" s="1402"/>
      <c r="ISY12" s="1402"/>
      <c r="ISZ12" s="1402"/>
      <c r="ITA12" s="1402"/>
      <c r="ITB12" s="1402"/>
      <c r="ITC12" s="1402"/>
      <c r="ITD12" s="1402"/>
      <c r="ITE12" s="1402"/>
      <c r="ITF12" s="1402"/>
      <c r="ITG12" s="1402"/>
      <c r="ITH12" s="1402"/>
      <c r="ITI12" s="1402"/>
      <c r="ITJ12" s="1402"/>
      <c r="ITK12" s="1402"/>
      <c r="ITL12" s="1402"/>
      <c r="ITM12" s="1402"/>
      <c r="ITN12" s="1402"/>
      <c r="ITO12" s="1402"/>
      <c r="ITP12" s="1402"/>
      <c r="ITQ12" s="1402"/>
      <c r="ITR12" s="1402"/>
      <c r="ITS12" s="1402"/>
      <c r="ITT12" s="1402"/>
      <c r="ITU12" s="1402"/>
      <c r="ITV12" s="1402"/>
      <c r="ITW12" s="1402"/>
      <c r="ITX12" s="1402"/>
      <c r="ITY12" s="1402"/>
      <c r="ITZ12" s="1402"/>
      <c r="IUA12" s="1402"/>
      <c r="IUB12" s="1402"/>
      <c r="IUC12" s="1402"/>
      <c r="IUD12" s="1402"/>
      <c r="IUE12" s="1402"/>
      <c r="IUF12" s="1402"/>
      <c r="IUG12" s="1402"/>
      <c r="IUH12" s="1402"/>
      <c r="IUI12" s="1402"/>
      <c r="IUJ12" s="1402"/>
      <c r="IUK12" s="1402"/>
      <c r="IUL12" s="1402"/>
      <c r="IUM12" s="1402"/>
      <c r="IUN12" s="1402"/>
      <c r="IUO12" s="1402"/>
      <c r="IUP12" s="1402"/>
      <c r="IUQ12" s="1402"/>
      <c r="IUR12" s="1402"/>
      <c r="IUS12" s="1402"/>
      <c r="IUT12" s="1402"/>
      <c r="IUU12" s="1402"/>
      <c r="IUV12" s="1402"/>
      <c r="IUW12" s="1402"/>
      <c r="IUX12" s="1402"/>
      <c r="IUY12" s="1402"/>
      <c r="IUZ12" s="1402"/>
      <c r="IVA12" s="1402"/>
      <c r="IVB12" s="1402"/>
      <c r="IVC12" s="1402"/>
      <c r="IVD12" s="1402"/>
      <c r="IVE12" s="1402"/>
      <c r="IVF12" s="1402"/>
      <c r="IVG12" s="1402"/>
      <c r="IVH12" s="1402"/>
      <c r="IVI12" s="1402"/>
      <c r="IVJ12" s="1402"/>
      <c r="IVK12" s="1402"/>
      <c r="IVL12" s="1402"/>
      <c r="IVM12" s="1402"/>
      <c r="IVN12" s="1402"/>
      <c r="IVO12" s="1402"/>
      <c r="IVP12" s="1402"/>
      <c r="IVQ12" s="1402"/>
      <c r="IVR12" s="1402"/>
      <c r="IVS12" s="1402"/>
      <c r="IVT12" s="1402"/>
      <c r="IVU12" s="1402"/>
      <c r="IVV12" s="1402"/>
      <c r="IVW12" s="1402"/>
      <c r="IVX12" s="1402"/>
      <c r="IVY12" s="1402"/>
      <c r="IVZ12" s="1402"/>
      <c r="IWA12" s="1402"/>
      <c r="IWB12" s="1402"/>
      <c r="IWC12" s="1402"/>
      <c r="IWD12" s="1402"/>
      <c r="IWE12" s="1402"/>
      <c r="IWF12" s="1402"/>
      <c r="IWG12" s="1402"/>
      <c r="IWH12" s="1402"/>
      <c r="IWI12" s="1402"/>
      <c r="IWJ12" s="1402"/>
      <c r="IWK12" s="1402"/>
      <c r="IWL12" s="1402"/>
      <c r="IWM12" s="1402"/>
      <c r="IWN12" s="1402"/>
      <c r="IWO12" s="1402"/>
      <c r="IWP12" s="1402"/>
      <c r="IWQ12" s="1402"/>
      <c r="IWR12" s="1402"/>
      <c r="IWS12" s="1402"/>
      <c r="IWT12" s="1402"/>
      <c r="IWU12" s="1402"/>
      <c r="IWV12" s="1402"/>
      <c r="IWW12" s="1402"/>
      <c r="IWX12" s="1402"/>
      <c r="IWY12" s="1402"/>
      <c r="IWZ12" s="1402"/>
      <c r="IXA12" s="1402"/>
      <c r="IXB12" s="1402"/>
      <c r="IXC12" s="1402"/>
      <c r="IXD12" s="1402"/>
      <c r="IXE12" s="1402"/>
      <c r="IXF12" s="1402"/>
      <c r="IXG12" s="1402"/>
      <c r="IXH12" s="1402"/>
      <c r="IXI12" s="1402"/>
      <c r="IXJ12" s="1402"/>
      <c r="IXK12" s="1402"/>
      <c r="IXL12" s="1402"/>
      <c r="IXM12" s="1402"/>
      <c r="IXN12" s="1402"/>
      <c r="IXO12" s="1402"/>
      <c r="IXP12" s="1402"/>
      <c r="IXQ12" s="1402"/>
      <c r="IXR12" s="1402"/>
      <c r="IXS12" s="1402"/>
      <c r="IXT12" s="1402"/>
      <c r="IXU12" s="1402"/>
      <c r="IXV12" s="1402"/>
      <c r="IXW12" s="1402"/>
      <c r="IXX12" s="1402"/>
      <c r="IXY12" s="1402"/>
      <c r="IXZ12" s="1402"/>
      <c r="IYA12" s="1402"/>
      <c r="IYB12" s="1402"/>
      <c r="IYC12" s="1402"/>
      <c r="IYD12" s="1402"/>
      <c r="IYE12" s="1402"/>
      <c r="IYF12" s="1402"/>
      <c r="IYG12" s="1402"/>
      <c r="IYH12" s="1402"/>
      <c r="IYI12" s="1402"/>
      <c r="IYJ12" s="1402"/>
      <c r="IYK12" s="1402"/>
      <c r="IYL12" s="1402"/>
      <c r="IYM12" s="1402"/>
      <c r="IYN12" s="1402"/>
      <c r="IYO12" s="1402"/>
      <c r="IYP12" s="1402"/>
      <c r="IYQ12" s="1402"/>
      <c r="IYR12" s="1402"/>
      <c r="IYS12" s="1402"/>
      <c r="IYT12" s="1402"/>
      <c r="IYU12" s="1402"/>
      <c r="IYV12" s="1402"/>
      <c r="IYW12" s="1402"/>
      <c r="IYX12" s="1402"/>
      <c r="IYY12" s="1402"/>
      <c r="IYZ12" s="1402"/>
      <c r="IZA12" s="1402"/>
      <c r="IZB12" s="1402"/>
      <c r="IZC12" s="1402"/>
      <c r="IZD12" s="1402"/>
      <c r="IZE12" s="1402"/>
      <c r="IZF12" s="1402"/>
      <c r="IZG12" s="1402"/>
      <c r="IZH12" s="1402"/>
      <c r="IZI12" s="1402"/>
      <c r="IZJ12" s="1402"/>
      <c r="IZK12" s="1402"/>
      <c r="IZL12" s="1402"/>
      <c r="IZM12" s="1402"/>
      <c r="IZN12" s="1402"/>
      <c r="IZO12" s="1402"/>
      <c r="IZP12" s="1402"/>
      <c r="IZQ12" s="1402"/>
      <c r="IZR12" s="1402"/>
      <c r="IZS12" s="1402"/>
      <c r="IZT12" s="1402"/>
      <c r="IZU12" s="1402"/>
      <c r="IZV12" s="1402"/>
      <c r="IZW12" s="1402"/>
      <c r="IZX12" s="1402"/>
      <c r="IZY12" s="1402"/>
      <c r="IZZ12" s="1402"/>
      <c r="JAA12" s="1402"/>
      <c r="JAB12" s="1402"/>
      <c r="JAC12" s="1402"/>
      <c r="JAD12" s="1402"/>
      <c r="JAE12" s="1402"/>
      <c r="JAF12" s="1402"/>
      <c r="JAG12" s="1402"/>
      <c r="JAH12" s="1402"/>
      <c r="JAI12" s="1402"/>
      <c r="JAJ12" s="1402"/>
      <c r="JAK12" s="1402"/>
      <c r="JAL12" s="1402"/>
      <c r="JAM12" s="1402"/>
      <c r="JAN12" s="1402"/>
      <c r="JAO12" s="1402"/>
      <c r="JAP12" s="1402"/>
      <c r="JAQ12" s="1402"/>
      <c r="JAR12" s="1402"/>
      <c r="JAS12" s="1402"/>
      <c r="JAT12" s="1402"/>
      <c r="JAU12" s="1402"/>
      <c r="JAV12" s="1402"/>
      <c r="JAW12" s="1402"/>
      <c r="JAX12" s="1402"/>
      <c r="JAY12" s="1402"/>
      <c r="JAZ12" s="1402"/>
      <c r="JBA12" s="1402"/>
      <c r="JBB12" s="1402"/>
      <c r="JBC12" s="1402"/>
      <c r="JBD12" s="1402"/>
      <c r="JBE12" s="1402"/>
      <c r="JBF12" s="1402"/>
      <c r="JBG12" s="1402"/>
      <c r="JBH12" s="1402"/>
      <c r="JBI12" s="1402"/>
      <c r="JBJ12" s="1402"/>
      <c r="JBK12" s="1402"/>
      <c r="JBL12" s="1402"/>
      <c r="JBM12" s="1402"/>
      <c r="JBN12" s="1402"/>
      <c r="JBO12" s="1402"/>
      <c r="JBP12" s="1402"/>
      <c r="JBQ12" s="1402"/>
      <c r="JBR12" s="1402"/>
      <c r="JBS12" s="1402"/>
      <c r="JBT12" s="1402"/>
      <c r="JBU12" s="1402"/>
      <c r="JBV12" s="1402"/>
      <c r="JBW12" s="1402"/>
      <c r="JBX12" s="1402"/>
      <c r="JBY12" s="1402"/>
      <c r="JBZ12" s="1402"/>
      <c r="JCA12" s="1402"/>
      <c r="JCB12" s="1402"/>
      <c r="JCC12" s="1402"/>
      <c r="JCD12" s="1402"/>
      <c r="JCE12" s="1402"/>
      <c r="JCF12" s="1402"/>
      <c r="JCG12" s="1402"/>
      <c r="JCH12" s="1402"/>
      <c r="JCI12" s="1402"/>
      <c r="JCJ12" s="1402"/>
      <c r="JCK12" s="1402"/>
      <c r="JCL12" s="1402"/>
      <c r="JCM12" s="1402"/>
      <c r="JCN12" s="1402"/>
      <c r="JCO12" s="1402"/>
      <c r="JCP12" s="1402"/>
      <c r="JCQ12" s="1402"/>
      <c r="JCR12" s="1402"/>
      <c r="JCS12" s="1402"/>
      <c r="JCT12" s="1402"/>
      <c r="JCU12" s="1402"/>
      <c r="JCV12" s="1402"/>
      <c r="JCW12" s="1402"/>
      <c r="JCX12" s="1402"/>
      <c r="JCY12" s="1402"/>
      <c r="JCZ12" s="1402"/>
      <c r="JDA12" s="1402"/>
      <c r="JDB12" s="1402"/>
      <c r="JDC12" s="1402"/>
      <c r="JDD12" s="1402"/>
      <c r="JDE12" s="1402"/>
      <c r="JDF12" s="1402"/>
      <c r="JDG12" s="1402"/>
      <c r="JDH12" s="1402"/>
      <c r="JDI12" s="1402"/>
      <c r="JDJ12" s="1402"/>
      <c r="JDK12" s="1402"/>
      <c r="JDL12" s="1402"/>
      <c r="JDM12" s="1402"/>
      <c r="JDN12" s="1402"/>
      <c r="JDO12" s="1402"/>
      <c r="JDP12" s="1402"/>
      <c r="JDQ12" s="1402"/>
      <c r="JDR12" s="1402"/>
      <c r="JDS12" s="1402"/>
      <c r="JDT12" s="1402"/>
      <c r="JDU12" s="1402"/>
      <c r="JDV12" s="1402"/>
      <c r="JDW12" s="1402"/>
      <c r="JDX12" s="1402"/>
      <c r="JDY12" s="1402"/>
      <c r="JDZ12" s="1402"/>
      <c r="JEA12" s="1402"/>
      <c r="JEB12" s="1402"/>
      <c r="JEC12" s="1402"/>
      <c r="JED12" s="1402"/>
      <c r="JEE12" s="1402"/>
      <c r="JEF12" s="1402"/>
      <c r="JEG12" s="1402"/>
      <c r="JEH12" s="1402"/>
      <c r="JEI12" s="1402"/>
      <c r="JEJ12" s="1402"/>
      <c r="JEK12" s="1402"/>
      <c r="JEL12" s="1402"/>
      <c r="JEM12" s="1402"/>
      <c r="JEN12" s="1402"/>
      <c r="JEO12" s="1402"/>
      <c r="JEP12" s="1402"/>
      <c r="JEQ12" s="1402"/>
      <c r="JER12" s="1402"/>
      <c r="JES12" s="1402"/>
      <c r="JET12" s="1402"/>
      <c r="JEU12" s="1402"/>
      <c r="JEV12" s="1402"/>
      <c r="JEW12" s="1402"/>
      <c r="JEX12" s="1402"/>
      <c r="JEY12" s="1402"/>
      <c r="JEZ12" s="1402"/>
      <c r="JFA12" s="1402"/>
      <c r="JFB12" s="1402"/>
      <c r="JFC12" s="1402"/>
      <c r="JFD12" s="1402"/>
      <c r="JFE12" s="1402"/>
      <c r="JFF12" s="1402"/>
      <c r="JFG12" s="1402"/>
      <c r="JFH12" s="1402"/>
      <c r="JFI12" s="1402"/>
      <c r="JFJ12" s="1402"/>
      <c r="JFK12" s="1402"/>
      <c r="JFL12" s="1402"/>
      <c r="JFM12" s="1402"/>
      <c r="JFN12" s="1402"/>
      <c r="JFO12" s="1402"/>
      <c r="JFP12" s="1402"/>
      <c r="JFQ12" s="1402"/>
      <c r="JFR12" s="1402"/>
      <c r="JFS12" s="1402"/>
      <c r="JFT12" s="1402"/>
      <c r="JFU12" s="1402"/>
      <c r="JFV12" s="1402"/>
      <c r="JFW12" s="1402"/>
      <c r="JFX12" s="1402"/>
      <c r="JFY12" s="1402"/>
      <c r="JFZ12" s="1402"/>
      <c r="JGA12" s="1402"/>
      <c r="JGB12" s="1402"/>
      <c r="JGC12" s="1402"/>
      <c r="JGD12" s="1402"/>
      <c r="JGE12" s="1402"/>
      <c r="JGF12" s="1402"/>
      <c r="JGG12" s="1402"/>
      <c r="JGH12" s="1402"/>
      <c r="JGI12" s="1402"/>
      <c r="JGJ12" s="1402"/>
      <c r="JGK12" s="1402"/>
      <c r="JGL12" s="1402"/>
      <c r="JGM12" s="1402"/>
      <c r="JGN12" s="1402"/>
      <c r="JGO12" s="1402"/>
      <c r="JGP12" s="1402"/>
      <c r="JGQ12" s="1402"/>
      <c r="JGR12" s="1402"/>
      <c r="JGS12" s="1402"/>
      <c r="JGT12" s="1402"/>
      <c r="JGU12" s="1402"/>
      <c r="JGV12" s="1402"/>
      <c r="JGW12" s="1402"/>
      <c r="JGX12" s="1402"/>
      <c r="JGY12" s="1402"/>
      <c r="JGZ12" s="1402"/>
      <c r="JHA12" s="1402"/>
      <c r="JHB12" s="1402"/>
      <c r="JHC12" s="1402"/>
      <c r="JHD12" s="1402"/>
      <c r="JHE12" s="1402"/>
      <c r="JHF12" s="1402"/>
      <c r="JHG12" s="1402"/>
      <c r="JHH12" s="1402"/>
      <c r="JHI12" s="1402"/>
      <c r="JHJ12" s="1402"/>
      <c r="JHK12" s="1402"/>
      <c r="JHL12" s="1402"/>
      <c r="JHM12" s="1402"/>
      <c r="JHN12" s="1402"/>
      <c r="JHO12" s="1402"/>
      <c r="JHP12" s="1402"/>
      <c r="JHQ12" s="1402"/>
      <c r="JHR12" s="1402"/>
      <c r="JHS12" s="1402"/>
      <c r="JHT12" s="1402"/>
      <c r="JHU12" s="1402"/>
      <c r="JHV12" s="1402"/>
      <c r="JHW12" s="1402"/>
      <c r="JHX12" s="1402"/>
      <c r="JHY12" s="1402"/>
      <c r="JHZ12" s="1402"/>
      <c r="JIA12" s="1402"/>
      <c r="JIB12" s="1402"/>
      <c r="JIC12" s="1402"/>
      <c r="JID12" s="1402"/>
      <c r="JIE12" s="1402"/>
      <c r="JIF12" s="1402"/>
      <c r="JIG12" s="1402"/>
      <c r="JIH12" s="1402"/>
      <c r="JII12" s="1402"/>
      <c r="JIJ12" s="1402"/>
      <c r="JIK12" s="1402"/>
      <c r="JIL12" s="1402"/>
      <c r="JIM12" s="1402"/>
      <c r="JIN12" s="1402"/>
      <c r="JIO12" s="1402"/>
      <c r="JIP12" s="1402"/>
      <c r="JIQ12" s="1402"/>
      <c r="JIR12" s="1402"/>
      <c r="JIS12" s="1402"/>
      <c r="JIT12" s="1402"/>
      <c r="JIU12" s="1402"/>
      <c r="JIV12" s="1402"/>
      <c r="JIW12" s="1402"/>
      <c r="JIX12" s="1402"/>
      <c r="JIY12" s="1402"/>
      <c r="JIZ12" s="1402"/>
      <c r="JJA12" s="1402"/>
      <c r="JJB12" s="1402"/>
      <c r="JJC12" s="1402"/>
      <c r="JJD12" s="1402"/>
      <c r="JJE12" s="1402"/>
      <c r="JJF12" s="1402"/>
      <c r="JJG12" s="1402"/>
      <c r="JJH12" s="1402"/>
      <c r="JJI12" s="1402"/>
      <c r="JJJ12" s="1402"/>
      <c r="JJK12" s="1402"/>
      <c r="JJL12" s="1402"/>
      <c r="JJM12" s="1402"/>
      <c r="JJN12" s="1402"/>
      <c r="JJO12" s="1402"/>
      <c r="JJP12" s="1402"/>
      <c r="JJQ12" s="1402"/>
      <c r="JJR12" s="1402"/>
      <c r="JJS12" s="1402"/>
      <c r="JJT12" s="1402"/>
      <c r="JJU12" s="1402"/>
      <c r="JJV12" s="1402"/>
      <c r="JJW12" s="1402"/>
      <c r="JJX12" s="1402"/>
      <c r="JJY12" s="1402"/>
      <c r="JJZ12" s="1402"/>
      <c r="JKA12" s="1402"/>
      <c r="JKB12" s="1402"/>
      <c r="JKC12" s="1402"/>
      <c r="JKD12" s="1402"/>
      <c r="JKE12" s="1402"/>
      <c r="JKF12" s="1402"/>
      <c r="JKG12" s="1402"/>
      <c r="JKH12" s="1402"/>
      <c r="JKI12" s="1402"/>
      <c r="JKJ12" s="1402"/>
      <c r="JKK12" s="1402"/>
      <c r="JKL12" s="1402"/>
      <c r="JKM12" s="1402"/>
      <c r="JKN12" s="1402"/>
      <c r="JKO12" s="1402"/>
      <c r="JKP12" s="1402"/>
      <c r="JKQ12" s="1402"/>
      <c r="JKR12" s="1402"/>
      <c r="JKS12" s="1402"/>
      <c r="JKT12" s="1402"/>
      <c r="JKU12" s="1402"/>
      <c r="JKV12" s="1402"/>
      <c r="JKW12" s="1402"/>
      <c r="JKX12" s="1402"/>
      <c r="JKY12" s="1402"/>
      <c r="JKZ12" s="1402"/>
      <c r="JLA12" s="1402"/>
      <c r="JLB12" s="1402"/>
      <c r="JLC12" s="1402"/>
      <c r="JLD12" s="1402"/>
      <c r="JLE12" s="1402"/>
      <c r="JLF12" s="1402"/>
      <c r="JLG12" s="1402"/>
      <c r="JLH12" s="1402"/>
      <c r="JLI12" s="1402"/>
      <c r="JLJ12" s="1402"/>
      <c r="JLK12" s="1402"/>
      <c r="JLL12" s="1402"/>
      <c r="JLM12" s="1402"/>
      <c r="JLN12" s="1402"/>
      <c r="JLO12" s="1402"/>
      <c r="JLP12" s="1402"/>
      <c r="JLQ12" s="1402"/>
      <c r="JLR12" s="1402"/>
      <c r="JLS12" s="1402"/>
      <c r="JLT12" s="1402"/>
      <c r="JLU12" s="1402"/>
      <c r="JLV12" s="1402"/>
      <c r="JLW12" s="1402"/>
      <c r="JLX12" s="1402"/>
      <c r="JLY12" s="1402"/>
      <c r="JLZ12" s="1402"/>
      <c r="JMA12" s="1402"/>
      <c r="JMB12" s="1402"/>
      <c r="JMC12" s="1402"/>
      <c r="JMD12" s="1402"/>
      <c r="JME12" s="1402"/>
      <c r="JMF12" s="1402"/>
      <c r="JMG12" s="1402"/>
      <c r="JMH12" s="1402"/>
      <c r="JMI12" s="1402"/>
      <c r="JMJ12" s="1402"/>
      <c r="JMK12" s="1402"/>
      <c r="JML12" s="1402"/>
      <c r="JMM12" s="1402"/>
      <c r="JMN12" s="1402"/>
      <c r="JMO12" s="1402"/>
      <c r="JMP12" s="1402"/>
      <c r="JMQ12" s="1402"/>
      <c r="JMR12" s="1402"/>
      <c r="JMS12" s="1402"/>
      <c r="JMT12" s="1402"/>
      <c r="JMU12" s="1402"/>
      <c r="JMV12" s="1402"/>
      <c r="JMW12" s="1402"/>
      <c r="JMX12" s="1402"/>
      <c r="JMY12" s="1402"/>
      <c r="JMZ12" s="1402"/>
      <c r="JNA12" s="1402"/>
      <c r="JNB12" s="1402"/>
      <c r="JNC12" s="1402"/>
      <c r="JND12" s="1402"/>
      <c r="JNE12" s="1402"/>
      <c r="JNF12" s="1402"/>
      <c r="JNG12" s="1402"/>
      <c r="JNH12" s="1402"/>
      <c r="JNI12" s="1402"/>
      <c r="JNJ12" s="1402"/>
      <c r="JNK12" s="1402"/>
      <c r="JNL12" s="1402"/>
      <c r="JNM12" s="1402"/>
      <c r="JNN12" s="1402"/>
      <c r="JNO12" s="1402"/>
      <c r="JNP12" s="1402"/>
      <c r="JNQ12" s="1402"/>
      <c r="JNR12" s="1402"/>
      <c r="JNS12" s="1402"/>
      <c r="JNT12" s="1402"/>
      <c r="JNU12" s="1402"/>
      <c r="JNV12" s="1402"/>
      <c r="JNW12" s="1402"/>
      <c r="JNX12" s="1402"/>
      <c r="JNY12" s="1402"/>
      <c r="JNZ12" s="1402"/>
      <c r="JOA12" s="1402"/>
      <c r="JOB12" s="1402"/>
      <c r="JOC12" s="1402"/>
      <c r="JOD12" s="1402"/>
      <c r="JOE12" s="1402"/>
      <c r="JOF12" s="1402"/>
      <c r="JOG12" s="1402"/>
      <c r="JOH12" s="1402"/>
      <c r="JOI12" s="1402"/>
      <c r="JOJ12" s="1402"/>
      <c r="JOK12" s="1402"/>
      <c r="JOL12" s="1402"/>
      <c r="JOM12" s="1402"/>
      <c r="JON12" s="1402"/>
      <c r="JOO12" s="1402"/>
      <c r="JOP12" s="1402"/>
      <c r="JOQ12" s="1402"/>
      <c r="JOR12" s="1402"/>
      <c r="JOS12" s="1402"/>
      <c r="JOT12" s="1402"/>
      <c r="JOU12" s="1402"/>
      <c r="JOV12" s="1402"/>
      <c r="JOW12" s="1402"/>
      <c r="JOX12" s="1402"/>
      <c r="JOY12" s="1402"/>
      <c r="JOZ12" s="1402"/>
      <c r="JPA12" s="1402"/>
      <c r="JPB12" s="1402"/>
      <c r="JPC12" s="1402"/>
      <c r="JPD12" s="1402"/>
      <c r="JPE12" s="1402"/>
      <c r="JPF12" s="1402"/>
      <c r="JPG12" s="1402"/>
      <c r="JPH12" s="1402"/>
      <c r="JPI12" s="1402"/>
      <c r="JPJ12" s="1402"/>
      <c r="JPK12" s="1402"/>
      <c r="JPL12" s="1402"/>
      <c r="JPM12" s="1402"/>
      <c r="JPN12" s="1402"/>
      <c r="JPO12" s="1402"/>
      <c r="JPP12" s="1402"/>
      <c r="JPQ12" s="1402"/>
      <c r="JPR12" s="1402"/>
      <c r="JPS12" s="1402"/>
      <c r="JPT12" s="1402"/>
      <c r="JPU12" s="1402"/>
      <c r="JPV12" s="1402"/>
      <c r="JPW12" s="1402"/>
      <c r="JPX12" s="1402"/>
      <c r="JPY12" s="1402"/>
      <c r="JPZ12" s="1402"/>
      <c r="JQA12" s="1402"/>
      <c r="JQB12" s="1402"/>
      <c r="JQC12" s="1402"/>
      <c r="JQD12" s="1402"/>
      <c r="JQE12" s="1402"/>
      <c r="JQF12" s="1402"/>
      <c r="JQG12" s="1402"/>
      <c r="JQH12" s="1402"/>
      <c r="JQI12" s="1402"/>
      <c r="JQJ12" s="1402"/>
      <c r="JQK12" s="1402"/>
      <c r="JQL12" s="1402"/>
      <c r="JQM12" s="1402"/>
      <c r="JQN12" s="1402"/>
      <c r="JQO12" s="1402"/>
      <c r="JQP12" s="1402"/>
      <c r="JQQ12" s="1402"/>
      <c r="JQR12" s="1402"/>
      <c r="JQS12" s="1402"/>
      <c r="JQT12" s="1402"/>
      <c r="JQU12" s="1402"/>
      <c r="JQV12" s="1402"/>
      <c r="JQW12" s="1402"/>
      <c r="JQX12" s="1402"/>
      <c r="JQY12" s="1402"/>
      <c r="JQZ12" s="1402"/>
      <c r="JRA12" s="1402"/>
      <c r="JRB12" s="1402"/>
      <c r="JRC12" s="1402"/>
      <c r="JRD12" s="1402"/>
      <c r="JRE12" s="1402"/>
      <c r="JRF12" s="1402"/>
      <c r="JRG12" s="1402"/>
      <c r="JRH12" s="1402"/>
      <c r="JRI12" s="1402"/>
      <c r="JRJ12" s="1402"/>
      <c r="JRK12" s="1402"/>
      <c r="JRL12" s="1402"/>
      <c r="JRM12" s="1402"/>
      <c r="JRN12" s="1402"/>
      <c r="JRO12" s="1402"/>
      <c r="JRP12" s="1402"/>
      <c r="JRQ12" s="1402"/>
      <c r="JRR12" s="1402"/>
      <c r="JRS12" s="1402"/>
      <c r="JRT12" s="1402"/>
      <c r="JRU12" s="1402"/>
      <c r="JRV12" s="1402"/>
      <c r="JRW12" s="1402"/>
      <c r="JRX12" s="1402"/>
      <c r="JRY12" s="1402"/>
      <c r="JRZ12" s="1402"/>
      <c r="JSA12" s="1402"/>
      <c r="JSB12" s="1402"/>
      <c r="JSC12" s="1402"/>
      <c r="JSD12" s="1402"/>
      <c r="JSE12" s="1402"/>
      <c r="JSF12" s="1402"/>
      <c r="JSG12" s="1402"/>
      <c r="JSH12" s="1402"/>
      <c r="JSI12" s="1402"/>
      <c r="JSJ12" s="1402"/>
      <c r="JSK12" s="1402"/>
      <c r="JSL12" s="1402"/>
      <c r="JSM12" s="1402"/>
      <c r="JSN12" s="1402"/>
      <c r="JSO12" s="1402"/>
      <c r="JSP12" s="1402"/>
      <c r="JSQ12" s="1402"/>
      <c r="JSR12" s="1402"/>
      <c r="JSS12" s="1402"/>
      <c r="JST12" s="1402"/>
      <c r="JSU12" s="1402"/>
      <c r="JSV12" s="1402"/>
      <c r="JSW12" s="1402"/>
      <c r="JSX12" s="1402"/>
      <c r="JSY12" s="1402"/>
      <c r="JSZ12" s="1402"/>
      <c r="JTA12" s="1402"/>
      <c r="JTB12" s="1402"/>
      <c r="JTC12" s="1402"/>
      <c r="JTD12" s="1402"/>
      <c r="JTE12" s="1402"/>
      <c r="JTF12" s="1402"/>
      <c r="JTG12" s="1402"/>
      <c r="JTH12" s="1402"/>
      <c r="JTI12" s="1402"/>
      <c r="JTJ12" s="1402"/>
      <c r="JTK12" s="1402"/>
      <c r="JTL12" s="1402"/>
      <c r="JTM12" s="1402"/>
      <c r="JTN12" s="1402"/>
      <c r="JTO12" s="1402"/>
      <c r="JTP12" s="1402"/>
      <c r="JTQ12" s="1402"/>
      <c r="JTR12" s="1402"/>
      <c r="JTS12" s="1402"/>
      <c r="JTT12" s="1402"/>
      <c r="JTU12" s="1402"/>
      <c r="JTV12" s="1402"/>
      <c r="JTW12" s="1402"/>
      <c r="JTX12" s="1402"/>
      <c r="JTY12" s="1402"/>
      <c r="JTZ12" s="1402"/>
      <c r="JUA12" s="1402"/>
      <c r="JUB12" s="1402"/>
      <c r="JUC12" s="1402"/>
      <c r="JUD12" s="1402"/>
      <c r="JUE12" s="1402"/>
      <c r="JUF12" s="1402"/>
      <c r="JUG12" s="1402"/>
      <c r="JUH12" s="1402"/>
      <c r="JUI12" s="1402"/>
      <c r="JUJ12" s="1402"/>
      <c r="JUK12" s="1402"/>
      <c r="JUL12" s="1402"/>
      <c r="JUM12" s="1402"/>
      <c r="JUN12" s="1402"/>
      <c r="JUO12" s="1402"/>
      <c r="JUP12" s="1402"/>
      <c r="JUQ12" s="1402"/>
      <c r="JUR12" s="1402"/>
      <c r="JUS12" s="1402"/>
      <c r="JUT12" s="1402"/>
      <c r="JUU12" s="1402"/>
      <c r="JUV12" s="1402"/>
      <c r="JUW12" s="1402"/>
      <c r="JUX12" s="1402"/>
      <c r="JUY12" s="1402"/>
      <c r="JUZ12" s="1402"/>
      <c r="JVA12" s="1402"/>
      <c r="JVB12" s="1402"/>
      <c r="JVC12" s="1402"/>
      <c r="JVD12" s="1402"/>
      <c r="JVE12" s="1402"/>
      <c r="JVF12" s="1402"/>
      <c r="JVG12" s="1402"/>
      <c r="JVH12" s="1402"/>
      <c r="JVI12" s="1402"/>
      <c r="JVJ12" s="1402"/>
      <c r="JVK12" s="1402"/>
      <c r="JVL12" s="1402"/>
      <c r="JVM12" s="1402"/>
      <c r="JVN12" s="1402"/>
      <c r="JVO12" s="1402"/>
      <c r="JVP12" s="1402"/>
      <c r="JVQ12" s="1402"/>
      <c r="JVR12" s="1402"/>
      <c r="JVS12" s="1402"/>
      <c r="JVT12" s="1402"/>
      <c r="JVU12" s="1402"/>
      <c r="JVV12" s="1402"/>
      <c r="JVW12" s="1402"/>
      <c r="JVX12" s="1402"/>
      <c r="JVY12" s="1402"/>
      <c r="JVZ12" s="1402"/>
      <c r="JWA12" s="1402"/>
      <c r="JWB12" s="1402"/>
      <c r="JWC12" s="1402"/>
      <c r="JWD12" s="1402"/>
      <c r="JWE12" s="1402"/>
      <c r="JWF12" s="1402"/>
      <c r="JWG12" s="1402"/>
      <c r="JWH12" s="1402"/>
      <c r="JWI12" s="1402"/>
      <c r="JWJ12" s="1402"/>
      <c r="JWK12" s="1402"/>
      <c r="JWL12" s="1402"/>
      <c r="JWM12" s="1402"/>
      <c r="JWN12" s="1402"/>
      <c r="JWO12" s="1402"/>
      <c r="JWP12" s="1402"/>
      <c r="JWQ12" s="1402"/>
      <c r="JWR12" s="1402"/>
      <c r="JWS12" s="1402"/>
      <c r="JWT12" s="1402"/>
      <c r="JWU12" s="1402"/>
      <c r="JWV12" s="1402"/>
      <c r="JWW12" s="1402"/>
      <c r="JWX12" s="1402"/>
      <c r="JWY12" s="1402"/>
      <c r="JWZ12" s="1402"/>
      <c r="JXA12" s="1402"/>
      <c r="JXB12" s="1402"/>
      <c r="JXC12" s="1402"/>
      <c r="JXD12" s="1402"/>
      <c r="JXE12" s="1402"/>
      <c r="JXF12" s="1402"/>
      <c r="JXG12" s="1402"/>
      <c r="JXH12" s="1402"/>
      <c r="JXI12" s="1402"/>
      <c r="JXJ12" s="1402"/>
      <c r="JXK12" s="1402"/>
      <c r="JXL12" s="1402"/>
      <c r="JXM12" s="1402"/>
      <c r="JXN12" s="1402"/>
      <c r="JXO12" s="1402"/>
      <c r="JXP12" s="1402"/>
      <c r="JXQ12" s="1402"/>
      <c r="JXR12" s="1402"/>
      <c r="JXS12" s="1402"/>
      <c r="JXT12" s="1402"/>
      <c r="JXU12" s="1402"/>
      <c r="JXV12" s="1402"/>
      <c r="JXW12" s="1402"/>
      <c r="JXX12" s="1402"/>
      <c r="JXY12" s="1402"/>
      <c r="JXZ12" s="1402"/>
      <c r="JYA12" s="1402"/>
      <c r="JYB12" s="1402"/>
      <c r="JYC12" s="1402"/>
      <c r="JYD12" s="1402"/>
      <c r="JYE12" s="1402"/>
      <c r="JYF12" s="1402"/>
      <c r="JYG12" s="1402"/>
      <c r="JYH12" s="1402"/>
      <c r="JYI12" s="1402"/>
      <c r="JYJ12" s="1402"/>
      <c r="JYK12" s="1402"/>
      <c r="JYL12" s="1402"/>
      <c r="JYM12" s="1402"/>
      <c r="JYN12" s="1402"/>
      <c r="JYO12" s="1402"/>
      <c r="JYP12" s="1402"/>
      <c r="JYQ12" s="1402"/>
      <c r="JYR12" s="1402"/>
      <c r="JYS12" s="1402"/>
      <c r="JYT12" s="1402"/>
      <c r="JYU12" s="1402"/>
      <c r="JYV12" s="1402"/>
      <c r="JYW12" s="1402"/>
      <c r="JYX12" s="1402"/>
      <c r="JYY12" s="1402"/>
      <c r="JYZ12" s="1402"/>
      <c r="JZA12" s="1402"/>
      <c r="JZB12" s="1402"/>
      <c r="JZC12" s="1402"/>
      <c r="JZD12" s="1402"/>
      <c r="JZE12" s="1402"/>
      <c r="JZF12" s="1402"/>
      <c r="JZG12" s="1402"/>
      <c r="JZH12" s="1402"/>
      <c r="JZI12" s="1402"/>
      <c r="JZJ12" s="1402"/>
      <c r="JZK12" s="1402"/>
      <c r="JZL12" s="1402"/>
      <c r="JZM12" s="1402"/>
      <c r="JZN12" s="1402"/>
      <c r="JZO12" s="1402"/>
      <c r="JZP12" s="1402"/>
      <c r="JZQ12" s="1402"/>
      <c r="JZR12" s="1402"/>
      <c r="JZS12" s="1402"/>
      <c r="JZT12" s="1402"/>
      <c r="JZU12" s="1402"/>
      <c r="JZV12" s="1402"/>
      <c r="JZW12" s="1402"/>
      <c r="JZX12" s="1402"/>
      <c r="JZY12" s="1402"/>
      <c r="JZZ12" s="1402"/>
      <c r="KAA12" s="1402"/>
      <c r="KAB12" s="1402"/>
      <c r="KAC12" s="1402"/>
      <c r="KAD12" s="1402"/>
      <c r="KAE12" s="1402"/>
      <c r="KAF12" s="1402"/>
      <c r="KAG12" s="1402"/>
      <c r="KAH12" s="1402"/>
      <c r="KAI12" s="1402"/>
      <c r="KAJ12" s="1402"/>
      <c r="KAK12" s="1402"/>
      <c r="KAL12" s="1402"/>
      <c r="KAM12" s="1402"/>
      <c r="KAN12" s="1402"/>
      <c r="KAO12" s="1402"/>
      <c r="KAP12" s="1402"/>
      <c r="KAQ12" s="1402"/>
      <c r="KAR12" s="1402"/>
      <c r="KAS12" s="1402"/>
      <c r="KAT12" s="1402"/>
      <c r="KAU12" s="1402"/>
      <c r="KAV12" s="1402"/>
      <c r="KAW12" s="1402"/>
      <c r="KAX12" s="1402"/>
      <c r="KAY12" s="1402"/>
      <c r="KAZ12" s="1402"/>
      <c r="KBA12" s="1402"/>
      <c r="KBB12" s="1402"/>
      <c r="KBC12" s="1402"/>
      <c r="KBD12" s="1402"/>
      <c r="KBE12" s="1402"/>
      <c r="KBF12" s="1402"/>
      <c r="KBG12" s="1402"/>
      <c r="KBH12" s="1402"/>
      <c r="KBI12" s="1402"/>
      <c r="KBJ12" s="1402"/>
      <c r="KBK12" s="1402"/>
      <c r="KBL12" s="1402"/>
      <c r="KBM12" s="1402"/>
      <c r="KBN12" s="1402"/>
      <c r="KBO12" s="1402"/>
      <c r="KBP12" s="1402"/>
      <c r="KBQ12" s="1402"/>
      <c r="KBR12" s="1402"/>
      <c r="KBS12" s="1402"/>
      <c r="KBT12" s="1402"/>
      <c r="KBU12" s="1402"/>
      <c r="KBV12" s="1402"/>
      <c r="KBW12" s="1402"/>
      <c r="KBX12" s="1402"/>
      <c r="KBY12" s="1402"/>
      <c r="KBZ12" s="1402"/>
      <c r="KCA12" s="1402"/>
      <c r="KCB12" s="1402"/>
      <c r="KCC12" s="1402"/>
      <c r="KCD12" s="1402"/>
      <c r="KCE12" s="1402"/>
      <c r="KCF12" s="1402"/>
      <c r="KCG12" s="1402"/>
      <c r="KCH12" s="1402"/>
      <c r="KCI12" s="1402"/>
      <c r="KCJ12" s="1402"/>
      <c r="KCK12" s="1402"/>
      <c r="KCL12" s="1402"/>
      <c r="KCM12" s="1402"/>
      <c r="KCN12" s="1402"/>
      <c r="KCO12" s="1402"/>
      <c r="KCP12" s="1402"/>
      <c r="KCQ12" s="1402"/>
      <c r="KCR12" s="1402"/>
      <c r="KCS12" s="1402"/>
      <c r="KCT12" s="1402"/>
      <c r="KCU12" s="1402"/>
      <c r="KCV12" s="1402"/>
      <c r="KCW12" s="1402"/>
      <c r="KCX12" s="1402"/>
      <c r="KCY12" s="1402"/>
      <c r="KCZ12" s="1402"/>
      <c r="KDA12" s="1402"/>
      <c r="KDB12" s="1402"/>
      <c r="KDC12" s="1402"/>
      <c r="KDD12" s="1402"/>
      <c r="KDE12" s="1402"/>
      <c r="KDF12" s="1402"/>
      <c r="KDG12" s="1402"/>
      <c r="KDH12" s="1402"/>
      <c r="KDI12" s="1402"/>
      <c r="KDJ12" s="1402"/>
      <c r="KDK12" s="1402"/>
      <c r="KDL12" s="1402"/>
      <c r="KDM12" s="1402"/>
      <c r="KDN12" s="1402"/>
      <c r="KDO12" s="1402"/>
      <c r="KDP12" s="1402"/>
      <c r="KDQ12" s="1402"/>
      <c r="KDR12" s="1402"/>
      <c r="KDS12" s="1402"/>
      <c r="KDT12" s="1402"/>
      <c r="KDU12" s="1402"/>
      <c r="KDV12" s="1402"/>
      <c r="KDW12" s="1402"/>
      <c r="KDX12" s="1402"/>
      <c r="KDY12" s="1402"/>
      <c r="KDZ12" s="1402"/>
      <c r="KEA12" s="1402"/>
      <c r="KEB12" s="1402"/>
      <c r="KEC12" s="1402"/>
      <c r="KED12" s="1402"/>
      <c r="KEE12" s="1402"/>
      <c r="KEF12" s="1402"/>
      <c r="KEG12" s="1402"/>
      <c r="KEH12" s="1402"/>
      <c r="KEI12" s="1402"/>
      <c r="KEJ12" s="1402"/>
      <c r="KEK12" s="1402"/>
      <c r="KEL12" s="1402"/>
      <c r="KEM12" s="1402"/>
      <c r="KEN12" s="1402"/>
      <c r="KEO12" s="1402"/>
      <c r="KEP12" s="1402"/>
      <c r="KEQ12" s="1402"/>
      <c r="KER12" s="1402"/>
      <c r="KES12" s="1402"/>
      <c r="KET12" s="1402"/>
      <c r="KEU12" s="1402"/>
      <c r="KEV12" s="1402"/>
      <c r="KEW12" s="1402"/>
      <c r="KEX12" s="1402"/>
      <c r="KEY12" s="1402"/>
      <c r="KEZ12" s="1402"/>
      <c r="KFA12" s="1402"/>
      <c r="KFB12" s="1402"/>
      <c r="KFC12" s="1402"/>
      <c r="KFD12" s="1402"/>
      <c r="KFE12" s="1402"/>
      <c r="KFF12" s="1402"/>
      <c r="KFG12" s="1402"/>
      <c r="KFH12" s="1402"/>
      <c r="KFI12" s="1402"/>
      <c r="KFJ12" s="1402"/>
      <c r="KFK12" s="1402"/>
      <c r="KFL12" s="1402"/>
      <c r="KFM12" s="1402"/>
      <c r="KFN12" s="1402"/>
      <c r="KFO12" s="1402"/>
      <c r="KFP12" s="1402"/>
      <c r="KFQ12" s="1402"/>
      <c r="KFR12" s="1402"/>
      <c r="KFS12" s="1402"/>
      <c r="KFT12" s="1402"/>
      <c r="KFU12" s="1402"/>
      <c r="KFV12" s="1402"/>
      <c r="KFW12" s="1402"/>
      <c r="KFX12" s="1402"/>
      <c r="KFY12" s="1402"/>
      <c r="KFZ12" s="1402"/>
      <c r="KGA12" s="1402"/>
      <c r="KGB12" s="1402"/>
      <c r="KGC12" s="1402"/>
      <c r="KGD12" s="1402"/>
      <c r="KGE12" s="1402"/>
      <c r="KGF12" s="1402"/>
      <c r="KGG12" s="1402"/>
      <c r="KGH12" s="1402"/>
      <c r="KGI12" s="1402"/>
      <c r="KGJ12" s="1402"/>
      <c r="KGK12" s="1402"/>
      <c r="KGL12" s="1402"/>
      <c r="KGM12" s="1402"/>
      <c r="KGN12" s="1402"/>
      <c r="KGO12" s="1402"/>
      <c r="KGP12" s="1402"/>
      <c r="KGQ12" s="1402"/>
      <c r="KGR12" s="1402"/>
      <c r="KGS12" s="1402"/>
      <c r="KGT12" s="1402"/>
      <c r="KGU12" s="1402"/>
      <c r="KGV12" s="1402"/>
      <c r="KGW12" s="1402"/>
      <c r="KGX12" s="1402"/>
      <c r="KGY12" s="1402"/>
      <c r="KGZ12" s="1402"/>
      <c r="KHA12" s="1402"/>
      <c r="KHB12" s="1402"/>
      <c r="KHC12" s="1402"/>
      <c r="KHD12" s="1402"/>
      <c r="KHE12" s="1402"/>
      <c r="KHF12" s="1402"/>
      <c r="KHG12" s="1402"/>
      <c r="KHH12" s="1402"/>
      <c r="KHI12" s="1402"/>
      <c r="KHJ12" s="1402"/>
      <c r="KHK12" s="1402"/>
      <c r="KHL12" s="1402"/>
      <c r="KHM12" s="1402"/>
      <c r="KHN12" s="1402"/>
      <c r="KHO12" s="1402"/>
      <c r="KHP12" s="1402"/>
      <c r="KHQ12" s="1402"/>
      <c r="KHR12" s="1402"/>
      <c r="KHS12" s="1402"/>
      <c r="KHT12" s="1402"/>
      <c r="KHU12" s="1402"/>
      <c r="KHV12" s="1402"/>
      <c r="KHW12" s="1402"/>
      <c r="KHX12" s="1402"/>
      <c r="KHY12" s="1402"/>
      <c r="KHZ12" s="1402"/>
      <c r="KIA12" s="1402"/>
      <c r="KIB12" s="1402"/>
      <c r="KIC12" s="1402"/>
      <c r="KID12" s="1402"/>
      <c r="KIE12" s="1402"/>
      <c r="KIF12" s="1402"/>
      <c r="KIG12" s="1402"/>
      <c r="KIH12" s="1402"/>
      <c r="KII12" s="1402"/>
      <c r="KIJ12" s="1402"/>
      <c r="KIK12" s="1402"/>
      <c r="KIL12" s="1402"/>
      <c r="KIM12" s="1402"/>
      <c r="KIN12" s="1402"/>
      <c r="KIO12" s="1402"/>
      <c r="KIP12" s="1402"/>
      <c r="KIQ12" s="1402"/>
      <c r="KIR12" s="1402"/>
      <c r="KIS12" s="1402"/>
      <c r="KIT12" s="1402"/>
      <c r="KIU12" s="1402"/>
      <c r="KIV12" s="1402"/>
      <c r="KIW12" s="1402"/>
      <c r="KIX12" s="1402"/>
      <c r="KIY12" s="1402"/>
      <c r="KIZ12" s="1402"/>
      <c r="KJA12" s="1402"/>
      <c r="KJB12" s="1402"/>
      <c r="KJC12" s="1402"/>
      <c r="KJD12" s="1402"/>
      <c r="KJE12" s="1402"/>
      <c r="KJF12" s="1402"/>
      <c r="KJG12" s="1402"/>
      <c r="KJH12" s="1402"/>
      <c r="KJI12" s="1402"/>
      <c r="KJJ12" s="1402"/>
      <c r="KJK12" s="1402"/>
      <c r="KJL12" s="1402"/>
      <c r="KJM12" s="1402"/>
      <c r="KJN12" s="1402"/>
      <c r="KJO12" s="1402"/>
      <c r="KJP12" s="1402"/>
      <c r="KJQ12" s="1402"/>
      <c r="KJR12" s="1402"/>
      <c r="KJS12" s="1402"/>
      <c r="KJT12" s="1402"/>
      <c r="KJU12" s="1402"/>
      <c r="KJV12" s="1402"/>
      <c r="KJW12" s="1402"/>
      <c r="KJX12" s="1402"/>
      <c r="KJY12" s="1402"/>
      <c r="KJZ12" s="1402"/>
      <c r="KKA12" s="1402"/>
      <c r="KKB12" s="1402"/>
      <c r="KKC12" s="1402"/>
      <c r="KKD12" s="1402"/>
      <c r="KKE12" s="1402"/>
      <c r="KKF12" s="1402"/>
      <c r="KKG12" s="1402"/>
      <c r="KKH12" s="1402"/>
      <c r="KKI12" s="1402"/>
      <c r="KKJ12" s="1402"/>
      <c r="KKK12" s="1402"/>
      <c r="KKL12" s="1402"/>
      <c r="KKM12" s="1402"/>
      <c r="KKN12" s="1402"/>
      <c r="KKO12" s="1402"/>
      <c r="KKP12" s="1402"/>
      <c r="KKQ12" s="1402"/>
      <c r="KKR12" s="1402"/>
      <c r="KKS12" s="1402"/>
      <c r="KKT12" s="1402"/>
      <c r="KKU12" s="1402"/>
      <c r="KKV12" s="1402"/>
      <c r="KKW12" s="1402"/>
      <c r="KKX12" s="1402"/>
      <c r="KKY12" s="1402"/>
      <c r="KKZ12" s="1402"/>
      <c r="KLA12" s="1402"/>
      <c r="KLB12" s="1402"/>
      <c r="KLC12" s="1402"/>
      <c r="KLD12" s="1402"/>
      <c r="KLE12" s="1402"/>
      <c r="KLF12" s="1402"/>
      <c r="KLG12" s="1402"/>
      <c r="KLH12" s="1402"/>
      <c r="KLI12" s="1402"/>
      <c r="KLJ12" s="1402"/>
      <c r="KLK12" s="1402"/>
      <c r="KLL12" s="1402"/>
      <c r="KLM12" s="1402"/>
      <c r="KLN12" s="1402"/>
      <c r="KLO12" s="1402"/>
      <c r="KLP12" s="1402"/>
      <c r="KLQ12" s="1402"/>
      <c r="KLR12" s="1402"/>
      <c r="KLS12" s="1402"/>
      <c r="KLT12" s="1402"/>
      <c r="KLU12" s="1402"/>
      <c r="KLV12" s="1402"/>
      <c r="KLW12" s="1402"/>
      <c r="KLX12" s="1402"/>
      <c r="KLY12" s="1402"/>
      <c r="KLZ12" s="1402"/>
      <c r="KMA12" s="1402"/>
      <c r="KMB12" s="1402"/>
      <c r="KMC12" s="1402"/>
      <c r="KMD12" s="1402"/>
      <c r="KME12" s="1402"/>
      <c r="KMF12" s="1402"/>
      <c r="KMG12" s="1402"/>
      <c r="KMH12" s="1402"/>
      <c r="KMI12" s="1402"/>
      <c r="KMJ12" s="1402"/>
      <c r="KMK12" s="1402"/>
      <c r="KML12" s="1402"/>
      <c r="KMM12" s="1402"/>
      <c r="KMN12" s="1402"/>
      <c r="KMO12" s="1402"/>
      <c r="KMP12" s="1402"/>
      <c r="KMQ12" s="1402"/>
      <c r="KMR12" s="1402"/>
      <c r="KMS12" s="1402"/>
      <c r="KMT12" s="1402"/>
      <c r="KMU12" s="1402"/>
      <c r="KMV12" s="1402"/>
      <c r="KMW12" s="1402"/>
      <c r="KMX12" s="1402"/>
      <c r="KMY12" s="1402"/>
      <c r="KMZ12" s="1402"/>
      <c r="KNA12" s="1402"/>
      <c r="KNB12" s="1402"/>
      <c r="KNC12" s="1402"/>
      <c r="KND12" s="1402"/>
      <c r="KNE12" s="1402"/>
      <c r="KNF12" s="1402"/>
      <c r="KNG12" s="1402"/>
      <c r="KNH12" s="1402"/>
      <c r="KNI12" s="1402"/>
      <c r="KNJ12" s="1402"/>
      <c r="KNK12" s="1402"/>
      <c r="KNL12" s="1402"/>
      <c r="KNM12" s="1402"/>
      <c r="KNN12" s="1402"/>
      <c r="KNO12" s="1402"/>
      <c r="KNP12" s="1402"/>
      <c r="KNQ12" s="1402"/>
      <c r="KNR12" s="1402"/>
      <c r="KNS12" s="1402"/>
      <c r="KNT12" s="1402"/>
      <c r="KNU12" s="1402"/>
      <c r="KNV12" s="1402"/>
      <c r="KNW12" s="1402"/>
      <c r="KNX12" s="1402"/>
      <c r="KNY12" s="1402"/>
      <c r="KNZ12" s="1402"/>
      <c r="KOA12" s="1402"/>
      <c r="KOB12" s="1402"/>
      <c r="KOC12" s="1402"/>
      <c r="KOD12" s="1402"/>
      <c r="KOE12" s="1402"/>
      <c r="KOF12" s="1402"/>
      <c r="KOG12" s="1402"/>
      <c r="KOH12" s="1402"/>
      <c r="KOI12" s="1402"/>
      <c r="KOJ12" s="1402"/>
      <c r="KOK12" s="1402"/>
      <c r="KOL12" s="1402"/>
      <c r="KOM12" s="1402"/>
      <c r="KON12" s="1402"/>
      <c r="KOO12" s="1402"/>
      <c r="KOP12" s="1402"/>
      <c r="KOQ12" s="1402"/>
      <c r="KOR12" s="1402"/>
      <c r="KOS12" s="1402"/>
      <c r="KOT12" s="1402"/>
      <c r="KOU12" s="1402"/>
      <c r="KOV12" s="1402"/>
      <c r="KOW12" s="1402"/>
      <c r="KOX12" s="1402"/>
      <c r="KOY12" s="1402"/>
      <c r="KOZ12" s="1402"/>
      <c r="KPA12" s="1402"/>
      <c r="KPB12" s="1402"/>
      <c r="KPC12" s="1402"/>
      <c r="KPD12" s="1402"/>
      <c r="KPE12" s="1402"/>
      <c r="KPF12" s="1402"/>
      <c r="KPG12" s="1402"/>
      <c r="KPH12" s="1402"/>
      <c r="KPI12" s="1402"/>
      <c r="KPJ12" s="1402"/>
      <c r="KPK12" s="1402"/>
      <c r="KPL12" s="1402"/>
      <c r="KPM12" s="1402"/>
      <c r="KPN12" s="1402"/>
      <c r="KPO12" s="1402"/>
      <c r="KPP12" s="1402"/>
      <c r="KPQ12" s="1402"/>
      <c r="KPR12" s="1402"/>
      <c r="KPS12" s="1402"/>
      <c r="KPT12" s="1402"/>
      <c r="KPU12" s="1402"/>
      <c r="KPV12" s="1402"/>
      <c r="KPW12" s="1402"/>
      <c r="KPX12" s="1402"/>
      <c r="KPY12" s="1402"/>
      <c r="KPZ12" s="1402"/>
      <c r="KQA12" s="1402"/>
      <c r="KQB12" s="1402"/>
      <c r="KQC12" s="1402"/>
      <c r="KQD12" s="1402"/>
      <c r="KQE12" s="1402"/>
      <c r="KQF12" s="1402"/>
      <c r="KQG12" s="1402"/>
      <c r="KQH12" s="1402"/>
      <c r="KQI12" s="1402"/>
      <c r="KQJ12" s="1402"/>
      <c r="KQK12" s="1402"/>
      <c r="KQL12" s="1402"/>
      <c r="KQM12" s="1402"/>
      <c r="KQN12" s="1402"/>
      <c r="KQO12" s="1402"/>
      <c r="KQP12" s="1402"/>
      <c r="KQQ12" s="1402"/>
      <c r="KQR12" s="1402"/>
      <c r="KQS12" s="1402"/>
      <c r="KQT12" s="1402"/>
      <c r="KQU12" s="1402"/>
      <c r="KQV12" s="1402"/>
      <c r="KQW12" s="1402"/>
      <c r="KQX12" s="1402"/>
      <c r="KQY12" s="1402"/>
      <c r="KQZ12" s="1402"/>
      <c r="KRA12" s="1402"/>
      <c r="KRB12" s="1402"/>
      <c r="KRC12" s="1402"/>
      <c r="KRD12" s="1402"/>
      <c r="KRE12" s="1402"/>
      <c r="KRF12" s="1402"/>
      <c r="KRG12" s="1402"/>
      <c r="KRH12" s="1402"/>
      <c r="KRI12" s="1402"/>
      <c r="KRJ12" s="1402"/>
      <c r="KRK12" s="1402"/>
      <c r="KRL12" s="1402"/>
      <c r="KRM12" s="1402"/>
      <c r="KRN12" s="1402"/>
      <c r="KRO12" s="1402"/>
      <c r="KRP12" s="1402"/>
      <c r="KRQ12" s="1402"/>
      <c r="KRR12" s="1402"/>
      <c r="KRS12" s="1402"/>
      <c r="KRT12" s="1402"/>
      <c r="KRU12" s="1402"/>
      <c r="KRV12" s="1402"/>
      <c r="KRW12" s="1402"/>
      <c r="KRX12" s="1402"/>
      <c r="KRY12" s="1402"/>
      <c r="KRZ12" s="1402"/>
      <c r="KSA12" s="1402"/>
      <c r="KSB12" s="1402"/>
      <c r="KSC12" s="1402"/>
      <c r="KSD12" s="1402"/>
      <c r="KSE12" s="1402"/>
      <c r="KSF12" s="1402"/>
      <c r="KSG12" s="1402"/>
      <c r="KSH12" s="1402"/>
      <c r="KSI12" s="1402"/>
      <c r="KSJ12" s="1402"/>
      <c r="KSK12" s="1402"/>
      <c r="KSL12" s="1402"/>
      <c r="KSM12" s="1402"/>
      <c r="KSN12" s="1402"/>
      <c r="KSO12" s="1402"/>
      <c r="KSP12" s="1402"/>
      <c r="KSQ12" s="1402"/>
      <c r="KSR12" s="1402"/>
      <c r="KSS12" s="1402"/>
      <c r="KST12" s="1402"/>
      <c r="KSU12" s="1402"/>
      <c r="KSV12" s="1402"/>
      <c r="KSW12" s="1402"/>
      <c r="KSX12" s="1402"/>
      <c r="KSY12" s="1402"/>
      <c r="KSZ12" s="1402"/>
      <c r="KTA12" s="1402"/>
      <c r="KTB12" s="1402"/>
      <c r="KTC12" s="1402"/>
      <c r="KTD12" s="1402"/>
      <c r="KTE12" s="1402"/>
      <c r="KTF12" s="1402"/>
      <c r="KTG12" s="1402"/>
      <c r="KTH12" s="1402"/>
      <c r="KTI12" s="1402"/>
      <c r="KTJ12" s="1402"/>
      <c r="KTK12" s="1402"/>
      <c r="KTL12" s="1402"/>
      <c r="KTM12" s="1402"/>
      <c r="KTN12" s="1402"/>
      <c r="KTO12" s="1402"/>
      <c r="KTP12" s="1402"/>
      <c r="KTQ12" s="1402"/>
      <c r="KTR12" s="1402"/>
      <c r="KTS12" s="1402"/>
      <c r="KTT12" s="1402"/>
      <c r="KTU12" s="1402"/>
      <c r="KTV12" s="1402"/>
      <c r="KTW12" s="1402"/>
      <c r="KTX12" s="1402"/>
      <c r="KTY12" s="1402"/>
      <c r="KTZ12" s="1402"/>
      <c r="KUA12" s="1402"/>
      <c r="KUB12" s="1402"/>
      <c r="KUC12" s="1402"/>
      <c r="KUD12" s="1402"/>
      <c r="KUE12" s="1402"/>
      <c r="KUF12" s="1402"/>
      <c r="KUG12" s="1402"/>
      <c r="KUH12" s="1402"/>
      <c r="KUI12" s="1402"/>
      <c r="KUJ12" s="1402"/>
      <c r="KUK12" s="1402"/>
      <c r="KUL12" s="1402"/>
      <c r="KUM12" s="1402"/>
      <c r="KUN12" s="1402"/>
      <c r="KUO12" s="1402"/>
      <c r="KUP12" s="1402"/>
      <c r="KUQ12" s="1402"/>
      <c r="KUR12" s="1402"/>
      <c r="KUS12" s="1402"/>
      <c r="KUT12" s="1402"/>
      <c r="KUU12" s="1402"/>
      <c r="KUV12" s="1402"/>
      <c r="KUW12" s="1402"/>
      <c r="KUX12" s="1402"/>
      <c r="KUY12" s="1402"/>
      <c r="KUZ12" s="1402"/>
      <c r="KVA12" s="1402"/>
      <c r="KVB12" s="1402"/>
      <c r="KVC12" s="1402"/>
      <c r="KVD12" s="1402"/>
      <c r="KVE12" s="1402"/>
      <c r="KVF12" s="1402"/>
      <c r="KVG12" s="1402"/>
      <c r="KVH12" s="1402"/>
      <c r="KVI12" s="1402"/>
      <c r="KVJ12" s="1402"/>
      <c r="KVK12" s="1402"/>
      <c r="KVL12" s="1402"/>
      <c r="KVM12" s="1402"/>
      <c r="KVN12" s="1402"/>
      <c r="KVO12" s="1402"/>
      <c r="KVP12" s="1402"/>
      <c r="KVQ12" s="1402"/>
      <c r="KVR12" s="1402"/>
      <c r="KVS12" s="1402"/>
      <c r="KVT12" s="1402"/>
      <c r="KVU12" s="1402"/>
      <c r="KVV12" s="1402"/>
      <c r="KVW12" s="1402"/>
      <c r="KVX12" s="1402"/>
      <c r="KVY12" s="1402"/>
      <c r="KVZ12" s="1402"/>
      <c r="KWA12" s="1402"/>
      <c r="KWB12" s="1402"/>
      <c r="KWC12" s="1402"/>
      <c r="KWD12" s="1402"/>
      <c r="KWE12" s="1402"/>
      <c r="KWF12" s="1402"/>
      <c r="KWG12" s="1402"/>
      <c r="KWH12" s="1402"/>
      <c r="KWI12" s="1402"/>
      <c r="KWJ12" s="1402"/>
      <c r="KWK12" s="1402"/>
      <c r="KWL12" s="1402"/>
      <c r="KWM12" s="1402"/>
      <c r="KWN12" s="1402"/>
      <c r="KWO12" s="1402"/>
      <c r="KWP12" s="1402"/>
      <c r="KWQ12" s="1402"/>
      <c r="KWR12" s="1402"/>
      <c r="KWS12" s="1402"/>
      <c r="KWT12" s="1402"/>
      <c r="KWU12" s="1402"/>
      <c r="KWV12" s="1402"/>
      <c r="KWW12" s="1402"/>
      <c r="KWX12" s="1402"/>
      <c r="KWY12" s="1402"/>
      <c r="KWZ12" s="1402"/>
      <c r="KXA12" s="1402"/>
      <c r="KXB12" s="1402"/>
      <c r="KXC12" s="1402"/>
      <c r="KXD12" s="1402"/>
      <c r="KXE12" s="1402"/>
      <c r="KXF12" s="1402"/>
      <c r="KXG12" s="1402"/>
      <c r="KXH12" s="1402"/>
      <c r="KXI12" s="1402"/>
      <c r="KXJ12" s="1402"/>
      <c r="KXK12" s="1402"/>
      <c r="KXL12" s="1402"/>
      <c r="KXM12" s="1402"/>
      <c r="KXN12" s="1402"/>
      <c r="KXO12" s="1402"/>
      <c r="KXP12" s="1402"/>
      <c r="KXQ12" s="1402"/>
      <c r="KXR12" s="1402"/>
      <c r="KXS12" s="1402"/>
      <c r="KXT12" s="1402"/>
      <c r="KXU12" s="1402"/>
      <c r="KXV12" s="1402"/>
      <c r="KXW12" s="1402"/>
      <c r="KXX12" s="1402"/>
      <c r="KXY12" s="1402"/>
      <c r="KXZ12" s="1402"/>
      <c r="KYA12" s="1402"/>
      <c r="KYB12" s="1402"/>
      <c r="KYC12" s="1402"/>
      <c r="KYD12" s="1402"/>
      <c r="KYE12" s="1402"/>
      <c r="KYF12" s="1402"/>
      <c r="KYG12" s="1402"/>
      <c r="KYH12" s="1402"/>
      <c r="KYI12" s="1402"/>
      <c r="KYJ12" s="1402"/>
      <c r="KYK12" s="1402"/>
      <c r="KYL12" s="1402"/>
      <c r="KYM12" s="1402"/>
      <c r="KYN12" s="1402"/>
      <c r="KYO12" s="1402"/>
      <c r="KYP12" s="1402"/>
      <c r="KYQ12" s="1402"/>
      <c r="KYR12" s="1402"/>
      <c r="KYS12" s="1402"/>
      <c r="KYT12" s="1402"/>
      <c r="KYU12" s="1402"/>
      <c r="KYV12" s="1402"/>
      <c r="KYW12" s="1402"/>
      <c r="KYX12" s="1402"/>
      <c r="KYY12" s="1402"/>
      <c r="KYZ12" s="1402"/>
      <c r="KZA12" s="1402"/>
      <c r="KZB12" s="1402"/>
      <c r="KZC12" s="1402"/>
      <c r="KZD12" s="1402"/>
      <c r="KZE12" s="1402"/>
      <c r="KZF12" s="1402"/>
      <c r="KZG12" s="1402"/>
      <c r="KZH12" s="1402"/>
      <c r="KZI12" s="1402"/>
      <c r="KZJ12" s="1402"/>
      <c r="KZK12" s="1402"/>
      <c r="KZL12" s="1402"/>
      <c r="KZM12" s="1402"/>
      <c r="KZN12" s="1402"/>
      <c r="KZO12" s="1402"/>
      <c r="KZP12" s="1402"/>
      <c r="KZQ12" s="1402"/>
      <c r="KZR12" s="1402"/>
      <c r="KZS12" s="1402"/>
      <c r="KZT12" s="1402"/>
      <c r="KZU12" s="1402"/>
      <c r="KZV12" s="1402"/>
      <c r="KZW12" s="1402"/>
      <c r="KZX12" s="1402"/>
      <c r="KZY12" s="1402"/>
      <c r="KZZ12" s="1402"/>
      <c r="LAA12" s="1402"/>
      <c r="LAB12" s="1402"/>
      <c r="LAC12" s="1402"/>
      <c r="LAD12" s="1402"/>
      <c r="LAE12" s="1402"/>
      <c r="LAF12" s="1402"/>
      <c r="LAG12" s="1402"/>
      <c r="LAH12" s="1402"/>
      <c r="LAI12" s="1402"/>
      <c r="LAJ12" s="1402"/>
      <c r="LAK12" s="1402"/>
      <c r="LAL12" s="1402"/>
      <c r="LAM12" s="1402"/>
      <c r="LAN12" s="1402"/>
      <c r="LAO12" s="1402"/>
      <c r="LAP12" s="1402"/>
      <c r="LAQ12" s="1402"/>
      <c r="LAR12" s="1402"/>
      <c r="LAS12" s="1402"/>
      <c r="LAT12" s="1402"/>
      <c r="LAU12" s="1402"/>
      <c r="LAV12" s="1402"/>
      <c r="LAW12" s="1402"/>
      <c r="LAX12" s="1402"/>
      <c r="LAY12" s="1402"/>
      <c r="LAZ12" s="1402"/>
      <c r="LBA12" s="1402"/>
      <c r="LBB12" s="1402"/>
      <c r="LBC12" s="1402"/>
      <c r="LBD12" s="1402"/>
      <c r="LBE12" s="1402"/>
      <c r="LBF12" s="1402"/>
      <c r="LBG12" s="1402"/>
      <c r="LBH12" s="1402"/>
      <c r="LBI12" s="1402"/>
      <c r="LBJ12" s="1402"/>
      <c r="LBK12" s="1402"/>
      <c r="LBL12" s="1402"/>
      <c r="LBM12" s="1402"/>
      <c r="LBN12" s="1402"/>
      <c r="LBO12" s="1402"/>
      <c r="LBP12" s="1402"/>
      <c r="LBQ12" s="1402"/>
      <c r="LBR12" s="1402"/>
      <c r="LBS12" s="1402"/>
      <c r="LBT12" s="1402"/>
      <c r="LBU12" s="1402"/>
      <c r="LBV12" s="1402"/>
      <c r="LBW12" s="1402"/>
      <c r="LBX12" s="1402"/>
      <c r="LBY12" s="1402"/>
      <c r="LBZ12" s="1402"/>
      <c r="LCA12" s="1402"/>
      <c r="LCB12" s="1402"/>
      <c r="LCC12" s="1402"/>
      <c r="LCD12" s="1402"/>
      <c r="LCE12" s="1402"/>
      <c r="LCF12" s="1402"/>
      <c r="LCG12" s="1402"/>
      <c r="LCH12" s="1402"/>
      <c r="LCI12" s="1402"/>
      <c r="LCJ12" s="1402"/>
      <c r="LCK12" s="1402"/>
      <c r="LCL12" s="1402"/>
      <c r="LCM12" s="1402"/>
      <c r="LCN12" s="1402"/>
      <c r="LCO12" s="1402"/>
      <c r="LCP12" s="1402"/>
      <c r="LCQ12" s="1402"/>
      <c r="LCR12" s="1402"/>
      <c r="LCS12" s="1402"/>
      <c r="LCT12" s="1402"/>
      <c r="LCU12" s="1402"/>
      <c r="LCV12" s="1402"/>
      <c r="LCW12" s="1402"/>
      <c r="LCX12" s="1402"/>
      <c r="LCY12" s="1402"/>
      <c r="LCZ12" s="1402"/>
      <c r="LDA12" s="1402"/>
      <c r="LDB12" s="1402"/>
      <c r="LDC12" s="1402"/>
      <c r="LDD12" s="1402"/>
      <c r="LDE12" s="1402"/>
      <c r="LDF12" s="1402"/>
      <c r="LDG12" s="1402"/>
      <c r="LDH12" s="1402"/>
      <c r="LDI12" s="1402"/>
      <c r="LDJ12" s="1402"/>
      <c r="LDK12" s="1402"/>
      <c r="LDL12" s="1402"/>
      <c r="LDM12" s="1402"/>
      <c r="LDN12" s="1402"/>
      <c r="LDO12" s="1402"/>
      <c r="LDP12" s="1402"/>
      <c r="LDQ12" s="1402"/>
      <c r="LDR12" s="1402"/>
      <c r="LDS12" s="1402"/>
      <c r="LDT12" s="1402"/>
      <c r="LDU12" s="1402"/>
      <c r="LDV12" s="1402"/>
      <c r="LDW12" s="1402"/>
      <c r="LDX12" s="1402"/>
      <c r="LDY12" s="1402"/>
      <c r="LDZ12" s="1402"/>
      <c r="LEA12" s="1402"/>
      <c r="LEB12" s="1402"/>
      <c r="LEC12" s="1402"/>
      <c r="LED12" s="1402"/>
      <c r="LEE12" s="1402"/>
      <c r="LEF12" s="1402"/>
      <c r="LEG12" s="1402"/>
      <c r="LEH12" s="1402"/>
      <c r="LEI12" s="1402"/>
      <c r="LEJ12" s="1402"/>
      <c r="LEK12" s="1402"/>
      <c r="LEL12" s="1402"/>
      <c r="LEM12" s="1402"/>
      <c r="LEN12" s="1402"/>
      <c r="LEO12" s="1402"/>
      <c r="LEP12" s="1402"/>
      <c r="LEQ12" s="1402"/>
      <c r="LER12" s="1402"/>
      <c r="LES12" s="1402"/>
      <c r="LET12" s="1402"/>
      <c r="LEU12" s="1402"/>
      <c r="LEV12" s="1402"/>
      <c r="LEW12" s="1402"/>
      <c r="LEX12" s="1402"/>
      <c r="LEY12" s="1402"/>
      <c r="LEZ12" s="1402"/>
      <c r="LFA12" s="1402"/>
      <c r="LFB12" s="1402"/>
      <c r="LFC12" s="1402"/>
      <c r="LFD12" s="1402"/>
      <c r="LFE12" s="1402"/>
      <c r="LFF12" s="1402"/>
      <c r="LFG12" s="1402"/>
      <c r="LFH12" s="1402"/>
      <c r="LFI12" s="1402"/>
      <c r="LFJ12" s="1402"/>
      <c r="LFK12" s="1402"/>
      <c r="LFL12" s="1402"/>
      <c r="LFM12" s="1402"/>
      <c r="LFN12" s="1402"/>
      <c r="LFO12" s="1402"/>
      <c r="LFP12" s="1402"/>
      <c r="LFQ12" s="1402"/>
      <c r="LFR12" s="1402"/>
      <c r="LFS12" s="1402"/>
      <c r="LFT12" s="1402"/>
      <c r="LFU12" s="1402"/>
      <c r="LFV12" s="1402"/>
      <c r="LFW12" s="1402"/>
      <c r="LFX12" s="1402"/>
      <c r="LFY12" s="1402"/>
      <c r="LFZ12" s="1402"/>
      <c r="LGA12" s="1402"/>
      <c r="LGB12" s="1402"/>
      <c r="LGC12" s="1402"/>
      <c r="LGD12" s="1402"/>
      <c r="LGE12" s="1402"/>
      <c r="LGF12" s="1402"/>
      <c r="LGG12" s="1402"/>
      <c r="LGH12" s="1402"/>
      <c r="LGI12" s="1402"/>
      <c r="LGJ12" s="1402"/>
      <c r="LGK12" s="1402"/>
      <c r="LGL12" s="1402"/>
      <c r="LGM12" s="1402"/>
      <c r="LGN12" s="1402"/>
      <c r="LGO12" s="1402"/>
      <c r="LGP12" s="1402"/>
      <c r="LGQ12" s="1402"/>
      <c r="LGR12" s="1402"/>
      <c r="LGS12" s="1402"/>
      <c r="LGT12" s="1402"/>
      <c r="LGU12" s="1402"/>
      <c r="LGV12" s="1402"/>
      <c r="LGW12" s="1402"/>
      <c r="LGX12" s="1402"/>
      <c r="LGY12" s="1402"/>
      <c r="LGZ12" s="1402"/>
      <c r="LHA12" s="1402"/>
      <c r="LHB12" s="1402"/>
      <c r="LHC12" s="1402"/>
      <c r="LHD12" s="1402"/>
      <c r="LHE12" s="1402"/>
      <c r="LHF12" s="1402"/>
      <c r="LHG12" s="1402"/>
      <c r="LHH12" s="1402"/>
      <c r="LHI12" s="1402"/>
      <c r="LHJ12" s="1402"/>
      <c r="LHK12" s="1402"/>
      <c r="LHL12" s="1402"/>
      <c r="LHM12" s="1402"/>
      <c r="LHN12" s="1402"/>
      <c r="LHO12" s="1402"/>
      <c r="LHP12" s="1402"/>
      <c r="LHQ12" s="1402"/>
      <c r="LHR12" s="1402"/>
      <c r="LHS12" s="1402"/>
      <c r="LHT12" s="1402"/>
      <c r="LHU12" s="1402"/>
      <c r="LHV12" s="1402"/>
      <c r="LHW12" s="1402"/>
      <c r="LHX12" s="1402"/>
      <c r="LHY12" s="1402"/>
      <c r="LHZ12" s="1402"/>
      <c r="LIA12" s="1402"/>
      <c r="LIB12" s="1402"/>
      <c r="LIC12" s="1402"/>
      <c r="LID12" s="1402"/>
      <c r="LIE12" s="1402"/>
      <c r="LIF12" s="1402"/>
      <c r="LIG12" s="1402"/>
      <c r="LIH12" s="1402"/>
      <c r="LII12" s="1402"/>
      <c r="LIJ12" s="1402"/>
      <c r="LIK12" s="1402"/>
      <c r="LIL12" s="1402"/>
      <c r="LIM12" s="1402"/>
      <c r="LIN12" s="1402"/>
      <c r="LIO12" s="1402"/>
      <c r="LIP12" s="1402"/>
      <c r="LIQ12" s="1402"/>
      <c r="LIR12" s="1402"/>
      <c r="LIS12" s="1402"/>
      <c r="LIT12" s="1402"/>
      <c r="LIU12" s="1402"/>
      <c r="LIV12" s="1402"/>
      <c r="LIW12" s="1402"/>
      <c r="LIX12" s="1402"/>
      <c r="LIY12" s="1402"/>
      <c r="LIZ12" s="1402"/>
      <c r="LJA12" s="1402"/>
      <c r="LJB12" s="1402"/>
      <c r="LJC12" s="1402"/>
      <c r="LJD12" s="1402"/>
      <c r="LJE12" s="1402"/>
      <c r="LJF12" s="1402"/>
      <c r="LJG12" s="1402"/>
      <c r="LJH12" s="1402"/>
      <c r="LJI12" s="1402"/>
      <c r="LJJ12" s="1402"/>
      <c r="LJK12" s="1402"/>
      <c r="LJL12" s="1402"/>
      <c r="LJM12" s="1402"/>
      <c r="LJN12" s="1402"/>
      <c r="LJO12" s="1402"/>
      <c r="LJP12" s="1402"/>
      <c r="LJQ12" s="1402"/>
      <c r="LJR12" s="1402"/>
      <c r="LJS12" s="1402"/>
      <c r="LJT12" s="1402"/>
      <c r="LJU12" s="1402"/>
      <c r="LJV12" s="1402"/>
      <c r="LJW12" s="1402"/>
      <c r="LJX12" s="1402"/>
      <c r="LJY12" s="1402"/>
      <c r="LJZ12" s="1402"/>
      <c r="LKA12" s="1402"/>
      <c r="LKB12" s="1402"/>
      <c r="LKC12" s="1402"/>
      <c r="LKD12" s="1402"/>
      <c r="LKE12" s="1402"/>
      <c r="LKF12" s="1402"/>
      <c r="LKG12" s="1402"/>
      <c r="LKH12" s="1402"/>
      <c r="LKI12" s="1402"/>
      <c r="LKJ12" s="1402"/>
      <c r="LKK12" s="1402"/>
      <c r="LKL12" s="1402"/>
      <c r="LKM12" s="1402"/>
      <c r="LKN12" s="1402"/>
      <c r="LKO12" s="1402"/>
      <c r="LKP12" s="1402"/>
      <c r="LKQ12" s="1402"/>
      <c r="LKR12" s="1402"/>
      <c r="LKS12" s="1402"/>
      <c r="LKT12" s="1402"/>
      <c r="LKU12" s="1402"/>
      <c r="LKV12" s="1402"/>
      <c r="LKW12" s="1402"/>
      <c r="LKX12" s="1402"/>
      <c r="LKY12" s="1402"/>
      <c r="LKZ12" s="1402"/>
      <c r="LLA12" s="1402"/>
      <c r="LLB12" s="1402"/>
      <c r="LLC12" s="1402"/>
      <c r="LLD12" s="1402"/>
      <c r="LLE12" s="1402"/>
      <c r="LLF12" s="1402"/>
      <c r="LLG12" s="1402"/>
      <c r="LLH12" s="1402"/>
      <c r="LLI12" s="1402"/>
      <c r="LLJ12" s="1402"/>
      <c r="LLK12" s="1402"/>
      <c r="LLL12" s="1402"/>
      <c r="LLM12" s="1402"/>
      <c r="LLN12" s="1402"/>
      <c r="LLO12" s="1402"/>
      <c r="LLP12" s="1402"/>
      <c r="LLQ12" s="1402"/>
      <c r="LLR12" s="1402"/>
      <c r="LLS12" s="1402"/>
      <c r="LLT12" s="1402"/>
      <c r="LLU12" s="1402"/>
      <c r="LLV12" s="1402"/>
      <c r="LLW12" s="1402"/>
      <c r="LLX12" s="1402"/>
      <c r="LLY12" s="1402"/>
      <c r="LLZ12" s="1402"/>
      <c r="LMA12" s="1402"/>
      <c r="LMB12" s="1402"/>
      <c r="LMC12" s="1402"/>
      <c r="LMD12" s="1402"/>
      <c r="LME12" s="1402"/>
      <c r="LMF12" s="1402"/>
      <c r="LMG12" s="1402"/>
      <c r="LMH12" s="1402"/>
      <c r="LMI12" s="1402"/>
      <c r="LMJ12" s="1402"/>
      <c r="LMK12" s="1402"/>
      <c r="LML12" s="1402"/>
      <c r="LMM12" s="1402"/>
      <c r="LMN12" s="1402"/>
      <c r="LMO12" s="1402"/>
      <c r="LMP12" s="1402"/>
      <c r="LMQ12" s="1402"/>
      <c r="LMR12" s="1402"/>
      <c r="LMS12" s="1402"/>
      <c r="LMT12" s="1402"/>
      <c r="LMU12" s="1402"/>
      <c r="LMV12" s="1402"/>
      <c r="LMW12" s="1402"/>
      <c r="LMX12" s="1402"/>
      <c r="LMY12" s="1402"/>
      <c r="LMZ12" s="1402"/>
      <c r="LNA12" s="1402"/>
      <c r="LNB12" s="1402"/>
      <c r="LNC12" s="1402"/>
      <c r="LND12" s="1402"/>
      <c r="LNE12" s="1402"/>
      <c r="LNF12" s="1402"/>
      <c r="LNG12" s="1402"/>
      <c r="LNH12" s="1402"/>
      <c r="LNI12" s="1402"/>
      <c r="LNJ12" s="1402"/>
      <c r="LNK12" s="1402"/>
      <c r="LNL12" s="1402"/>
      <c r="LNM12" s="1402"/>
      <c r="LNN12" s="1402"/>
      <c r="LNO12" s="1402"/>
      <c r="LNP12" s="1402"/>
      <c r="LNQ12" s="1402"/>
      <c r="LNR12" s="1402"/>
      <c r="LNS12" s="1402"/>
      <c r="LNT12" s="1402"/>
      <c r="LNU12" s="1402"/>
      <c r="LNV12" s="1402"/>
      <c r="LNW12" s="1402"/>
      <c r="LNX12" s="1402"/>
      <c r="LNY12" s="1402"/>
      <c r="LNZ12" s="1402"/>
      <c r="LOA12" s="1402"/>
      <c r="LOB12" s="1402"/>
      <c r="LOC12" s="1402"/>
      <c r="LOD12" s="1402"/>
      <c r="LOE12" s="1402"/>
      <c r="LOF12" s="1402"/>
      <c r="LOG12" s="1402"/>
      <c r="LOH12" s="1402"/>
      <c r="LOI12" s="1402"/>
      <c r="LOJ12" s="1402"/>
      <c r="LOK12" s="1402"/>
      <c r="LOL12" s="1402"/>
      <c r="LOM12" s="1402"/>
      <c r="LON12" s="1402"/>
      <c r="LOO12" s="1402"/>
      <c r="LOP12" s="1402"/>
      <c r="LOQ12" s="1402"/>
      <c r="LOR12" s="1402"/>
      <c r="LOS12" s="1402"/>
      <c r="LOT12" s="1402"/>
      <c r="LOU12" s="1402"/>
      <c r="LOV12" s="1402"/>
      <c r="LOW12" s="1402"/>
      <c r="LOX12" s="1402"/>
      <c r="LOY12" s="1402"/>
      <c r="LOZ12" s="1402"/>
      <c r="LPA12" s="1402"/>
      <c r="LPB12" s="1402"/>
      <c r="LPC12" s="1402"/>
      <c r="LPD12" s="1402"/>
      <c r="LPE12" s="1402"/>
      <c r="LPF12" s="1402"/>
      <c r="LPG12" s="1402"/>
      <c r="LPH12" s="1402"/>
      <c r="LPI12" s="1402"/>
      <c r="LPJ12" s="1402"/>
      <c r="LPK12" s="1402"/>
      <c r="LPL12" s="1402"/>
      <c r="LPM12" s="1402"/>
      <c r="LPN12" s="1402"/>
      <c r="LPO12" s="1402"/>
      <c r="LPP12" s="1402"/>
      <c r="LPQ12" s="1402"/>
      <c r="LPR12" s="1402"/>
      <c r="LPS12" s="1402"/>
      <c r="LPT12" s="1402"/>
      <c r="LPU12" s="1402"/>
      <c r="LPV12" s="1402"/>
      <c r="LPW12" s="1402"/>
      <c r="LPX12" s="1402"/>
      <c r="LPY12" s="1402"/>
      <c r="LPZ12" s="1402"/>
      <c r="LQA12" s="1402"/>
      <c r="LQB12" s="1402"/>
      <c r="LQC12" s="1402"/>
      <c r="LQD12" s="1402"/>
      <c r="LQE12" s="1402"/>
      <c r="LQF12" s="1402"/>
      <c r="LQG12" s="1402"/>
      <c r="LQH12" s="1402"/>
      <c r="LQI12" s="1402"/>
      <c r="LQJ12" s="1402"/>
      <c r="LQK12" s="1402"/>
      <c r="LQL12" s="1402"/>
      <c r="LQM12" s="1402"/>
      <c r="LQN12" s="1402"/>
      <c r="LQO12" s="1402"/>
      <c r="LQP12" s="1402"/>
      <c r="LQQ12" s="1402"/>
      <c r="LQR12" s="1402"/>
      <c r="LQS12" s="1402"/>
      <c r="LQT12" s="1402"/>
      <c r="LQU12" s="1402"/>
      <c r="LQV12" s="1402"/>
      <c r="LQW12" s="1402"/>
      <c r="LQX12" s="1402"/>
      <c r="LQY12" s="1402"/>
      <c r="LQZ12" s="1402"/>
      <c r="LRA12" s="1402"/>
      <c r="LRB12" s="1402"/>
      <c r="LRC12" s="1402"/>
      <c r="LRD12" s="1402"/>
      <c r="LRE12" s="1402"/>
      <c r="LRF12" s="1402"/>
      <c r="LRG12" s="1402"/>
      <c r="LRH12" s="1402"/>
      <c r="LRI12" s="1402"/>
      <c r="LRJ12" s="1402"/>
      <c r="LRK12" s="1402"/>
      <c r="LRL12" s="1402"/>
      <c r="LRM12" s="1402"/>
      <c r="LRN12" s="1402"/>
      <c r="LRO12" s="1402"/>
      <c r="LRP12" s="1402"/>
      <c r="LRQ12" s="1402"/>
      <c r="LRR12" s="1402"/>
      <c r="LRS12" s="1402"/>
      <c r="LRT12" s="1402"/>
      <c r="LRU12" s="1402"/>
      <c r="LRV12" s="1402"/>
      <c r="LRW12" s="1402"/>
      <c r="LRX12" s="1402"/>
      <c r="LRY12" s="1402"/>
      <c r="LRZ12" s="1402"/>
      <c r="LSA12" s="1402"/>
      <c r="LSB12" s="1402"/>
      <c r="LSC12" s="1402"/>
      <c r="LSD12" s="1402"/>
      <c r="LSE12" s="1402"/>
      <c r="LSF12" s="1402"/>
      <c r="LSG12" s="1402"/>
      <c r="LSH12" s="1402"/>
      <c r="LSI12" s="1402"/>
      <c r="LSJ12" s="1402"/>
      <c r="LSK12" s="1402"/>
      <c r="LSL12" s="1402"/>
      <c r="LSM12" s="1402"/>
      <c r="LSN12" s="1402"/>
      <c r="LSO12" s="1402"/>
      <c r="LSP12" s="1402"/>
      <c r="LSQ12" s="1402"/>
      <c r="LSR12" s="1402"/>
      <c r="LSS12" s="1402"/>
      <c r="LST12" s="1402"/>
      <c r="LSU12" s="1402"/>
      <c r="LSV12" s="1402"/>
      <c r="LSW12" s="1402"/>
      <c r="LSX12" s="1402"/>
      <c r="LSY12" s="1402"/>
      <c r="LSZ12" s="1402"/>
      <c r="LTA12" s="1402"/>
      <c r="LTB12" s="1402"/>
      <c r="LTC12" s="1402"/>
      <c r="LTD12" s="1402"/>
      <c r="LTE12" s="1402"/>
      <c r="LTF12" s="1402"/>
      <c r="LTG12" s="1402"/>
      <c r="LTH12" s="1402"/>
      <c r="LTI12" s="1402"/>
      <c r="LTJ12" s="1402"/>
      <c r="LTK12" s="1402"/>
      <c r="LTL12" s="1402"/>
      <c r="LTM12" s="1402"/>
      <c r="LTN12" s="1402"/>
      <c r="LTO12" s="1402"/>
      <c r="LTP12" s="1402"/>
      <c r="LTQ12" s="1402"/>
      <c r="LTR12" s="1402"/>
      <c r="LTS12" s="1402"/>
      <c r="LTT12" s="1402"/>
      <c r="LTU12" s="1402"/>
      <c r="LTV12" s="1402"/>
      <c r="LTW12" s="1402"/>
      <c r="LTX12" s="1402"/>
      <c r="LTY12" s="1402"/>
      <c r="LTZ12" s="1402"/>
      <c r="LUA12" s="1402"/>
      <c r="LUB12" s="1402"/>
      <c r="LUC12" s="1402"/>
      <c r="LUD12" s="1402"/>
      <c r="LUE12" s="1402"/>
      <c r="LUF12" s="1402"/>
      <c r="LUG12" s="1402"/>
      <c r="LUH12" s="1402"/>
      <c r="LUI12" s="1402"/>
      <c r="LUJ12" s="1402"/>
      <c r="LUK12" s="1402"/>
      <c r="LUL12" s="1402"/>
      <c r="LUM12" s="1402"/>
      <c r="LUN12" s="1402"/>
      <c r="LUO12" s="1402"/>
      <c r="LUP12" s="1402"/>
      <c r="LUQ12" s="1402"/>
      <c r="LUR12" s="1402"/>
      <c r="LUS12" s="1402"/>
      <c r="LUT12" s="1402"/>
      <c r="LUU12" s="1402"/>
      <c r="LUV12" s="1402"/>
      <c r="LUW12" s="1402"/>
      <c r="LUX12" s="1402"/>
      <c r="LUY12" s="1402"/>
      <c r="LUZ12" s="1402"/>
      <c r="LVA12" s="1402"/>
      <c r="LVB12" s="1402"/>
      <c r="LVC12" s="1402"/>
      <c r="LVD12" s="1402"/>
      <c r="LVE12" s="1402"/>
      <c r="LVF12" s="1402"/>
      <c r="LVG12" s="1402"/>
      <c r="LVH12" s="1402"/>
      <c r="LVI12" s="1402"/>
      <c r="LVJ12" s="1402"/>
      <c r="LVK12" s="1402"/>
      <c r="LVL12" s="1402"/>
      <c r="LVM12" s="1402"/>
      <c r="LVN12" s="1402"/>
      <c r="LVO12" s="1402"/>
      <c r="LVP12" s="1402"/>
      <c r="LVQ12" s="1402"/>
      <c r="LVR12" s="1402"/>
      <c r="LVS12" s="1402"/>
      <c r="LVT12" s="1402"/>
      <c r="LVU12" s="1402"/>
      <c r="LVV12" s="1402"/>
      <c r="LVW12" s="1402"/>
      <c r="LVX12" s="1402"/>
      <c r="LVY12" s="1402"/>
      <c r="LVZ12" s="1402"/>
      <c r="LWA12" s="1402"/>
      <c r="LWB12" s="1402"/>
      <c r="LWC12" s="1402"/>
      <c r="LWD12" s="1402"/>
      <c r="LWE12" s="1402"/>
      <c r="LWF12" s="1402"/>
      <c r="LWG12" s="1402"/>
      <c r="LWH12" s="1402"/>
      <c r="LWI12" s="1402"/>
      <c r="LWJ12" s="1402"/>
      <c r="LWK12" s="1402"/>
      <c r="LWL12" s="1402"/>
      <c r="LWM12" s="1402"/>
      <c r="LWN12" s="1402"/>
      <c r="LWO12" s="1402"/>
      <c r="LWP12" s="1402"/>
      <c r="LWQ12" s="1402"/>
      <c r="LWR12" s="1402"/>
      <c r="LWS12" s="1402"/>
      <c r="LWT12" s="1402"/>
      <c r="LWU12" s="1402"/>
      <c r="LWV12" s="1402"/>
      <c r="LWW12" s="1402"/>
      <c r="LWX12" s="1402"/>
      <c r="LWY12" s="1402"/>
      <c r="LWZ12" s="1402"/>
      <c r="LXA12" s="1402"/>
      <c r="LXB12" s="1402"/>
      <c r="LXC12" s="1402"/>
      <c r="LXD12" s="1402"/>
      <c r="LXE12" s="1402"/>
      <c r="LXF12" s="1402"/>
      <c r="LXG12" s="1402"/>
      <c r="LXH12" s="1402"/>
      <c r="LXI12" s="1402"/>
      <c r="LXJ12" s="1402"/>
      <c r="LXK12" s="1402"/>
      <c r="LXL12" s="1402"/>
      <c r="LXM12" s="1402"/>
      <c r="LXN12" s="1402"/>
      <c r="LXO12" s="1402"/>
      <c r="LXP12" s="1402"/>
      <c r="LXQ12" s="1402"/>
      <c r="LXR12" s="1402"/>
      <c r="LXS12" s="1402"/>
      <c r="LXT12" s="1402"/>
      <c r="LXU12" s="1402"/>
      <c r="LXV12" s="1402"/>
      <c r="LXW12" s="1402"/>
      <c r="LXX12" s="1402"/>
      <c r="LXY12" s="1402"/>
      <c r="LXZ12" s="1402"/>
      <c r="LYA12" s="1402"/>
      <c r="LYB12" s="1402"/>
      <c r="LYC12" s="1402"/>
      <c r="LYD12" s="1402"/>
      <c r="LYE12" s="1402"/>
      <c r="LYF12" s="1402"/>
      <c r="LYG12" s="1402"/>
      <c r="LYH12" s="1402"/>
      <c r="LYI12" s="1402"/>
      <c r="LYJ12" s="1402"/>
      <c r="LYK12" s="1402"/>
      <c r="LYL12" s="1402"/>
      <c r="LYM12" s="1402"/>
      <c r="LYN12" s="1402"/>
      <c r="LYO12" s="1402"/>
      <c r="LYP12" s="1402"/>
      <c r="LYQ12" s="1402"/>
      <c r="LYR12" s="1402"/>
      <c r="LYS12" s="1402"/>
      <c r="LYT12" s="1402"/>
      <c r="LYU12" s="1402"/>
      <c r="LYV12" s="1402"/>
      <c r="LYW12" s="1402"/>
      <c r="LYX12" s="1402"/>
      <c r="LYY12" s="1402"/>
      <c r="LYZ12" s="1402"/>
      <c r="LZA12" s="1402"/>
      <c r="LZB12" s="1402"/>
      <c r="LZC12" s="1402"/>
      <c r="LZD12" s="1402"/>
      <c r="LZE12" s="1402"/>
      <c r="LZF12" s="1402"/>
      <c r="LZG12" s="1402"/>
      <c r="LZH12" s="1402"/>
      <c r="LZI12" s="1402"/>
      <c r="LZJ12" s="1402"/>
      <c r="LZK12" s="1402"/>
      <c r="LZL12" s="1402"/>
      <c r="LZM12" s="1402"/>
      <c r="LZN12" s="1402"/>
      <c r="LZO12" s="1402"/>
      <c r="LZP12" s="1402"/>
      <c r="LZQ12" s="1402"/>
      <c r="LZR12" s="1402"/>
      <c r="LZS12" s="1402"/>
      <c r="LZT12" s="1402"/>
      <c r="LZU12" s="1402"/>
      <c r="LZV12" s="1402"/>
      <c r="LZW12" s="1402"/>
      <c r="LZX12" s="1402"/>
      <c r="LZY12" s="1402"/>
      <c r="LZZ12" s="1402"/>
      <c r="MAA12" s="1402"/>
      <c r="MAB12" s="1402"/>
      <c r="MAC12" s="1402"/>
      <c r="MAD12" s="1402"/>
      <c r="MAE12" s="1402"/>
      <c r="MAF12" s="1402"/>
      <c r="MAG12" s="1402"/>
      <c r="MAH12" s="1402"/>
      <c r="MAI12" s="1402"/>
      <c r="MAJ12" s="1402"/>
      <c r="MAK12" s="1402"/>
      <c r="MAL12" s="1402"/>
      <c r="MAM12" s="1402"/>
      <c r="MAN12" s="1402"/>
      <c r="MAO12" s="1402"/>
      <c r="MAP12" s="1402"/>
      <c r="MAQ12" s="1402"/>
      <c r="MAR12" s="1402"/>
      <c r="MAS12" s="1402"/>
      <c r="MAT12" s="1402"/>
      <c r="MAU12" s="1402"/>
      <c r="MAV12" s="1402"/>
      <c r="MAW12" s="1402"/>
      <c r="MAX12" s="1402"/>
      <c r="MAY12" s="1402"/>
      <c r="MAZ12" s="1402"/>
      <c r="MBA12" s="1402"/>
      <c r="MBB12" s="1402"/>
      <c r="MBC12" s="1402"/>
      <c r="MBD12" s="1402"/>
      <c r="MBE12" s="1402"/>
      <c r="MBF12" s="1402"/>
      <c r="MBG12" s="1402"/>
      <c r="MBH12" s="1402"/>
      <c r="MBI12" s="1402"/>
      <c r="MBJ12" s="1402"/>
      <c r="MBK12" s="1402"/>
      <c r="MBL12" s="1402"/>
      <c r="MBM12" s="1402"/>
      <c r="MBN12" s="1402"/>
      <c r="MBO12" s="1402"/>
      <c r="MBP12" s="1402"/>
      <c r="MBQ12" s="1402"/>
      <c r="MBR12" s="1402"/>
      <c r="MBS12" s="1402"/>
      <c r="MBT12" s="1402"/>
      <c r="MBU12" s="1402"/>
      <c r="MBV12" s="1402"/>
      <c r="MBW12" s="1402"/>
      <c r="MBX12" s="1402"/>
      <c r="MBY12" s="1402"/>
      <c r="MBZ12" s="1402"/>
      <c r="MCA12" s="1402"/>
      <c r="MCB12" s="1402"/>
      <c r="MCC12" s="1402"/>
      <c r="MCD12" s="1402"/>
      <c r="MCE12" s="1402"/>
      <c r="MCF12" s="1402"/>
      <c r="MCG12" s="1402"/>
      <c r="MCH12" s="1402"/>
      <c r="MCI12" s="1402"/>
      <c r="MCJ12" s="1402"/>
      <c r="MCK12" s="1402"/>
      <c r="MCL12" s="1402"/>
      <c r="MCM12" s="1402"/>
      <c r="MCN12" s="1402"/>
      <c r="MCO12" s="1402"/>
      <c r="MCP12" s="1402"/>
      <c r="MCQ12" s="1402"/>
      <c r="MCR12" s="1402"/>
      <c r="MCS12" s="1402"/>
      <c r="MCT12" s="1402"/>
      <c r="MCU12" s="1402"/>
      <c r="MCV12" s="1402"/>
      <c r="MCW12" s="1402"/>
      <c r="MCX12" s="1402"/>
      <c r="MCY12" s="1402"/>
      <c r="MCZ12" s="1402"/>
      <c r="MDA12" s="1402"/>
      <c r="MDB12" s="1402"/>
      <c r="MDC12" s="1402"/>
      <c r="MDD12" s="1402"/>
      <c r="MDE12" s="1402"/>
      <c r="MDF12" s="1402"/>
      <c r="MDG12" s="1402"/>
      <c r="MDH12" s="1402"/>
      <c r="MDI12" s="1402"/>
      <c r="MDJ12" s="1402"/>
      <c r="MDK12" s="1402"/>
      <c r="MDL12" s="1402"/>
      <c r="MDM12" s="1402"/>
      <c r="MDN12" s="1402"/>
      <c r="MDO12" s="1402"/>
      <c r="MDP12" s="1402"/>
      <c r="MDQ12" s="1402"/>
      <c r="MDR12" s="1402"/>
      <c r="MDS12" s="1402"/>
      <c r="MDT12" s="1402"/>
      <c r="MDU12" s="1402"/>
      <c r="MDV12" s="1402"/>
      <c r="MDW12" s="1402"/>
      <c r="MDX12" s="1402"/>
      <c r="MDY12" s="1402"/>
      <c r="MDZ12" s="1402"/>
      <c r="MEA12" s="1402"/>
      <c r="MEB12" s="1402"/>
      <c r="MEC12" s="1402"/>
      <c r="MED12" s="1402"/>
      <c r="MEE12" s="1402"/>
      <c r="MEF12" s="1402"/>
      <c r="MEG12" s="1402"/>
      <c r="MEH12" s="1402"/>
      <c r="MEI12" s="1402"/>
      <c r="MEJ12" s="1402"/>
      <c r="MEK12" s="1402"/>
      <c r="MEL12" s="1402"/>
      <c r="MEM12" s="1402"/>
      <c r="MEN12" s="1402"/>
      <c r="MEO12" s="1402"/>
      <c r="MEP12" s="1402"/>
      <c r="MEQ12" s="1402"/>
      <c r="MER12" s="1402"/>
      <c r="MES12" s="1402"/>
      <c r="MET12" s="1402"/>
      <c r="MEU12" s="1402"/>
      <c r="MEV12" s="1402"/>
      <c r="MEW12" s="1402"/>
      <c r="MEX12" s="1402"/>
      <c r="MEY12" s="1402"/>
      <c r="MEZ12" s="1402"/>
      <c r="MFA12" s="1402"/>
      <c r="MFB12" s="1402"/>
      <c r="MFC12" s="1402"/>
      <c r="MFD12" s="1402"/>
      <c r="MFE12" s="1402"/>
      <c r="MFF12" s="1402"/>
      <c r="MFG12" s="1402"/>
      <c r="MFH12" s="1402"/>
      <c r="MFI12" s="1402"/>
      <c r="MFJ12" s="1402"/>
      <c r="MFK12" s="1402"/>
      <c r="MFL12" s="1402"/>
      <c r="MFM12" s="1402"/>
      <c r="MFN12" s="1402"/>
      <c r="MFO12" s="1402"/>
      <c r="MFP12" s="1402"/>
      <c r="MFQ12" s="1402"/>
      <c r="MFR12" s="1402"/>
      <c r="MFS12" s="1402"/>
      <c r="MFT12" s="1402"/>
      <c r="MFU12" s="1402"/>
      <c r="MFV12" s="1402"/>
      <c r="MFW12" s="1402"/>
      <c r="MFX12" s="1402"/>
      <c r="MFY12" s="1402"/>
      <c r="MFZ12" s="1402"/>
      <c r="MGA12" s="1402"/>
      <c r="MGB12" s="1402"/>
      <c r="MGC12" s="1402"/>
      <c r="MGD12" s="1402"/>
      <c r="MGE12" s="1402"/>
      <c r="MGF12" s="1402"/>
      <c r="MGG12" s="1402"/>
      <c r="MGH12" s="1402"/>
      <c r="MGI12" s="1402"/>
      <c r="MGJ12" s="1402"/>
      <c r="MGK12" s="1402"/>
      <c r="MGL12" s="1402"/>
      <c r="MGM12" s="1402"/>
      <c r="MGN12" s="1402"/>
      <c r="MGO12" s="1402"/>
      <c r="MGP12" s="1402"/>
      <c r="MGQ12" s="1402"/>
      <c r="MGR12" s="1402"/>
      <c r="MGS12" s="1402"/>
      <c r="MGT12" s="1402"/>
      <c r="MGU12" s="1402"/>
      <c r="MGV12" s="1402"/>
      <c r="MGW12" s="1402"/>
      <c r="MGX12" s="1402"/>
      <c r="MGY12" s="1402"/>
      <c r="MGZ12" s="1402"/>
      <c r="MHA12" s="1402"/>
      <c r="MHB12" s="1402"/>
      <c r="MHC12" s="1402"/>
      <c r="MHD12" s="1402"/>
      <c r="MHE12" s="1402"/>
      <c r="MHF12" s="1402"/>
      <c r="MHG12" s="1402"/>
      <c r="MHH12" s="1402"/>
      <c r="MHI12" s="1402"/>
      <c r="MHJ12" s="1402"/>
      <c r="MHK12" s="1402"/>
      <c r="MHL12" s="1402"/>
      <c r="MHM12" s="1402"/>
      <c r="MHN12" s="1402"/>
      <c r="MHO12" s="1402"/>
      <c r="MHP12" s="1402"/>
      <c r="MHQ12" s="1402"/>
      <c r="MHR12" s="1402"/>
      <c r="MHS12" s="1402"/>
      <c r="MHT12" s="1402"/>
      <c r="MHU12" s="1402"/>
      <c r="MHV12" s="1402"/>
      <c r="MHW12" s="1402"/>
      <c r="MHX12" s="1402"/>
      <c r="MHY12" s="1402"/>
      <c r="MHZ12" s="1402"/>
      <c r="MIA12" s="1402"/>
      <c r="MIB12" s="1402"/>
      <c r="MIC12" s="1402"/>
      <c r="MID12" s="1402"/>
      <c r="MIE12" s="1402"/>
      <c r="MIF12" s="1402"/>
      <c r="MIG12" s="1402"/>
      <c r="MIH12" s="1402"/>
      <c r="MII12" s="1402"/>
      <c r="MIJ12" s="1402"/>
      <c r="MIK12" s="1402"/>
      <c r="MIL12" s="1402"/>
      <c r="MIM12" s="1402"/>
      <c r="MIN12" s="1402"/>
      <c r="MIO12" s="1402"/>
      <c r="MIP12" s="1402"/>
      <c r="MIQ12" s="1402"/>
      <c r="MIR12" s="1402"/>
      <c r="MIS12" s="1402"/>
      <c r="MIT12" s="1402"/>
      <c r="MIU12" s="1402"/>
      <c r="MIV12" s="1402"/>
      <c r="MIW12" s="1402"/>
      <c r="MIX12" s="1402"/>
      <c r="MIY12" s="1402"/>
      <c r="MIZ12" s="1402"/>
      <c r="MJA12" s="1402"/>
      <c r="MJB12" s="1402"/>
      <c r="MJC12" s="1402"/>
      <c r="MJD12" s="1402"/>
      <c r="MJE12" s="1402"/>
      <c r="MJF12" s="1402"/>
      <c r="MJG12" s="1402"/>
      <c r="MJH12" s="1402"/>
      <c r="MJI12" s="1402"/>
      <c r="MJJ12" s="1402"/>
      <c r="MJK12" s="1402"/>
      <c r="MJL12" s="1402"/>
      <c r="MJM12" s="1402"/>
      <c r="MJN12" s="1402"/>
      <c r="MJO12" s="1402"/>
      <c r="MJP12" s="1402"/>
      <c r="MJQ12" s="1402"/>
      <c r="MJR12" s="1402"/>
      <c r="MJS12" s="1402"/>
      <c r="MJT12" s="1402"/>
      <c r="MJU12" s="1402"/>
      <c r="MJV12" s="1402"/>
      <c r="MJW12" s="1402"/>
      <c r="MJX12" s="1402"/>
      <c r="MJY12" s="1402"/>
      <c r="MJZ12" s="1402"/>
      <c r="MKA12" s="1402"/>
      <c r="MKB12" s="1402"/>
      <c r="MKC12" s="1402"/>
      <c r="MKD12" s="1402"/>
      <c r="MKE12" s="1402"/>
      <c r="MKF12" s="1402"/>
      <c r="MKG12" s="1402"/>
      <c r="MKH12" s="1402"/>
      <c r="MKI12" s="1402"/>
      <c r="MKJ12" s="1402"/>
      <c r="MKK12" s="1402"/>
      <c r="MKL12" s="1402"/>
      <c r="MKM12" s="1402"/>
      <c r="MKN12" s="1402"/>
      <c r="MKO12" s="1402"/>
      <c r="MKP12" s="1402"/>
      <c r="MKQ12" s="1402"/>
      <c r="MKR12" s="1402"/>
      <c r="MKS12" s="1402"/>
      <c r="MKT12" s="1402"/>
      <c r="MKU12" s="1402"/>
      <c r="MKV12" s="1402"/>
      <c r="MKW12" s="1402"/>
      <c r="MKX12" s="1402"/>
      <c r="MKY12" s="1402"/>
      <c r="MKZ12" s="1402"/>
      <c r="MLA12" s="1402"/>
      <c r="MLB12" s="1402"/>
      <c r="MLC12" s="1402"/>
      <c r="MLD12" s="1402"/>
      <c r="MLE12" s="1402"/>
      <c r="MLF12" s="1402"/>
      <c r="MLG12" s="1402"/>
      <c r="MLH12" s="1402"/>
      <c r="MLI12" s="1402"/>
      <c r="MLJ12" s="1402"/>
      <c r="MLK12" s="1402"/>
      <c r="MLL12" s="1402"/>
      <c r="MLM12" s="1402"/>
      <c r="MLN12" s="1402"/>
      <c r="MLO12" s="1402"/>
      <c r="MLP12" s="1402"/>
      <c r="MLQ12" s="1402"/>
      <c r="MLR12" s="1402"/>
      <c r="MLS12" s="1402"/>
      <c r="MLT12" s="1402"/>
      <c r="MLU12" s="1402"/>
      <c r="MLV12" s="1402"/>
      <c r="MLW12" s="1402"/>
      <c r="MLX12" s="1402"/>
      <c r="MLY12" s="1402"/>
      <c r="MLZ12" s="1402"/>
      <c r="MMA12" s="1402"/>
      <c r="MMB12" s="1402"/>
      <c r="MMC12" s="1402"/>
      <c r="MMD12" s="1402"/>
      <c r="MME12" s="1402"/>
      <c r="MMF12" s="1402"/>
      <c r="MMG12" s="1402"/>
      <c r="MMH12" s="1402"/>
      <c r="MMI12" s="1402"/>
      <c r="MMJ12" s="1402"/>
      <c r="MMK12" s="1402"/>
      <c r="MML12" s="1402"/>
      <c r="MMM12" s="1402"/>
      <c r="MMN12" s="1402"/>
      <c r="MMO12" s="1402"/>
      <c r="MMP12" s="1402"/>
      <c r="MMQ12" s="1402"/>
      <c r="MMR12" s="1402"/>
      <c r="MMS12" s="1402"/>
      <c r="MMT12" s="1402"/>
      <c r="MMU12" s="1402"/>
      <c r="MMV12" s="1402"/>
      <c r="MMW12" s="1402"/>
      <c r="MMX12" s="1402"/>
      <c r="MMY12" s="1402"/>
      <c r="MMZ12" s="1402"/>
      <c r="MNA12" s="1402"/>
      <c r="MNB12" s="1402"/>
      <c r="MNC12" s="1402"/>
      <c r="MND12" s="1402"/>
      <c r="MNE12" s="1402"/>
      <c r="MNF12" s="1402"/>
      <c r="MNG12" s="1402"/>
      <c r="MNH12" s="1402"/>
      <c r="MNI12" s="1402"/>
      <c r="MNJ12" s="1402"/>
      <c r="MNK12" s="1402"/>
      <c r="MNL12" s="1402"/>
      <c r="MNM12" s="1402"/>
      <c r="MNN12" s="1402"/>
      <c r="MNO12" s="1402"/>
      <c r="MNP12" s="1402"/>
      <c r="MNQ12" s="1402"/>
      <c r="MNR12" s="1402"/>
      <c r="MNS12" s="1402"/>
      <c r="MNT12" s="1402"/>
      <c r="MNU12" s="1402"/>
      <c r="MNV12" s="1402"/>
      <c r="MNW12" s="1402"/>
      <c r="MNX12" s="1402"/>
      <c r="MNY12" s="1402"/>
      <c r="MNZ12" s="1402"/>
      <c r="MOA12" s="1402"/>
      <c r="MOB12" s="1402"/>
      <c r="MOC12" s="1402"/>
      <c r="MOD12" s="1402"/>
      <c r="MOE12" s="1402"/>
      <c r="MOF12" s="1402"/>
      <c r="MOG12" s="1402"/>
      <c r="MOH12" s="1402"/>
      <c r="MOI12" s="1402"/>
      <c r="MOJ12" s="1402"/>
      <c r="MOK12" s="1402"/>
      <c r="MOL12" s="1402"/>
      <c r="MOM12" s="1402"/>
      <c r="MON12" s="1402"/>
      <c r="MOO12" s="1402"/>
      <c r="MOP12" s="1402"/>
      <c r="MOQ12" s="1402"/>
      <c r="MOR12" s="1402"/>
      <c r="MOS12" s="1402"/>
      <c r="MOT12" s="1402"/>
      <c r="MOU12" s="1402"/>
      <c r="MOV12" s="1402"/>
      <c r="MOW12" s="1402"/>
      <c r="MOX12" s="1402"/>
      <c r="MOY12" s="1402"/>
      <c r="MOZ12" s="1402"/>
      <c r="MPA12" s="1402"/>
      <c r="MPB12" s="1402"/>
      <c r="MPC12" s="1402"/>
      <c r="MPD12" s="1402"/>
      <c r="MPE12" s="1402"/>
      <c r="MPF12" s="1402"/>
      <c r="MPG12" s="1402"/>
      <c r="MPH12" s="1402"/>
      <c r="MPI12" s="1402"/>
      <c r="MPJ12" s="1402"/>
      <c r="MPK12" s="1402"/>
      <c r="MPL12" s="1402"/>
      <c r="MPM12" s="1402"/>
      <c r="MPN12" s="1402"/>
      <c r="MPO12" s="1402"/>
      <c r="MPP12" s="1402"/>
      <c r="MPQ12" s="1402"/>
      <c r="MPR12" s="1402"/>
      <c r="MPS12" s="1402"/>
      <c r="MPT12" s="1402"/>
      <c r="MPU12" s="1402"/>
      <c r="MPV12" s="1402"/>
      <c r="MPW12" s="1402"/>
      <c r="MPX12" s="1402"/>
      <c r="MPY12" s="1402"/>
      <c r="MPZ12" s="1402"/>
      <c r="MQA12" s="1402"/>
      <c r="MQB12" s="1402"/>
      <c r="MQC12" s="1402"/>
      <c r="MQD12" s="1402"/>
      <c r="MQE12" s="1402"/>
      <c r="MQF12" s="1402"/>
      <c r="MQG12" s="1402"/>
      <c r="MQH12" s="1402"/>
      <c r="MQI12" s="1402"/>
      <c r="MQJ12" s="1402"/>
      <c r="MQK12" s="1402"/>
      <c r="MQL12" s="1402"/>
      <c r="MQM12" s="1402"/>
      <c r="MQN12" s="1402"/>
      <c r="MQO12" s="1402"/>
      <c r="MQP12" s="1402"/>
      <c r="MQQ12" s="1402"/>
      <c r="MQR12" s="1402"/>
      <c r="MQS12" s="1402"/>
      <c r="MQT12" s="1402"/>
      <c r="MQU12" s="1402"/>
      <c r="MQV12" s="1402"/>
      <c r="MQW12" s="1402"/>
      <c r="MQX12" s="1402"/>
      <c r="MQY12" s="1402"/>
      <c r="MQZ12" s="1402"/>
      <c r="MRA12" s="1402"/>
      <c r="MRB12" s="1402"/>
      <c r="MRC12" s="1402"/>
      <c r="MRD12" s="1402"/>
      <c r="MRE12" s="1402"/>
      <c r="MRF12" s="1402"/>
      <c r="MRG12" s="1402"/>
      <c r="MRH12" s="1402"/>
      <c r="MRI12" s="1402"/>
      <c r="MRJ12" s="1402"/>
      <c r="MRK12" s="1402"/>
      <c r="MRL12" s="1402"/>
      <c r="MRM12" s="1402"/>
      <c r="MRN12" s="1402"/>
      <c r="MRO12" s="1402"/>
      <c r="MRP12" s="1402"/>
      <c r="MRQ12" s="1402"/>
      <c r="MRR12" s="1402"/>
      <c r="MRS12" s="1402"/>
      <c r="MRT12" s="1402"/>
      <c r="MRU12" s="1402"/>
      <c r="MRV12" s="1402"/>
      <c r="MRW12" s="1402"/>
      <c r="MRX12" s="1402"/>
      <c r="MRY12" s="1402"/>
      <c r="MRZ12" s="1402"/>
      <c r="MSA12" s="1402"/>
      <c r="MSB12" s="1402"/>
      <c r="MSC12" s="1402"/>
      <c r="MSD12" s="1402"/>
      <c r="MSE12" s="1402"/>
      <c r="MSF12" s="1402"/>
      <c r="MSG12" s="1402"/>
      <c r="MSH12" s="1402"/>
      <c r="MSI12" s="1402"/>
      <c r="MSJ12" s="1402"/>
      <c r="MSK12" s="1402"/>
      <c r="MSL12" s="1402"/>
      <c r="MSM12" s="1402"/>
      <c r="MSN12" s="1402"/>
      <c r="MSO12" s="1402"/>
      <c r="MSP12" s="1402"/>
      <c r="MSQ12" s="1402"/>
      <c r="MSR12" s="1402"/>
      <c r="MSS12" s="1402"/>
      <c r="MST12" s="1402"/>
      <c r="MSU12" s="1402"/>
      <c r="MSV12" s="1402"/>
      <c r="MSW12" s="1402"/>
      <c r="MSX12" s="1402"/>
      <c r="MSY12" s="1402"/>
      <c r="MSZ12" s="1402"/>
      <c r="MTA12" s="1402"/>
      <c r="MTB12" s="1402"/>
      <c r="MTC12" s="1402"/>
      <c r="MTD12" s="1402"/>
      <c r="MTE12" s="1402"/>
      <c r="MTF12" s="1402"/>
      <c r="MTG12" s="1402"/>
      <c r="MTH12" s="1402"/>
      <c r="MTI12" s="1402"/>
      <c r="MTJ12" s="1402"/>
      <c r="MTK12" s="1402"/>
      <c r="MTL12" s="1402"/>
      <c r="MTM12" s="1402"/>
      <c r="MTN12" s="1402"/>
      <c r="MTO12" s="1402"/>
      <c r="MTP12" s="1402"/>
      <c r="MTQ12" s="1402"/>
      <c r="MTR12" s="1402"/>
      <c r="MTS12" s="1402"/>
      <c r="MTT12" s="1402"/>
      <c r="MTU12" s="1402"/>
      <c r="MTV12" s="1402"/>
      <c r="MTW12" s="1402"/>
      <c r="MTX12" s="1402"/>
      <c r="MTY12" s="1402"/>
      <c r="MTZ12" s="1402"/>
      <c r="MUA12" s="1402"/>
      <c r="MUB12" s="1402"/>
      <c r="MUC12" s="1402"/>
      <c r="MUD12" s="1402"/>
      <c r="MUE12" s="1402"/>
      <c r="MUF12" s="1402"/>
      <c r="MUG12" s="1402"/>
      <c r="MUH12" s="1402"/>
      <c r="MUI12" s="1402"/>
      <c r="MUJ12" s="1402"/>
      <c r="MUK12" s="1402"/>
      <c r="MUL12" s="1402"/>
      <c r="MUM12" s="1402"/>
      <c r="MUN12" s="1402"/>
      <c r="MUO12" s="1402"/>
      <c r="MUP12" s="1402"/>
      <c r="MUQ12" s="1402"/>
      <c r="MUR12" s="1402"/>
      <c r="MUS12" s="1402"/>
      <c r="MUT12" s="1402"/>
      <c r="MUU12" s="1402"/>
      <c r="MUV12" s="1402"/>
      <c r="MUW12" s="1402"/>
      <c r="MUX12" s="1402"/>
      <c r="MUY12" s="1402"/>
      <c r="MUZ12" s="1402"/>
      <c r="MVA12" s="1402"/>
      <c r="MVB12" s="1402"/>
      <c r="MVC12" s="1402"/>
      <c r="MVD12" s="1402"/>
      <c r="MVE12" s="1402"/>
      <c r="MVF12" s="1402"/>
      <c r="MVG12" s="1402"/>
      <c r="MVH12" s="1402"/>
      <c r="MVI12" s="1402"/>
      <c r="MVJ12" s="1402"/>
      <c r="MVK12" s="1402"/>
      <c r="MVL12" s="1402"/>
      <c r="MVM12" s="1402"/>
      <c r="MVN12" s="1402"/>
      <c r="MVO12" s="1402"/>
      <c r="MVP12" s="1402"/>
      <c r="MVQ12" s="1402"/>
      <c r="MVR12" s="1402"/>
      <c r="MVS12" s="1402"/>
      <c r="MVT12" s="1402"/>
      <c r="MVU12" s="1402"/>
      <c r="MVV12" s="1402"/>
      <c r="MVW12" s="1402"/>
      <c r="MVX12" s="1402"/>
      <c r="MVY12" s="1402"/>
      <c r="MVZ12" s="1402"/>
      <c r="MWA12" s="1402"/>
      <c r="MWB12" s="1402"/>
      <c r="MWC12" s="1402"/>
      <c r="MWD12" s="1402"/>
      <c r="MWE12" s="1402"/>
      <c r="MWF12" s="1402"/>
      <c r="MWG12" s="1402"/>
      <c r="MWH12" s="1402"/>
      <c r="MWI12" s="1402"/>
      <c r="MWJ12" s="1402"/>
      <c r="MWK12" s="1402"/>
      <c r="MWL12" s="1402"/>
      <c r="MWM12" s="1402"/>
      <c r="MWN12" s="1402"/>
      <c r="MWO12" s="1402"/>
      <c r="MWP12" s="1402"/>
      <c r="MWQ12" s="1402"/>
      <c r="MWR12" s="1402"/>
      <c r="MWS12" s="1402"/>
      <c r="MWT12" s="1402"/>
      <c r="MWU12" s="1402"/>
      <c r="MWV12" s="1402"/>
      <c r="MWW12" s="1402"/>
      <c r="MWX12" s="1402"/>
      <c r="MWY12" s="1402"/>
      <c r="MWZ12" s="1402"/>
      <c r="MXA12" s="1402"/>
      <c r="MXB12" s="1402"/>
      <c r="MXC12" s="1402"/>
      <c r="MXD12" s="1402"/>
      <c r="MXE12" s="1402"/>
      <c r="MXF12" s="1402"/>
      <c r="MXG12" s="1402"/>
      <c r="MXH12" s="1402"/>
      <c r="MXI12" s="1402"/>
      <c r="MXJ12" s="1402"/>
      <c r="MXK12" s="1402"/>
      <c r="MXL12" s="1402"/>
      <c r="MXM12" s="1402"/>
      <c r="MXN12" s="1402"/>
      <c r="MXO12" s="1402"/>
      <c r="MXP12" s="1402"/>
      <c r="MXQ12" s="1402"/>
      <c r="MXR12" s="1402"/>
      <c r="MXS12" s="1402"/>
      <c r="MXT12" s="1402"/>
      <c r="MXU12" s="1402"/>
      <c r="MXV12" s="1402"/>
      <c r="MXW12" s="1402"/>
      <c r="MXX12" s="1402"/>
      <c r="MXY12" s="1402"/>
      <c r="MXZ12" s="1402"/>
      <c r="MYA12" s="1402"/>
      <c r="MYB12" s="1402"/>
      <c r="MYC12" s="1402"/>
      <c r="MYD12" s="1402"/>
      <c r="MYE12" s="1402"/>
      <c r="MYF12" s="1402"/>
      <c r="MYG12" s="1402"/>
      <c r="MYH12" s="1402"/>
      <c r="MYI12" s="1402"/>
      <c r="MYJ12" s="1402"/>
      <c r="MYK12" s="1402"/>
      <c r="MYL12" s="1402"/>
      <c r="MYM12" s="1402"/>
      <c r="MYN12" s="1402"/>
      <c r="MYO12" s="1402"/>
      <c r="MYP12" s="1402"/>
      <c r="MYQ12" s="1402"/>
      <c r="MYR12" s="1402"/>
      <c r="MYS12" s="1402"/>
      <c r="MYT12" s="1402"/>
      <c r="MYU12" s="1402"/>
      <c r="MYV12" s="1402"/>
      <c r="MYW12" s="1402"/>
      <c r="MYX12" s="1402"/>
      <c r="MYY12" s="1402"/>
      <c r="MYZ12" s="1402"/>
      <c r="MZA12" s="1402"/>
      <c r="MZB12" s="1402"/>
      <c r="MZC12" s="1402"/>
      <c r="MZD12" s="1402"/>
      <c r="MZE12" s="1402"/>
      <c r="MZF12" s="1402"/>
      <c r="MZG12" s="1402"/>
      <c r="MZH12" s="1402"/>
      <c r="MZI12" s="1402"/>
      <c r="MZJ12" s="1402"/>
      <c r="MZK12" s="1402"/>
      <c r="MZL12" s="1402"/>
      <c r="MZM12" s="1402"/>
      <c r="MZN12" s="1402"/>
      <c r="MZO12" s="1402"/>
      <c r="MZP12" s="1402"/>
      <c r="MZQ12" s="1402"/>
      <c r="MZR12" s="1402"/>
      <c r="MZS12" s="1402"/>
      <c r="MZT12" s="1402"/>
      <c r="MZU12" s="1402"/>
      <c r="MZV12" s="1402"/>
      <c r="MZW12" s="1402"/>
      <c r="MZX12" s="1402"/>
      <c r="MZY12" s="1402"/>
      <c r="MZZ12" s="1402"/>
      <c r="NAA12" s="1402"/>
      <c r="NAB12" s="1402"/>
      <c r="NAC12" s="1402"/>
      <c r="NAD12" s="1402"/>
      <c r="NAE12" s="1402"/>
      <c r="NAF12" s="1402"/>
      <c r="NAG12" s="1402"/>
      <c r="NAH12" s="1402"/>
      <c r="NAI12" s="1402"/>
      <c r="NAJ12" s="1402"/>
      <c r="NAK12" s="1402"/>
      <c r="NAL12" s="1402"/>
      <c r="NAM12" s="1402"/>
      <c r="NAN12" s="1402"/>
      <c r="NAO12" s="1402"/>
      <c r="NAP12" s="1402"/>
      <c r="NAQ12" s="1402"/>
      <c r="NAR12" s="1402"/>
      <c r="NAS12" s="1402"/>
      <c r="NAT12" s="1402"/>
      <c r="NAU12" s="1402"/>
      <c r="NAV12" s="1402"/>
      <c r="NAW12" s="1402"/>
      <c r="NAX12" s="1402"/>
      <c r="NAY12" s="1402"/>
      <c r="NAZ12" s="1402"/>
      <c r="NBA12" s="1402"/>
      <c r="NBB12" s="1402"/>
      <c r="NBC12" s="1402"/>
      <c r="NBD12" s="1402"/>
      <c r="NBE12" s="1402"/>
      <c r="NBF12" s="1402"/>
      <c r="NBG12" s="1402"/>
      <c r="NBH12" s="1402"/>
      <c r="NBI12" s="1402"/>
      <c r="NBJ12" s="1402"/>
      <c r="NBK12" s="1402"/>
      <c r="NBL12" s="1402"/>
      <c r="NBM12" s="1402"/>
      <c r="NBN12" s="1402"/>
      <c r="NBO12" s="1402"/>
      <c r="NBP12" s="1402"/>
      <c r="NBQ12" s="1402"/>
      <c r="NBR12" s="1402"/>
      <c r="NBS12" s="1402"/>
      <c r="NBT12" s="1402"/>
      <c r="NBU12" s="1402"/>
      <c r="NBV12" s="1402"/>
      <c r="NBW12" s="1402"/>
      <c r="NBX12" s="1402"/>
      <c r="NBY12" s="1402"/>
      <c r="NBZ12" s="1402"/>
      <c r="NCA12" s="1402"/>
      <c r="NCB12" s="1402"/>
      <c r="NCC12" s="1402"/>
      <c r="NCD12" s="1402"/>
      <c r="NCE12" s="1402"/>
      <c r="NCF12" s="1402"/>
      <c r="NCG12" s="1402"/>
      <c r="NCH12" s="1402"/>
      <c r="NCI12" s="1402"/>
      <c r="NCJ12" s="1402"/>
      <c r="NCK12" s="1402"/>
      <c r="NCL12" s="1402"/>
      <c r="NCM12" s="1402"/>
      <c r="NCN12" s="1402"/>
      <c r="NCO12" s="1402"/>
      <c r="NCP12" s="1402"/>
      <c r="NCQ12" s="1402"/>
      <c r="NCR12" s="1402"/>
      <c r="NCS12" s="1402"/>
      <c r="NCT12" s="1402"/>
      <c r="NCU12" s="1402"/>
      <c r="NCV12" s="1402"/>
      <c r="NCW12" s="1402"/>
      <c r="NCX12" s="1402"/>
      <c r="NCY12" s="1402"/>
      <c r="NCZ12" s="1402"/>
      <c r="NDA12" s="1402"/>
      <c r="NDB12" s="1402"/>
      <c r="NDC12" s="1402"/>
      <c r="NDD12" s="1402"/>
      <c r="NDE12" s="1402"/>
      <c r="NDF12" s="1402"/>
      <c r="NDG12" s="1402"/>
      <c r="NDH12" s="1402"/>
      <c r="NDI12" s="1402"/>
      <c r="NDJ12" s="1402"/>
      <c r="NDK12" s="1402"/>
      <c r="NDL12" s="1402"/>
      <c r="NDM12" s="1402"/>
      <c r="NDN12" s="1402"/>
      <c r="NDO12" s="1402"/>
      <c r="NDP12" s="1402"/>
      <c r="NDQ12" s="1402"/>
      <c r="NDR12" s="1402"/>
      <c r="NDS12" s="1402"/>
      <c r="NDT12" s="1402"/>
      <c r="NDU12" s="1402"/>
      <c r="NDV12" s="1402"/>
      <c r="NDW12" s="1402"/>
      <c r="NDX12" s="1402"/>
      <c r="NDY12" s="1402"/>
      <c r="NDZ12" s="1402"/>
      <c r="NEA12" s="1402"/>
      <c r="NEB12" s="1402"/>
      <c r="NEC12" s="1402"/>
      <c r="NED12" s="1402"/>
      <c r="NEE12" s="1402"/>
      <c r="NEF12" s="1402"/>
      <c r="NEG12" s="1402"/>
      <c r="NEH12" s="1402"/>
      <c r="NEI12" s="1402"/>
      <c r="NEJ12" s="1402"/>
      <c r="NEK12" s="1402"/>
      <c r="NEL12" s="1402"/>
      <c r="NEM12" s="1402"/>
      <c r="NEN12" s="1402"/>
      <c r="NEO12" s="1402"/>
      <c r="NEP12" s="1402"/>
      <c r="NEQ12" s="1402"/>
      <c r="NER12" s="1402"/>
      <c r="NES12" s="1402"/>
      <c r="NET12" s="1402"/>
      <c r="NEU12" s="1402"/>
      <c r="NEV12" s="1402"/>
      <c r="NEW12" s="1402"/>
      <c r="NEX12" s="1402"/>
      <c r="NEY12" s="1402"/>
      <c r="NEZ12" s="1402"/>
      <c r="NFA12" s="1402"/>
      <c r="NFB12" s="1402"/>
      <c r="NFC12" s="1402"/>
      <c r="NFD12" s="1402"/>
      <c r="NFE12" s="1402"/>
      <c r="NFF12" s="1402"/>
      <c r="NFG12" s="1402"/>
      <c r="NFH12" s="1402"/>
      <c r="NFI12" s="1402"/>
      <c r="NFJ12" s="1402"/>
      <c r="NFK12" s="1402"/>
      <c r="NFL12" s="1402"/>
      <c r="NFM12" s="1402"/>
      <c r="NFN12" s="1402"/>
      <c r="NFO12" s="1402"/>
      <c r="NFP12" s="1402"/>
      <c r="NFQ12" s="1402"/>
      <c r="NFR12" s="1402"/>
      <c r="NFS12" s="1402"/>
      <c r="NFT12" s="1402"/>
      <c r="NFU12" s="1402"/>
      <c r="NFV12" s="1402"/>
      <c r="NFW12" s="1402"/>
      <c r="NFX12" s="1402"/>
      <c r="NFY12" s="1402"/>
      <c r="NFZ12" s="1402"/>
      <c r="NGA12" s="1402"/>
      <c r="NGB12" s="1402"/>
      <c r="NGC12" s="1402"/>
      <c r="NGD12" s="1402"/>
      <c r="NGE12" s="1402"/>
      <c r="NGF12" s="1402"/>
      <c r="NGG12" s="1402"/>
      <c r="NGH12" s="1402"/>
      <c r="NGI12" s="1402"/>
      <c r="NGJ12" s="1402"/>
      <c r="NGK12" s="1402"/>
      <c r="NGL12" s="1402"/>
      <c r="NGM12" s="1402"/>
      <c r="NGN12" s="1402"/>
      <c r="NGO12" s="1402"/>
      <c r="NGP12" s="1402"/>
      <c r="NGQ12" s="1402"/>
      <c r="NGR12" s="1402"/>
      <c r="NGS12" s="1402"/>
      <c r="NGT12" s="1402"/>
      <c r="NGU12" s="1402"/>
      <c r="NGV12" s="1402"/>
      <c r="NGW12" s="1402"/>
      <c r="NGX12" s="1402"/>
      <c r="NGY12" s="1402"/>
      <c r="NGZ12" s="1402"/>
      <c r="NHA12" s="1402"/>
      <c r="NHB12" s="1402"/>
      <c r="NHC12" s="1402"/>
      <c r="NHD12" s="1402"/>
      <c r="NHE12" s="1402"/>
      <c r="NHF12" s="1402"/>
      <c r="NHG12" s="1402"/>
      <c r="NHH12" s="1402"/>
      <c r="NHI12" s="1402"/>
      <c r="NHJ12" s="1402"/>
      <c r="NHK12" s="1402"/>
      <c r="NHL12" s="1402"/>
      <c r="NHM12" s="1402"/>
      <c r="NHN12" s="1402"/>
      <c r="NHO12" s="1402"/>
      <c r="NHP12" s="1402"/>
      <c r="NHQ12" s="1402"/>
      <c r="NHR12" s="1402"/>
      <c r="NHS12" s="1402"/>
      <c r="NHT12" s="1402"/>
      <c r="NHU12" s="1402"/>
      <c r="NHV12" s="1402"/>
      <c r="NHW12" s="1402"/>
      <c r="NHX12" s="1402"/>
      <c r="NHY12" s="1402"/>
      <c r="NHZ12" s="1402"/>
      <c r="NIA12" s="1402"/>
      <c r="NIB12" s="1402"/>
      <c r="NIC12" s="1402"/>
      <c r="NID12" s="1402"/>
      <c r="NIE12" s="1402"/>
      <c r="NIF12" s="1402"/>
      <c r="NIG12" s="1402"/>
      <c r="NIH12" s="1402"/>
      <c r="NII12" s="1402"/>
      <c r="NIJ12" s="1402"/>
      <c r="NIK12" s="1402"/>
      <c r="NIL12" s="1402"/>
      <c r="NIM12" s="1402"/>
      <c r="NIN12" s="1402"/>
      <c r="NIO12" s="1402"/>
      <c r="NIP12" s="1402"/>
      <c r="NIQ12" s="1402"/>
      <c r="NIR12" s="1402"/>
      <c r="NIS12" s="1402"/>
      <c r="NIT12" s="1402"/>
      <c r="NIU12" s="1402"/>
      <c r="NIV12" s="1402"/>
      <c r="NIW12" s="1402"/>
      <c r="NIX12" s="1402"/>
      <c r="NIY12" s="1402"/>
      <c r="NIZ12" s="1402"/>
      <c r="NJA12" s="1402"/>
      <c r="NJB12" s="1402"/>
      <c r="NJC12" s="1402"/>
      <c r="NJD12" s="1402"/>
      <c r="NJE12" s="1402"/>
      <c r="NJF12" s="1402"/>
      <c r="NJG12" s="1402"/>
      <c r="NJH12" s="1402"/>
      <c r="NJI12" s="1402"/>
      <c r="NJJ12" s="1402"/>
      <c r="NJK12" s="1402"/>
      <c r="NJL12" s="1402"/>
      <c r="NJM12" s="1402"/>
      <c r="NJN12" s="1402"/>
      <c r="NJO12" s="1402"/>
      <c r="NJP12" s="1402"/>
      <c r="NJQ12" s="1402"/>
      <c r="NJR12" s="1402"/>
      <c r="NJS12" s="1402"/>
      <c r="NJT12" s="1402"/>
      <c r="NJU12" s="1402"/>
      <c r="NJV12" s="1402"/>
      <c r="NJW12" s="1402"/>
      <c r="NJX12" s="1402"/>
      <c r="NJY12" s="1402"/>
      <c r="NJZ12" s="1402"/>
      <c r="NKA12" s="1402"/>
      <c r="NKB12" s="1402"/>
      <c r="NKC12" s="1402"/>
      <c r="NKD12" s="1402"/>
      <c r="NKE12" s="1402"/>
      <c r="NKF12" s="1402"/>
      <c r="NKG12" s="1402"/>
      <c r="NKH12" s="1402"/>
      <c r="NKI12" s="1402"/>
      <c r="NKJ12" s="1402"/>
      <c r="NKK12" s="1402"/>
      <c r="NKL12" s="1402"/>
      <c r="NKM12" s="1402"/>
      <c r="NKN12" s="1402"/>
      <c r="NKO12" s="1402"/>
      <c r="NKP12" s="1402"/>
      <c r="NKQ12" s="1402"/>
      <c r="NKR12" s="1402"/>
      <c r="NKS12" s="1402"/>
      <c r="NKT12" s="1402"/>
      <c r="NKU12" s="1402"/>
      <c r="NKV12" s="1402"/>
      <c r="NKW12" s="1402"/>
      <c r="NKX12" s="1402"/>
      <c r="NKY12" s="1402"/>
      <c r="NKZ12" s="1402"/>
      <c r="NLA12" s="1402"/>
      <c r="NLB12" s="1402"/>
      <c r="NLC12" s="1402"/>
      <c r="NLD12" s="1402"/>
      <c r="NLE12" s="1402"/>
      <c r="NLF12" s="1402"/>
      <c r="NLG12" s="1402"/>
      <c r="NLH12" s="1402"/>
      <c r="NLI12" s="1402"/>
      <c r="NLJ12" s="1402"/>
      <c r="NLK12" s="1402"/>
      <c r="NLL12" s="1402"/>
      <c r="NLM12" s="1402"/>
      <c r="NLN12" s="1402"/>
      <c r="NLO12" s="1402"/>
      <c r="NLP12" s="1402"/>
      <c r="NLQ12" s="1402"/>
      <c r="NLR12" s="1402"/>
      <c r="NLS12" s="1402"/>
      <c r="NLT12" s="1402"/>
      <c r="NLU12" s="1402"/>
      <c r="NLV12" s="1402"/>
      <c r="NLW12" s="1402"/>
      <c r="NLX12" s="1402"/>
      <c r="NLY12" s="1402"/>
      <c r="NLZ12" s="1402"/>
      <c r="NMA12" s="1402"/>
      <c r="NMB12" s="1402"/>
      <c r="NMC12" s="1402"/>
      <c r="NMD12" s="1402"/>
      <c r="NME12" s="1402"/>
      <c r="NMF12" s="1402"/>
      <c r="NMG12" s="1402"/>
      <c r="NMH12" s="1402"/>
      <c r="NMI12" s="1402"/>
      <c r="NMJ12" s="1402"/>
      <c r="NMK12" s="1402"/>
      <c r="NML12" s="1402"/>
      <c r="NMM12" s="1402"/>
      <c r="NMN12" s="1402"/>
      <c r="NMO12" s="1402"/>
      <c r="NMP12" s="1402"/>
      <c r="NMQ12" s="1402"/>
      <c r="NMR12" s="1402"/>
      <c r="NMS12" s="1402"/>
      <c r="NMT12" s="1402"/>
      <c r="NMU12" s="1402"/>
      <c r="NMV12" s="1402"/>
      <c r="NMW12" s="1402"/>
      <c r="NMX12" s="1402"/>
      <c r="NMY12" s="1402"/>
      <c r="NMZ12" s="1402"/>
      <c r="NNA12" s="1402"/>
      <c r="NNB12" s="1402"/>
      <c r="NNC12" s="1402"/>
      <c r="NND12" s="1402"/>
      <c r="NNE12" s="1402"/>
      <c r="NNF12" s="1402"/>
      <c r="NNG12" s="1402"/>
      <c r="NNH12" s="1402"/>
      <c r="NNI12" s="1402"/>
      <c r="NNJ12" s="1402"/>
      <c r="NNK12" s="1402"/>
      <c r="NNL12" s="1402"/>
      <c r="NNM12" s="1402"/>
      <c r="NNN12" s="1402"/>
      <c r="NNO12" s="1402"/>
      <c r="NNP12" s="1402"/>
      <c r="NNQ12" s="1402"/>
      <c r="NNR12" s="1402"/>
      <c r="NNS12" s="1402"/>
      <c r="NNT12" s="1402"/>
      <c r="NNU12" s="1402"/>
      <c r="NNV12" s="1402"/>
      <c r="NNW12" s="1402"/>
      <c r="NNX12" s="1402"/>
      <c r="NNY12" s="1402"/>
      <c r="NNZ12" s="1402"/>
      <c r="NOA12" s="1402"/>
      <c r="NOB12" s="1402"/>
      <c r="NOC12" s="1402"/>
      <c r="NOD12" s="1402"/>
      <c r="NOE12" s="1402"/>
      <c r="NOF12" s="1402"/>
      <c r="NOG12" s="1402"/>
      <c r="NOH12" s="1402"/>
      <c r="NOI12" s="1402"/>
      <c r="NOJ12" s="1402"/>
      <c r="NOK12" s="1402"/>
      <c r="NOL12" s="1402"/>
      <c r="NOM12" s="1402"/>
      <c r="NON12" s="1402"/>
      <c r="NOO12" s="1402"/>
      <c r="NOP12" s="1402"/>
      <c r="NOQ12" s="1402"/>
      <c r="NOR12" s="1402"/>
      <c r="NOS12" s="1402"/>
      <c r="NOT12" s="1402"/>
      <c r="NOU12" s="1402"/>
      <c r="NOV12" s="1402"/>
      <c r="NOW12" s="1402"/>
      <c r="NOX12" s="1402"/>
      <c r="NOY12" s="1402"/>
      <c r="NOZ12" s="1402"/>
      <c r="NPA12" s="1402"/>
      <c r="NPB12" s="1402"/>
      <c r="NPC12" s="1402"/>
      <c r="NPD12" s="1402"/>
      <c r="NPE12" s="1402"/>
      <c r="NPF12" s="1402"/>
      <c r="NPG12" s="1402"/>
      <c r="NPH12" s="1402"/>
      <c r="NPI12" s="1402"/>
      <c r="NPJ12" s="1402"/>
      <c r="NPK12" s="1402"/>
      <c r="NPL12" s="1402"/>
      <c r="NPM12" s="1402"/>
      <c r="NPN12" s="1402"/>
      <c r="NPO12" s="1402"/>
      <c r="NPP12" s="1402"/>
      <c r="NPQ12" s="1402"/>
      <c r="NPR12" s="1402"/>
      <c r="NPS12" s="1402"/>
      <c r="NPT12" s="1402"/>
      <c r="NPU12" s="1402"/>
      <c r="NPV12" s="1402"/>
      <c r="NPW12" s="1402"/>
      <c r="NPX12" s="1402"/>
      <c r="NPY12" s="1402"/>
      <c r="NPZ12" s="1402"/>
      <c r="NQA12" s="1402"/>
      <c r="NQB12" s="1402"/>
      <c r="NQC12" s="1402"/>
      <c r="NQD12" s="1402"/>
      <c r="NQE12" s="1402"/>
      <c r="NQF12" s="1402"/>
      <c r="NQG12" s="1402"/>
      <c r="NQH12" s="1402"/>
      <c r="NQI12" s="1402"/>
      <c r="NQJ12" s="1402"/>
      <c r="NQK12" s="1402"/>
      <c r="NQL12" s="1402"/>
      <c r="NQM12" s="1402"/>
      <c r="NQN12" s="1402"/>
      <c r="NQO12" s="1402"/>
      <c r="NQP12" s="1402"/>
      <c r="NQQ12" s="1402"/>
      <c r="NQR12" s="1402"/>
      <c r="NQS12" s="1402"/>
      <c r="NQT12" s="1402"/>
      <c r="NQU12" s="1402"/>
      <c r="NQV12" s="1402"/>
      <c r="NQW12" s="1402"/>
      <c r="NQX12" s="1402"/>
      <c r="NQY12" s="1402"/>
      <c r="NQZ12" s="1402"/>
      <c r="NRA12" s="1402"/>
      <c r="NRB12" s="1402"/>
      <c r="NRC12" s="1402"/>
      <c r="NRD12" s="1402"/>
      <c r="NRE12" s="1402"/>
      <c r="NRF12" s="1402"/>
      <c r="NRG12" s="1402"/>
      <c r="NRH12" s="1402"/>
      <c r="NRI12" s="1402"/>
      <c r="NRJ12" s="1402"/>
      <c r="NRK12" s="1402"/>
      <c r="NRL12" s="1402"/>
      <c r="NRM12" s="1402"/>
      <c r="NRN12" s="1402"/>
      <c r="NRO12" s="1402"/>
      <c r="NRP12" s="1402"/>
      <c r="NRQ12" s="1402"/>
      <c r="NRR12" s="1402"/>
      <c r="NRS12" s="1402"/>
      <c r="NRT12" s="1402"/>
      <c r="NRU12" s="1402"/>
      <c r="NRV12" s="1402"/>
      <c r="NRW12" s="1402"/>
      <c r="NRX12" s="1402"/>
      <c r="NRY12" s="1402"/>
      <c r="NRZ12" s="1402"/>
      <c r="NSA12" s="1402"/>
      <c r="NSB12" s="1402"/>
      <c r="NSC12" s="1402"/>
      <c r="NSD12" s="1402"/>
      <c r="NSE12" s="1402"/>
      <c r="NSF12" s="1402"/>
      <c r="NSG12" s="1402"/>
      <c r="NSH12" s="1402"/>
      <c r="NSI12" s="1402"/>
      <c r="NSJ12" s="1402"/>
      <c r="NSK12" s="1402"/>
      <c r="NSL12" s="1402"/>
      <c r="NSM12" s="1402"/>
      <c r="NSN12" s="1402"/>
      <c r="NSO12" s="1402"/>
      <c r="NSP12" s="1402"/>
      <c r="NSQ12" s="1402"/>
      <c r="NSR12" s="1402"/>
      <c r="NSS12" s="1402"/>
      <c r="NST12" s="1402"/>
      <c r="NSU12" s="1402"/>
      <c r="NSV12" s="1402"/>
      <c r="NSW12" s="1402"/>
      <c r="NSX12" s="1402"/>
      <c r="NSY12" s="1402"/>
      <c r="NSZ12" s="1402"/>
      <c r="NTA12" s="1402"/>
      <c r="NTB12" s="1402"/>
      <c r="NTC12" s="1402"/>
      <c r="NTD12" s="1402"/>
      <c r="NTE12" s="1402"/>
      <c r="NTF12" s="1402"/>
      <c r="NTG12" s="1402"/>
      <c r="NTH12" s="1402"/>
      <c r="NTI12" s="1402"/>
      <c r="NTJ12" s="1402"/>
      <c r="NTK12" s="1402"/>
      <c r="NTL12" s="1402"/>
      <c r="NTM12" s="1402"/>
      <c r="NTN12" s="1402"/>
      <c r="NTO12" s="1402"/>
      <c r="NTP12" s="1402"/>
      <c r="NTQ12" s="1402"/>
      <c r="NTR12" s="1402"/>
      <c r="NTS12" s="1402"/>
      <c r="NTT12" s="1402"/>
      <c r="NTU12" s="1402"/>
      <c r="NTV12" s="1402"/>
      <c r="NTW12" s="1402"/>
      <c r="NTX12" s="1402"/>
      <c r="NTY12" s="1402"/>
      <c r="NTZ12" s="1402"/>
      <c r="NUA12" s="1402"/>
      <c r="NUB12" s="1402"/>
      <c r="NUC12" s="1402"/>
      <c r="NUD12" s="1402"/>
      <c r="NUE12" s="1402"/>
      <c r="NUF12" s="1402"/>
      <c r="NUG12" s="1402"/>
      <c r="NUH12" s="1402"/>
      <c r="NUI12" s="1402"/>
      <c r="NUJ12" s="1402"/>
      <c r="NUK12" s="1402"/>
      <c r="NUL12" s="1402"/>
      <c r="NUM12" s="1402"/>
      <c r="NUN12" s="1402"/>
      <c r="NUO12" s="1402"/>
      <c r="NUP12" s="1402"/>
      <c r="NUQ12" s="1402"/>
      <c r="NUR12" s="1402"/>
      <c r="NUS12" s="1402"/>
      <c r="NUT12" s="1402"/>
      <c r="NUU12" s="1402"/>
      <c r="NUV12" s="1402"/>
      <c r="NUW12" s="1402"/>
      <c r="NUX12" s="1402"/>
      <c r="NUY12" s="1402"/>
      <c r="NUZ12" s="1402"/>
      <c r="NVA12" s="1402"/>
      <c r="NVB12" s="1402"/>
      <c r="NVC12" s="1402"/>
      <c r="NVD12" s="1402"/>
      <c r="NVE12" s="1402"/>
      <c r="NVF12" s="1402"/>
      <c r="NVG12" s="1402"/>
      <c r="NVH12" s="1402"/>
      <c r="NVI12" s="1402"/>
      <c r="NVJ12" s="1402"/>
      <c r="NVK12" s="1402"/>
      <c r="NVL12" s="1402"/>
      <c r="NVM12" s="1402"/>
      <c r="NVN12" s="1402"/>
      <c r="NVO12" s="1402"/>
      <c r="NVP12" s="1402"/>
      <c r="NVQ12" s="1402"/>
      <c r="NVR12" s="1402"/>
      <c r="NVS12" s="1402"/>
      <c r="NVT12" s="1402"/>
      <c r="NVU12" s="1402"/>
      <c r="NVV12" s="1402"/>
      <c r="NVW12" s="1402"/>
      <c r="NVX12" s="1402"/>
      <c r="NVY12" s="1402"/>
      <c r="NVZ12" s="1402"/>
      <c r="NWA12" s="1402"/>
      <c r="NWB12" s="1402"/>
      <c r="NWC12" s="1402"/>
      <c r="NWD12" s="1402"/>
      <c r="NWE12" s="1402"/>
      <c r="NWF12" s="1402"/>
      <c r="NWG12" s="1402"/>
      <c r="NWH12" s="1402"/>
      <c r="NWI12" s="1402"/>
      <c r="NWJ12" s="1402"/>
      <c r="NWK12" s="1402"/>
      <c r="NWL12" s="1402"/>
      <c r="NWM12" s="1402"/>
      <c r="NWN12" s="1402"/>
      <c r="NWO12" s="1402"/>
      <c r="NWP12" s="1402"/>
      <c r="NWQ12" s="1402"/>
      <c r="NWR12" s="1402"/>
      <c r="NWS12" s="1402"/>
      <c r="NWT12" s="1402"/>
      <c r="NWU12" s="1402"/>
      <c r="NWV12" s="1402"/>
      <c r="NWW12" s="1402"/>
      <c r="NWX12" s="1402"/>
      <c r="NWY12" s="1402"/>
      <c r="NWZ12" s="1402"/>
      <c r="NXA12" s="1402"/>
      <c r="NXB12" s="1402"/>
      <c r="NXC12" s="1402"/>
      <c r="NXD12" s="1402"/>
      <c r="NXE12" s="1402"/>
      <c r="NXF12" s="1402"/>
      <c r="NXG12" s="1402"/>
      <c r="NXH12" s="1402"/>
      <c r="NXI12" s="1402"/>
      <c r="NXJ12" s="1402"/>
      <c r="NXK12" s="1402"/>
      <c r="NXL12" s="1402"/>
      <c r="NXM12" s="1402"/>
      <c r="NXN12" s="1402"/>
      <c r="NXO12" s="1402"/>
      <c r="NXP12" s="1402"/>
      <c r="NXQ12" s="1402"/>
      <c r="NXR12" s="1402"/>
      <c r="NXS12" s="1402"/>
      <c r="NXT12" s="1402"/>
      <c r="NXU12" s="1402"/>
      <c r="NXV12" s="1402"/>
      <c r="NXW12" s="1402"/>
      <c r="NXX12" s="1402"/>
      <c r="NXY12" s="1402"/>
      <c r="NXZ12" s="1402"/>
      <c r="NYA12" s="1402"/>
      <c r="NYB12" s="1402"/>
      <c r="NYC12" s="1402"/>
      <c r="NYD12" s="1402"/>
      <c r="NYE12" s="1402"/>
      <c r="NYF12" s="1402"/>
      <c r="NYG12" s="1402"/>
      <c r="NYH12" s="1402"/>
      <c r="NYI12" s="1402"/>
      <c r="NYJ12" s="1402"/>
      <c r="NYK12" s="1402"/>
      <c r="NYL12" s="1402"/>
      <c r="NYM12" s="1402"/>
      <c r="NYN12" s="1402"/>
      <c r="NYO12" s="1402"/>
      <c r="NYP12" s="1402"/>
      <c r="NYQ12" s="1402"/>
      <c r="NYR12" s="1402"/>
      <c r="NYS12" s="1402"/>
      <c r="NYT12" s="1402"/>
      <c r="NYU12" s="1402"/>
      <c r="NYV12" s="1402"/>
      <c r="NYW12" s="1402"/>
      <c r="NYX12" s="1402"/>
      <c r="NYY12" s="1402"/>
      <c r="NYZ12" s="1402"/>
      <c r="NZA12" s="1402"/>
      <c r="NZB12" s="1402"/>
      <c r="NZC12" s="1402"/>
      <c r="NZD12" s="1402"/>
      <c r="NZE12" s="1402"/>
      <c r="NZF12" s="1402"/>
      <c r="NZG12" s="1402"/>
      <c r="NZH12" s="1402"/>
      <c r="NZI12" s="1402"/>
      <c r="NZJ12" s="1402"/>
      <c r="NZK12" s="1402"/>
      <c r="NZL12" s="1402"/>
      <c r="NZM12" s="1402"/>
      <c r="NZN12" s="1402"/>
      <c r="NZO12" s="1402"/>
      <c r="NZP12" s="1402"/>
      <c r="NZQ12" s="1402"/>
      <c r="NZR12" s="1402"/>
      <c r="NZS12" s="1402"/>
      <c r="NZT12" s="1402"/>
      <c r="NZU12" s="1402"/>
      <c r="NZV12" s="1402"/>
      <c r="NZW12" s="1402"/>
      <c r="NZX12" s="1402"/>
      <c r="NZY12" s="1402"/>
      <c r="NZZ12" s="1402"/>
      <c r="OAA12" s="1402"/>
      <c r="OAB12" s="1402"/>
      <c r="OAC12" s="1402"/>
      <c r="OAD12" s="1402"/>
      <c r="OAE12" s="1402"/>
      <c r="OAF12" s="1402"/>
      <c r="OAG12" s="1402"/>
      <c r="OAH12" s="1402"/>
      <c r="OAI12" s="1402"/>
      <c r="OAJ12" s="1402"/>
      <c r="OAK12" s="1402"/>
      <c r="OAL12" s="1402"/>
      <c r="OAM12" s="1402"/>
      <c r="OAN12" s="1402"/>
      <c r="OAO12" s="1402"/>
      <c r="OAP12" s="1402"/>
      <c r="OAQ12" s="1402"/>
      <c r="OAR12" s="1402"/>
      <c r="OAS12" s="1402"/>
      <c r="OAT12" s="1402"/>
      <c r="OAU12" s="1402"/>
      <c r="OAV12" s="1402"/>
      <c r="OAW12" s="1402"/>
      <c r="OAX12" s="1402"/>
      <c r="OAY12" s="1402"/>
      <c r="OAZ12" s="1402"/>
      <c r="OBA12" s="1402"/>
      <c r="OBB12" s="1402"/>
      <c r="OBC12" s="1402"/>
      <c r="OBD12" s="1402"/>
      <c r="OBE12" s="1402"/>
      <c r="OBF12" s="1402"/>
      <c r="OBG12" s="1402"/>
      <c r="OBH12" s="1402"/>
      <c r="OBI12" s="1402"/>
      <c r="OBJ12" s="1402"/>
      <c r="OBK12" s="1402"/>
      <c r="OBL12" s="1402"/>
      <c r="OBM12" s="1402"/>
      <c r="OBN12" s="1402"/>
      <c r="OBO12" s="1402"/>
      <c r="OBP12" s="1402"/>
      <c r="OBQ12" s="1402"/>
      <c r="OBR12" s="1402"/>
      <c r="OBS12" s="1402"/>
      <c r="OBT12" s="1402"/>
      <c r="OBU12" s="1402"/>
      <c r="OBV12" s="1402"/>
      <c r="OBW12" s="1402"/>
      <c r="OBX12" s="1402"/>
      <c r="OBY12" s="1402"/>
      <c r="OBZ12" s="1402"/>
      <c r="OCA12" s="1402"/>
      <c r="OCB12" s="1402"/>
      <c r="OCC12" s="1402"/>
      <c r="OCD12" s="1402"/>
      <c r="OCE12" s="1402"/>
      <c r="OCF12" s="1402"/>
      <c r="OCG12" s="1402"/>
      <c r="OCH12" s="1402"/>
      <c r="OCI12" s="1402"/>
      <c r="OCJ12" s="1402"/>
      <c r="OCK12" s="1402"/>
      <c r="OCL12" s="1402"/>
      <c r="OCM12" s="1402"/>
      <c r="OCN12" s="1402"/>
      <c r="OCO12" s="1402"/>
      <c r="OCP12" s="1402"/>
      <c r="OCQ12" s="1402"/>
      <c r="OCR12" s="1402"/>
      <c r="OCS12" s="1402"/>
      <c r="OCT12" s="1402"/>
      <c r="OCU12" s="1402"/>
      <c r="OCV12" s="1402"/>
      <c r="OCW12" s="1402"/>
      <c r="OCX12" s="1402"/>
      <c r="OCY12" s="1402"/>
      <c r="OCZ12" s="1402"/>
      <c r="ODA12" s="1402"/>
      <c r="ODB12" s="1402"/>
      <c r="ODC12" s="1402"/>
      <c r="ODD12" s="1402"/>
      <c r="ODE12" s="1402"/>
      <c r="ODF12" s="1402"/>
      <c r="ODG12" s="1402"/>
      <c r="ODH12" s="1402"/>
      <c r="ODI12" s="1402"/>
      <c r="ODJ12" s="1402"/>
      <c r="ODK12" s="1402"/>
      <c r="ODL12" s="1402"/>
      <c r="ODM12" s="1402"/>
      <c r="ODN12" s="1402"/>
      <c r="ODO12" s="1402"/>
      <c r="ODP12" s="1402"/>
      <c r="ODQ12" s="1402"/>
      <c r="ODR12" s="1402"/>
      <c r="ODS12" s="1402"/>
      <c r="ODT12" s="1402"/>
      <c r="ODU12" s="1402"/>
      <c r="ODV12" s="1402"/>
      <c r="ODW12" s="1402"/>
      <c r="ODX12" s="1402"/>
      <c r="ODY12" s="1402"/>
      <c r="ODZ12" s="1402"/>
      <c r="OEA12" s="1402"/>
      <c r="OEB12" s="1402"/>
      <c r="OEC12" s="1402"/>
      <c r="OED12" s="1402"/>
      <c r="OEE12" s="1402"/>
      <c r="OEF12" s="1402"/>
      <c r="OEG12" s="1402"/>
      <c r="OEH12" s="1402"/>
      <c r="OEI12" s="1402"/>
      <c r="OEJ12" s="1402"/>
      <c r="OEK12" s="1402"/>
      <c r="OEL12" s="1402"/>
      <c r="OEM12" s="1402"/>
      <c r="OEN12" s="1402"/>
      <c r="OEO12" s="1402"/>
      <c r="OEP12" s="1402"/>
      <c r="OEQ12" s="1402"/>
      <c r="OER12" s="1402"/>
      <c r="OES12" s="1402"/>
      <c r="OET12" s="1402"/>
      <c r="OEU12" s="1402"/>
      <c r="OEV12" s="1402"/>
      <c r="OEW12" s="1402"/>
      <c r="OEX12" s="1402"/>
      <c r="OEY12" s="1402"/>
      <c r="OEZ12" s="1402"/>
      <c r="OFA12" s="1402"/>
      <c r="OFB12" s="1402"/>
      <c r="OFC12" s="1402"/>
      <c r="OFD12" s="1402"/>
      <c r="OFE12" s="1402"/>
      <c r="OFF12" s="1402"/>
      <c r="OFG12" s="1402"/>
      <c r="OFH12" s="1402"/>
      <c r="OFI12" s="1402"/>
      <c r="OFJ12" s="1402"/>
      <c r="OFK12" s="1402"/>
      <c r="OFL12" s="1402"/>
      <c r="OFM12" s="1402"/>
      <c r="OFN12" s="1402"/>
      <c r="OFO12" s="1402"/>
      <c r="OFP12" s="1402"/>
      <c r="OFQ12" s="1402"/>
      <c r="OFR12" s="1402"/>
      <c r="OFS12" s="1402"/>
      <c r="OFT12" s="1402"/>
      <c r="OFU12" s="1402"/>
      <c r="OFV12" s="1402"/>
      <c r="OFW12" s="1402"/>
      <c r="OFX12" s="1402"/>
      <c r="OFY12" s="1402"/>
      <c r="OFZ12" s="1402"/>
      <c r="OGA12" s="1402"/>
      <c r="OGB12" s="1402"/>
      <c r="OGC12" s="1402"/>
      <c r="OGD12" s="1402"/>
      <c r="OGE12" s="1402"/>
      <c r="OGF12" s="1402"/>
      <c r="OGG12" s="1402"/>
      <c r="OGH12" s="1402"/>
      <c r="OGI12" s="1402"/>
      <c r="OGJ12" s="1402"/>
      <c r="OGK12" s="1402"/>
      <c r="OGL12" s="1402"/>
      <c r="OGM12" s="1402"/>
      <c r="OGN12" s="1402"/>
      <c r="OGO12" s="1402"/>
      <c r="OGP12" s="1402"/>
      <c r="OGQ12" s="1402"/>
      <c r="OGR12" s="1402"/>
      <c r="OGS12" s="1402"/>
      <c r="OGT12" s="1402"/>
      <c r="OGU12" s="1402"/>
      <c r="OGV12" s="1402"/>
      <c r="OGW12" s="1402"/>
      <c r="OGX12" s="1402"/>
      <c r="OGY12" s="1402"/>
      <c r="OGZ12" s="1402"/>
      <c r="OHA12" s="1402"/>
      <c r="OHB12" s="1402"/>
      <c r="OHC12" s="1402"/>
      <c r="OHD12" s="1402"/>
      <c r="OHE12" s="1402"/>
      <c r="OHF12" s="1402"/>
      <c r="OHG12" s="1402"/>
      <c r="OHH12" s="1402"/>
      <c r="OHI12" s="1402"/>
      <c r="OHJ12" s="1402"/>
      <c r="OHK12" s="1402"/>
      <c r="OHL12" s="1402"/>
      <c r="OHM12" s="1402"/>
      <c r="OHN12" s="1402"/>
      <c r="OHO12" s="1402"/>
      <c r="OHP12" s="1402"/>
      <c r="OHQ12" s="1402"/>
      <c r="OHR12" s="1402"/>
      <c r="OHS12" s="1402"/>
      <c r="OHT12" s="1402"/>
      <c r="OHU12" s="1402"/>
      <c r="OHV12" s="1402"/>
      <c r="OHW12" s="1402"/>
      <c r="OHX12" s="1402"/>
      <c r="OHY12" s="1402"/>
      <c r="OHZ12" s="1402"/>
      <c r="OIA12" s="1402"/>
      <c r="OIB12" s="1402"/>
      <c r="OIC12" s="1402"/>
      <c r="OID12" s="1402"/>
      <c r="OIE12" s="1402"/>
      <c r="OIF12" s="1402"/>
      <c r="OIG12" s="1402"/>
      <c r="OIH12" s="1402"/>
      <c r="OII12" s="1402"/>
      <c r="OIJ12" s="1402"/>
      <c r="OIK12" s="1402"/>
      <c r="OIL12" s="1402"/>
      <c r="OIM12" s="1402"/>
      <c r="OIN12" s="1402"/>
      <c r="OIO12" s="1402"/>
      <c r="OIP12" s="1402"/>
      <c r="OIQ12" s="1402"/>
      <c r="OIR12" s="1402"/>
      <c r="OIS12" s="1402"/>
      <c r="OIT12" s="1402"/>
      <c r="OIU12" s="1402"/>
      <c r="OIV12" s="1402"/>
      <c r="OIW12" s="1402"/>
      <c r="OIX12" s="1402"/>
      <c r="OIY12" s="1402"/>
      <c r="OIZ12" s="1402"/>
      <c r="OJA12" s="1402"/>
      <c r="OJB12" s="1402"/>
      <c r="OJC12" s="1402"/>
      <c r="OJD12" s="1402"/>
      <c r="OJE12" s="1402"/>
      <c r="OJF12" s="1402"/>
      <c r="OJG12" s="1402"/>
      <c r="OJH12" s="1402"/>
      <c r="OJI12" s="1402"/>
      <c r="OJJ12" s="1402"/>
      <c r="OJK12" s="1402"/>
      <c r="OJL12" s="1402"/>
      <c r="OJM12" s="1402"/>
      <c r="OJN12" s="1402"/>
      <c r="OJO12" s="1402"/>
      <c r="OJP12" s="1402"/>
      <c r="OJQ12" s="1402"/>
      <c r="OJR12" s="1402"/>
      <c r="OJS12" s="1402"/>
      <c r="OJT12" s="1402"/>
      <c r="OJU12" s="1402"/>
      <c r="OJV12" s="1402"/>
      <c r="OJW12" s="1402"/>
      <c r="OJX12" s="1402"/>
      <c r="OJY12" s="1402"/>
      <c r="OJZ12" s="1402"/>
      <c r="OKA12" s="1402"/>
      <c r="OKB12" s="1402"/>
      <c r="OKC12" s="1402"/>
      <c r="OKD12" s="1402"/>
      <c r="OKE12" s="1402"/>
      <c r="OKF12" s="1402"/>
      <c r="OKG12" s="1402"/>
      <c r="OKH12" s="1402"/>
      <c r="OKI12" s="1402"/>
      <c r="OKJ12" s="1402"/>
      <c r="OKK12" s="1402"/>
      <c r="OKL12" s="1402"/>
      <c r="OKM12" s="1402"/>
      <c r="OKN12" s="1402"/>
      <c r="OKO12" s="1402"/>
      <c r="OKP12" s="1402"/>
      <c r="OKQ12" s="1402"/>
      <c r="OKR12" s="1402"/>
      <c r="OKS12" s="1402"/>
      <c r="OKT12" s="1402"/>
      <c r="OKU12" s="1402"/>
      <c r="OKV12" s="1402"/>
      <c r="OKW12" s="1402"/>
      <c r="OKX12" s="1402"/>
      <c r="OKY12" s="1402"/>
      <c r="OKZ12" s="1402"/>
      <c r="OLA12" s="1402"/>
      <c r="OLB12" s="1402"/>
      <c r="OLC12" s="1402"/>
      <c r="OLD12" s="1402"/>
      <c r="OLE12" s="1402"/>
      <c r="OLF12" s="1402"/>
      <c r="OLG12" s="1402"/>
      <c r="OLH12" s="1402"/>
      <c r="OLI12" s="1402"/>
      <c r="OLJ12" s="1402"/>
      <c r="OLK12" s="1402"/>
      <c r="OLL12" s="1402"/>
      <c r="OLM12" s="1402"/>
      <c r="OLN12" s="1402"/>
      <c r="OLO12" s="1402"/>
      <c r="OLP12" s="1402"/>
      <c r="OLQ12" s="1402"/>
      <c r="OLR12" s="1402"/>
      <c r="OLS12" s="1402"/>
      <c r="OLT12" s="1402"/>
      <c r="OLU12" s="1402"/>
      <c r="OLV12" s="1402"/>
      <c r="OLW12" s="1402"/>
      <c r="OLX12" s="1402"/>
      <c r="OLY12" s="1402"/>
      <c r="OLZ12" s="1402"/>
      <c r="OMA12" s="1402"/>
      <c r="OMB12" s="1402"/>
      <c r="OMC12" s="1402"/>
      <c r="OMD12" s="1402"/>
      <c r="OME12" s="1402"/>
      <c r="OMF12" s="1402"/>
      <c r="OMG12" s="1402"/>
      <c r="OMH12" s="1402"/>
      <c r="OMI12" s="1402"/>
      <c r="OMJ12" s="1402"/>
      <c r="OMK12" s="1402"/>
      <c r="OML12" s="1402"/>
      <c r="OMM12" s="1402"/>
      <c r="OMN12" s="1402"/>
      <c r="OMO12" s="1402"/>
      <c r="OMP12" s="1402"/>
      <c r="OMQ12" s="1402"/>
      <c r="OMR12" s="1402"/>
      <c r="OMS12" s="1402"/>
      <c r="OMT12" s="1402"/>
      <c r="OMU12" s="1402"/>
      <c r="OMV12" s="1402"/>
      <c r="OMW12" s="1402"/>
      <c r="OMX12" s="1402"/>
      <c r="OMY12" s="1402"/>
      <c r="OMZ12" s="1402"/>
      <c r="ONA12" s="1402"/>
      <c r="ONB12" s="1402"/>
      <c r="ONC12" s="1402"/>
      <c r="OND12" s="1402"/>
      <c r="ONE12" s="1402"/>
      <c r="ONF12" s="1402"/>
      <c r="ONG12" s="1402"/>
      <c r="ONH12" s="1402"/>
      <c r="ONI12" s="1402"/>
      <c r="ONJ12" s="1402"/>
      <c r="ONK12" s="1402"/>
      <c r="ONL12" s="1402"/>
      <c r="ONM12" s="1402"/>
      <c r="ONN12" s="1402"/>
      <c r="ONO12" s="1402"/>
      <c r="ONP12" s="1402"/>
      <c r="ONQ12" s="1402"/>
      <c r="ONR12" s="1402"/>
      <c r="ONS12" s="1402"/>
      <c r="ONT12" s="1402"/>
      <c r="ONU12" s="1402"/>
      <c r="ONV12" s="1402"/>
      <c r="ONW12" s="1402"/>
      <c r="ONX12" s="1402"/>
      <c r="ONY12" s="1402"/>
      <c r="ONZ12" s="1402"/>
      <c r="OOA12" s="1402"/>
      <c r="OOB12" s="1402"/>
      <c r="OOC12" s="1402"/>
      <c r="OOD12" s="1402"/>
      <c r="OOE12" s="1402"/>
      <c r="OOF12" s="1402"/>
      <c r="OOG12" s="1402"/>
      <c r="OOH12" s="1402"/>
      <c r="OOI12" s="1402"/>
      <c r="OOJ12" s="1402"/>
      <c r="OOK12" s="1402"/>
      <c r="OOL12" s="1402"/>
      <c r="OOM12" s="1402"/>
      <c r="OON12" s="1402"/>
      <c r="OOO12" s="1402"/>
      <c r="OOP12" s="1402"/>
      <c r="OOQ12" s="1402"/>
      <c r="OOR12" s="1402"/>
      <c r="OOS12" s="1402"/>
      <c r="OOT12" s="1402"/>
      <c r="OOU12" s="1402"/>
      <c r="OOV12" s="1402"/>
      <c r="OOW12" s="1402"/>
      <c r="OOX12" s="1402"/>
      <c r="OOY12" s="1402"/>
      <c r="OOZ12" s="1402"/>
      <c r="OPA12" s="1402"/>
      <c r="OPB12" s="1402"/>
      <c r="OPC12" s="1402"/>
      <c r="OPD12" s="1402"/>
      <c r="OPE12" s="1402"/>
      <c r="OPF12" s="1402"/>
      <c r="OPG12" s="1402"/>
      <c r="OPH12" s="1402"/>
      <c r="OPI12" s="1402"/>
      <c r="OPJ12" s="1402"/>
      <c r="OPK12" s="1402"/>
      <c r="OPL12" s="1402"/>
      <c r="OPM12" s="1402"/>
      <c r="OPN12" s="1402"/>
      <c r="OPO12" s="1402"/>
      <c r="OPP12" s="1402"/>
      <c r="OPQ12" s="1402"/>
      <c r="OPR12" s="1402"/>
      <c r="OPS12" s="1402"/>
      <c r="OPT12" s="1402"/>
      <c r="OPU12" s="1402"/>
      <c r="OPV12" s="1402"/>
      <c r="OPW12" s="1402"/>
      <c r="OPX12" s="1402"/>
      <c r="OPY12" s="1402"/>
      <c r="OPZ12" s="1402"/>
      <c r="OQA12" s="1402"/>
      <c r="OQB12" s="1402"/>
      <c r="OQC12" s="1402"/>
      <c r="OQD12" s="1402"/>
      <c r="OQE12" s="1402"/>
      <c r="OQF12" s="1402"/>
      <c r="OQG12" s="1402"/>
      <c r="OQH12" s="1402"/>
      <c r="OQI12" s="1402"/>
      <c r="OQJ12" s="1402"/>
      <c r="OQK12" s="1402"/>
      <c r="OQL12" s="1402"/>
      <c r="OQM12" s="1402"/>
      <c r="OQN12" s="1402"/>
      <c r="OQO12" s="1402"/>
      <c r="OQP12" s="1402"/>
      <c r="OQQ12" s="1402"/>
      <c r="OQR12" s="1402"/>
      <c r="OQS12" s="1402"/>
      <c r="OQT12" s="1402"/>
      <c r="OQU12" s="1402"/>
      <c r="OQV12" s="1402"/>
      <c r="OQW12" s="1402"/>
      <c r="OQX12" s="1402"/>
      <c r="OQY12" s="1402"/>
      <c r="OQZ12" s="1402"/>
      <c r="ORA12" s="1402"/>
      <c r="ORB12" s="1402"/>
      <c r="ORC12" s="1402"/>
      <c r="ORD12" s="1402"/>
      <c r="ORE12" s="1402"/>
      <c r="ORF12" s="1402"/>
      <c r="ORG12" s="1402"/>
      <c r="ORH12" s="1402"/>
      <c r="ORI12" s="1402"/>
      <c r="ORJ12" s="1402"/>
      <c r="ORK12" s="1402"/>
      <c r="ORL12" s="1402"/>
      <c r="ORM12" s="1402"/>
      <c r="ORN12" s="1402"/>
      <c r="ORO12" s="1402"/>
      <c r="ORP12" s="1402"/>
      <c r="ORQ12" s="1402"/>
      <c r="ORR12" s="1402"/>
      <c r="ORS12" s="1402"/>
      <c r="ORT12" s="1402"/>
      <c r="ORU12" s="1402"/>
      <c r="ORV12" s="1402"/>
      <c r="ORW12" s="1402"/>
      <c r="ORX12" s="1402"/>
      <c r="ORY12" s="1402"/>
      <c r="ORZ12" s="1402"/>
      <c r="OSA12" s="1402"/>
      <c r="OSB12" s="1402"/>
      <c r="OSC12" s="1402"/>
      <c r="OSD12" s="1402"/>
      <c r="OSE12" s="1402"/>
      <c r="OSF12" s="1402"/>
      <c r="OSG12" s="1402"/>
      <c r="OSH12" s="1402"/>
      <c r="OSI12" s="1402"/>
      <c r="OSJ12" s="1402"/>
      <c r="OSK12" s="1402"/>
      <c r="OSL12" s="1402"/>
      <c r="OSM12" s="1402"/>
      <c r="OSN12" s="1402"/>
      <c r="OSO12" s="1402"/>
      <c r="OSP12" s="1402"/>
      <c r="OSQ12" s="1402"/>
      <c r="OSR12" s="1402"/>
      <c r="OSS12" s="1402"/>
      <c r="OST12" s="1402"/>
      <c r="OSU12" s="1402"/>
      <c r="OSV12" s="1402"/>
      <c r="OSW12" s="1402"/>
      <c r="OSX12" s="1402"/>
      <c r="OSY12" s="1402"/>
      <c r="OSZ12" s="1402"/>
      <c r="OTA12" s="1402"/>
      <c r="OTB12" s="1402"/>
      <c r="OTC12" s="1402"/>
      <c r="OTD12" s="1402"/>
      <c r="OTE12" s="1402"/>
      <c r="OTF12" s="1402"/>
      <c r="OTG12" s="1402"/>
      <c r="OTH12" s="1402"/>
      <c r="OTI12" s="1402"/>
      <c r="OTJ12" s="1402"/>
      <c r="OTK12" s="1402"/>
      <c r="OTL12" s="1402"/>
      <c r="OTM12" s="1402"/>
      <c r="OTN12" s="1402"/>
      <c r="OTO12" s="1402"/>
      <c r="OTP12" s="1402"/>
      <c r="OTQ12" s="1402"/>
      <c r="OTR12" s="1402"/>
      <c r="OTS12" s="1402"/>
      <c r="OTT12" s="1402"/>
      <c r="OTU12" s="1402"/>
      <c r="OTV12" s="1402"/>
      <c r="OTW12" s="1402"/>
      <c r="OTX12" s="1402"/>
      <c r="OTY12" s="1402"/>
      <c r="OTZ12" s="1402"/>
      <c r="OUA12" s="1402"/>
      <c r="OUB12" s="1402"/>
      <c r="OUC12" s="1402"/>
      <c r="OUD12" s="1402"/>
      <c r="OUE12" s="1402"/>
      <c r="OUF12" s="1402"/>
      <c r="OUG12" s="1402"/>
      <c r="OUH12" s="1402"/>
      <c r="OUI12" s="1402"/>
      <c r="OUJ12" s="1402"/>
      <c r="OUK12" s="1402"/>
      <c r="OUL12" s="1402"/>
      <c r="OUM12" s="1402"/>
      <c r="OUN12" s="1402"/>
      <c r="OUO12" s="1402"/>
      <c r="OUP12" s="1402"/>
      <c r="OUQ12" s="1402"/>
      <c r="OUR12" s="1402"/>
      <c r="OUS12" s="1402"/>
      <c r="OUT12" s="1402"/>
      <c r="OUU12" s="1402"/>
      <c r="OUV12" s="1402"/>
      <c r="OUW12" s="1402"/>
      <c r="OUX12" s="1402"/>
      <c r="OUY12" s="1402"/>
      <c r="OUZ12" s="1402"/>
      <c r="OVA12" s="1402"/>
      <c r="OVB12" s="1402"/>
      <c r="OVC12" s="1402"/>
      <c r="OVD12" s="1402"/>
      <c r="OVE12" s="1402"/>
      <c r="OVF12" s="1402"/>
      <c r="OVG12" s="1402"/>
      <c r="OVH12" s="1402"/>
      <c r="OVI12" s="1402"/>
      <c r="OVJ12" s="1402"/>
      <c r="OVK12" s="1402"/>
      <c r="OVL12" s="1402"/>
      <c r="OVM12" s="1402"/>
      <c r="OVN12" s="1402"/>
      <c r="OVO12" s="1402"/>
      <c r="OVP12" s="1402"/>
      <c r="OVQ12" s="1402"/>
      <c r="OVR12" s="1402"/>
      <c r="OVS12" s="1402"/>
      <c r="OVT12" s="1402"/>
      <c r="OVU12" s="1402"/>
      <c r="OVV12" s="1402"/>
      <c r="OVW12" s="1402"/>
      <c r="OVX12" s="1402"/>
      <c r="OVY12" s="1402"/>
      <c r="OVZ12" s="1402"/>
      <c r="OWA12" s="1402"/>
      <c r="OWB12" s="1402"/>
      <c r="OWC12" s="1402"/>
      <c r="OWD12" s="1402"/>
      <c r="OWE12" s="1402"/>
      <c r="OWF12" s="1402"/>
      <c r="OWG12" s="1402"/>
      <c r="OWH12" s="1402"/>
      <c r="OWI12" s="1402"/>
      <c r="OWJ12" s="1402"/>
      <c r="OWK12" s="1402"/>
      <c r="OWL12" s="1402"/>
      <c r="OWM12" s="1402"/>
      <c r="OWN12" s="1402"/>
      <c r="OWO12" s="1402"/>
      <c r="OWP12" s="1402"/>
      <c r="OWQ12" s="1402"/>
      <c r="OWR12" s="1402"/>
      <c r="OWS12" s="1402"/>
      <c r="OWT12" s="1402"/>
      <c r="OWU12" s="1402"/>
      <c r="OWV12" s="1402"/>
      <c r="OWW12" s="1402"/>
      <c r="OWX12" s="1402"/>
      <c r="OWY12" s="1402"/>
      <c r="OWZ12" s="1402"/>
      <c r="OXA12" s="1402"/>
      <c r="OXB12" s="1402"/>
      <c r="OXC12" s="1402"/>
      <c r="OXD12" s="1402"/>
      <c r="OXE12" s="1402"/>
      <c r="OXF12" s="1402"/>
      <c r="OXG12" s="1402"/>
      <c r="OXH12" s="1402"/>
      <c r="OXI12" s="1402"/>
      <c r="OXJ12" s="1402"/>
      <c r="OXK12" s="1402"/>
      <c r="OXL12" s="1402"/>
      <c r="OXM12" s="1402"/>
      <c r="OXN12" s="1402"/>
      <c r="OXO12" s="1402"/>
      <c r="OXP12" s="1402"/>
      <c r="OXQ12" s="1402"/>
      <c r="OXR12" s="1402"/>
      <c r="OXS12" s="1402"/>
      <c r="OXT12" s="1402"/>
      <c r="OXU12" s="1402"/>
      <c r="OXV12" s="1402"/>
      <c r="OXW12" s="1402"/>
      <c r="OXX12" s="1402"/>
      <c r="OXY12" s="1402"/>
      <c r="OXZ12" s="1402"/>
      <c r="OYA12" s="1402"/>
      <c r="OYB12" s="1402"/>
      <c r="OYC12" s="1402"/>
      <c r="OYD12" s="1402"/>
      <c r="OYE12" s="1402"/>
      <c r="OYF12" s="1402"/>
      <c r="OYG12" s="1402"/>
      <c r="OYH12" s="1402"/>
      <c r="OYI12" s="1402"/>
      <c r="OYJ12" s="1402"/>
      <c r="OYK12" s="1402"/>
      <c r="OYL12" s="1402"/>
      <c r="OYM12" s="1402"/>
      <c r="OYN12" s="1402"/>
      <c r="OYO12" s="1402"/>
      <c r="OYP12" s="1402"/>
      <c r="OYQ12" s="1402"/>
      <c r="OYR12" s="1402"/>
      <c r="OYS12" s="1402"/>
      <c r="OYT12" s="1402"/>
      <c r="OYU12" s="1402"/>
      <c r="OYV12" s="1402"/>
      <c r="OYW12" s="1402"/>
      <c r="OYX12" s="1402"/>
      <c r="OYY12" s="1402"/>
      <c r="OYZ12" s="1402"/>
      <c r="OZA12" s="1402"/>
      <c r="OZB12" s="1402"/>
      <c r="OZC12" s="1402"/>
      <c r="OZD12" s="1402"/>
      <c r="OZE12" s="1402"/>
      <c r="OZF12" s="1402"/>
      <c r="OZG12" s="1402"/>
      <c r="OZH12" s="1402"/>
      <c r="OZI12" s="1402"/>
      <c r="OZJ12" s="1402"/>
      <c r="OZK12" s="1402"/>
      <c r="OZL12" s="1402"/>
      <c r="OZM12" s="1402"/>
      <c r="OZN12" s="1402"/>
      <c r="OZO12" s="1402"/>
      <c r="OZP12" s="1402"/>
      <c r="OZQ12" s="1402"/>
      <c r="OZR12" s="1402"/>
      <c r="OZS12" s="1402"/>
      <c r="OZT12" s="1402"/>
      <c r="OZU12" s="1402"/>
      <c r="OZV12" s="1402"/>
      <c r="OZW12" s="1402"/>
      <c r="OZX12" s="1402"/>
      <c r="OZY12" s="1402"/>
      <c r="OZZ12" s="1402"/>
      <c r="PAA12" s="1402"/>
      <c r="PAB12" s="1402"/>
      <c r="PAC12" s="1402"/>
      <c r="PAD12" s="1402"/>
      <c r="PAE12" s="1402"/>
      <c r="PAF12" s="1402"/>
      <c r="PAG12" s="1402"/>
      <c r="PAH12" s="1402"/>
      <c r="PAI12" s="1402"/>
      <c r="PAJ12" s="1402"/>
      <c r="PAK12" s="1402"/>
      <c r="PAL12" s="1402"/>
      <c r="PAM12" s="1402"/>
      <c r="PAN12" s="1402"/>
      <c r="PAO12" s="1402"/>
      <c r="PAP12" s="1402"/>
      <c r="PAQ12" s="1402"/>
      <c r="PAR12" s="1402"/>
      <c r="PAS12" s="1402"/>
      <c r="PAT12" s="1402"/>
      <c r="PAU12" s="1402"/>
      <c r="PAV12" s="1402"/>
      <c r="PAW12" s="1402"/>
      <c r="PAX12" s="1402"/>
      <c r="PAY12" s="1402"/>
      <c r="PAZ12" s="1402"/>
      <c r="PBA12" s="1402"/>
      <c r="PBB12" s="1402"/>
      <c r="PBC12" s="1402"/>
      <c r="PBD12" s="1402"/>
      <c r="PBE12" s="1402"/>
      <c r="PBF12" s="1402"/>
      <c r="PBG12" s="1402"/>
      <c r="PBH12" s="1402"/>
      <c r="PBI12" s="1402"/>
      <c r="PBJ12" s="1402"/>
      <c r="PBK12" s="1402"/>
      <c r="PBL12" s="1402"/>
      <c r="PBM12" s="1402"/>
      <c r="PBN12" s="1402"/>
      <c r="PBO12" s="1402"/>
      <c r="PBP12" s="1402"/>
      <c r="PBQ12" s="1402"/>
      <c r="PBR12" s="1402"/>
      <c r="PBS12" s="1402"/>
      <c r="PBT12" s="1402"/>
      <c r="PBU12" s="1402"/>
      <c r="PBV12" s="1402"/>
      <c r="PBW12" s="1402"/>
      <c r="PBX12" s="1402"/>
      <c r="PBY12" s="1402"/>
      <c r="PBZ12" s="1402"/>
      <c r="PCA12" s="1402"/>
      <c r="PCB12" s="1402"/>
      <c r="PCC12" s="1402"/>
      <c r="PCD12" s="1402"/>
      <c r="PCE12" s="1402"/>
      <c r="PCF12" s="1402"/>
      <c r="PCG12" s="1402"/>
      <c r="PCH12" s="1402"/>
      <c r="PCI12" s="1402"/>
      <c r="PCJ12" s="1402"/>
      <c r="PCK12" s="1402"/>
      <c r="PCL12" s="1402"/>
      <c r="PCM12" s="1402"/>
      <c r="PCN12" s="1402"/>
      <c r="PCO12" s="1402"/>
      <c r="PCP12" s="1402"/>
      <c r="PCQ12" s="1402"/>
      <c r="PCR12" s="1402"/>
      <c r="PCS12" s="1402"/>
      <c r="PCT12" s="1402"/>
      <c r="PCU12" s="1402"/>
      <c r="PCV12" s="1402"/>
      <c r="PCW12" s="1402"/>
      <c r="PCX12" s="1402"/>
      <c r="PCY12" s="1402"/>
      <c r="PCZ12" s="1402"/>
      <c r="PDA12" s="1402"/>
      <c r="PDB12" s="1402"/>
      <c r="PDC12" s="1402"/>
      <c r="PDD12" s="1402"/>
      <c r="PDE12" s="1402"/>
      <c r="PDF12" s="1402"/>
      <c r="PDG12" s="1402"/>
      <c r="PDH12" s="1402"/>
      <c r="PDI12" s="1402"/>
      <c r="PDJ12" s="1402"/>
      <c r="PDK12" s="1402"/>
      <c r="PDL12" s="1402"/>
      <c r="PDM12" s="1402"/>
      <c r="PDN12" s="1402"/>
      <c r="PDO12" s="1402"/>
      <c r="PDP12" s="1402"/>
      <c r="PDQ12" s="1402"/>
      <c r="PDR12" s="1402"/>
      <c r="PDS12" s="1402"/>
      <c r="PDT12" s="1402"/>
      <c r="PDU12" s="1402"/>
      <c r="PDV12" s="1402"/>
      <c r="PDW12" s="1402"/>
      <c r="PDX12" s="1402"/>
      <c r="PDY12" s="1402"/>
      <c r="PDZ12" s="1402"/>
      <c r="PEA12" s="1402"/>
      <c r="PEB12" s="1402"/>
      <c r="PEC12" s="1402"/>
      <c r="PED12" s="1402"/>
      <c r="PEE12" s="1402"/>
      <c r="PEF12" s="1402"/>
      <c r="PEG12" s="1402"/>
      <c r="PEH12" s="1402"/>
      <c r="PEI12" s="1402"/>
      <c r="PEJ12" s="1402"/>
      <c r="PEK12" s="1402"/>
      <c r="PEL12" s="1402"/>
      <c r="PEM12" s="1402"/>
      <c r="PEN12" s="1402"/>
      <c r="PEO12" s="1402"/>
      <c r="PEP12" s="1402"/>
      <c r="PEQ12" s="1402"/>
      <c r="PER12" s="1402"/>
      <c r="PES12" s="1402"/>
      <c r="PET12" s="1402"/>
      <c r="PEU12" s="1402"/>
      <c r="PEV12" s="1402"/>
      <c r="PEW12" s="1402"/>
      <c r="PEX12" s="1402"/>
      <c r="PEY12" s="1402"/>
      <c r="PEZ12" s="1402"/>
      <c r="PFA12" s="1402"/>
      <c r="PFB12" s="1402"/>
      <c r="PFC12" s="1402"/>
      <c r="PFD12" s="1402"/>
      <c r="PFE12" s="1402"/>
      <c r="PFF12" s="1402"/>
      <c r="PFG12" s="1402"/>
      <c r="PFH12" s="1402"/>
      <c r="PFI12" s="1402"/>
      <c r="PFJ12" s="1402"/>
      <c r="PFK12" s="1402"/>
      <c r="PFL12" s="1402"/>
      <c r="PFM12" s="1402"/>
      <c r="PFN12" s="1402"/>
      <c r="PFO12" s="1402"/>
      <c r="PFP12" s="1402"/>
      <c r="PFQ12" s="1402"/>
      <c r="PFR12" s="1402"/>
      <c r="PFS12" s="1402"/>
      <c r="PFT12" s="1402"/>
      <c r="PFU12" s="1402"/>
      <c r="PFV12" s="1402"/>
      <c r="PFW12" s="1402"/>
      <c r="PFX12" s="1402"/>
      <c r="PFY12" s="1402"/>
      <c r="PFZ12" s="1402"/>
      <c r="PGA12" s="1402"/>
      <c r="PGB12" s="1402"/>
      <c r="PGC12" s="1402"/>
      <c r="PGD12" s="1402"/>
      <c r="PGE12" s="1402"/>
      <c r="PGF12" s="1402"/>
      <c r="PGG12" s="1402"/>
      <c r="PGH12" s="1402"/>
      <c r="PGI12" s="1402"/>
      <c r="PGJ12" s="1402"/>
      <c r="PGK12" s="1402"/>
      <c r="PGL12" s="1402"/>
      <c r="PGM12" s="1402"/>
      <c r="PGN12" s="1402"/>
      <c r="PGO12" s="1402"/>
      <c r="PGP12" s="1402"/>
      <c r="PGQ12" s="1402"/>
      <c r="PGR12" s="1402"/>
      <c r="PGS12" s="1402"/>
      <c r="PGT12" s="1402"/>
      <c r="PGU12" s="1402"/>
      <c r="PGV12" s="1402"/>
      <c r="PGW12" s="1402"/>
      <c r="PGX12" s="1402"/>
      <c r="PGY12" s="1402"/>
      <c r="PGZ12" s="1402"/>
      <c r="PHA12" s="1402"/>
      <c r="PHB12" s="1402"/>
      <c r="PHC12" s="1402"/>
      <c r="PHD12" s="1402"/>
      <c r="PHE12" s="1402"/>
      <c r="PHF12" s="1402"/>
      <c r="PHG12" s="1402"/>
      <c r="PHH12" s="1402"/>
      <c r="PHI12" s="1402"/>
      <c r="PHJ12" s="1402"/>
      <c r="PHK12" s="1402"/>
      <c r="PHL12" s="1402"/>
      <c r="PHM12" s="1402"/>
      <c r="PHN12" s="1402"/>
      <c r="PHO12" s="1402"/>
      <c r="PHP12" s="1402"/>
      <c r="PHQ12" s="1402"/>
      <c r="PHR12" s="1402"/>
      <c r="PHS12" s="1402"/>
      <c r="PHT12" s="1402"/>
      <c r="PHU12" s="1402"/>
      <c r="PHV12" s="1402"/>
      <c r="PHW12" s="1402"/>
      <c r="PHX12" s="1402"/>
      <c r="PHY12" s="1402"/>
      <c r="PHZ12" s="1402"/>
      <c r="PIA12" s="1402"/>
      <c r="PIB12" s="1402"/>
      <c r="PIC12" s="1402"/>
      <c r="PID12" s="1402"/>
      <c r="PIE12" s="1402"/>
      <c r="PIF12" s="1402"/>
      <c r="PIG12" s="1402"/>
      <c r="PIH12" s="1402"/>
      <c r="PII12" s="1402"/>
      <c r="PIJ12" s="1402"/>
      <c r="PIK12" s="1402"/>
      <c r="PIL12" s="1402"/>
      <c r="PIM12" s="1402"/>
      <c r="PIN12" s="1402"/>
      <c r="PIO12" s="1402"/>
      <c r="PIP12" s="1402"/>
      <c r="PIQ12" s="1402"/>
      <c r="PIR12" s="1402"/>
      <c r="PIS12" s="1402"/>
      <c r="PIT12" s="1402"/>
      <c r="PIU12" s="1402"/>
      <c r="PIV12" s="1402"/>
      <c r="PIW12" s="1402"/>
      <c r="PIX12" s="1402"/>
      <c r="PIY12" s="1402"/>
      <c r="PIZ12" s="1402"/>
      <c r="PJA12" s="1402"/>
      <c r="PJB12" s="1402"/>
      <c r="PJC12" s="1402"/>
      <c r="PJD12" s="1402"/>
      <c r="PJE12" s="1402"/>
      <c r="PJF12" s="1402"/>
      <c r="PJG12" s="1402"/>
      <c r="PJH12" s="1402"/>
      <c r="PJI12" s="1402"/>
      <c r="PJJ12" s="1402"/>
      <c r="PJK12" s="1402"/>
      <c r="PJL12" s="1402"/>
      <c r="PJM12" s="1402"/>
      <c r="PJN12" s="1402"/>
      <c r="PJO12" s="1402"/>
      <c r="PJP12" s="1402"/>
      <c r="PJQ12" s="1402"/>
      <c r="PJR12" s="1402"/>
      <c r="PJS12" s="1402"/>
      <c r="PJT12" s="1402"/>
      <c r="PJU12" s="1402"/>
      <c r="PJV12" s="1402"/>
      <c r="PJW12" s="1402"/>
      <c r="PJX12" s="1402"/>
      <c r="PJY12" s="1402"/>
      <c r="PJZ12" s="1402"/>
      <c r="PKA12" s="1402"/>
      <c r="PKB12" s="1402"/>
      <c r="PKC12" s="1402"/>
      <c r="PKD12" s="1402"/>
      <c r="PKE12" s="1402"/>
      <c r="PKF12" s="1402"/>
      <c r="PKG12" s="1402"/>
      <c r="PKH12" s="1402"/>
      <c r="PKI12" s="1402"/>
      <c r="PKJ12" s="1402"/>
      <c r="PKK12" s="1402"/>
      <c r="PKL12" s="1402"/>
      <c r="PKM12" s="1402"/>
      <c r="PKN12" s="1402"/>
      <c r="PKO12" s="1402"/>
      <c r="PKP12" s="1402"/>
      <c r="PKQ12" s="1402"/>
      <c r="PKR12" s="1402"/>
      <c r="PKS12" s="1402"/>
      <c r="PKT12" s="1402"/>
      <c r="PKU12" s="1402"/>
      <c r="PKV12" s="1402"/>
      <c r="PKW12" s="1402"/>
      <c r="PKX12" s="1402"/>
      <c r="PKY12" s="1402"/>
      <c r="PKZ12" s="1402"/>
      <c r="PLA12" s="1402"/>
      <c r="PLB12" s="1402"/>
      <c r="PLC12" s="1402"/>
      <c r="PLD12" s="1402"/>
      <c r="PLE12" s="1402"/>
      <c r="PLF12" s="1402"/>
      <c r="PLG12" s="1402"/>
      <c r="PLH12" s="1402"/>
      <c r="PLI12" s="1402"/>
      <c r="PLJ12" s="1402"/>
      <c r="PLK12" s="1402"/>
      <c r="PLL12" s="1402"/>
      <c r="PLM12" s="1402"/>
      <c r="PLN12" s="1402"/>
      <c r="PLO12" s="1402"/>
      <c r="PLP12" s="1402"/>
      <c r="PLQ12" s="1402"/>
      <c r="PLR12" s="1402"/>
      <c r="PLS12" s="1402"/>
      <c r="PLT12" s="1402"/>
      <c r="PLU12" s="1402"/>
      <c r="PLV12" s="1402"/>
      <c r="PLW12" s="1402"/>
      <c r="PLX12" s="1402"/>
      <c r="PLY12" s="1402"/>
      <c r="PLZ12" s="1402"/>
      <c r="PMA12" s="1402"/>
      <c r="PMB12" s="1402"/>
      <c r="PMC12" s="1402"/>
      <c r="PMD12" s="1402"/>
      <c r="PME12" s="1402"/>
      <c r="PMF12" s="1402"/>
      <c r="PMG12" s="1402"/>
      <c r="PMH12" s="1402"/>
      <c r="PMI12" s="1402"/>
      <c r="PMJ12" s="1402"/>
      <c r="PMK12" s="1402"/>
      <c r="PML12" s="1402"/>
      <c r="PMM12" s="1402"/>
      <c r="PMN12" s="1402"/>
      <c r="PMO12" s="1402"/>
      <c r="PMP12" s="1402"/>
      <c r="PMQ12" s="1402"/>
      <c r="PMR12" s="1402"/>
      <c r="PMS12" s="1402"/>
      <c r="PMT12" s="1402"/>
      <c r="PMU12" s="1402"/>
      <c r="PMV12" s="1402"/>
      <c r="PMW12" s="1402"/>
      <c r="PMX12" s="1402"/>
      <c r="PMY12" s="1402"/>
      <c r="PMZ12" s="1402"/>
      <c r="PNA12" s="1402"/>
      <c r="PNB12" s="1402"/>
      <c r="PNC12" s="1402"/>
      <c r="PND12" s="1402"/>
      <c r="PNE12" s="1402"/>
      <c r="PNF12" s="1402"/>
      <c r="PNG12" s="1402"/>
      <c r="PNH12" s="1402"/>
      <c r="PNI12" s="1402"/>
      <c r="PNJ12" s="1402"/>
      <c r="PNK12" s="1402"/>
      <c r="PNL12" s="1402"/>
      <c r="PNM12" s="1402"/>
      <c r="PNN12" s="1402"/>
      <c r="PNO12" s="1402"/>
      <c r="PNP12" s="1402"/>
      <c r="PNQ12" s="1402"/>
      <c r="PNR12" s="1402"/>
      <c r="PNS12" s="1402"/>
      <c r="PNT12" s="1402"/>
      <c r="PNU12" s="1402"/>
      <c r="PNV12" s="1402"/>
      <c r="PNW12" s="1402"/>
      <c r="PNX12" s="1402"/>
      <c r="PNY12" s="1402"/>
      <c r="PNZ12" s="1402"/>
      <c r="POA12" s="1402"/>
      <c r="POB12" s="1402"/>
      <c r="POC12" s="1402"/>
      <c r="POD12" s="1402"/>
      <c r="POE12" s="1402"/>
      <c r="POF12" s="1402"/>
      <c r="POG12" s="1402"/>
      <c r="POH12" s="1402"/>
      <c r="POI12" s="1402"/>
      <c r="POJ12" s="1402"/>
      <c r="POK12" s="1402"/>
      <c r="POL12" s="1402"/>
      <c r="POM12" s="1402"/>
      <c r="PON12" s="1402"/>
      <c r="POO12" s="1402"/>
      <c r="POP12" s="1402"/>
      <c r="POQ12" s="1402"/>
      <c r="POR12" s="1402"/>
      <c r="POS12" s="1402"/>
      <c r="POT12" s="1402"/>
      <c r="POU12" s="1402"/>
      <c r="POV12" s="1402"/>
      <c r="POW12" s="1402"/>
      <c r="POX12" s="1402"/>
      <c r="POY12" s="1402"/>
      <c r="POZ12" s="1402"/>
      <c r="PPA12" s="1402"/>
      <c r="PPB12" s="1402"/>
      <c r="PPC12" s="1402"/>
      <c r="PPD12" s="1402"/>
      <c r="PPE12" s="1402"/>
      <c r="PPF12" s="1402"/>
      <c r="PPG12" s="1402"/>
      <c r="PPH12" s="1402"/>
      <c r="PPI12" s="1402"/>
      <c r="PPJ12" s="1402"/>
      <c r="PPK12" s="1402"/>
      <c r="PPL12" s="1402"/>
      <c r="PPM12" s="1402"/>
      <c r="PPN12" s="1402"/>
      <c r="PPO12" s="1402"/>
      <c r="PPP12" s="1402"/>
      <c r="PPQ12" s="1402"/>
      <c r="PPR12" s="1402"/>
      <c r="PPS12" s="1402"/>
      <c r="PPT12" s="1402"/>
      <c r="PPU12" s="1402"/>
      <c r="PPV12" s="1402"/>
      <c r="PPW12" s="1402"/>
      <c r="PPX12" s="1402"/>
      <c r="PPY12" s="1402"/>
      <c r="PPZ12" s="1402"/>
      <c r="PQA12" s="1402"/>
      <c r="PQB12" s="1402"/>
      <c r="PQC12" s="1402"/>
      <c r="PQD12" s="1402"/>
      <c r="PQE12" s="1402"/>
      <c r="PQF12" s="1402"/>
      <c r="PQG12" s="1402"/>
      <c r="PQH12" s="1402"/>
      <c r="PQI12" s="1402"/>
      <c r="PQJ12" s="1402"/>
      <c r="PQK12" s="1402"/>
      <c r="PQL12" s="1402"/>
      <c r="PQM12" s="1402"/>
      <c r="PQN12" s="1402"/>
      <c r="PQO12" s="1402"/>
      <c r="PQP12" s="1402"/>
      <c r="PQQ12" s="1402"/>
      <c r="PQR12" s="1402"/>
      <c r="PQS12" s="1402"/>
      <c r="PQT12" s="1402"/>
      <c r="PQU12" s="1402"/>
      <c r="PQV12" s="1402"/>
      <c r="PQW12" s="1402"/>
      <c r="PQX12" s="1402"/>
      <c r="PQY12" s="1402"/>
      <c r="PQZ12" s="1402"/>
      <c r="PRA12" s="1402"/>
      <c r="PRB12" s="1402"/>
      <c r="PRC12" s="1402"/>
      <c r="PRD12" s="1402"/>
      <c r="PRE12" s="1402"/>
      <c r="PRF12" s="1402"/>
      <c r="PRG12" s="1402"/>
      <c r="PRH12" s="1402"/>
      <c r="PRI12" s="1402"/>
      <c r="PRJ12" s="1402"/>
      <c r="PRK12" s="1402"/>
      <c r="PRL12" s="1402"/>
      <c r="PRM12" s="1402"/>
      <c r="PRN12" s="1402"/>
      <c r="PRO12" s="1402"/>
      <c r="PRP12" s="1402"/>
      <c r="PRQ12" s="1402"/>
      <c r="PRR12" s="1402"/>
      <c r="PRS12" s="1402"/>
      <c r="PRT12" s="1402"/>
      <c r="PRU12" s="1402"/>
      <c r="PRV12" s="1402"/>
      <c r="PRW12" s="1402"/>
      <c r="PRX12" s="1402"/>
      <c r="PRY12" s="1402"/>
      <c r="PRZ12" s="1402"/>
      <c r="PSA12" s="1402"/>
      <c r="PSB12" s="1402"/>
      <c r="PSC12" s="1402"/>
      <c r="PSD12" s="1402"/>
      <c r="PSE12" s="1402"/>
      <c r="PSF12" s="1402"/>
      <c r="PSG12" s="1402"/>
      <c r="PSH12" s="1402"/>
      <c r="PSI12" s="1402"/>
      <c r="PSJ12" s="1402"/>
      <c r="PSK12" s="1402"/>
      <c r="PSL12" s="1402"/>
      <c r="PSM12" s="1402"/>
      <c r="PSN12" s="1402"/>
      <c r="PSO12" s="1402"/>
      <c r="PSP12" s="1402"/>
      <c r="PSQ12" s="1402"/>
      <c r="PSR12" s="1402"/>
      <c r="PSS12" s="1402"/>
      <c r="PST12" s="1402"/>
      <c r="PSU12" s="1402"/>
      <c r="PSV12" s="1402"/>
      <c r="PSW12" s="1402"/>
      <c r="PSX12" s="1402"/>
      <c r="PSY12" s="1402"/>
      <c r="PSZ12" s="1402"/>
      <c r="PTA12" s="1402"/>
      <c r="PTB12" s="1402"/>
      <c r="PTC12" s="1402"/>
      <c r="PTD12" s="1402"/>
      <c r="PTE12" s="1402"/>
      <c r="PTF12" s="1402"/>
      <c r="PTG12" s="1402"/>
      <c r="PTH12" s="1402"/>
      <c r="PTI12" s="1402"/>
      <c r="PTJ12" s="1402"/>
      <c r="PTK12" s="1402"/>
      <c r="PTL12" s="1402"/>
      <c r="PTM12" s="1402"/>
      <c r="PTN12" s="1402"/>
      <c r="PTO12" s="1402"/>
      <c r="PTP12" s="1402"/>
      <c r="PTQ12" s="1402"/>
      <c r="PTR12" s="1402"/>
      <c r="PTS12" s="1402"/>
      <c r="PTT12" s="1402"/>
      <c r="PTU12" s="1402"/>
      <c r="PTV12" s="1402"/>
      <c r="PTW12" s="1402"/>
      <c r="PTX12" s="1402"/>
      <c r="PTY12" s="1402"/>
      <c r="PTZ12" s="1402"/>
      <c r="PUA12" s="1402"/>
      <c r="PUB12" s="1402"/>
      <c r="PUC12" s="1402"/>
      <c r="PUD12" s="1402"/>
      <c r="PUE12" s="1402"/>
      <c r="PUF12" s="1402"/>
      <c r="PUG12" s="1402"/>
      <c r="PUH12" s="1402"/>
      <c r="PUI12" s="1402"/>
      <c r="PUJ12" s="1402"/>
      <c r="PUK12" s="1402"/>
      <c r="PUL12" s="1402"/>
      <c r="PUM12" s="1402"/>
      <c r="PUN12" s="1402"/>
      <c r="PUO12" s="1402"/>
      <c r="PUP12" s="1402"/>
      <c r="PUQ12" s="1402"/>
      <c r="PUR12" s="1402"/>
      <c r="PUS12" s="1402"/>
      <c r="PUT12" s="1402"/>
      <c r="PUU12" s="1402"/>
      <c r="PUV12" s="1402"/>
      <c r="PUW12" s="1402"/>
      <c r="PUX12" s="1402"/>
      <c r="PUY12" s="1402"/>
      <c r="PUZ12" s="1402"/>
      <c r="PVA12" s="1402"/>
      <c r="PVB12" s="1402"/>
      <c r="PVC12" s="1402"/>
      <c r="PVD12" s="1402"/>
      <c r="PVE12" s="1402"/>
      <c r="PVF12" s="1402"/>
      <c r="PVG12" s="1402"/>
      <c r="PVH12" s="1402"/>
      <c r="PVI12" s="1402"/>
      <c r="PVJ12" s="1402"/>
      <c r="PVK12" s="1402"/>
      <c r="PVL12" s="1402"/>
      <c r="PVM12" s="1402"/>
      <c r="PVN12" s="1402"/>
      <c r="PVO12" s="1402"/>
      <c r="PVP12" s="1402"/>
      <c r="PVQ12" s="1402"/>
      <c r="PVR12" s="1402"/>
      <c r="PVS12" s="1402"/>
      <c r="PVT12" s="1402"/>
      <c r="PVU12" s="1402"/>
      <c r="PVV12" s="1402"/>
      <c r="PVW12" s="1402"/>
      <c r="PVX12" s="1402"/>
      <c r="PVY12" s="1402"/>
      <c r="PVZ12" s="1402"/>
      <c r="PWA12" s="1402"/>
      <c r="PWB12" s="1402"/>
      <c r="PWC12" s="1402"/>
      <c r="PWD12" s="1402"/>
      <c r="PWE12" s="1402"/>
      <c r="PWF12" s="1402"/>
      <c r="PWG12" s="1402"/>
      <c r="PWH12" s="1402"/>
      <c r="PWI12" s="1402"/>
      <c r="PWJ12" s="1402"/>
      <c r="PWK12" s="1402"/>
      <c r="PWL12" s="1402"/>
      <c r="PWM12" s="1402"/>
      <c r="PWN12" s="1402"/>
      <c r="PWO12" s="1402"/>
      <c r="PWP12" s="1402"/>
      <c r="PWQ12" s="1402"/>
      <c r="PWR12" s="1402"/>
      <c r="PWS12" s="1402"/>
      <c r="PWT12" s="1402"/>
      <c r="PWU12" s="1402"/>
      <c r="PWV12" s="1402"/>
      <c r="PWW12" s="1402"/>
      <c r="PWX12" s="1402"/>
      <c r="PWY12" s="1402"/>
      <c r="PWZ12" s="1402"/>
      <c r="PXA12" s="1402"/>
      <c r="PXB12" s="1402"/>
      <c r="PXC12" s="1402"/>
      <c r="PXD12" s="1402"/>
      <c r="PXE12" s="1402"/>
      <c r="PXF12" s="1402"/>
      <c r="PXG12" s="1402"/>
      <c r="PXH12" s="1402"/>
      <c r="PXI12" s="1402"/>
      <c r="PXJ12" s="1402"/>
      <c r="PXK12" s="1402"/>
      <c r="PXL12" s="1402"/>
      <c r="PXM12" s="1402"/>
      <c r="PXN12" s="1402"/>
      <c r="PXO12" s="1402"/>
      <c r="PXP12" s="1402"/>
      <c r="PXQ12" s="1402"/>
      <c r="PXR12" s="1402"/>
      <c r="PXS12" s="1402"/>
      <c r="PXT12" s="1402"/>
      <c r="PXU12" s="1402"/>
      <c r="PXV12" s="1402"/>
      <c r="PXW12" s="1402"/>
      <c r="PXX12" s="1402"/>
      <c r="PXY12" s="1402"/>
      <c r="PXZ12" s="1402"/>
      <c r="PYA12" s="1402"/>
      <c r="PYB12" s="1402"/>
      <c r="PYC12" s="1402"/>
      <c r="PYD12" s="1402"/>
      <c r="PYE12" s="1402"/>
      <c r="PYF12" s="1402"/>
      <c r="PYG12" s="1402"/>
      <c r="PYH12" s="1402"/>
      <c r="PYI12" s="1402"/>
      <c r="PYJ12" s="1402"/>
      <c r="PYK12" s="1402"/>
      <c r="PYL12" s="1402"/>
      <c r="PYM12" s="1402"/>
      <c r="PYN12" s="1402"/>
      <c r="PYO12" s="1402"/>
      <c r="PYP12" s="1402"/>
      <c r="PYQ12" s="1402"/>
      <c r="PYR12" s="1402"/>
      <c r="PYS12" s="1402"/>
      <c r="PYT12" s="1402"/>
      <c r="PYU12" s="1402"/>
      <c r="PYV12" s="1402"/>
      <c r="PYW12" s="1402"/>
      <c r="PYX12" s="1402"/>
      <c r="PYY12" s="1402"/>
      <c r="PYZ12" s="1402"/>
      <c r="PZA12" s="1402"/>
      <c r="PZB12" s="1402"/>
      <c r="PZC12" s="1402"/>
      <c r="PZD12" s="1402"/>
      <c r="PZE12" s="1402"/>
      <c r="PZF12" s="1402"/>
      <c r="PZG12" s="1402"/>
      <c r="PZH12" s="1402"/>
      <c r="PZI12" s="1402"/>
      <c r="PZJ12" s="1402"/>
      <c r="PZK12" s="1402"/>
      <c r="PZL12" s="1402"/>
      <c r="PZM12" s="1402"/>
      <c r="PZN12" s="1402"/>
      <c r="PZO12" s="1402"/>
      <c r="PZP12" s="1402"/>
      <c r="PZQ12" s="1402"/>
      <c r="PZR12" s="1402"/>
      <c r="PZS12" s="1402"/>
      <c r="PZT12" s="1402"/>
      <c r="PZU12" s="1402"/>
      <c r="PZV12" s="1402"/>
      <c r="PZW12" s="1402"/>
      <c r="PZX12" s="1402"/>
      <c r="PZY12" s="1402"/>
      <c r="PZZ12" s="1402"/>
      <c r="QAA12" s="1402"/>
      <c r="QAB12" s="1402"/>
      <c r="QAC12" s="1402"/>
      <c r="QAD12" s="1402"/>
      <c r="QAE12" s="1402"/>
      <c r="QAF12" s="1402"/>
      <c r="QAG12" s="1402"/>
      <c r="QAH12" s="1402"/>
      <c r="QAI12" s="1402"/>
      <c r="QAJ12" s="1402"/>
      <c r="QAK12" s="1402"/>
      <c r="QAL12" s="1402"/>
      <c r="QAM12" s="1402"/>
      <c r="QAN12" s="1402"/>
      <c r="QAO12" s="1402"/>
      <c r="QAP12" s="1402"/>
      <c r="QAQ12" s="1402"/>
      <c r="QAR12" s="1402"/>
      <c r="QAS12" s="1402"/>
      <c r="QAT12" s="1402"/>
      <c r="QAU12" s="1402"/>
      <c r="QAV12" s="1402"/>
      <c r="QAW12" s="1402"/>
      <c r="QAX12" s="1402"/>
      <c r="QAY12" s="1402"/>
      <c r="QAZ12" s="1402"/>
      <c r="QBA12" s="1402"/>
      <c r="QBB12" s="1402"/>
      <c r="QBC12" s="1402"/>
      <c r="QBD12" s="1402"/>
      <c r="QBE12" s="1402"/>
      <c r="QBF12" s="1402"/>
      <c r="QBG12" s="1402"/>
      <c r="QBH12" s="1402"/>
      <c r="QBI12" s="1402"/>
      <c r="QBJ12" s="1402"/>
      <c r="QBK12" s="1402"/>
      <c r="QBL12" s="1402"/>
      <c r="QBM12" s="1402"/>
      <c r="QBN12" s="1402"/>
      <c r="QBO12" s="1402"/>
      <c r="QBP12" s="1402"/>
      <c r="QBQ12" s="1402"/>
      <c r="QBR12" s="1402"/>
      <c r="QBS12" s="1402"/>
      <c r="QBT12" s="1402"/>
      <c r="QBU12" s="1402"/>
      <c r="QBV12" s="1402"/>
      <c r="QBW12" s="1402"/>
      <c r="QBX12" s="1402"/>
      <c r="QBY12" s="1402"/>
      <c r="QBZ12" s="1402"/>
      <c r="QCA12" s="1402"/>
      <c r="QCB12" s="1402"/>
      <c r="QCC12" s="1402"/>
      <c r="QCD12" s="1402"/>
      <c r="QCE12" s="1402"/>
      <c r="QCF12" s="1402"/>
      <c r="QCG12" s="1402"/>
      <c r="QCH12" s="1402"/>
      <c r="QCI12" s="1402"/>
      <c r="QCJ12" s="1402"/>
      <c r="QCK12" s="1402"/>
      <c r="QCL12" s="1402"/>
      <c r="QCM12" s="1402"/>
      <c r="QCN12" s="1402"/>
      <c r="QCO12" s="1402"/>
      <c r="QCP12" s="1402"/>
      <c r="QCQ12" s="1402"/>
      <c r="QCR12" s="1402"/>
      <c r="QCS12" s="1402"/>
      <c r="QCT12" s="1402"/>
      <c r="QCU12" s="1402"/>
      <c r="QCV12" s="1402"/>
      <c r="QCW12" s="1402"/>
      <c r="QCX12" s="1402"/>
      <c r="QCY12" s="1402"/>
      <c r="QCZ12" s="1402"/>
      <c r="QDA12" s="1402"/>
      <c r="QDB12" s="1402"/>
      <c r="QDC12" s="1402"/>
      <c r="QDD12" s="1402"/>
      <c r="QDE12" s="1402"/>
      <c r="QDF12" s="1402"/>
      <c r="QDG12" s="1402"/>
      <c r="QDH12" s="1402"/>
      <c r="QDI12" s="1402"/>
      <c r="QDJ12" s="1402"/>
      <c r="QDK12" s="1402"/>
      <c r="QDL12" s="1402"/>
      <c r="QDM12" s="1402"/>
      <c r="QDN12" s="1402"/>
      <c r="QDO12" s="1402"/>
      <c r="QDP12" s="1402"/>
      <c r="QDQ12" s="1402"/>
      <c r="QDR12" s="1402"/>
      <c r="QDS12" s="1402"/>
      <c r="QDT12" s="1402"/>
      <c r="QDU12" s="1402"/>
      <c r="QDV12" s="1402"/>
      <c r="QDW12" s="1402"/>
      <c r="QDX12" s="1402"/>
      <c r="QDY12" s="1402"/>
      <c r="QDZ12" s="1402"/>
      <c r="QEA12" s="1402"/>
      <c r="QEB12" s="1402"/>
      <c r="QEC12" s="1402"/>
      <c r="QED12" s="1402"/>
      <c r="QEE12" s="1402"/>
      <c r="QEF12" s="1402"/>
      <c r="QEG12" s="1402"/>
      <c r="QEH12" s="1402"/>
      <c r="QEI12" s="1402"/>
      <c r="QEJ12" s="1402"/>
      <c r="QEK12" s="1402"/>
      <c r="QEL12" s="1402"/>
      <c r="QEM12" s="1402"/>
      <c r="QEN12" s="1402"/>
      <c r="QEO12" s="1402"/>
      <c r="QEP12" s="1402"/>
      <c r="QEQ12" s="1402"/>
      <c r="QER12" s="1402"/>
      <c r="QES12" s="1402"/>
      <c r="QET12" s="1402"/>
      <c r="QEU12" s="1402"/>
      <c r="QEV12" s="1402"/>
      <c r="QEW12" s="1402"/>
      <c r="QEX12" s="1402"/>
      <c r="QEY12" s="1402"/>
      <c r="QEZ12" s="1402"/>
      <c r="QFA12" s="1402"/>
      <c r="QFB12" s="1402"/>
      <c r="QFC12" s="1402"/>
      <c r="QFD12" s="1402"/>
      <c r="QFE12" s="1402"/>
      <c r="QFF12" s="1402"/>
      <c r="QFG12" s="1402"/>
      <c r="QFH12" s="1402"/>
      <c r="QFI12" s="1402"/>
      <c r="QFJ12" s="1402"/>
      <c r="QFK12" s="1402"/>
      <c r="QFL12" s="1402"/>
      <c r="QFM12" s="1402"/>
      <c r="QFN12" s="1402"/>
      <c r="QFO12" s="1402"/>
      <c r="QFP12" s="1402"/>
      <c r="QFQ12" s="1402"/>
      <c r="QFR12" s="1402"/>
      <c r="QFS12" s="1402"/>
      <c r="QFT12" s="1402"/>
      <c r="QFU12" s="1402"/>
      <c r="QFV12" s="1402"/>
      <c r="QFW12" s="1402"/>
      <c r="QFX12" s="1402"/>
      <c r="QFY12" s="1402"/>
      <c r="QFZ12" s="1402"/>
      <c r="QGA12" s="1402"/>
      <c r="QGB12" s="1402"/>
      <c r="QGC12" s="1402"/>
      <c r="QGD12" s="1402"/>
      <c r="QGE12" s="1402"/>
      <c r="QGF12" s="1402"/>
      <c r="QGG12" s="1402"/>
      <c r="QGH12" s="1402"/>
      <c r="QGI12" s="1402"/>
      <c r="QGJ12" s="1402"/>
      <c r="QGK12" s="1402"/>
      <c r="QGL12" s="1402"/>
      <c r="QGM12" s="1402"/>
      <c r="QGN12" s="1402"/>
      <c r="QGO12" s="1402"/>
      <c r="QGP12" s="1402"/>
      <c r="QGQ12" s="1402"/>
      <c r="QGR12" s="1402"/>
      <c r="QGS12" s="1402"/>
      <c r="QGT12" s="1402"/>
      <c r="QGU12" s="1402"/>
      <c r="QGV12" s="1402"/>
      <c r="QGW12" s="1402"/>
      <c r="QGX12" s="1402"/>
      <c r="QGY12" s="1402"/>
      <c r="QGZ12" s="1402"/>
      <c r="QHA12" s="1402"/>
      <c r="QHB12" s="1402"/>
      <c r="QHC12" s="1402"/>
      <c r="QHD12" s="1402"/>
      <c r="QHE12" s="1402"/>
      <c r="QHF12" s="1402"/>
      <c r="QHG12" s="1402"/>
      <c r="QHH12" s="1402"/>
      <c r="QHI12" s="1402"/>
      <c r="QHJ12" s="1402"/>
      <c r="QHK12" s="1402"/>
      <c r="QHL12" s="1402"/>
      <c r="QHM12" s="1402"/>
      <c r="QHN12" s="1402"/>
      <c r="QHO12" s="1402"/>
      <c r="QHP12" s="1402"/>
      <c r="QHQ12" s="1402"/>
      <c r="QHR12" s="1402"/>
      <c r="QHS12" s="1402"/>
      <c r="QHT12" s="1402"/>
      <c r="QHU12" s="1402"/>
      <c r="QHV12" s="1402"/>
      <c r="QHW12" s="1402"/>
      <c r="QHX12" s="1402"/>
      <c r="QHY12" s="1402"/>
      <c r="QHZ12" s="1402"/>
      <c r="QIA12" s="1402"/>
      <c r="QIB12" s="1402"/>
      <c r="QIC12" s="1402"/>
      <c r="QID12" s="1402"/>
      <c r="QIE12" s="1402"/>
      <c r="QIF12" s="1402"/>
      <c r="QIG12" s="1402"/>
      <c r="QIH12" s="1402"/>
      <c r="QII12" s="1402"/>
      <c r="QIJ12" s="1402"/>
      <c r="QIK12" s="1402"/>
      <c r="QIL12" s="1402"/>
      <c r="QIM12" s="1402"/>
      <c r="QIN12" s="1402"/>
      <c r="QIO12" s="1402"/>
      <c r="QIP12" s="1402"/>
      <c r="QIQ12" s="1402"/>
      <c r="QIR12" s="1402"/>
      <c r="QIS12" s="1402"/>
      <c r="QIT12" s="1402"/>
      <c r="QIU12" s="1402"/>
      <c r="QIV12" s="1402"/>
      <c r="QIW12" s="1402"/>
      <c r="QIX12" s="1402"/>
      <c r="QIY12" s="1402"/>
      <c r="QIZ12" s="1402"/>
      <c r="QJA12" s="1402"/>
      <c r="QJB12" s="1402"/>
      <c r="QJC12" s="1402"/>
      <c r="QJD12" s="1402"/>
      <c r="QJE12" s="1402"/>
      <c r="QJF12" s="1402"/>
      <c r="QJG12" s="1402"/>
      <c r="QJH12" s="1402"/>
      <c r="QJI12" s="1402"/>
      <c r="QJJ12" s="1402"/>
      <c r="QJK12" s="1402"/>
      <c r="QJL12" s="1402"/>
      <c r="QJM12" s="1402"/>
      <c r="QJN12" s="1402"/>
      <c r="QJO12" s="1402"/>
      <c r="QJP12" s="1402"/>
      <c r="QJQ12" s="1402"/>
      <c r="QJR12" s="1402"/>
      <c r="QJS12" s="1402"/>
      <c r="QJT12" s="1402"/>
      <c r="QJU12" s="1402"/>
      <c r="QJV12" s="1402"/>
      <c r="QJW12" s="1402"/>
      <c r="QJX12" s="1402"/>
      <c r="QJY12" s="1402"/>
      <c r="QJZ12" s="1402"/>
      <c r="QKA12" s="1402"/>
      <c r="QKB12" s="1402"/>
      <c r="QKC12" s="1402"/>
      <c r="QKD12" s="1402"/>
      <c r="QKE12" s="1402"/>
      <c r="QKF12" s="1402"/>
      <c r="QKG12" s="1402"/>
      <c r="QKH12" s="1402"/>
      <c r="QKI12" s="1402"/>
      <c r="QKJ12" s="1402"/>
      <c r="QKK12" s="1402"/>
      <c r="QKL12" s="1402"/>
      <c r="QKM12" s="1402"/>
      <c r="QKN12" s="1402"/>
      <c r="QKO12" s="1402"/>
      <c r="QKP12" s="1402"/>
      <c r="QKQ12" s="1402"/>
      <c r="QKR12" s="1402"/>
      <c r="QKS12" s="1402"/>
      <c r="QKT12" s="1402"/>
      <c r="QKU12" s="1402"/>
      <c r="QKV12" s="1402"/>
      <c r="QKW12" s="1402"/>
      <c r="QKX12" s="1402"/>
      <c r="QKY12" s="1402"/>
      <c r="QKZ12" s="1402"/>
      <c r="QLA12" s="1402"/>
      <c r="QLB12" s="1402"/>
      <c r="QLC12" s="1402"/>
      <c r="QLD12" s="1402"/>
      <c r="QLE12" s="1402"/>
      <c r="QLF12" s="1402"/>
      <c r="QLG12" s="1402"/>
      <c r="QLH12" s="1402"/>
      <c r="QLI12" s="1402"/>
      <c r="QLJ12" s="1402"/>
      <c r="QLK12" s="1402"/>
      <c r="QLL12" s="1402"/>
      <c r="QLM12" s="1402"/>
      <c r="QLN12" s="1402"/>
      <c r="QLO12" s="1402"/>
      <c r="QLP12" s="1402"/>
      <c r="QLQ12" s="1402"/>
      <c r="QLR12" s="1402"/>
      <c r="QLS12" s="1402"/>
      <c r="QLT12" s="1402"/>
      <c r="QLU12" s="1402"/>
      <c r="QLV12" s="1402"/>
      <c r="QLW12" s="1402"/>
      <c r="QLX12" s="1402"/>
      <c r="QLY12" s="1402"/>
      <c r="QLZ12" s="1402"/>
      <c r="QMA12" s="1402"/>
      <c r="QMB12" s="1402"/>
      <c r="QMC12" s="1402"/>
      <c r="QMD12" s="1402"/>
      <c r="QME12" s="1402"/>
      <c r="QMF12" s="1402"/>
      <c r="QMG12" s="1402"/>
      <c r="QMH12" s="1402"/>
      <c r="QMI12" s="1402"/>
      <c r="QMJ12" s="1402"/>
      <c r="QMK12" s="1402"/>
      <c r="QML12" s="1402"/>
      <c r="QMM12" s="1402"/>
      <c r="QMN12" s="1402"/>
      <c r="QMO12" s="1402"/>
      <c r="QMP12" s="1402"/>
      <c r="QMQ12" s="1402"/>
      <c r="QMR12" s="1402"/>
      <c r="QMS12" s="1402"/>
      <c r="QMT12" s="1402"/>
      <c r="QMU12" s="1402"/>
      <c r="QMV12" s="1402"/>
      <c r="QMW12" s="1402"/>
      <c r="QMX12" s="1402"/>
      <c r="QMY12" s="1402"/>
      <c r="QMZ12" s="1402"/>
      <c r="QNA12" s="1402"/>
      <c r="QNB12" s="1402"/>
      <c r="QNC12" s="1402"/>
      <c r="QND12" s="1402"/>
      <c r="QNE12" s="1402"/>
      <c r="QNF12" s="1402"/>
      <c r="QNG12" s="1402"/>
      <c r="QNH12" s="1402"/>
      <c r="QNI12" s="1402"/>
      <c r="QNJ12" s="1402"/>
      <c r="QNK12" s="1402"/>
      <c r="QNL12" s="1402"/>
      <c r="QNM12" s="1402"/>
      <c r="QNN12" s="1402"/>
      <c r="QNO12" s="1402"/>
      <c r="QNP12" s="1402"/>
      <c r="QNQ12" s="1402"/>
      <c r="QNR12" s="1402"/>
      <c r="QNS12" s="1402"/>
      <c r="QNT12" s="1402"/>
      <c r="QNU12" s="1402"/>
      <c r="QNV12" s="1402"/>
      <c r="QNW12" s="1402"/>
      <c r="QNX12" s="1402"/>
      <c r="QNY12" s="1402"/>
      <c r="QNZ12" s="1402"/>
      <c r="QOA12" s="1402"/>
      <c r="QOB12" s="1402"/>
      <c r="QOC12" s="1402"/>
      <c r="QOD12" s="1402"/>
      <c r="QOE12" s="1402"/>
      <c r="QOF12" s="1402"/>
      <c r="QOG12" s="1402"/>
      <c r="QOH12" s="1402"/>
      <c r="QOI12" s="1402"/>
      <c r="QOJ12" s="1402"/>
      <c r="QOK12" s="1402"/>
      <c r="QOL12" s="1402"/>
      <c r="QOM12" s="1402"/>
      <c r="QON12" s="1402"/>
      <c r="QOO12" s="1402"/>
      <c r="QOP12" s="1402"/>
      <c r="QOQ12" s="1402"/>
      <c r="QOR12" s="1402"/>
      <c r="QOS12" s="1402"/>
      <c r="QOT12" s="1402"/>
      <c r="QOU12" s="1402"/>
      <c r="QOV12" s="1402"/>
      <c r="QOW12" s="1402"/>
      <c r="QOX12" s="1402"/>
      <c r="QOY12" s="1402"/>
      <c r="QOZ12" s="1402"/>
      <c r="QPA12" s="1402"/>
      <c r="QPB12" s="1402"/>
      <c r="QPC12" s="1402"/>
      <c r="QPD12" s="1402"/>
      <c r="QPE12" s="1402"/>
      <c r="QPF12" s="1402"/>
      <c r="QPG12" s="1402"/>
      <c r="QPH12" s="1402"/>
      <c r="QPI12" s="1402"/>
      <c r="QPJ12" s="1402"/>
      <c r="QPK12" s="1402"/>
      <c r="QPL12" s="1402"/>
      <c r="QPM12" s="1402"/>
      <c r="QPN12" s="1402"/>
      <c r="QPO12" s="1402"/>
      <c r="QPP12" s="1402"/>
      <c r="QPQ12" s="1402"/>
      <c r="QPR12" s="1402"/>
      <c r="QPS12" s="1402"/>
      <c r="QPT12" s="1402"/>
      <c r="QPU12" s="1402"/>
      <c r="QPV12" s="1402"/>
      <c r="QPW12" s="1402"/>
      <c r="QPX12" s="1402"/>
      <c r="QPY12" s="1402"/>
      <c r="QPZ12" s="1402"/>
      <c r="QQA12" s="1402"/>
      <c r="QQB12" s="1402"/>
      <c r="QQC12" s="1402"/>
      <c r="QQD12" s="1402"/>
      <c r="QQE12" s="1402"/>
      <c r="QQF12" s="1402"/>
      <c r="QQG12" s="1402"/>
      <c r="QQH12" s="1402"/>
      <c r="QQI12" s="1402"/>
      <c r="QQJ12" s="1402"/>
      <c r="QQK12" s="1402"/>
      <c r="QQL12" s="1402"/>
      <c r="QQM12" s="1402"/>
      <c r="QQN12" s="1402"/>
      <c r="QQO12" s="1402"/>
      <c r="QQP12" s="1402"/>
      <c r="QQQ12" s="1402"/>
      <c r="QQR12" s="1402"/>
      <c r="QQS12" s="1402"/>
      <c r="QQT12" s="1402"/>
      <c r="QQU12" s="1402"/>
      <c r="QQV12" s="1402"/>
      <c r="QQW12" s="1402"/>
      <c r="QQX12" s="1402"/>
      <c r="QQY12" s="1402"/>
      <c r="QQZ12" s="1402"/>
      <c r="QRA12" s="1402"/>
      <c r="QRB12" s="1402"/>
      <c r="QRC12" s="1402"/>
      <c r="QRD12" s="1402"/>
      <c r="QRE12" s="1402"/>
      <c r="QRF12" s="1402"/>
      <c r="QRG12" s="1402"/>
      <c r="QRH12" s="1402"/>
      <c r="QRI12" s="1402"/>
      <c r="QRJ12" s="1402"/>
      <c r="QRK12" s="1402"/>
      <c r="QRL12" s="1402"/>
      <c r="QRM12" s="1402"/>
      <c r="QRN12" s="1402"/>
      <c r="QRO12" s="1402"/>
      <c r="QRP12" s="1402"/>
      <c r="QRQ12" s="1402"/>
      <c r="QRR12" s="1402"/>
      <c r="QRS12" s="1402"/>
      <c r="QRT12" s="1402"/>
      <c r="QRU12" s="1402"/>
      <c r="QRV12" s="1402"/>
      <c r="QRW12" s="1402"/>
      <c r="QRX12" s="1402"/>
      <c r="QRY12" s="1402"/>
      <c r="QRZ12" s="1402"/>
      <c r="QSA12" s="1402"/>
      <c r="QSB12" s="1402"/>
      <c r="QSC12" s="1402"/>
      <c r="QSD12" s="1402"/>
      <c r="QSE12" s="1402"/>
      <c r="QSF12" s="1402"/>
      <c r="QSG12" s="1402"/>
      <c r="QSH12" s="1402"/>
      <c r="QSI12" s="1402"/>
      <c r="QSJ12" s="1402"/>
      <c r="QSK12" s="1402"/>
      <c r="QSL12" s="1402"/>
      <c r="QSM12" s="1402"/>
      <c r="QSN12" s="1402"/>
      <c r="QSO12" s="1402"/>
      <c r="QSP12" s="1402"/>
      <c r="QSQ12" s="1402"/>
      <c r="QSR12" s="1402"/>
      <c r="QSS12" s="1402"/>
      <c r="QST12" s="1402"/>
      <c r="QSU12" s="1402"/>
      <c r="QSV12" s="1402"/>
      <c r="QSW12" s="1402"/>
      <c r="QSX12" s="1402"/>
      <c r="QSY12" s="1402"/>
      <c r="QSZ12" s="1402"/>
      <c r="QTA12" s="1402"/>
      <c r="QTB12" s="1402"/>
      <c r="QTC12" s="1402"/>
      <c r="QTD12" s="1402"/>
      <c r="QTE12" s="1402"/>
      <c r="QTF12" s="1402"/>
      <c r="QTG12" s="1402"/>
      <c r="QTH12" s="1402"/>
      <c r="QTI12" s="1402"/>
      <c r="QTJ12" s="1402"/>
      <c r="QTK12" s="1402"/>
      <c r="QTL12" s="1402"/>
      <c r="QTM12" s="1402"/>
      <c r="QTN12" s="1402"/>
      <c r="QTO12" s="1402"/>
      <c r="QTP12" s="1402"/>
      <c r="QTQ12" s="1402"/>
      <c r="QTR12" s="1402"/>
      <c r="QTS12" s="1402"/>
      <c r="QTT12" s="1402"/>
      <c r="QTU12" s="1402"/>
      <c r="QTV12" s="1402"/>
      <c r="QTW12" s="1402"/>
      <c r="QTX12" s="1402"/>
      <c r="QTY12" s="1402"/>
      <c r="QTZ12" s="1402"/>
      <c r="QUA12" s="1402"/>
      <c r="QUB12" s="1402"/>
      <c r="QUC12" s="1402"/>
      <c r="QUD12" s="1402"/>
      <c r="QUE12" s="1402"/>
      <c r="QUF12" s="1402"/>
      <c r="QUG12" s="1402"/>
      <c r="QUH12" s="1402"/>
      <c r="QUI12" s="1402"/>
      <c r="QUJ12" s="1402"/>
      <c r="QUK12" s="1402"/>
      <c r="QUL12" s="1402"/>
      <c r="QUM12" s="1402"/>
      <c r="QUN12" s="1402"/>
      <c r="QUO12" s="1402"/>
      <c r="QUP12" s="1402"/>
      <c r="QUQ12" s="1402"/>
      <c r="QUR12" s="1402"/>
      <c r="QUS12" s="1402"/>
      <c r="QUT12" s="1402"/>
      <c r="QUU12" s="1402"/>
      <c r="QUV12" s="1402"/>
      <c r="QUW12" s="1402"/>
      <c r="QUX12" s="1402"/>
      <c r="QUY12" s="1402"/>
      <c r="QUZ12" s="1402"/>
      <c r="QVA12" s="1402"/>
      <c r="QVB12" s="1402"/>
      <c r="QVC12" s="1402"/>
      <c r="QVD12" s="1402"/>
      <c r="QVE12" s="1402"/>
      <c r="QVF12" s="1402"/>
      <c r="QVG12" s="1402"/>
      <c r="QVH12" s="1402"/>
      <c r="QVI12" s="1402"/>
      <c r="QVJ12" s="1402"/>
      <c r="QVK12" s="1402"/>
      <c r="QVL12" s="1402"/>
      <c r="QVM12" s="1402"/>
      <c r="QVN12" s="1402"/>
      <c r="QVO12" s="1402"/>
      <c r="QVP12" s="1402"/>
      <c r="QVQ12" s="1402"/>
      <c r="QVR12" s="1402"/>
      <c r="QVS12" s="1402"/>
      <c r="QVT12" s="1402"/>
      <c r="QVU12" s="1402"/>
      <c r="QVV12" s="1402"/>
      <c r="QVW12" s="1402"/>
      <c r="QVX12" s="1402"/>
      <c r="QVY12" s="1402"/>
      <c r="QVZ12" s="1402"/>
      <c r="QWA12" s="1402"/>
      <c r="QWB12" s="1402"/>
      <c r="QWC12" s="1402"/>
      <c r="QWD12" s="1402"/>
      <c r="QWE12" s="1402"/>
      <c r="QWF12" s="1402"/>
      <c r="QWG12" s="1402"/>
      <c r="QWH12" s="1402"/>
      <c r="QWI12" s="1402"/>
      <c r="QWJ12" s="1402"/>
      <c r="QWK12" s="1402"/>
      <c r="QWL12" s="1402"/>
      <c r="QWM12" s="1402"/>
      <c r="QWN12" s="1402"/>
      <c r="QWO12" s="1402"/>
      <c r="QWP12" s="1402"/>
      <c r="QWQ12" s="1402"/>
      <c r="QWR12" s="1402"/>
      <c r="QWS12" s="1402"/>
      <c r="QWT12" s="1402"/>
      <c r="QWU12" s="1402"/>
      <c r="QWV12" s="1402"/>
      <c r="QWW12" s="1402"/>
      <c r="QWX12" s="1402"/>
      <c r="QWY12" s="1402"/>
      <c r="QWZ12" s="1402"/>
      <c r="QXA12" s="1402"/>
      <c r="QXB12" s="1402"/>
      <c r="QXC12" s="1402"/>
      <c r="QXD12" s="1402"/>
      <c r="QXE12" s="1402"/>
      <c r="QXF12" s="1402"/>
      <c r="QXG12" s="1402"/>
      <c r="QXH12" s="1402"/>
      <c r="QXI12" s="1402"/>
      <c r="QXJ12" s="1402"/>
      <c r="QXK12" s="1402"/>
      <c r="QXL12" s="1402"/>
      <c r="QXM12" s="1402"/>
      <c r="QXN12" s="1402"/>
      <c r="QXO12" s="1402"/>
      <c r="QXP12" s="1402"/>
      <c r="QXQ12" s="1402"/>
      <c r="QXR12" s="1402"/>
      <c r="QXS12" s="1402"/>
      <c r="QXT12" s="1402"/>
      <c r="QXU12" s="1402"/>
      <c r="QXV12" s="1402"/>
      <c r="QXW12" s="1402"/>
      <c r="QXX12" s="1402"/>
      <c r="QXY12" s="1402"/>
      <c r="QXZ12" s="1402"/>
      <c r="QYA12" s="1402"/>
      <c r="QYB12" s="1402"/>
      <c r="QYC12" s="1402"/>
      <c r="QYD12" s="1402"/>
      <c r="QYE12" s="1402"/>
      <c r="QYF12" s="1402"/>
      <c r="QYG12" s="1402"/>
      <c r="QYH12" s="1402"/>
      <c r="QYI12" s="1402"/>
      <c r="QYJ12" s="1402"/>
      <c r="QYK12" s="1402"/>
      <c r="QYL12" s="1402"/>
      <c r="QYM12" s="1402"/>
      <c r="QYN12" s="1402"/>
      <c r="QYO12" s="1402"/>
      <c r="QYP12" s="1402"/>
      <c r="QYQ12" s="1402"/>
      <c r="QYR12" s="1402"/>
      <c r="QYS12" s="1402"/>
      <c r="QYT12" s="1402"/>
      <c r="QYU12" s="1402"/>
      <c r="QYV12" s="1402"/>
      <c r="QYW12" s="1402"/>
      <c r="QYX12" s="1402"/>
      <c r="QYY12" s="1402"/>
      <c r="QYZ12" s="1402"/>
      <c r="QZA12" s="1402"/>
      <c r="QZB12" s="1402"/>
      <c r="QZC12" s="1402"/>
      <c r="QZD12" s="1402"/>
      <c r="QZE12" s="1402"/>
      <c r="QZF12" s="1402"/>
      <c r="QZG12" s="1402"/>
      <c r="QZH12" s="1402"/>
      <c r="QZI12" s="1402"/>
      <c r="QZJ12" s="1402"/>
      <c r="QZK12" s="1402"/>
      <c r="QZL12" s="1402"/>
      <c r="QZM12" s="1402"/>
      <c r="QZN12" s="1402"/>
      <c r="QZO12" s="1402"/>
      <c r="QZP12" s="1402"/>
      <c r="QZQ12" s="1402"/>
      <c r="QZR12" s="1402"/>
      <c r="QZS12" s="1402"/>
      <c r="QZT12" s="1402"/>
      <c r="QZU12" s="1402"/>
      <c r="QZV12" s="1402"/>
      <c r="QZW12" s="1402"/>
      <c r="QZX12" s="1402"/>
      <c r="QZY12" s="1402"/>
      <c r="QZZ12" s="1402"/>
      <c r="RAA12" s="1402"/>
      <c r="RAB12" s="1402"/>
      <c r="RAC12" s="1402"/>
      <c r="RAD12" s="1402"/>
      <c r="RAE12" s="1402"/>
      <c r="RAF12" s="1402"/>
      <c r="RAG12" s="1402"/>
      <c r="RAH12" s="1402"/>
      <c r="RAI12" s="1402"/>
      <c r="RAJ12" s="1402"/>
      <c r="RAK12" s="1402"/>
      <c r="RAL12" s="1402"/>
      <c r="RAM12" s="1402"/>
      <c r="RAN12" s="1402"/>
      <c r="RAO12" s="1402"/>
      <c r="RAP12" s="1402"/>
      <c r="RAQ12" s="1402"/>
      <c r="RAR12" s="1402"/>
      <c r="RAS12" s="1402"/>
      <c r="RAT12" s="1402"/>
      <c r="RAU12" s="1402"/>
      <c r="RAV12" s="1402"/>
      <c r="RAW12" s="1402"/>
      <c r="RAX12" s="1402"/>
      <c r="RAY12" s="1402"/>
      <c r="RAZ12" s="1402"/>
      <c r="RBA12" s="1402"/>
      <c r="RBB12" s="1402"/>
      <c r="RBC12" s="1402"/>
      <c r="RBD12" s="1402"/>
      <c r="RBE12" s="1402"/>
      <c r="RBF12" s="1402"/>
      <c r="RBG12" s="1402"/>
      <c r="RBH12" s="1402"/>
      <c r="RBI12" s="1402"/>
      <c r="RBJ12" s="1402"/>
      <c r="RBK12" s="1402"/>
      <c r="RBL12" s="1402"/>
      <c r="RBM12" s="1402"/>
      <c r="RBN12" s="1402"/>
      <c r="RBO12" s="1402"/>
      <c r="RBP12" s="1402"/>
      <c r="RBQ12" s="1402"/>
      <c r="RBR12" s="1402"/>
      <c r="RBS12" s="1402"/>
      <c r="RBT12" s="1402"/>
      <c r="RBU12" s="1402"/>
      <c r="RBV12" s="1402"/>
      <c r="RBW12" s="1402"/>
      <c r="RBX12" s="1402"/>
      <c r="RBY12" s="1402"/>
      <c r="RBZ12" s="1402"/>
      <c r="RCA12" s="1402"/>
      <c r="RCB12" s="1402"/>
      <c r="RCC12" s="1402"/>
      <c r="RCD12" s="1402"/>
      <c r="RCE12" s="1402"/>
      <c r="RCF12" s="1402"/>
      <c r="RCG12" s="1402"/>
      <c r="RCH12" s="1402"/>
      <c r="RCI12" s="1402"/>
      <c r="RCJ12" s="1402"/>
      <c r="RCK12" s="1402"/>
      <c r="RCL12" s="1402"/>
      <c r="RCM12" s="1402"/>
      <c r="RCN12" s="1402"/>
      <c r="RCO12" s="1402"/>
      <c r="RCP12" s="1402"/>
      <c r="RCQ12" s="1402"/>
      <c r="RCR12" s="1402"/>
      <c r="RCS12" s="1402"/>
      <c r="RCT12" s="1402"/>
      <c r="RCU12" s="1402"/>
      <c r="RCV12" s="1402"/>
      <c r="RCW12" s="1402"/>
      <c r="RCX12" s="1402"/>
      <c r="RCY12" s="1402"/>
      <c r="RCZ12" s="1402"/>
      <c r="RDA12" s="1402"/>
      <c r="RDB12" s="1402"/>
      <c r="RDC12" s="1402"/>
      <c r="RDD12" s="1402"/>
      <c r="RDE12" s="1402"/>
      <c r="RDF12" s="1402"/>
      <c r="RDG12" s="1402"/>
      <c r="RDH12" s="1402"/>
      <c r="RDI12" s="1402"/>
      <c r="RDJ12" s="1402"/>
      <c r="RDK12" s="1402"/>
      <c r="RDL12" s="1402"/>
      <c r="RDM12" s="1402"/>
      <c r="RDN12" s="1402"/>
      <c r="RDO12" s="1402"/>
      <c r="RDP12" s="1402"/>
      <c r="RDQ12" s="1402"/>
      <c r="RDR12" s="1402"/>
      <c r="RDS12" s="1402"/>
      <c r="RDT12" s="1402"/>
      <c r="RDU12" s="1402"/>
      <c r="RDV12" s="1402"/>
      <c r="RDW12" s="1402"/>
      <c r="RDX12" s="1402"/>
      <c r="RDY12" s="1402"/>
      <c r="RDZ12" s="1402"/>
      <c r="REA12" s="1402"/>
      <c r="REB12" s="1402"/>
      <c r="REC12" s="1402"/>
      <c r="RED12" s="1402"/>
      <c r="REE12" s="1402"/>
      <c r="REF12" s="1402"/>
      <c r="REG12" s="1402"/>
      <c r="REH12" s="1402"/>
      <c r="REI12" s="1402"/>
      <c r="REJ12" s="1402"/>
      <c r="REK12" s="1402"/>
      <c r="REL12" s="1402"/>
      <c r="REM12" s="1402"/>
      <c r="REN12" s="1402"/>
      <c r="REO12" s="1402"/>
      <c r="REP12" s="1402"/>
      <c r="REQ12" s="1402"/>
      <c r="RER12" s="1402"/>
      <c r="RES12" s="1402"/>
      <c r="RET12" s="1402"/>
      <c r="REU12" s="1402"/>
      <c r="REV12" s="1402"/>
      <c r="REW12" s="1402"/>
      <c r="REX12" s="1402"/>
      <c r="REY12" s="1402"/>
      <c r="REZ12" s="1402"/>
      <c r="RFA12" s="1402"/>
      <c r="RFB12" s="1402"/>
      <c r="RFC12" s="1402"/>
      <c r="RFD12" s="1402"/>
      <c r="RFE12" s="1402"/>
      <c r="RFF12" s="1402"/>
      <c r="RFG12" s="1402"/>
      <c r="RFH12" s="1402"/>
      <c r="RFI12" s="1402"/>
      <c r="RFJ12" s="1402"/>
      <c r="RFK12" s="1402"/>
      <c r="RFL12" s="1402"/>
      <c r="RFM12" s="1402"/>
      <c r="RFN12" s="1402"/>
      <c r="RFO12" s="1402"/>
      <c r="RFP12" s="1402"/>
      <c r="RFQ12" s="1402"/>
      <c r="RFR12" s="1402"/>
      <c r="RFS12" s="1402"/>
      <c r="RFT12" s="1402"/>
      <c r="RFU12" s="1402"/>
      <c r="RFV12" s="1402"/>
      <c r="RFW12" s="1402"/>
      <c r="RFX12" s="1402"/>
      <c r="RFY12" s="1402"/>
      <c r="RFZ12" s="1402"/>
      <c r="RGA12" s="1402"/>
      <c r="RGB12" s="1402"/>
      <c r="RGC12" s="1402"/>
      <c r="RGD12" s="1402"/>
      <c r="RGE12" s="1402"/>
      <c r="RGF12" s="1402"/>
      <c r="RGG12" s="1402"/>
      <c r="RGH12" s="1402"/>
      <c r="RGI12" s="1402"/>
      <c r="RGJ12" s="1402"/>
      <c r="RGK12" s="1402"/>
      <c r="RGL12" s="1402"/>
      <c r="RGM12" s="1402"/>
      <c r="RGN12" s="1402"/>
      <c r="RGO12" s="1402"/>
      <c r="RGP12" s="1402"/>
      <c r="RGQ12" s="1402"/>
      <c r="RGR12" s="1402"/>
      <c r="RGS12" s="1402"/>
      <c r="RGT12" s="1402"/>
      <c r="RGU12" s="1402"/>
      <c r="RGV12" s="1402"/>
      <c r="RGW12" s="1402"/>
      <c r="RGX12" s="1402"/>
      <c r="RGY12" s="1402"/>
      <c r="RGZ12" s="1402"/>
      <c r="RHA12" s="1402"/>
      <c r="RHB12" s="1402"/>
      <c r="RHC12" s="1402"/>
      <c r="RHD12" s="1402"/>
      <c r="RHE12" s="1402"/>
      <c r="RHF12" s="1402"/>
      <c r="RHG12" s="1402"/>
      <c r="RHH12" s="1402"/>
      <c r="RHI12" s="1402"/>
      <c r="RHJ12" s="1402"/>
      <c r="RHK12" s="1402"/>
      <c r="RHL12" s="1402"/>
      <c r="RHM12" s="1402"/>
      <c r="RHN12" s="1402"/>
      <c r="RHO12" s="1402"/>
      <c r="RHP12" s="1402"/>
      <c r="RHQ12" s="1402"/>
      <c r="RHR12" s="1402"/>
      <c r="RHS12" s="1402"/>
      <c r="RHT12" s="1402"/>
      <c r="RHU12" s="1402"/>
      <c r="RHV12" s="1402"/>
      <c r="RHW12" s="1402"/>
      <c r="RHX12" s="1402"/>
      <c r="RHY12" s="1402"/>
      <c r="RHZ12" s="1402"/>
      <c r="RIA12" s="1402"/>
      <c r="RIB12" s="1402"/>
      <c r="RIC12" s="1402"/>
      <c r="RID12" s="1402"/>
      <c r="RIE12" s="1402"/>
      <c r="RIF12" s="1402"/>
      <c r="RIG12" s="1402"/>
      <c r="RIH12" s="1402"/>
      <c r="RII12" s="1402"/>
      <c r="RIJ12" s="1402"/>
      <c r="RIK12" s="1402"/>
      <c r="RIL12" s="1402"/>
      <c r="RIM12" s="1402"/>
      <c r="RIN12" s="1402"/>
      <c r="RIO12" s="1402"/>
      <c r="RIP12" s="1402"/>
      <c r="RIQ12" s="1402"/>
      <c r="RIR12" s="1402"/>
      <c r="RIS12" s="1402"/>
      <c r="RIT12" s="1402"/>
      <c r="RIU12" s="1402"/>
      <c r="RIV12" s="1402"/>
      <c r="RIW12" s="1402"/>
      <c r="RIX12" s="1402"/>
      <c r="RIY12" s="1402"/>
      <c r="RIZ12" s="1402"/>
      <c r="RJA12" s="1402"/>
      <c r="RJB12" s="1402"/>
      <c r="RJC12" s="1402"/>
      <c r="RJD12" s="1402"/>
      <c r="RJE12" s="1402"/>
      <c r="RJF12" s="1402"/>
      <c r="RJG12" s="1402"/>
      <c r="RJH12" s="1402"/>
      <c r="RJI12" s="1402"/>
      <c r="RJJ12" s="1402"/>
      <c r="RJK12" s="1402"/>
      <c r="RJL12" s="1402"/>
      <c r="RJM12" s="1402"/>
      <c r="RJN12" s="1402"/>
      <c r="RJO12" s="1402"/>
      <c r="RJP12" s="1402"/>
      <c r="RJQ12" s="1402"/>
      <c r="RJR12" s="1402"/>
      <c r="RJS12" s="1402"/>
      <c r="RJT12" s="1402"/>
      <c r="RJU12" s="1402"/>
      <c r="RJV12" s="1402"/>
      <c r="RJW12" s="1402"/>
      <c r="RJX12" s="1402"/>
      <c r="RJY12" s="1402"/>
      <c r="RJZ12" s="1402"/>
      <c r="RKA12" s="1402"/>
      <c r="RKB12" s="1402"/>
      <c r="RKC12" s="1402"/>
      <c r="RKD12" s="1402"/>
      <c r="RKE12" s="1402"/>
      <c r="RKF12" s="1402"/>
      <c r="RKG12" s="1402"/>
      <c r="RKH12" s="1402"/>
      <c r="RKI12" s="1402"/>
      <c r="RKJ12" s="1402"/>
      <c r="RKK12" s="1402"/>
      <c r="RKL12" s="1402"/>
      <c r="RKM12" s="1402"/>
      <c r="RKN12" s="1402"/>
      <c r="RKO12" s="1402"/>
      <c r="RKP12" s="1402"/>
      <c r="RKQ12" s="1402"/>
      <c r="RKR12" s="1402"/>
      <c r="RKS12" s="1402"/>
      <c r="RKT12" s="1402"/>
      <c r="RKU12" s="1402"/>
      <c r="RKV12" s="1402"/>
      <c r="RKW12" s="1402"/>
      <c r="RKX12" s="1402"/>
      <c r="RKY12" s="1402"/>
      <c r="RKZ12" s="1402"/>
      <c r="RLA12" s="1402"/>
      <c r="RLB12" s="1402"/>
      <c r="RLC12" s="1402"/>
      <c r="RLD12" s="1402"/>
      <c r="RLE12" s="1402"/>
      <c r="RLF12" s="1402"/>
      <c r="RLG12" s="1402"/>
      <c r="RLH12" s="1402"/>
      <c r="RLI12" s="1402"/>
      <c r="RLJ12" s="1402"/>
      <c r="RLK12" s="1402"/>
      <c r="RLL12" s="1402"/>
      <c r="RLM12" s="1402"/>
      <c r="RLN12" s="1402"/>
      <c r="RLO12" s="1402"/>
      <c r="RLP12" s="1402"/>
      <c r="RLQ12" s="1402"/>
      <c r="RLR12" s="1402"/>
      <c r="RLS12" s="1402"/>
      <c r="RLT12" s="1402"/>
      <c r="RLU12" s="1402"/>
      <c r="RLV12" s="1402"/>
      <c r="RLW12" s="1402"/>
      <c r="RLX12" s="1402"/>
      <c r="RLY12" s="1402"/>
      <c r="RLZ12" s="1402"/>
      <c r="RMA12" s="1402"/>
      <c r="RMB12" s="1402"/>
      <c r="RMC12" s="1402"/>
      <c r="RMD12" s="1402"/>
      <c r="RME12" s="1402"/>
      <c r="RMF12" s="1402"/>
      <c r="RMG12" s="1402"/>
      <c r="RMH12" s="1402"/>
      <c r="RMI12" s="1402"/>
      <c r="RMJ12" s="1402"/>
      <c r="RMK12" s="1402"/>
      <c r="RML12" s="1402"/>
      <c r="RMM12" s="1402"/>
      <c r="RMN12" s="1402"/>
      <c r="RMO12" s="1402"/>
      <c r="RMP12" s="1402"/>
      <c r="RMQ12" s="1402"/>
      <c r="RMR12" s="1402"/>
      <c r="RMS12" s="1402"/>
      <c r="RMT12" s="1402"/>
      <c r="RMU12" s="1402"/>
      <c r="RMV12" s="1402"/>
      <c r="RMW12" s="1402"/>
      <c r="RMX12" s="1402"/>
      <c r="RMY12" s="1402"/>
      <c r="RMZ12" s="1402"/>
      <c r="RNA12" s="1402"/>
      <c r="RNB12" s="1402"/>
      <c r="RNC12" s="1402"/>
      <c r="RND12" s="1402"/>
      <c r="RNE12" s="1402"/>
      <c r="RNF12" s="1402"/>
      <c r="RNG12" s="1402"/>
      <c r="RNH12" s="1402"/>
      <c r="RNI12" s="1402"/>
      <c r="RNJ12" s="1402"/>
      <c r="RNK12" s="1402"/>
      <c r="RNL12" s="1402"/>
      <c r="RNM12" s="1402"/>
      <c r="RNN12" s="1402"/>
      <c r="RNO12" s="1402"/>
      <c r="RNP12" s="1402"/>
      <c r="RNQ12" s="1402"/>
      <c r="RNR12" s="1402"/>
      <c r="RNS12" s="1402"/>
      <c r="RNT12" s="1402"/>
      <c r="RNU12" s="1402"/>
      <c r="RNV12" s="1402"/>
      <c r="RNW12" s="1402"/>
      <c r="RNX12" s="1402"/>
      <c r="RNY12" s="1402"/>
      <c r="RNZ12" s="1402"/>
      <c r="ROA12" s="1402"/>
      <c r="ROB12" s="1402"/>
      <c r="ROC12" s="1402"/>
      <c r="ROD12" s="1402"/>
      <c r="ROE12" s="1402"/>
      <c r="ROF12" s="1402"/>
      <c r="ROG12" s="1402"/>
      <c r="ROH12" s="1402"/>
      <c r="ROI12" s="1402"/>
      <c r="ROJ12" s="1402"/>
      <c r="ROK12" s="1402"/>
      <c r="ROL12" s="1402"/>
      <c r="ROM12" s="1402"/>
      <c r="RON12" s="1402"/>
      <c r="ROO12" s="1402"/>
      <c r="ROP12" s="1402"/>
      <c r="ROQ12" s="1402"/>
      <c r="ROR12" s="1402"/>
      <c r="ROS12" s="1402"/>
      <c r="ROT12" s="1402"/>
      <c r="ROU12" s="1402"/>
      <c r="ROV12" s="1402"/>
      <c r="ROW12" s="1402"/>
      <c r="ROX12" s="1402"/>
      <c r="ROY12" s="1402"/>
      <c r="ROZ12" s="1402"/>
      <c r="RPA12" s="1402"/>
      <c r="RPB12" s="1402"/>
      <c r="RPC12" s="1402"/>
      <c r="RPD12" s="1402"/>
      <c r="RPE12" s="1402"/>
      <c r="RPF12" s="1402"/>
      <c r="RPG12" s="1402"/>
      <c r="RPH12" s="1402"/>
      <c r="RPI12" s="1402"/>
      <c r="RPJ12" s="1402"/>
      <c r="RPK12" s="1402"/>
      <c r="RPL12" s="1402"/>
      <c r="RPM12" s="1402"/>
      <c r="RPN12" s="1402"/>
      <c r="RPO12" s="1402"/>
      <c r="RPP12" s="1402"/>
      <c r="RPQ12" s="1402"/>
      <c r="RPR12" s="1402"/>
      <c r="RPS12" s="1402"/>
      <c r="RPT12" s="1402"/>
      <c r="RPU12" s="1402"/>
      <c r="RPV12" s="1402"/>
      <c r="RPW12" s="1402"/>
      <c r="RPX12" s="1402"/>
      <c r="RPY12" s="1402"/>
      <c r="RPZ12" s="1402"/>
      <c r="RQA12" s="1402"/>
      <c r="RQB12" s="1402"/>
      <c r="RQC12" s="1402"/>
      <c r="RQD12" s="1402"/>
      <c r="RQE12" s="1402"/>
      <c r="RQF12" s="1402"/>
      <c r="RQG12" s="1402"/>
      <c r="RQH12" s="1402"/>
      <c r="RQI12" s="1402"/>
      <c r="RQJ12" s="1402"/>
      <c r="RQK12" s="1402"/>
      <c r="RQL12" s="1402"/>
      <c r="RQM12" s="1402"/>
      <c r="RQN12" s="1402"/>
      <c r="RQO12" s="1402"/>
      <c r="RQP12" s="1402"/>
      <c r="RQQ12" s="1402"/>
      <c r="RQR12" s="1402"/>
      <c r="RQS12" s="1402"/>
      <c r="RQT12" s="1402"/>
      <c r="RQU12" s="1402"/>
      <c r="RQV12" s="1402"/>
      <c r="RQW12" s="1402"/>
      <c r="RQX12" s="1402"/>
      <c r="RQY12" s="1402"/>
      <c r="RQZ12" s="1402"/>
      <c r="RRA12" s="1402"/>
      <c r="RRB12" s="1402"/>
      <c r="RRC12" s="1402"/>
      <c r="RRD12" s="1402"/>
      <c r="RRE12" s="1402"/>
      <c r="RRF12" s="1402"/>
      <c r="RRG12" s="1402"/>
      <c r="RRH12" s="1402"/>
      <c r="RRI12" s="1402"/>
      <c r="RRJ12" s="1402"/>
      <c r="RRK12" s="1402"/>
      <c r="RRL12" s="1402"/>
      <c r="RRM12" s="1402"/>
      <c r="RRN12" s="1402"/>
      <c r="RRO12" s="1402"/>
      <c r="RRP12" s="1402"/>
      <c r="RRQ12" s="1402"/>
      <c r="RRR12" s="1402"/>
      <c r="RRS12" s="1402"/>
      <c r="RRT12" s="1402"/>
      <c r="RRU12" s="1402"/>
      <c r="RRV12" s="1402"/>
      <c r="RRW12" s="1402"/>
      <c r="RRX12" s="1402"/>
      <c r="RRY12" s="1402"/>
      <c r="RRZ12" s="1402"/>
      <c r="RSA12" s="1402"/>
      <c r="RSB12" s="1402"/>
      <c r="RSC12" s="1402"/>
      <c r="RSD12" s="1402"/>
      <c r="RSE12" s="1402"/>
      <c r="RSF12" s="1402"/>
      <c r="RSG12" s="1402"/>
      <c r="RSH12" s="1402"/>
      <c r="RSI12" s="1402"/>
      <c r="RSJ12" s="1402"/>
      <c r="RSK12" s="1402"/>
      <c r="RSL12" s="1402"/>
      <c r="RSM12" s="1402"/>
      <c r="RSN12" s="1402"/>
      <c r="RSO12" s="1402"/>
      <c r="RSP12" s="1402"/>
      <c r="RSQ12" s="1402"/>
      <c r="RSR12" s="1402"/>
      <c r="RSS12" s="1402"/>
      <c r="RST12" s="1402"/>
      <c r="RSU12" s="1402"/>
      <c r="RSV12" s="1402"/>
      <c r="RSW12" s="1402"/>
      <c r="RSX12" s="1402"/>
      <c r="RSY12" s="1402"/>
      <c r="RSZ12" s="1402"/>
      <c r="RTA12" s="1402"/>
      <c r="RTB12" s="1402"/>
      <c r="RTC12" s="1402"/>
      <c r="RTD12" s="1402"/>
      <c r="RTE12" s="1402"/>
      <c r="RTF12" s="1402"/>
      <c r="RTG12" s="1402"/>
      <c r="RTH12" s="1402"/>
      <c r="RTI12" s="1402"/>
      <c r="RTJ12" s="1402"/>
      <c r="RTK12" s="1402"/>
      <c r="RTL12" s="1402"/>
      <c r="RTM12" s="1402"/>
      <c r="RTN12" s="1402"/>
      <c r="RTO12" s="1402"/>
      <c r="RTP12" s="1402"/>
      <c r="RTQ12" s="1402"/>
      <c r="RTR12" s="1402"/>
      <c r="RTS12" s="1402"/>
      <c r="RTT12" s="1402"/>
      <c r="RTU12" s="1402"/>
      <c r="RTV12" s="1402"/>
      <c r="RTW12" s="1402"/>
      <c r="RTX12" s="1402"/>
      <c r="RTY12" s="1402"/>
      <c r="RTZ12" s="1402"/>
      <c r="RUA12" s="1402"/>
      <c r="RUB12" s="1402"/>
      <c r="RUC12" s="1402"/>
      <c r="RUD12" s="1402"/>
      <c r="RUE12" s="1402"/>
      <c r="RUF12" s="1402"/>
      <c r="RUG12" s="1402"/>
      <c r="RUH12" s="1402"/>
      <c r="RUI12" s="1402"/>
      <c r="RUJ12" s="1402"/>
      <c r="RUK12" s="1402"/>
      <c r="RUL12" s="1402"/>
      <c r="RUM12" s="1402"/>
      <c r="RUN12" s="1402"/>
      <c r="RUO12" s="1402"/>
      <c r="RUP12" s="1402"/>
      <c r="RUQ12" s="1402"/>
      <c r="RUR12" s="1402"/>
      <c r="RUS12" s="1402"/>
      <c r="RUT12" s="1402"/>
      <c r="RUU12" s="1402"/>
      <c r="RUV12" s="1402"/>
      <c r="RUW12" s="1402"/>
      <c r="RUX12" s="1402"/>
      <c r="RUY12" s="1402"/>
      <c r="RUZ12" s="1402"/>
      <c r="RVA12" s="1402"/>
      <c r="RVB12" s="1402"/>
      <c r="RVC12" s="1402"/>
      <c r="RVD12" s="1402"/>
      <c r="RVE12" s="1402"/>
      <c r="RVF12" s="1402"/>
      <c r="RVG12" s="1402"/>
      <c r="RVH12" s="1402"/>
      <c r="RVI12" s="1402"/>
      <c r="RVJ12" s="1402"/>
      <c r="RVK12" s="1402"/>
      <c r="RVL12" s="1402"/>
      <c r="RVM12" s="1402"/>
      <c r="RVN12" s="1402"/>
      <c r="RVO12" s="1402"/>
      <c r="RVP12" s="1402"/>
      <c r="RVQ12" s="1402"/>
      <c r="RVR12" s="1402"/>
      <c r="RVS12" s="1402"/>
      <c r="RVT12" s="1402"/>
      <c r="RVU12" s="1402"/>
      <c r="RVV12" s="1402"/>
      <c r="RVW12" s="1402"/>
      <c r="RVX12" s="1402"/>
      <c r="RVY12" s="1402"/>
      <c r="RVZ12" s="1402"/>
      <c r="RWA12" s="1402"/>
      <c r="RWB12" s="1402"/>
      <c r="RWC12" s="1402"/>
      <c r="RWD12" s="1402"/>
      <c r="RWE12" s="1402"/>
      <c r="RWF12" s="1402"/>
      <c r="RWG12" s="1402"/>
      <c r="RWH12" s="1402"/>
      <c r="RWI12" s="1402"/>
      <c r="RWJ12" s="1402"/>
      <c r="RWK12" s="1402"/>
      <c r="RWL12" s="1402"/>
      <c r="RWM12" s="1402"/>
      <c r="RWN12" s="1402"/>
      <c r="RWO12" s="1402"/>
      <c r="RWP12" s="1402"/>
      <c r="RWQ12" s="1402"/>
      <c r="RWR12" s="1402"/>
      <c r="RWS12" s="1402"/>
      <c r="RWT12" s="1402"/>
      <c r="RWU12" s="1402"/>
      <c r="RWV12" s="1402"/>
      <c r="RWW12" s="1402"/>
      <c r="RWX12" s="1402"/>
      <c r="RWY12" s="1402"/>
      <c r="RWZ12" s="1402"/>
      <c r="RXA12" s="1402"/>
      <c r="RXB12" s="1402"/>
      <c r="RXC12" s="1402"/>
      <c r="RXD12" s="1402"/>
      <c r="RXE12" s="1402"/>
      <c r="RXF12" s="1402"/>
      <c r="RXG12" s="1402"/>
      <c r="RXH12" s="1402"/>
      <c r="RXI12" s="1402"/>
      <c r="RXJ12" s="1402"/>
      <c r="RXK12" s="1402"/>
      <c r="RXL12" s="1402"/>
      <c r="RXM12" s="1402"/>
      <c r="RXN12" s="1402"/>
      <c r="RXO12" s="1402"/>
      <c r="RXP12" s="1402"/>
      <c r="RXQ12" s="1402"/>
      <c r="RXR12" s="1402"/>
      <c r="RXS12" s="1402"/>
      <c r="RXT12" s="1402"/>
      <c r="RXU12" s="1402"/>
      <c r="RXV12" s="1402"/>
      <c r="RXW12" s="1402"/>
      <c r="RXX12" s="1402"/>
      <c r="RXY12" s="1402"/>
      <c r="RXZ12" s="1402"/>
      <c r="RYA12" s="1402"/>
      <c r="RYB12" s="1402"/>
      <c r="RYC12" s="1402"/>
      <c r="RYD12" s="1402"/>
      <c r="RYE12" s="1402"/>
      <c r="RYF12" s="1402"/>
      <c r="RYG12" s="1402"/>
      <c r="RYH12" s="1402"/>
      <c r="RYI12" s="1402"/>
      <c r="RYJ12" s="1402"/>
      <c r="RYK12" s="1402"/>
      <c r="RYL12" s="1402"/>
      <c r="RYM12" s="1402"/>
      <c r="RYN12" s="1402"/>
      <c r="RYO12" s="1402"/>
      <c r="RYP12" s="1402"/>
      <c r="RYQ12" s="1402"/>
      <c r="RYR12" s="1402"/>
      <c r="RYS12" s="1402"/>
      <c r="RYT12" s="1402"/>
      <c r="RYU12" s="1402"/>
      <c r="RYV12" s="1402"/>
      <c r="RYW12" s="1402"/>
      <c r="RYX12" s="1402"/>
      <c r="RYY12" s="1402"/>
      <c r="RYZ12" s="1402"/>
      <c r="RZA12" s="1402"/>
      <c r="RZB12" s="1402"/>
      <c r="RZC12" s="1402"/>
      <c r="RZD12" s="1402"/>
      <c r="RZE12" s="1402"/>
      <c r="RZF12" s="1402"/>
      <c r="RZG12" s="1402"/>
      <c r="RZH12" s="1402"/>
      <c r="RZI12" s="1402"/>
      <c r="RZJ12" s="1402"/>
      <c r="RZK12" s="1402"/>
      <c r="RZL12" s="1402"/>
      <c r="RZM12" s="1402"/>
      <c r="RZN12" s="1402"/>
      <c r="RZO12" s="1402"/>
      <c r="RZP12" s="1402"/>
      <c r="RZQ12" s="1402"/>
      <c r="RZR12" s="1402"/>
      <c r="RZS12" s="1402"/>
      <c r="RZT12" s="1402"/>
      <c r="RZU12" s="1402"/>
      <c r="RZV12" s="1402"/>
      <c r="RZW12" s="1402"/>
      <c r="RZX12" s="1402"/>
      <c r="RZY12" s="1402"/>
      <c r="RZZ12" s="1402"/>
      <c r="SAA12" s="1402"/>
      <c r="SAB12" s="1402"/>
      <c r="SAC12" s="1402"/>
      <c r="SAD12" s="1402"/>
      <c r="SAE12" s="1402"/>
      <c r="SAF12" s="1402"/>
      <c r="SAG12" s="1402"/>
      <c r="SAH12" s="1402"/>
      <c r="SAI12" s="1402"/>
      <c r="SAJ12" s="1402"/>
      <c r="SAK12" s="1402"/>
      <c r="SAL12" s="1402"/>
      <c r="SAM12" s="1402"/>
      <c r="SAN12" s="1402"/>
      <c r="SAO12" s="1402"/>
      <c r="SAP12" s="1402"/>
      <c r="SAQ12" s="1402"/>
      <c r="SAR12" s="1402"/>
      <c r="SAS12" s="1402"/>
      <c r="SAT12" s="1402"/>
      <c r="SAU12" s="1402"/>
      <c r="SAV12" s="1402"/>
      <c r="SAW12" s="1402"/>
      <c r="SAX12" s="1402"/>
      <c r="SAY12" s="1402"/>
      <c r="SAZ12" s="1402"/>
      <c r="SBA12" s="1402"/>
      <c r="SBB12" s="1402"/>
      <c r="SBC12" s="1402"/>
      <c r="SBD12" s="1402"/>
      <c r="SBE12" s="1402"/>
      <c r="SBF12" s="1402"/>
      <c r="SBG12" s="1402"/>
      <c r="SBH12" s="1402"/>
      <c r="SBI12" s="1402"/>
      <c r="SBJ12" s="1402"/>
      <c r="SBK12" s="1402"/>
      <c r="SBL12" s="1402"/>
      <c r="SBM12" s="1402"/>
      <c r="SBN12" s="1402"/>
      <c r="SBO12" s="1402"/>
      <c r="SBP12" s="1402"/>
      <c r="SBQ12" s="1402"/>
      <c r="SBR12" s="1402"/>
      <c r="SBS12" s="1402"/>
      <c r="SBT12" s="1402"/>
      <c r="SBU12" s="1402"/>
      <c r="SBV12" s="1402"/>
      <c r="SBW12" s="1402"/>
      <c r="SBX12" s="1402"/>
      <c r="SBY12" s="1402"/>
      <c r="SBZ12" s="1402"/>
      <c r="SCA12" s="1402"/>
      <c r="SCB12" s="1402"/>
      <c r="SCC12" s="1402"/>
      <c r="SCD12" s="1402"/>
      <c r="SCE12" s="1402"/>
      <c r="SCF12" s="1402"/>
      <c r="SCG12" s="1402"/>
      <c r="SCH12" s="1402"/>
      <c r="SCI12" s="1402"/>
      <c r="SCJ12" s="1402"/>
      <c r="SCK12" s="1402"/>
      <c r="SCL12" s="1402"/>
      <c r="SCM12" s="1402"/>
      <c r="SCN12" s="1402"/>
      <c r="SCO12" s="1402"/>
      <c r="SCP12" s="1402"/>
      <c r="SCQ12" s="1402"/>
      <c r="SCR12" s="1402"/>
      <c r="SCS12" s="1402"/>
      <c r="SCT12" s="1402"/>
      <c r="SCU12" s="1402"/>
      <c r="SCV12" s="1402"/>
      <c r="SCW12" s="1402"/>
      <c r="SCX12" s="1402"/>
      <c r="SCY12" s="1402"/>
      <c r="SCZ12" s="1402"/>
      <c r="SDA12" s="1402"/>
      <c r="SDB12" s="1402"/>
      <c r="SDC12" s="1402"/>
      <c r="SDD12" s="1402"/>
      <c r="SDE12" s="1402"/>
      <c r="SDF12" s="1402"/>
      <c r="SDG12" s="1402"/>
      <c r="SDH12" s="1402"/>
      <c r="SDI12" s="1402"/>
      <c r="SDJ12" s="1402"/>
      <c r="SDK12" s="1402"/>
      <c r="SDL12" s="1402"/>
      <c r="SDM12" s="1402"/>
      <c r="SDN12" s="1402"/>
      <c r="SDO12" s="1402"/>
      <c r="SDP12" s="1402"/>
      <c r="SDQ12" s="1402"/>
      <c r="SDR12" s="1402"/>
      <c r="SDS12" s="1402"/>
      <c r="SDT12" s="1402"/>
      <c r="SDU12" s="1402"/>
      <c r="SDV12" s="1402"/>
      <c r="SDW12" s="1402"/>
      <c r="SDX12" s="1402"/>
      <c r="SDY12" s="1402"/>
      <c r="SDZ12" s="1402"/>
      <c r="SEA12" s="1402"/>
      <c r="SEB12" s="1402"/>
      <c r="SEC12" s="1402"/>
      <c r="SED12" s="1402"/>
      <c r="SEE12" s="1402"/>
      <c r="SEF12" s="1402"/>
      <c r="SEG12" s="1402"/>
      <c r="SEH12" s="1402"/>
      <c r="SEI12" s="1402"/>
      <c r="SEJ12" s="1402"/>
      <c r="SEK12" s="1402"/>
      <c r="SEL12" s="1402"/>
      <c r="SEM12" s="1402"/>
      <c r="SEN12" s="1402"/>
      <c r="SEO12" s="1402"/>
      <c r="SEP12" s="1402"/>
      <c r="SEQ12" s="1402"/>
      <c r="SER12" s="1402"/>
      <c r="SES12" s="1402"/>
      <c r="SET12" s="1402"/>
      <c r="SEU12" s="1402"/>
      <c r="SEV12" s="1402"/>
      <c r="SEW12" s="1402"/>
      <c r="SEX12" s="1402"/>
      <c r="SEY12" s="1402"/>
      <c r="SEZ12" s="1402"/>
      <c r="SFA12" s="1402"/>
      <c r="SFB12" s="1402"/>
      <c r="SFC12" s="1402"/>
      <c r="SFD12" s="1402"/>
      <c r="SFE12" s="1402"/>
      <c r="SFF12" s="1402"/>
      <c r="SFG12" s="1402"/>
      <c r="SFH12" s="1402"/>
      <c r="SFI12" s="1402"/>
      <c r="SFJ12" s="1402"/>
      <c r="SFK12" s="1402"/>
      <c r="SFL12" s="1402"/>
      <c r="SFM12" s="1402"/>
      <c r="SFN12" s="1402"/>
      <c r="SFO12" s="1402"/>
      <c r="SFP12" s="1402"/>
      <c r="SFQ12" s="1402"/>
      <c r="SFR12" s="1402"/>
      <c r="SFS12" s="1402"/>
      <c r="SFT12" s="1402"/>
      <c r="SFU12" s="1402"/>
      <c r="SFV12" s="1402"/>
      <c r="SFW12" s="1402"/>
      <c r="SFX12" s="1402"/>
      <c r="SFY12" s="1402"/>
      <c r="SFZ12" s="1402"/>
      <c r="SGA12" s="1402"/>
      <c r="SGB12" s="1402"/>
      <c r="SGC12" s="1402"/>
      <c r="SGD12" s="1402"/>
      <c r="SGE12" s="1402"/>
      <c r="SGF12" s="1402"/>
      <c r="SGG12" s="1402"/>
      <c r="SGH12" s="1402"/>
      <c r="SGI12" s="1402"/>
      <c r="SGJ12" s="1402"/>
      <c r="SGK12" s="1402"/>
      <c r="SGL12" s="1402"/>
      <c r="SGM12" s="1402"/>
      <c r="SGN12" s="1402"/>
      <c r="SGO12" s="1402"/>
      <c r="SGP12" s="1402"/>
      <c r="SGQ12" s="1402"/>
      <c r="SGR12" s="1402"/>
      <c r="SGS12" s="1402"/>
      <c r="SGT12" s="1402"/>
      <c r="SGU12" s="1402"/>
      <c r="SGV12" s="1402"/>
      <c r="SGW12" s="1402"/>
      <c r="SGX12" s="1402"/>
      <c r="SGY12" s="1402"/>
      <c r="SGZ12" s="1402"/>
      <c r="SHA12" s="1402"/>
      <c r="SHB12" s="1402"/>
      <c r="SHC12" s="1402"/>
      <c r="SHD12" s="1402"/>
      <c r="SHE12" s="1402"/>
      <c r="SHF12" s="1402"/>
      <c r="SHG12" s="1402"/>
      <c r="SHH12" s="1402"/>
      <c r="SHI12" s="1402"/>
      <c r="SHJ12" s="1402"/>
      <c r="SHK12" s="1402"/>
      <c r="SHL12" s="1402"/>
      <c r="SHM12" s="1402"/>
      <c r="SHN12" s="1402"/>
      <c r="SHO12" s="1402"/>
      <c r="SHP12" s="1402"/>
      <c r="SHQ12" s="1402"/>
      <c r="SHR12" s="1402"/>
      <c r="SHS12" s="1402"/>
      <c r="SHT12" s="1402"/>
      <c r="SHU12" s="1402"/>
      <c r="SHV12" s="1402"/>
      <c r="SHW12" s="1402"/>
      <c r="SHX12" s="1402"/>
      <c r="SHY12" s="1402"/>
      <c r="SHZ12" s="1402"/>
      <c r="SIA12" s="1402"/>
      <c r="SIB12" s="1402"/>
      <c r="SIC12" s="1402"/>
      <c r="SID12" s="1402"/>
      <c r="SIE12" s="1402"/>
      <c r="SIF12" s="1402"/>
      <c r="SIG12" s="1402"/>
      <c r="SIH12" s="1402"/>
      <c r="SII12" s="1402"/>
      <c r="SIJ12" s="1402"/>
      <c r="SIK12" s="1402"/>
      <c r="SIL12" s="1402"/>
      <c r="SIM12" s="1402"/>
      <c r="SIN12" s="1402"/>
      <c r="SIO12" s="1402"/>
      <c r="SIP12" s="1402"/>
      <c r="SIQ12" s="1402"/>
      <c r="SIR12" s="1402"/>
      <c r="SIS12" s="1402"/>
      <c r="SIT12" s="1402"/>
      <c r="SIU12" s="1402"/>
      <c r="SIV12" s="1402"/>
      <c r="SIW12" s="1402"/>
      <c r="SIX12" s="1402"/>
      <c r="SIY12" s="1402"/>
      <c r="SIZ12" s="1402"/>
      <c r="SJA12" s="1402"/>
      <c r="SJB12" s="1402"/>
      <c r="SJC12" s="1402"/>
      <c r="SJD12" s="1402"/>
      <c r="SJE12" s="1402"/>
      <c r="SJF12" s="1402"/>
      <c r="SJG12" s="1402"/>
      <c r="SJH12" s="1402"/>
      <c r="SJI12" s="1402"/>
      <c r="SJJ12" s="1402"/>
      <c r="SJK12" s="1402"/>
      <c r="SJL12" s="1402"/>
      <c r="SJM12" s="1402"/>
      <c r="SJN12" s="1402"/>
      <c r="SJO12" s="1402"/>
      <c r="SJP12" s="1402"/>
      <c r="SJQ12" s="1402"/>
      <c r="SJR12" s="1402"/>
      <c r="SJS12" s="1402"/>
      <c r="SJT12" s="1402"/>
      <c r="SJU12" s="1402"/>
      <c r="SJV12" s="1402"/>
      <c r="SJW12" s="1402"/>
      <c r="SJX12" s="1402"/>
      <c r="SJY12" s="1402"/>
      <c r="SJZ12" s="1402"/>
      <c r="SKA12" s="1402"/>
      <c r="SKB12" s="1402"/>
      <c r="SKC12" s="1402"/>
      <c r="SKD12" s="1402"/>
      <c r="SKE12" s="1402"/>
      <c r="SKF12" s="1402"/>
      <c r="SKG12" s="1402"/>
      <c r="SKH12" s="1402"/>
      <c r="SKI12" s="1402"/>
      <c r="SKJ12" s="1402"/>
      <c r="SKK12" s="1402"/>
      <c r="SKL12" s="1402"/>
      <c r="SKM12" s="1402"/>
      <c r="SKN12" s="1402"/>
      <c r="SKO12" s="1402"/>
      <c r="SKP12" s="1402"/>
      <c r="SKQ12" s="1402"/>
      <c r="SKR12" s="1402"/>
      <c r="SKS12" s="1402"/>
      <c r="SKT12" s="1402"/>
      <c r="SKU12" s="1402"/>
      <c r="SKV12" s="1402"/>
      <c r="SKW12" s="1402"/>
      <c r="SKX12" s="1402"/>
      <c r="SKY12" s="1402"/>
      <c r="SKZ12" s="1402"/>
      <c r="SLA12" s="1402"/>
      <c r="SLB12" s="1402"/>
      <c r="SLC12" s="1402"/>
      <c r="SLD12" s="1402"/>
      <c r="SLE12" s="1402"/>
      <c r="SLF12" s="1402"/>
      <c r="SLG12" s="1402"/>
      <c r="SLH12" s="1402"/>
      <c r="SLI12" s="1402"/>
      <c r="SLJ12" s="1402"/>
      <c r="SLK12" s="1402"/>
      <c r="SLL12" s="1402"/>
      <c r="SLM12" s="1402"/>
      <c r="SLN12" s="1402"/>
      <c r="SLO12" s="1402"/>
      <c r="SLP12" s="1402"/>
      <c r="SLQ12" s="1402"/>
      <c r="SLR12" s="1402"/>
      <c r="SLS12" s="1402"/>
      <c r="SLT12" s="1402"/>
      <c r="SLU12" s="1402"/>
      <c r="SLV12" s="1402"/>
      <c r="SLW12" s="1402"/>
      <c r="SLX12" s="1402"/>
      <c r="SLY12" s="1402"/>
      <c r="SLZ12" s="1402"/>
      <c r="SMA12" s="1402"/>
      <c r="SMB12" s="1402"/>
      <c r="SMC12" s="1402"/>
      <c r="SMD12" s="1402"/>
      <c r="SME12" s="1402"/>
      <c r="SMF12" s="1402"/>
      <c r="SMG12" s="1402"/>
      <c r="SMH12" s="1402"/>
      <c r="SMI12" s="1402"/>
      <c r="SMJ12" s="1402"/>
      <c r="SMK12" s="1402"/>
      <c r="SML12" s="1402"/>
      <c r="SMM12" s="1402"/>
      <c r="SMN12" s="1402"/>
      <c r="SMO12" s="1402"/>
      <c r="SMP12" s="1402"/>
      <c r="SMQ12" s="1402"/>
      <c r="SMR12" s="1402"/>
      <c r="SMS12" s="1402"/>
      <c r="SMT12" s="1402"/>
      <c r="SMU12" s="1402"/>
      <c r="SMV12" s="1402"/>
      <c r="SMW12" s="1402"/>
      <c r="SMX12" s="1402"/>
      <c r="SMY12" s="1402"/>
      <c r="SMZ12" s="1402"/>
      <c r="SNA12" s="1402"/>
      <c r="SNB12" s="1402"/>
      <c r="SNC12" s="1402"/>
      <c r="SND12" s="1402"/>
      <c r="SNE12" s="1402"/>
      <c r="SNF12" s="1402"/>
      <c r="SNG12" s="1402"/>
      <c r="SNH12" s="1402"/>
      <c r="SNI12" s="1402"/>
      <c r="SNJ12" s="1402"/>
      <c r="SNK12" s="1402"/>
      <c r="SNL12" s="1402"/>
      <c r="SNM12" s="1402"/>
      <c r="SNN12" s="1402"/>
      <c r="SNO12" s="1402"/>
      <c r="SNP12" s="1402"/>
      <c r="SNQ12" s="1402"/>
      <c r="SNR12" s="1402"/>
      <c r="SNS12" s="1402"/>
      <c r="SNT12" s="1402"/>
      <c r="SNU12" s="1402"/>
      <c r="SNV12" s="1402"/>
      <c r="SNW12" s="1402"/>
      <c r="SNX12" s="1402"/>
      <c r="SNY12" s="1402"/>
      <c r="SNZ12" s="1402"/>
      <c r="SOA12" s="1402"/>
      <c r="SOB12" s="1402"/>
      <c r="SOC12" s="1402"/>
      <c r="SOD12" s="1402"/>
      <c r="SOE12" s="1402"/>
      <c r="SOF12" s="1402"/>
      <c r="SOG12" s="1402"/>
      <c r="SOH12" s="1402"/>
      <c r="SOI12" s="1402"/>
      <c r="SOJ12" s="1402"/>
      <c r="SOK12" s="1402"/>
      <c r="SOL12" s="1402"/>
      <c r="SOM12" s="1402"/>
      <c r="SON12" s="1402"/>
      <c r="SOO12" s="1402"/>
      <c r="SOP12" s="1402"/>
      <c r="SOQ12" s="1402"/>
      <c r="SOR12" s="1402"/>
      <c r="SOS12" s="1402"/>
      <c r="SOT12" s="1402"/>
      <c r="SOU12" s="1402"/>
      <c r="SOV12" s="1402"/>
      <c r="SOW12" s="1402"/>
      <c r="SOX12" s="1402"/>
      <c r="SOY12" s="1402"/>
      <c r="SOZ12" s="1402"/>
      <c r="SPA12" s="1402"/>
      <c r="SPB12" s="1402"/>
      <c r="SPC12" s="1402"/>
      <c r="SPD12" s="1402"/>
      <c r="SPE12" s="1402"/>
      <c r="SPF12" s="1402"/>
      <c r="SPG12" s="1402"/>
      <c r="SPH12" s="1402"/>
      <c r="SPI12" s="1402"/>
      <c r="SPJ12" s="1402"/>
      <c r="SPK12" s="1402"/>
      <c r="SPL12" s="1402"/>
      <c r="SPM12" s="1402"/>
      <c r="SPN12" s="1402"/>
      <c r="SPO12" s="1402"/>
      <c r="SPP12" s="1402"/>
      <c r="SPQ12" s="1402"/>
      <c r="SPR12" s="1402"/>
      <c r="SPS12" s="1402"/>
      <c r="SPT12" s="1402"/>
      <c r="SPU12" s="1402"/>
      <c r="SPV12" s="1402"/>
      <c r="SPW12" s="1402"/>
      <c r="SPX12" s="1402"/>
      <c r="SPY12" s="1402"/>
      <c r="SPZ12" s="1402"/>
      <c r="SQA12" s="1402"/>
      <c r="SQB12" s="1402"/>
      <c r="SQC12" s="1402"/>
      <c r="SQD12" s="1402"/>
      <c r="SQE12" s="1402"/>
      <c r="SQF12" s="1402"/>
      <c r="SQG12" s="1402"/>
      <c r="SQH12" s="1402"/>
      <c r="SQI12" s="1402"/>
      <c r="SQJ12" s="1402"/>
      <c r="SQK12" s="1402"/>
      <c r="SQL12" s="1402"/>
      <c r="SQM12" s="1402"/>
      <c r="SQN12" s="1402"/>
      <c r="SQO12" s="1402"/>
      <c r="SQP12" s="1402"/>
      <c r="SQQ12" s="1402"/>
      <c r="SQR12" s="1402"/>
      <c r="SQS12" s="1402"/>
      <c r="SQT12" s="1402"/>
      <c r="SQU12" s="1402"/>
      <c r="SQV12" s="1402"/>
      <c r="SQW12" s="1402"/>
      <c r="SQX12" s="1402"/>
      <c r="SQY12" s="1402"/>
      <c r="SQZ12" s="1402"/>
      <c r="SRA12" s="1402"/>
      <c r="SRB12" s="1402"/>
      <c r="SRC12" s="1402"/>
      <c r="SRD12" s="1402"/>
      <c r="SRE12" s="1402"/>
      <c r="SRF12" s="1402"/>
      <c r="SRG12" s="1402"/>
      <c r="SRH12" s="1402"/>
      <c r="SRI12" s="1402"/>
      <c r="SRJ12" s="1402"/>
      <c r="SRK12" s="1402"/>
      <c r="SRL12" s="1402"/>
      <c r="SRM12" s="1402"/>
      <c r="SRN12" s="1402"/>
      <c r="SRO12" s="1402"/>
      <c r="SRP12" s="1402"/>
      <c r="SRQ12" s="1402"/>
      <c r="SRR12" s="1402"/>
      <c r="SRS12" s="1402"/>
      <c r="SRT12" s="1402"/>
      <c r="SRU12" s="1402"/>
      <c r="SRV12" s="1402"/>
      <c r="SRW12" s="1402"/>
      <c r="SRX12" s="1402"/>
      <c r="SRY12" s="1402"/>
      <c r="SRZ12" s="1402"/>
      <c r="SSA12" s="1402"/>
      <c r="SSB12" s="1402"/>
      <c r="SSC12" s="1402"/>
      <c r="SSD12" s="1402"/>
      <c r="SSE12" s="1402"/>
      <c r="SSF12" s="1402"/>
      <c r="SSG12" s="1402"/>
      <c r="SSH12" s="1402"/>
      <c r="SSI12" s="1402"/>
      <c r="SSJ12" s="1402"/>
      <c r="SSK12" s="1402"/>
      <c r="SSL12" s="1402"/>
      <c r="SSM12" s="1402"/>
      <c r="SSN12" s="1402"/>
      <c r="SSO12" s="1402"/>
      <c r="SSP12" s="1402"/>
      <c r="SSQ12" s="1402"/>
      <c r="SSR12" s="1402"/>
      <c r="SSS12" s="1402"/>
      <c r="SST12" s="1402"/>
      <c r="SSU12" s="1402"/>
      <c r="SSV12" s="1402"/>
      <c r="SSW12" s="1402"/>
      <c r="SSX12" s="1402"/>
      <c r="SSY12" s="1402"/>
      <c r="SSZ12" s="1402"/>
      <c r="STA12" s="1402"/>
      <c r="STB12" s="1402"/>
      <c r="STC12" s="1402"/>
      <c r="STD12" s="1402"/>
      <c r="STE12" s="1402"/>
      <c r="STF12" s="1402"/>
      <c r="STG12" s="1402"/>
      <c r="STH12" s="1402"/>
      <c r="STI12" s="1402"/>
      <c r="STJ12" s="1402"/>
      <c r="STK12" s="1402"/>
      <c r="STL12" s="1402"/>
      <c r="STM12" s="1402"/>
      <c r="STN12" s="1402"/>
      <c r="STO12" s="1402"/>
      <c r="STP12" s="1402"/>
      <c r="STQ12" s="1402"/>
      <c r="STR12" s="1402"/>
      <c r="STS12" s="1402"/>
      <c r="STT12" s="1402"/>
      <c r="STU12" s="1402"/>
      <c r="STV12" s="1402"/>
      <c r="STW12" s="1402"/>
      <c r="STX12" s="1402"/>
      <c r="STY12" s="1402"/>
      <c r="STZ12" s="1402"/>
      <c r="SUA12" s="1402"/>
      <c r="SUB12" s="1402"/>
      <c r="SUC12" s="1402"/>
      <c r="SUD12" s="1402"/>
      <c r="SUE12" s="1402"/>
      <c r="SUF12" s="1402"/>
      <c r="SUG12" s="1402"/>
      <c r="SUH12" s="1402"/>
      <c r="SUI12" s="1402"/>
      <c r="SUJ12" s="1402"/>
      <c r="SUK12" s="1402"/>
      <c r="SUL12" s="1402"/>
      <c r="SUM12" s="1402"/>
      <c r="SUN12" s="1402"/>
      <c r="SUO12" s="1402"/>
      <c r="SUP12" s="1402"/>
      <c r="SUQ12" s="1402"/>
      <c r="SUR12" s="1402"/>
      <c r="SUS12" s="1402"/>
      <c r="SUT12" s="1402"/>
      <c r="SUU12" s="1402"/>
      <c r="SUV12" s="1402"/>
      <c r="SUW12" s="1402"/>
      <c r="SUX12" s="1402"/>
      <c r="SUY12" s="1402"/>
      <c r="SUZ12" s="1402"/>
      <c r="SVA12" s="1402"/>
      <c r="SVB12" s="1402"/>
      <c r="SVC12" s="1402"/>
      <c r="SVD12" s="1402"/>
      <c r="SVE12" s="1402"/>
      <c r="SVF12" s="1402"/>
      <c r="SVG12" s="1402"/>
      <c r="SVH12" s="1402"/>
      <c r="SVI12" s="1402"/>
      <c r="SVJ12" s="1402"/>
      <c r="SVK12" s="1402"/>
      <c r="SVL12" s="1402"/>
      <c r="SVM12" s="1402"/>
      <c r="SVN12" s="1402"/>
      <c r="SVO12" s="1402"/>
      <c r="SVP12" s="1402"/>
      <c r="SVQ12" s="1402"/>
      <c r="SVR12" s="1402"/>
      <c r="SVS12" s="1402"/>
      <c r="SVT12" s="1402"/>
      <c r="SVU12" s="1402"/>
      <c r="SVV12" s="1402"/>
      <c r="SVW12" s="1402"/>
      <c r="SVX12" s="1402"/>
      <c r="SVY12" s="1402"/>
      <c r="SVZ12" s="1402"/>
      <c r="SWA12" s="1402"/>
      <c r="SWB12" s="1402"/>
      <c r="SWC12" s="1402"/>
      <c r="SWD12" s="1402"/>
      <c r="SWE12" s="1402"/>
      <c r="SWF12" s="1402"/>
      <c r="SWG12" s="1402"/>
      <c r="SWH12" s="1402"/>
      <c r="SWI12" s="1402"/>
      <c r="SWJ12" s="1402"/>
      <c r="SWK12" s="1402"/>
      <c r="SWL12" s="1402"/>
      <c r="SWM12" s="1402"/>
      <c r="SWN12" s="1402"/>
      <c r="SWO12" s="1402"/>
      <c r="SWP12" s="1402"/>
      <c r="SWQ12" s="1402"/>
      <c r="SWR12" s="1402"/>
      <c r="SWS12" s="1402"/>
      <c r="SWT12" s="1402"/>
      <c r="SWU12" s="1402"/>
      <c r="SWV12" s="1402"/>
      <c r="SWW12" s="1402"/>
      <c r="SWX12" s="1402"/>
      <c r="SWY12" s="1402"/>
      <c r="SWZ12" s="1402"/>
      <c r="SXA12" s="1402"/>
      <c r="SXB12" s="1402"/>
      <c r="SXC12" s="1402"/>
      <c r="SXD12" s="1402"/>
      <c r="SXE12" s="1402"/>
      <c r="SXF12" s="1402"/>
      <c r="SXG12" s="1402"/>
      <c r="SXH12" s="1402"/>
      <c r="SXI12" s="1402"/>
      <c r="SXJ12" s="1402"/>
      <c r="SXK12" s="1402"/>
      <c r="SXL12" s="1402"/>
      <c r="SXM12" s="1402"/>
      <c r="SXN12" s="1402"/>
      <c r="SXO12" s="1402"/>
      <c r="SXP12" s="1402"/>
      <c r="SXQ12" s="1402"/>
      <c r="SXR12" s="1402"/>
      <c r="SXS12" s="1402"/>
      <c r="SXT12" s="1402"/>
      <c r="SXU12" s="1402"/>
      <c r="SXV12" s="1402"/>
      <c r="SXW12" s="1402"/>
      <c r="SXX12" s="1402"/>
      <c r="SXY12" s="1402"/>
      <c r="SXZ12" s="1402"/>
      <c r="SYA12" s="1402"/>
      <c r="SYB12" s="1402"/>
      <c r="SYC12" s="1402"/>
      <c r="SYD12" s="1402"/>
      <c r="SYE12" s="1402"/>
      <c r="SYF12" s="1402"/>
      <c r="SYG12" s="1402"/>
      <c r="SYH12" s="1402"/>
      <c r="SYI12" s="1402"/>
      <c r="SYJ12" s="1402"/>
      <c r="SYK12" s="1402"/>
      <c r="SYL12" s="1402"/>
      <c r="SYM12" s="1402"/>
      <c r="SYN12" s="1402"/>
      <c r="SYO12" s="1402"/>
      <c r="SYP12" s="1402"/>
      <c r="SYQ12" s="1402"/>
      <c r="SYR12" s="1402"/>
      <c r="SYS12" s="1402"/>
      <c r="SYT12" s="1402"/>
      <c r="SYU12" s="1402"/>
      <c r="SYV12" s="1402"/>
      <c r="SYW12" s="1402"/>
      <c r="SYX12" s="1402"/>
      <c r="SYY12" s="1402"/>
      <c r="SYZ12" s="1402"/>
      <c r="SZA12" s="1402"/>
      <c r="SZB12" s="1402"/>
      <c r="SZC12" s="1402"/>
      <c r="SZD12" s="1402"/>
      <c r="SZE12" s="1402"/>
      <c r="SZF12" s="1402"/>
      <c r="SZG12" s="1402"/>
      <c r="SZH12" s="1402"/>
      <c r="SZI12" s="1402"/>
      <c r="SZJ12" s="1402"/>
      <c r="SZK12" s="1402"/>
      <c r="SZL12" s="1402"/>
      <c r="SZM12" s="1402"/>
      <c r="SZN12" s="1402"/>
      <c r="SZO12" s="1402"/>
      <c r="SZP12" s="1402"/>
      <c r="SZQ12" s="1402"/>
      <c r="SZR12" s="1402"/>
      <c r="SZS12" s="1402"/>
      <c r="SZT12" s="1402"/>
      <c r="SZU12" s="1402"/>
      <c r="SZV12" s="1402"/>
      <c r="SZW12" s="1402"/>
      <c r="SZX12" s="1402"/>
      <c r="SZY12" s="1402"/>
      <c r="SZZ12" s="1402"/>
      <c r="TAA12" s="1402"/>
      <c r="TAB12" s="1402"/>
      <c r="TAC12" s="1402"/>
      <c r="TAD12" s="1402"/>
      <c r="TAE12" s="1402"/>
      <c r="TAF12" s="1402"/>
      <c r="TAG12" s="1402"/>
      <c r="TAH12" s="1402"/>
      <c r="TAI12" s="1402"/>
      <c r="TAJ12" s="1402"/>
      <c r="TAK12" s="1402"/>
      <c r="TAL12" s="1402"/>
      <c r="TAM12" s="1402"/>
      <c r="TAN12" s="1402"/>
      <c r="TAO12" s="1402"/>
      <c r="TAP12" s="1402"/>
      <c r="TAQ12" s="1402"/>
      <c r="TAR12" s="1402"/>
      <c r="TAS12" s="1402"/>
      <c r="TAT12" s="1402"/>
      <c r="TAU12" s="1402"/>
      <c r="TAV12" s="1402"/>
      <c r="TAW12" s="1402"/>
      <c r="TAX12" s="1402"/>
      <c r="TAY12" s="1402"/>
      <c r="TAZ12" s="1402"/>
      <c r="TBA12" s="1402"/>
      <c r="TBB12" s="1402"/>
      <c r="TBC12" s="1402"/>
      <c r="TBD12" s="1402"/>
      <c r="TBE12" s="1402"/>
      <c r="TBF12" s="1402"/>
      <c r="TBG12" s="1402"/>
      <c r="TBH12" s="1402"/>
      <c r="TBI12" s="1402"/>
      <c r="TBJ12" s="1402"/>
      <c r="TBK12" s="1402"/>
      <c r="TBL12" s="1402"/>
      <c r="TBM12" s="1402"/>
      <c r="TBN12" s="1402"/>
      <c r="TBO12" s="1402"/>
      <c r="TBP12" s="1402"/>
      <c r="TBQ12" s="1402"/>
      <c r="TBR12" s="1402"/>
      <c r="TBS12" s="1402"/>
      <c r="TBT12" s="1402"/>
      <c r="TBU12" s="1402"/>
      <c r="TBV12" s="1402"/>
      <c r="TBW12" s="1402"/>
      <c r="TBX12" s="1402"/>
      <c r="TBY12" s="1402"/>
      <c r="TBZ12" s="1402"/>
      <c r="TCA12" s="1402"/>
      <c r="TCB12" s="1402"/>
      <c r="TCC12" s="1402"/>
      <c r="TCD12" s="1402"/>
      <c r="TCE12" s="1402"/>
      <c r="TCF12" s="1402"/>
      <c r="TCG12" s="1402"/>
      <c r="TCH12" s="1402"/>
      <c r="TCI12" s="1402"/>
      <c r="TCJ12" s="1402"/>
      <c r="TCK12" s="1402"/>
      <c r="TCL12" s="1402"/>
      <c r="TCM12" s="1402"/>
      <c r="TCN12" s="1402"/>
      <c r="TCO12" s="1402"/>
      <c r="TCP12" s="1402"/>
      <c r="TCQ12" s="1402"/>
      <c r="TCR12" s="1402"/>
      <c r="TCS12" s="1402"/>
      <c r="TCT12" s="1402"/>
      <c r="TCU12" s="1402"/>
      <c r="TCV12" s="1402"/>
      <c r="TCW12" s="1402"/>
      <c r="TCX12" s="1402"/>
      <c r="TCY12" s="1402"/>
      <c r="TCZ12" s="1402"/>
      <c r="TDA12" s="1402"/>
      <c r="TDB12" s="1402"/>
      <c r="TDC12" s="1402"/>
      <c r="TDD12" s="1402"/>
      <c r="TDE12" s="1402"/>
      <c r="TDF12" s="1402"/>
      <c r="TDG12" s="1402"/>
      <c r="TDH12" s="1402"/>
      <c r="TDI12" s="1402"/>
      <c r="TDJ12" s="1402"/>
      <c r="TDK12" s="1402"/>
      <c r="TDL12" s="1402"/>
      <c r="TDM12" s="1402"/>
      <c r="TDN12" s="1402"/>
      <c r="TDO12" s="1402"/>
      <c r="TDP12" s="1402"/>
      <c r="TDQ12" s="1402"/>
      <c r="TDR12" s="1402"/>
      <c r="TDS12" s="1402"/>
      <c r="TDT12" s="1402"/>
      <c r="TDU12" s="1402"/>
      <c r="TDV12" s="1402"/>
      <c r="TDW12" s="1402"/>
      <c r="TDX12" s="1402"/>
      <c r="TDY12" s="1402"/>
      <c r="TDZ12" s="1402"/>
      <c r="TEA12" s="1402"/>
      <c r="TEB12" s="1402"/>
      <c r="TEC12" s="1402"/>
      <c r="TED12" s="1402"/>
      <c r="TEE12" s="1402"/>
      <c r="TEF12" s="1402"/>
      <c r="TEG12" s="1402"/>
      <c r="TEH12" s="1402"/>
      <c r="TEI12" s="1402"/>
      <c r="TEJ12" s="1402"/>
      <c r="TEK12" s="1402"/>
      <c r="TEL12" s="1402"/>
      <c r="TEM12" s="1402"/>
      <c r="TEN12" s="1402"/>
      <c r="TEO12" s="1402"/>
      <c r="TEP12" s="1402"/>
      <c r="TEQ12" s="1402"/>
      <c r="TER12" s="1402"/>
      <c r="TES12" s="1402"/>
      <c r="TET12" s="1402"/>
      <c r="TEU12" s="1402"/>
      <c r="TEV12" s="1402"/>
      <c r="TEW12" s="1402"/>
      <c r="TEX12" s="1402"/>
      <c r="TEY12" s="1402"/>
      <c r="TEZ12" s="1402"/>
      <c r="TFA12" s="1402"/>
      <c r="TFB12" s="1402"/>
      <c r="TFC12" s="1402"/>
      <c r="TFD12" s="1402"/>
      <c r="TFE12" s="1402"/>
      <c r="TFF12" s="1402"/>
      <c r="TFG12" s="1402"/>
      <c r="TFH12" s="1402"/>
      <c r="TFI12" s="1402"/>
      <c r="TFJ12" s="1402"/>
      <c r="TFK12" s="1402"/>
      <c r="TFL12" s="1402"/>
      <c r="TFM12" s="1402"/>
      <c r="TFN12" s="1402"/>
      <c r="TFO12" s="1402"/>
      <c r="TFP12" s="1402"/>
      <c r="TFQ12" s="1402"/>
      <c r="TFR12" s="1402"/>
      <c r="TFS12" s="1402"/>
      <c r="TFT12" s="1402"/>
      <c r="TFU12" s="1402"/>
      <c r="TFV12" s="1402"/>
      <c r="TFW12" s="1402"/>
      <c r="TFX12" s="1402"/>
      <c r="TFY12" s="1402"/>
      <c r="TFZ12" s="1402"/>
      <c r="TGA12" s="1402"/>
      <c r="TGB12" s="1402"/>
      <c r="TGC12" s="1402"/>
      <c r="TGD12" s="1402"/>
      <c r="TGE12" s="1402"/>
      <c r="TGF12" s="1402"/>
      <c r="TGG12" s="1402"/>
      <c r="TGH12" s="1402"/>
      <c r="TGI12" s="1402"/>
      <c r="TGJ12" s="1402"/>
      <c r="TGK12" s="1402"/>
      <c r="TGL12" s="1402"/>
      <c r="TGM12" s="1402"/>
      <c r="TGN12" s="1402"/>
      <c r="TGO12" s="1402"/>
      <c r="TGP12" s="1402"/>
      <c r="TGQ12" s="1402"/>
      <c r="TGR12" s="1402"/>
      <c r="TGS12" s="1402"/>
      <c r="TGT12" s="1402"/>
      <c r="TGU12" s="1402"/>
      <c r="TGV12" s="1402"/>
      <c r="TGW12" s="1402"/>
      <c r="TGX12" s="1402"/>
      <c r="TGY12" s="1402"/>
      <c r="TGZ12" s="1402"/>
      <c r="THA12" s="1402"/>
      <c r="THB12" s="1402"/>
      <c r="THC12" s="1402"/>
      <c r="THD12" s="1402"/>
      <c r="THE12" s="1402"/>
      <c r="THF12" s="1402"/>
      <c r="THG12" s="1402"/>
      <c r="THH12" s="1402"/>
      <c r="THI12" s="1402"/>
      <c r="THJ12" s="1402"/>
      <c r="THK12" s="1402"/>
      <c r="THL12" s="1402"/>
      <c r="THM12" s="1402"/>
      <c r="THN12" s="1402"/>
      <c r="THO12" s="1402"/>
      <c r="THP12" s="1402"/>
      <c r="THQ12" s="1402"/>
      <c r="THR12" s="1402"/>
      <c r="THS12" s="1402"/>
      <c r="THT12" s="1402"/>
      <c r="THU12" s="1402"/>
      <c r="THV12" s="1402"/>
      <c r="THW12" s="1402"/>
      <c r="THX12" s="1402"/>
      <c r="THY12" s="1402"/>
      <c r="THZ12" s="1402"/>
      <c r="TIA12" s="1402"/>
      <c r="TIB12" s="1402"/>
      <c r="TIC12" s="1402"/>
      <c r="TID12" s="1402"/>
      <c r="TIE12" s="1402"/>
      <c r="TIF12" s="1402"/>
      <c r="TIG12" s="1402"/>
      <c r="TIH12" s="1402"/>
      <c r="TII12" s="1402"/>
      <c r="TIJ12" s="1402"/>
      <c r="TIK12" s="1402"/>
      <c r="TIL12" s="1402"/>
      <c r="TIM12" s="1402"/>
      <c r="TIN12" s="1402"/>
      <c r="TIO12" s="1402"/>
      <c r="TIP12" s="1402"/>
      <c r="TIQ12" s="1402"/>
      <c r="TIR12" s="1402"/>
      <c r="TIS12" s="1402"/>
      <c r="TIT12" s="1402"/>
      <c r="TIU12" s="1402"/>
      <c r="TIV12" s="1402"/>
      <c r="TIW12" s="1402"/>
      <c r="TIX12" s="1402"/>
      <c r="TIY12" s="1402"/>
      <c r="TIZ12" s="1402"/>
      <c r="TJA12" s="1402"/>
      <c r="TJB12" s="1402"/>
      <c r="TJC12" s="1402"/>
      <c r="TJD12" s="1402"/>
      <c r="TJE12" s="1402"/>
      <c r="TJF12" s="1402"/>
      <c r="TJG12" s="1402"/>
      <c r="TJH12" s="1402"/>
      <c r="TJI12" s="1402"/>
      <c r="TJJ12" s="1402"/>
      <c r="TJK12" s="1402"/>
      <c r="TJL12" s="1402"/>
      <c r="TJM12" s="1402"/>
      <c r="TJN12" s="1402"/>
      <c r="TJO12" s="1402"/>
      <c r="TJP12" s="1402"/>
      <c r="TJQ12" s="1402"/>
      <c r="TJR12" s="1402"/>
      <c r="TJS12" s="1402"/>
      <c r="TJT12" s="1402"/>
      <c r="TJU12" s="1402"/>
      <c r="TJV12" s="1402"/>
      <c r="TJW12" s="1402"/>
      <c r="TJX12" s="1402"/>
      <c r="TJY12" s="1402"/>
      <c r="TJZ12" s="1402"/>
      <c r="TKA12" s="1402"/>
      <c r="TKB12" s="1402"/>
      <c r="TKC12" s="1402"/>
      <c r="TKD12" s="1402"/>
      <c r="TKE12" s="1402"/>
      <c r="TKF12" s="1402"/>
      <c r="TKG12" s="1402"/>
      <c r="TKH12" s="1402"/>
      <c r="TKI12" s="1402"/>
      <c r="TKJ12" s="1402"/>
      <c r="TKK12" s="1402"/>
      <c r="TKL12" s="1402"/>
      <c r="TKM12" s="1402"/>
      <c r="TKN12" s="1402"/>
      <c r="TKO12" s="1402"/>
      <c r="TKP12" s="1402"/>
      <c r="TKQ12" s="1402"/>
      <c r="TKR12" s="1402"/>
      <c r="TKS12" s="1402"/>
      <c r="TKT12" s="1402"/>
      <c r="TKU12" s="1402"/>
      <c r="TKV12" s="1402"/>
      <c r="TKW12" s="1402"/>
      <c r="TKX12" s="1402"/>
      <c r="TKY12" s="1402"/>
      <c r="TKZ12" s="1402"/>
      <c r="TLA12" s="1402"/>
      <c r="TLB12" s="1402"/>
      <c r="TLC12" s="1402"/>
      <c r="TLD12" s="1402"/>
      <c r="TLE12" s="1402"/>
      <c r="TLF12" s="1402"/>
      <c r="TLG12" s="1402"/>
      <c r="TLH12" s="1402"/>
      <c r="TLI12" s="1402"/>
      <c r="TLJ12" s="1402"/>
      <c r="TLK12" s="1402"/>
      <c r="TLL12" s="1402"/>
      <c r="TLM12" s="1402"/>
      <c r="TLN12" s="1402"/>
      <c r="TLO12" s="1402"/>
      <c r="TLP12" s="1402"/>
      <c r="TLQ12" s="1402"/>
      <c r="TLR12" s="1402"/>
      <c r="TLS12" s="1402"/>
      <c r="TLT12" s="1402"/>
      <c r="TLU12" s="1402"/>
      <c r="TLV12" s="1402"/>
      <c r="TLW12" s="1402"/>
      <c r="TLX12" s="1402"/>
      <c r="TLY12" s="1402"/>
      <c r="TLZ12" s="1402"/>
      <c r="TMA12" s="1402"/>
      <c r="TMB12" s="1402"/>
      <c r="TMC12" s="1402"/>
      <c r="TMD12" s="1402"/>
      <c r="TME12" s="1402"/>
      <c r="TMF12" s="1402"/>
      <c r="TMG12" s="1402"/>
      <c r="TMH12" s="1402"/>
      <c r="TMI12" s="1402"/>
      <c r="TMJ12" s="1402"/>
      <c r="TMK12" s="1402"/>
      <c r="TML12" s="1402"/>
      <c r="TMM12" s="1402"/>
      <c r="TMN12" s="1402"/>
      <c r="TMO12" s="1402"/>
      <c r="TMP12" s="1402"/>
      <c r="TMQ12" s="1402"/>
      <c r="TMR12" s="1402"/>
      <c r="TMS12" s="1402"/>
      <c r="TMT12" s="1402"/>
      <c r="TMU12" s="1402"/>
      <c r="TMV12" s="1402"/>
      <c r="TMW12" s="1402"/>
      <c r="TMX12" s="1402"/>
      <c r="TMY12" s="1402"/>
      <c r="TMZ12" s="1402"/>
      <c r="TNA12" s="1402"/>
      <c r="TNB12" s="1402"/>
      <c r="TNC12" s="1402"/>
      <c r="TND12" s="1402"/>
      <c r="TNE12" s="1402"/>
      <c r="TNF12" s="1402"/>
      <c r="TNG12" s="1402"/>
      <c r="TNH12" s="1402"/>
      <c r="TNI12" s="1402"/>
      <c r="TNJ12" s="1402"/>
      <c r="TNK12" s="1402"/>
      <c r="TNL12" s="1402"/>
      <c r="TNM12" s="1402"/>
      <c r="TNN12" s="1402"/>
      <c r="TNO12" s="1402"/>
      <c r="TNP12" s="1402"/>
      <c r="TNQ12" s="1402"/>
      <c r="TNR12" s="1402"/>
      <c r="TNS12" s="1402"/>
      <c r="TNT12" s="1402"/>
      <c r="TNU12" s="1402"/>
      <c r="TNV12" s="1402"/>
      <c r="TNW12" s="1402"/>
      <c r="TNX12" s="1402"/>
      <c r="TNY12" s="1402"/>
      <c r="TNZ12" s="1402"/>
      <c r="TOA12" s="1402"/>
      <c r="TOB12" s="1402"/>
      <c r="TOC12" s="1402"/>
      <c r="TOD12" s="1402"/>
      <c r="TOE12" s="1402"/>
      <c r="TOF12" s="1402"/>
      <c r="TOG12" s="1402"/>
      <c r="TOH12" s="1402"/>
      <c r="TOI12" s="1402"/>
      <c r="TOJ12" s="1402"/>
      <c r="TOK12" s="1402"/>
      <c r="TOL12" s="1402"/>
      <c r="TOM12" s="1402"/>
      <c r="TON12" s="1402"/>
      <c r="TOO12" s="1402"/>
      <c r="TOP12" s="1402"/>
      <c r="TOQ12" s="1402"/>
      <c r="TOR12" s="1402"/>
      <c r="TOS12" s="1402"/>
      <c r="TOT12" s="1402"/>
      <c r="TOU12" s="1402"/>
      <c r="TOV12" s="1402"/>
      <c r="TOW12" s="1402"/>
      <c r="TOX12" s="1402"/>
      <c r="TOY12" s="1402"/>
      <c r="TOZ12" s="1402"/>
      <c r="TPA12" s="1402"/>
      <c r="TPB12" s="1402"/>
      <c r="TPC12" s="1402"/>
      <c r="TPD12" s="1402"/>
      <c r="TPE12" s="1402"/>
      <c r="TPF12" s="1402"/>
      <c r="TPG12" s="1402"/>
      <c r="TPH12" s="1402"/>
      <c r="TPI12" s="1402"/>
      <c r="TPJ12" s="1402"/>
      <c r="TPK12" s="1402"/>
      <c r="TPL12" s="1402"/>
      <c r="TPM12" s="1402"/>
      <c r="TPN12" s="1402"/>
      <c r="TPO12" s="1402"/>
      <c r="TPP12" s="1402"/>
      <c r="TPQ12" s="1402"/>
      <c r="TPR12" s="1402"/>
      <c r="TPS12" s="1402"/>
      <c r="TPT12" s="1402"/>
      <c r="TPU12" s="1402"/>
      <c r="TPV12" s="1402"/>
      <c r="TPW12" s="1402"/>
      <c r="TPX12" s="1402"/>
      <c r="TPY12" s="1402"/>
      <c r="TPZ12" s="1402"/>
      <c r="TQA12" s="1402"/>
      <c r="TQB12" s="1402"/>
      <c r="TQC12" s="1402"/>
      <c r="TQD12" s="1402"/>
      <c r="TQE12" s="1402"/>
      <c r="TQF12" s="1402"/>
      <c r="TQG12" s="1402"/>
      <c r="TQH12" s="1402"/>
      <c r="TQI12" s="1402"/>
      <c r="TQJ12" s="1402"/>
      <c r="TQK12" s="1402"/>
      <c r="TQL12" s="1402"/>
      <c r="TQM12" s="1402"/>
      <c r="TQN12" s="1402"/>
      <c r="TQO12" s="1402"/>
      <c r="TQP12" s="1402"/>
      <c r="TQQ12" s="1402"/>
      <c r="TQR12" s="1402"/>
      <c r="TQS12" s="1402"/>
      <c r="TQT12" s="1402"/>
      <c r="TQU12" s="1402"/>
      <c r="TQV12" s="1402"/>
      <c r="TQW12" s="1402"/>
      <c r="TQX12" s="1402"/>
      <c r="TQY12" s="1402"/>
      <c r="TQZ12" s="1402"/>
      <c r="TRA12" s="1402"/>
      <c r="TRB12" s="1402"/>
      <c r="TRC12" s="1402"/>
      <c r="TRD12" s="1402"/>
      <c r="TRE12" s="1402"/>
      <c r="TRF12" s="1402"/>
      <c r="TRG12" s="1402"/>
      <c r="TRH12" s="1402"/>
      <c r="TRI12" s="1402"/>
      <c r="TRJ12" s="1402"/>
      <c r="TRK12" s="1402"/>
      <c r="TRL12" s="1402"/>
      <c r="TRM12" s="1402"/>
      <c r="TRN12" s="1402"/>
      <c r="TRO12" s="1402"/>
      <c r="TRP12" s="1402"/>
      <c r="TRQ12" s="1402"/>
      <c r="TRR12" s="1402"/>
      <c r="TRS12" s="1402"/>
      <c r="TRT12" s="1402"/>
      <c r="TRU12" s="1402"/>
      <c r="TRV12" s="1402"/>
      <c r="TRW12" s="1402"/>
      <c r="TRX12" s="1402"/>
      <c r="TRY12" s="1402"/>
      <c r="TRZ12" s="1402"/>
      <c r="TSA12" s="1402"/>
      <c r="TSB12" s="1402"/>
      <c r="TSC12" s="1402"/>
      <c r="TSD12" s="1402"/>
      <c r="TSE12" s="1402"/>
      <c r="TSF12" s="1402"/>
      <c r="TSG12" s="1402"/>
      <c r="TSH12" s="1402"/>
      <c r="TSI12" s="1402"/>
      <c r="TSJ12" s="1402"/>
      <c r="TSK12" s="1402"/>
      <c r="TSL12" s="1402"/>
      <c r="TSM12" s="1402"/>
      <c r="TSN12" s="1402"/>
      <c r="TSO12" s="1402"/>
      <c r="TSP12" s="1402"/>
      <c r="TSQ12" s="1402"/>
      <c r="TSR12" s="1402"/>
      <c r="TSS12" s="1402"/>
      <c r="TST12" s="1402"/>
      <c r="TSU12" s="1402"/>
      <c r="TSV12" s="1402"/>
      <c r="TSW12" s="1402"/>
      <c r="TSX12" s="1402"/>
      <c r="TSY12" s="1402"/>
      <c r="TSZ12" s="1402"/>
      <c r="TTA12" s="1402"/>
      <c r="TTB12" s="1402"/>
      <c r="TTC12" s="1402"/>
      <c r="TTD12" s="1402"/>
      <c r="TTE12" s="1402"/>
      <c r="TTF12" s="1402"/>
      <c r="TTG12" s="1402"/>
      <c r="TTH12" s="1402"/>
      <c r="TTI12" s="1402"/>
      <c r="TTJ12" s="1402"/>
      <c r="TTK12" s="1402"/>
      <c r="TTL12" s="1402"/>
      <c r="TTM12" s="1402"/>
      <c r="TTN12" s="1402"/>
      <c r="TTO12" s="1402"/>
      <c r="TTP12" s="1402"/>
      <c r="TTQ12" s="1402"/>
      <c r="TTR12" s="1402"/>
      <c r="TTS12" s="1402"/>
      <c r="TTT12" s="1402"/>
      <c r="TTU12" s="1402"/>
      <c r="TTV12" s="1402"/>
      <c r="TTW12" s="1402"/>
      <c r="TTX12" s="1402"/>
      <c r="TTY12" s="1402"/>
      <c r="TTZ12" s="1402"/>
      <c r="TUA12" s="1402"/>
      <c r="TUB12" s="1402"/>
      <c r="TUC12" s="1402"/>
      <c r="TUD12" s="1402"/>
      <c r="TUE12" s="1402"/>
      <c r="TUF12" s="1402"/>
      <c r="TUG12" s="1402"/>
      <c r="TUH12" s="1402"/>
      <c r="TUI12" s="1402"/>
      <c r="TUJ12" s="1402"/>
      <c r="TUK12" s="1402"/>
      <c r="TUL12" s="1402"/>
      <c r="TUM12" s="1402"/>
      <c r="TUN12" s="1402"/>
      <c r="TUO12" s="1402"/>
      <c r="TUP12" s="1402"/>
      <c r="TUQ12" s="1402"/>
      <c r="TUR12" s="1402"/>
      <c r="TUS12" s="1402"/>
      <c r="TUT12" s="1402"/>
      <c r="TUU12" s="1402"/>
      <c r="TUV12" s="1402"/>
      <c r="TUW12" s="1402"/>
      <c r="TUX12" s="1402"/>
      <c r="TUY12" s="1402"/>
      <c r="TUZ12" s="1402"/>
      <c r="TVA12" s="1402"/>
      <c r="TVB12" s="1402"/>
      <c r="TVC12" s="1402"/>
      <c r="TVD12" s="1402"/>
      <c r="TVE12" s="1402"/>
      <c r="TVF12" s="1402"/>
      <c r="TVG12" s="1402"/>
      <c r="TVH12" s="1402"/>
      <c r="TVI12" s="1402"/>
      <c r="TVJ12" s="1402"/>
      <c r="TVK12" s="1402"/>
      <c r="TVL12" s="1402"/>
      <c r="TVM12" s="1402"/>
      <c r="TVN12" s="1402"/>
      <c r="TVO12" s="1402"/>
      <c r="TVP12" s="1402"/>
      <c r="TVQ12" s="1402"/>
      <c r="TVR12" s="1402"/>
      <c r="TVS12" s="1402"/>
      <c r="TVT12" s="1402"/>
      <c r="TVU12" s="1402"/>
      <c r="TVV12" s="1402"/>
      <c r="TVW12" s="1402"/>
      <c r="TVX12" s="1402"/>
      <c r="TVY12" s="1402"/>
      <c r="TVZ12" s="1402"/>
      <c r="TWA12" s="1402"/>
      <c r="TWB12" s="1402"/>
      <c r="TWC12" s="1402"/>
      <c r="TWD12" s="1402"/>
      <c r="TWE12" s="1402"/>
      <c r="TWF12" s="1402"/>
      <c r="TWG12" s="1402"/>
      <c r="TWH12" s="1402"/>
      <c r="TWI12" s="1402"/>
      <c r="TWJ12" s="1402"/>
      <c r="TWK12" s="1402"/>
      <c r="TWL12" s="1402"/>
      <c r="TWM12" s="1402"/>
      <c r="TWN12" s="1402"/>
      <c r="TWO12" s="1402"/>
      <c r="TWP12" s="1402"/>
      <c r="TWQ12" s="1402"/>
      <c r="TWR12" s="1402"/>
      <c r="TWS12" s="1402"/>
      <c r="TWT12" s="1402"/>
      <c r="TWU12" s="1402"/>
      <c r="TWV12" s="1402"/>
      <c r="TWW12" s="1402"/>
      <c r="TWX12" s="1402"/>
      <c r="TWY12" s="1402"/>
      <c r="TWZ12" s="1402"/>
      <c r="TXA12" s="1402"/>
      <c r="TXB12" s="1402"/>
      <c r="TXC12" s="1402"/>
      <c r="TXD12" s="1402"/>
      <c r="TXE12" s="1402"/>
      <c r="TXF12" s="1402"/>
      <c r="TXG12" s="1402"/>
      <c r="TXH12" s="1402"/>
      <c r="TXI12" s="1402"/>
      <c r="TXJ12" s="1402"/>
      <c r="TXK12" s="1402"/>
      <c r="TXL12" s="1402"/>
      <c r="TXM12" s="1402"/>
      <c r="TXN12" s="1402"/>
      <c r="TXO12" s="1402"/>
      <c r="TXP12" s="1402"/>
      <c r="TXQ12" s="1402"/>
      <c r="TXR12" s="1402"/>
      <c r="TXS12" s="1402"/>
      <c r="TXT12" s="1402"/>
      <c r="TXU12" s="1402"/>
      <c r="TXV12" s="1402"/>
      <c r="TXW12" s="1402"/>
      <c r="TXX12" s="1402"/>
      <c r="TXY12" s="1402"/>
      <c r="TXZ12" s="1402"/>
      <c r="TYA12" s="1402"/>
      <c r="TYB12" s="1402"/>
      <c r="TYC12" s="1402"/>
      <c r="TYD12" s="1402"/>
      <c r="TYE12" s="1402"/>
      <c r="TYF12" s="1402"/>
      <c r="TYG12" s="1402"/>
      <c r="TYH12" s="1402"/>
      <c r="TYI12" s="1402"/>
      <c r="TYJ12" s="1402"/>
      <c r="TYK12" s="1402"/>
      <c r="TYL12" s="1402"/>
      <c r="TYM12" s="1402"/>
      <c r="TYN12" s="1402"/>
      <c r="TYO12" s="1402"/>
      <c r="TYP12" s="1402"/>
      <c r="TYQ12" s="1402"/>
      <c r="TYR12" s="1402"/>
      <c r="TYS12" s="1402"/>
      <c r="TYT12" s="1402"/>
      <c r="TYU12" s="1402"/>
      <c r="TYV12" s="1402"/>
      <c r="TYW12" s="1402"/>
      <c r="TYX12" s="1402"/>
      <c r="TYY12" s="1402"/>
      <c r="TYZ12" s="1402"/>
      <c r="TZA12" s="1402"/>
      <c r="TZB12" s="1402"/>
      <c r="TZC12" s="1402"/>
      <c r="TZD12" s="1402"/>
      <c r="TZE12" s="1402"/>
      <c r="TZF12" s="1402"/>
      <c r="TZG12" s="1402"/>
      <c r="TZH12" s="1402"/>
      <c r="TZI12" s="1402"/>
      <c r="TZJ12" s="1402"/>
      <c r="TZK12" s="1402"/>
      <c r="TZL12" s="1402"/>
      <c r="TZM12" s="1402"/>
      <c r="TZN12" s="1402"/>
      <c r="TZO12" s="1402"/>
      <c r="TZP12" s="1402"/>
      <c r="TZQ12" s="1402"/>
      <c r="TZR12" s="1402"/>
      <c r="TZS12" s="1402"/>
      <c r="TZT12" s="1402"/>
      <c r="TZU12" s="1402"/>
      <c r="TZV12" s="1402"/>
      <c r="TZW12" s="1402"/>
      <c r="TZX12" s="1402"/>
      <c r="TZY12" s="1402"/>
      <c r="TZZ12" s="1402"/>
      <c r="UAA12" s="1402"/>
      <c r="UAB12" s="1402"/>
      <c r="UAC12" s="1402"/>
      <c r="UAD12" s="1402"/>
      <c r="UAE12" s="1402"/>
      <c r="UAF12" s="1402"/>
      <c r="UAG12" s="1402"/>
      <c r="UAH12" s="1402"/>
      <c r="UAI12" s="1402"/>
      <c r="UAJ12" s="1402"/>
      <c r="UAK12" s="1402"/>
      <c r="UAL12" s="1402"/>
      <c r="UAM12" s="1402"/>
      <c r="UAN12" s="1402"/>
      <c r="UAO12" s="1402"/>
      <c r="UAP12" s="1402"/>
      <c r="UAQ12" s="1402"/>
      <c r="UAR12" s="1402"/>
      <c r="UAS12" s="1402"/>
      <c r="UAT12" s="1402"/>
      <c r="UAU12" s="1402"/>
      <c r="UAV12" s="1402"/>
      <c r="UAW12" s="1402"/>
      <c r="UAX12" s="1402"/>
      <c r="UAY12" s="1402"/>
      <c r="UAZ12" s="1402"/>
      <c r="UBA12" s="1402"/>
      <c r="UBB12" s="1402"/>
      <c r="UBC12" s="1402"/>
      <c r="UBD12" s="1402"/>
      <c r="UBE12" s="1402"/>
      <c r="UBF12" s="1402"/>
      <c r="UBG12" s="1402"/>
      <c r="UBH12" s="1402"/>
      <c r="UBI12" s="1402"/>
      <c r="UBJ12" s="1402"/>
      <c r="UBK12" s="1402"/>
      <c r="UBL12" s="1402"/>
      <c r="UBM12" s="1402"/>
      <c r="UBN12" s="1402"/>
      <c r="UBO12" s="1402"/>
      <c r="UBP12" s="1402"/>
      <c r="UBQ12" s="1402"/>
      <c r="UBR12" s="1402"/>
      <c r="UBS12" s="1402"/>
      <c r="UBT12" s="1402"/>
      <c r="UBU12" s="1402"/>
      <c r="UBV12" s="1402"/>
      <c r="UBW12" s="1402"/>
      <c r="UBX12" s="1402"/>
      <c r="UBY12" s="1402"/>
      <c r="UBZ12" s="1402"/>
      <c r="UCA12" s="1402"/>
      <c r="UCB12" s="1402"/>
      <c r="UCC12" s="1402"/>
      <c r="UCD12" s="1402"/>
      <c r="UCE12" s="1402"/>
      <c r="UCF12" s="1402"/>
      <c r="UCG12" s="1402"/>
      <c r="UCH12" s="1402"/>
      <c r="UCI12" s="1402"/>
      <c r="UCJ12" s="1402"/>
      <c r="UCK12" s="1402"/>
      <c r="UCL12" s="1402"/>
      <c r="UCM12" s="1402"/>
      <c r="UCN12" s="1402"/>
      <c r="UCO12" s="1402"/>
      <c r="UCP12" s="1402"/>
      <c r="UCQ12" s="1402"/>
      <c r="UCR12" s="1402"/>
      <c r="UCS12" s="1402"/>
      <c r="UCT12" s="1402"/>
      <c r="UCU12" s="1402"/>
      <c r="UCV12" s="1402"/>
      <c r="UCW12" s="1402"/>
      <c r="UCX12" s="1402"/>
      <c r="UCY12" s="1402"/>
      <c r="UCZ12" s="1402"/>
      <c r="UDA12" s="1402"/>
      <c r="UDB12" s="1402"/>
      <c r="UDC12" s="1402"/>
      <c r="UDD12" s="1402"/>
      <c r="UDE12" s="1402"/>
      <c r="UDF12" s="1402"/>
      <c r="UDG12" s="1402"/>
      <c r="UDH12" s="1402"/>
      <c r="UDI12" s="1402"/>
      <c r="UDJ12" s="1402"/>
      <c r="UDK12" s="1402"/>
      <c r="UDL12" s="1402"/>
      <c r="UDM12" s="1402"/>
      <c r="UDN12" s="1402"/>
      <c r="UDO12" s="1402"/>
      <c r="UDP12" s="1402"/>
      <c r="UDQ12" s="1402"/>
      <c r="UDR12" s="1402"/>
      <c r="UDS12" s="1402"/>
      <c r="UDT12" s="1402"/>
      <c r="UDU12" s="1402"/>
      <c r="UDV12" s="1402"/>
      <c r="UDW12" s="1402"/>
      <c r="UDX12" s="1402"/>
      <c r="UDY12" s="1402"/>
      <c r="UDZ12" s="1402"/>
      <c r="UEA12" s="1402"/>
      <c r="UEB12" s="1402"/>
      <c r="UEC12" s="1402"/>
      <c r="UED12" s="1402"/>
      <c r="UEE12" s="1402"/>
      <c r="UEF12" s="1402"/>
      <c r="UEG12" s="1402"/>
      <c r="UEH12" s="1402"/>
      <c r="UEI12" s="1402"/>
      <c r="UEJ12" s="1402"/>
      <c r="UEK12" s="1402"/>
      <c r="UEL12" s="1402"/>
      <c r="UEM12" s="1402"/>
      <c r="UEN12" s="1402"/>
      <c r="UEO12" s="1402"/>
      <c r="UEP12" s="1402"/>
      <c r="UEQ12" s="1402"/>
      <c r="UER12" s="1402"/>
      <c r="UES12" s="1402"/>
      <c r="UET12" s="1402"/>
      <c r="UEU12" s="1402"/>
      <c r="UEV12" s="1402"/>
      <c r="UEW12" s="1402"/>
      <c r="UEX12" s="1402"/>
      <c r="UEY12" s="1402"/>
      <c r="UEZ12" s="1402"/>
      <c r="UFA12" s="1402"/>
      <c r="UFB12" s="1402"/>
      <c r="UFC12" s="1402"/>
      <c r="UFD12" s="1402"/>
      <c r="UFE12" s="1402"/>
      <c r="UFF12" s="1402"/>
      <c r="UFG12" s="1402"/>
      <c r="UFH12" s="1402"/>
      <c r="UFI12" s="1402"/>
      <c r="UFJ12" s="1402"/>
      <c r="UFK12" s="1402"/>
      <c r="UFL12" s="1402"/>
      <c r="UFM12" s="1402"/>
      <c r="UFN12" s="1402"/>
      <c r="UFO12" s="1402"/>
      <c r="UFP12" s="1402"/>
      <c r="UFQ12" s="1402"/>
      <c r="UFR12" s="1402"/>
      <c r="UFS12" s="1402"/>
      <c r="UFT12" s="1402"/>
      <c r="UFU12" s="1402"/>
      <c r="UFV12" s="1402"/>
      <c r="UFW12" s="1402"/>
      <c r="UFX12" s="1402"/>
      <c r="UFY12" s="1402"/>
      <c r="UFZ12" s="1402"/>
      <c r="UGA12" s="1402"/>
      <c r="UGB12" s="1402"/>
      <c r="UGC12" s="1402"/>
      <c r="UGD12" s="1402"/>
      <c r="UGE12" s="1402"/>
      <c r="UGF12" s="1402"/>
      <c r="UGG12" s="1402"/>
      <c r="UGH12" s="1402"/>
      <c r="UGI12" s="1402"/>
      <c r="UGJ12" s="1402"/>
      <c r="UGK12" s="1402"/>
      <c r="UGL12" s="1402"/>
      <c r="UGM12" s="1402"/>
      <c r="UGN12" s="1402"/>
      <c r="UGO12" s="1402"/>
      <c r="UGP12" s="1402"/>
      <c r="UGQ12" s="1402"/>
      <c r="UGR12" s="1402"/>
      <c r="UGS12" s="1402"/>
      <c r="UGT12" s="1402"/>
      <c r="UGU12" s="1402"/>
      <c r="UGV12" s="1402"/>
      <c r="UGW12" s="1402"/>
      <c r="UGX12" s="1402"/>
      <c r="UGY12" s="1402"/>
      <c r="UGZ12" s="1402"/>
      <c r="UHA12" s="1402"/>
      <c r="UHB12" s="1402"/>
      <c r="UHC12" s="1402"/>
      <c r="UHD12" s="1402"/>
      <c r="UHE12" s="1402"/>
      <c r="UHF12" s="1402"/>
      <c r="UHG12" s="1402"/>
      <c r="UHH12" s="1402"/>
      <c r="UHI12" s="1402"/>
      <c r="UHJ12" s="1402"/>
      <c r="UHK12" s="1402"/>
      <c r="UHL12" s="1402"/>
      <c r="UHM12" s="1402"/>
      <c r="UHN12" s="1402"/>
      <c r="UHO12" s="1402"/>
      <c r="UHP12" s="1402"/>
      <c r="UHQ12" s="1402"/>
      <c r="UHR12" s="1402"/>
      <c r="UHS12" s="1402"/>
      <c r="UHT12" s="1402"/>
      <c r="UHU12" s="1402"/>
      <c r="UHV12" s="1402"/>
      <c r="UHW12" s="1402"/>
      <c r="UHX12" s="1402"/>
      <c r="UHY12" s="1402"/>
      <c r="UHZ12" s="1402"/>
      <c r="UIA12" s="1402"/>
      <c r="UIB12" s="1402"/>
      <c r="UIC12" s="1402"/>
      <c r="UID12" s="1402"/>
      <c r="UIE12" s="1402"/>
      <c r="UIF12" s="1402"/>
      <c r="UIG12" s="1402"/>
      <c r="UIH12" s="1402"/>
      <c r="UII12" s="1402"/>
      <c r="UIJ12" s="1402"/>
      <c r="UIK12" s="1402"/>
      <c r="UIL12" s="1402"/>
      <c r="UIM12" s="1402"/>
      <c r="UIN12" s="1402"/>
      <c r="UIO12" s="1402"/>
      <c r="UIP12" s="1402"/>
      <c r="UIQ12" s="1402"/>
      <c r="UIR12" s="1402"/>
      <c r="UIS12" s="1402"/>
      <c r="UIT12" s="1402"/>
      <c r="UIU12" s="1402"/>
      <c r="UIV12" s="1402"/>
      <c r="UIW12" s="1402"/>
      <c r="UIX12" s="1402"/>
      <c r="UIY12" s="1402"/>
      <c r="UIZ12" s="1402"/>
      <c r="UJA12" s="1402"/>
      <c r="UJB12" s="1402"/>
      <c r="UJC12" s="1402"/>
      <c r="UJD12" s="1402"/>
      <c r="UJE12" s="1402"/>
      <c r="UJF12" s="1402"/>
      <c r="UJG12" s="1402"/>
      <c r="UJH12" s="1402"/>
      <c r="UJI12" s="1402"/>
      <c r="UJJ12" s="1402"/>
      <c r="UJK12" s="1402"/>
      <c r="UJL12" s="1402"/>
      <c r="UJM12" s="1402"/>
      <c r="UJN12" s="1402"/>
      <c r="UJO12" s="1402"/>
      <c r="UJP12" s="1402"/>
      <c r="UJQ12" s="1402"/>
      <c r="UJR12" s="1402"/>
      <c r="UJS12" s="1402"/>
      <c r="UJT12" s="1402"/>
      <c r="UJU12" s="1402"/>
      <c r="UJV12" s="1402"/>
      <c r="UJW12" s="1402"/>
      <c r="UJX12" s="1402"/>
      <c r="UJY12" s="1402"/>
      <c r="UJZ12" s="1402"/>
      <c r="UKA12" s="1402"/>
      <c r="UKB12" s="1402"/>
      <c r="UKC12" s="1402"/>
      <c r="UKD12" s="1402"/>
      <c r="UKE12" s="1402"/>
      <c r="UKF12" s="1402"/>
      <c r="UKG12" s="1402"/>
      <c r="UKH12" s="1402"/>
      <c r="UKI12" s="1402"/>
      <c r="UKJ12" s="1402"/>
      <c r="UKK12" s="1402"/>
      <c r="UKL12" s="1402"/>
      <c r="UKM12" s="1402"/>
      <c r="UKN12" s="1402"/>
      <c r="UKO12" s="1402"/>
      <c r="UKP12" s="1402"/>
      <c r="UKQ12" s="1402"/>
      <c r="UKR12" s="1402"/>
      <c r="UKS12" s="1402"/>
      <c r="UKT12" s="1402"/>
      <c r="UKU12" s="1402"/>
      <c r="UKV12" s="1402"/>
      <c r="UKW12" s="1402"/>
      <c r="UKX12" s="1402"/>
      <c r="UKY12" s="1402"/>
      <c r="UKZ12" s="1402"/>
      <c r="ULA12" s="1402"/>
      <c r="ULB12" s="1402"/>
      <c r="ULC12" s="1402"/>
      <c r="ULD12" s="1402"/>
      <c r="ULE12" s="1402"/>
      <c r="ULF12" s="1402"/>
      <c r="ULG12" s="1402"/>
      <c r="ULH12" s="1402"/>
      <c r="ULI12" s="1402"/>
      <c r="ULJ12" s="1402"/>
      <c r="ULK12" s="1402"/>
      <c r="ULL12" s="1402"/>
      <c r="ULM12" s="1402"/>
      <c r="ULN12" s="1402"/>
      <c r="ULO12" s="1402"/>
      <c r="ULP12" s="1402"/>
      <c r="ULQ12" s="1402"/>
      <c r="ULR12" s="1402"/>
      <c r="ULS12" s="1402"/>
      <c r="ULT12" s="1402"/>
      <c r="ULU12" s="1402"/>
      <c r="ULV12" s="1402"/>
      <c r="ULW12" s="1402"/>
      <c r="ULX12" s="1402"/>
      <c r="ULY12" s="1402"/>
      <c r="ULZ12" s="1402"/>
      <c r="UMA12" s="1402"/>
      <c r="UMB12" s="1402"/>
      <c r="UMC12" s="1402"/>
      <c r="UMD12" s="1402"/>
      <c r="UME12" s="1402"/>
      <c r="UMF12" s="1402"/>
      <c r="UMG12" s="1402"/>
      <c r="UMH12" s="1402"/>
      <c r="UMI12" s="1402"/>
      <c r="UMJ12" s="1402"/>
      <c r="UMK12" s="1402"/>
      <c r="UML12" s="1402"/>
      <c r="UMM12" s="1402"/>
      <c r="UMN12" s="1402"/>
      <c r="UMO12" s="1402"/>
      <c r="UMP12" s="1402"/>
      <c r="UMQ12" s="1402"/>
      <c r="UMR12" s="1402"/>
      <c r="UMS12" s="1402"/>
      <c r="UMT12" s="1402"/>
      <c r="UMU12" s="1402"/>
      <c r="UMV12" s="1402"/>
      <c r="UMW12" s="1402"/>
      <c r="UMX12" s="1402"/>
      <c r="UMY12" s="1402"/>
      <c r="UMZ12" s="1402"/>
      <c r="UNA12" s="1402"/>
      <c r="UNB12" s="1402"/>
      <c r="UNC12" s="1402"/>
      <c r="UND12" s="1402"/>
      <c r="UNE12" s="1402"/>
      <c r="UNF12" s="1402"/>
      <c r="UNG12" s="1402"/>
      <c r="UNH12" s="1402"/>
      <c r="UNI12" s="1402"/>
      <c r="UNJ12" s="1402"/>
      <c r="UNK12" s="1402"/>
      <c r="UNL12" s="1402"/>
      <c r="UNM12" s="1402"/>
      <c r="UNN12" s="1402"/>
      <c r="UNO12" s="1402"/>
      <c r="UNP12" s="1402"/>
      <c r="UNQ12" s="1402"/>
      <c r="UNR12" s="1402"/>
      <c r="UNS12" s="1402"/>
      <c r="UNT12" s="1402"/>
      <c r="UNU12" s="1402"/>
      <c r="UNV12" s="1402"/>
      <c r="UNW12" s="1402"/>
      <c r="UNX12" s="1402"/>
      <c r="UNY12" s="1402"/>
      <c r="UNZ12" s="1402"/>
      <c r="UOA12" s="1402"/>
      <c r="UOB12" s="1402"/>
      <c r="UOC12" s="1402"/>
      <c r="UOD12" s="1402"/>
      <c r="UOE12" s="1402"/>
      <c r="UOF12" s="1402"/>
      <c r="UOG12" s="1402"/>
      <c r="UOH12" s="1402"/>
      <c r="UOI12" s="1402"/>
      <c r="UOJ12" s="1402"/>
      <c r="UOK12" s="1402"/>
      <c r="UOL12" s="1402"/>
      <c r="UOM12" s="1402"/>
      <c r="UON12" s="1402"/>
      <c r="UOO12" s="1402"/>
      <c r="UOP12" s="1402"/>
      <c r="UOQ12" s="1402"/>
      <c r="UOR12" s="1402"/>
      <c r="UOS12" s="1402"/>
      <c r="UOT12" s="1402"/>
      <c r="UOU12" s="1402"/>
      <c r="UOV12" s="1402"/>
      <c r="UOW12" s="1402"/>
      <c r="UOX12" s="1402"/>
      <c r="UOY12" s="1402"/>
      <c r="UOZ12" s="1402"/>
      <c r="UPA12" s="1402"/>
      <c r="UPB12" s="1402"/>
      <c r="UPC12" s="1402"/>
      <c r="UPD12" s="1402"/>
      <c r="UPE12" s="1402"/>
      <c r="UPF12" s="1402"/>
      <c r="UPG12" s="1402"/>
      <c r="UPH12" s="1402"/>
      <c r="UPI12" s="1402"/>
      <c r="UPJ12" s="1402"/>
      <c r="UPK12" s="1402"/>
      <c r="UPL12" s="1402"/>
      <c r="UPM12" s="1402"/>
      <c r="UPN12" s="1402"/>
      <c r="UPO12" s="1402"/>
      <c r="UPP12" s="1402"/>
      <c r="UPQ12" s="1402"/>
      <c r="UPR12" s="1402"/>
      <c r="UPS12" s="1402"/>
      <c r="UPT12" s="1402"/>
      <c r="UPU12" s="1402"/>
      <c r="UPV12" s="1402"/>
      <c r="UPW12" s="1402"/>
      <c r="UPX12" s="1402"/>
      <c r="UPY12" s="1402"/>
      <c r="UPZ12" s="1402"/>
      <c r="UQA12" s="1402"/>
      <c r="UQB12" s="1402"/>
      <c r="UQC12" s="1402"/>
      <c r="UQD12" s="1402"/>
      <c r="UQE12" s="1402"/>
      <c r="UQF12" s="1402"/>
      <c r="UQG12" s="1402"/>
      <c r="UQH12" s="1402"/>
      <c r="UQI12" s="1402"/>
      <c r="UQJ12" s="1402"/>
      <c r="UQK12" s="1402"/>
      <c r="UQL12" s="1402"/>
      <c r="UQM12" s="1402"/>
      <c r="UQN12" s="1402"/>
      <c r="UQO12" s="1402"/>
      <c r="UQP12" s="1402"/>
      <c r="UQQ12" s="1402"/>
      <c r="UQR12" s="1402"/>
      <c r="UQS12" s="1402"/>
      <c r="UQT12" s="1402"/>
      <c r="UQU12" s="1402"/>
      <c r="UQV12" s="1402"/>
      <c r="UQW12" s="1402"/>
      <c r="UQX12" s="1402"/>
      <c r="UQY12" s="1402"/>
      <c r="UQZ12" s="1402"/>
      <c r="URA12" s="1402"/>
      <c r="URB12" s="1402"/>
      <c r="URC12" s="1402"/>
      <c r="URD12" s="1402"/>
      <c r="URE12" s="1402"/>
      <c r="URF12" s="1402"/>
      <c r="URG12" s="1402"/>
      <c r="URH12" s="1402"/>
      <c r="URI12" s="1402"/>
      <c r="URJ12" s="1402"/>
      <c r="URK12" s="1402"/>
      <c r="URL12" s="1402"/>
      <c r="URM12" s="1402"/>
      <c r="URN12" s="1402"/>
      <c r="URO12" s="1402"/>
      <c r="URP12" s="1402"/>
      <c r="URQ12" s="1402"/>
      <c r="URR12" s="1402"/>
      <c r="URS12" s="1402"/>
      <c r="URT12" s="1402"/>
      <c r="URU12" s="1402"/>
      <c r="URV12" s="1402"/>
      <c r="URW12" s="1402"/>
      <c r="URX12" s="1402"/>
      <c r="URY12" s="1402"/>
      <c r="URZ12" s="1402"/>
      <c r="USA12" s="1402"/>
      <c r="USB12" s="1402"/>
      <c r="USC12" s="1402"/>
      <c r="USD12" s="1402"/>
      <c r="USE12" s="1402"/>
      <c r="USF12" s="1402"/>
      <c r="USG12" s="1402"/>
      <c r="USH12" s="1402"/>
      <c r="USI12" s="1402"/>
      <c r="USJ12" s="1402"/>
      <c r="USK12" s="1402"/>
      <c r="USL12" s="1402"/>
      <c r="USM12" s="1402"/>
      <c r="USN12" s="1402"/>
      <c r="USO12" s="1402"/>
      <c r="USP12" s="1402"/>
      <c r="USQ12" s="1402"/>
      <c r="USR12" s="1402"/>
      <c r="USS12" s="1402"/>
      <c r="UST12" s="1402"/>
      <c r="USU12" s="1402"/>
      <c r="USV12" s="1402"/>
      <c r="USW12" s="1402"/>
      <c r="USX12" s="1402"/>
      <c r="USY12" s="1402"/>
      <c r="USZ12" s="1402"/>
      <c r="UTA12" s="1402"/>
      <c r="UTB12" s="1402"/>
      <c r="UTC12" s="1402"/>
      <c r="UTD12" s="1402"/>
      <c r="UTE12" s="1402"/>
      <c r="UTF12" s="1402"/>
      <c r="UTG12" s="1402"/>
      <c r="UTH12" s="1402"/>
      <c r="UTI12" s="1402"/>
      <c r="UTJ12" s="1402"/>
      <c r="UTK12" s="1402"/>
      <c r="UTL12" s="1402"/>
      <c r="UTM12" s="1402"/>
      <c r="UTN12" s="1402"/>
      <c r="UTO12" s="1402"/>
      <c r="UTP12" s="1402"/>
      <c r="UTQ12" s="1402"/>
      <c r="UTR12" s="1402"/>
      <c r="UTS12" s="1402"/>
      <c r="UTT12" s="1402"/>
      <c r="UTU12" s="1402"/>
      <c r="UTV12" s="1402"/>
      <c r="UTW12" s="1402"/>
      <c r="UTX12" s="1402"/>
      <c r="UTY12" s="1402"/>
      <c r="UTZ12" s="1402"/>
      <c r="UUA12" s="1402"/>
      <c r="UUB12" s="1402"/>
      <c r="UUC12" s="1402"/>
      <c r="UUD12" s="1402"/>
      <c r="UUE12" s="1402"/>
      <c r="UUF12" s="1402"/>
      <c r="UUG12" s="1402"/>
      <c r="UUH12" s="1402"/>
      <c r="UUI12" s="1402"/>
      <c r="UUJ12" s="1402"/>
      <c r="UUK12" s="1402"/>
      <c r="UUL12" s="1402"/>
      <c r="UUM12" s="1402"/>
      <c r="UUN12" s="1402"/>
      <c r="UUO12" s="1402"/>
      <c r="UUP12" s="1402"/>
      <c r="UUQ12" s="1402"/>
      <c r="UUR12" s="1402"/>
      <c r="UUS12" s="1402"/>
      <c r="UUT12" s="1402"/>
      <c r="UUU12" s="1402"/>
      <c r="UUV12" s="1402"/>
      <c r="UUW12" s="1402"/>
      <c r="UUX12" s="1402"/>
      <c r="UUY12" s="1402"/>
      <c r="UUZ12" s="1402"/>
      <c r="UVA12" s="1402"/>
      <c r="UVB12" s="1402"/>
      <c r="UVC12" s="1402"/>
      <c r="UVD12" s="1402"/>
      <c r="UVE12" s="1402"/>
      <c r="UVF12" s="1402"/>
      <c r="UVG12" s="1402"/>
      <c r="UVH12" s="1402"/>
      <c r="UVI12" s="1402"/>
      <c r="UVJ12" s="1402"/>
      <c r="UVK12" s="1402"/>
      <c r="UVL12" s="1402"/>
      <c r="UVM12" s="1402"/>
      <c r="UVN12" s="1402"/>
      <c r="UVO12" s="1402"/>
      <c r="UVP12" s="1402"/>
      <c r="UVQ12" s="1402"/>
      <c r="UVR12" s="1402"/>
      <c r="UVS12" s="1402"/>
      <c r="UVT12" s="1402"/>
      <c r="UVU12" s="1402"/>
      <c r="UVV12" s="1402"/>
      <c r="UVW12" s="1402"/>
      <c r="UVX12" s="1402"/>
      <c r="UVY12" s="1402"/>
      <c r="UVZ12" s="1402"/>
      <c r="UWA12" s="1402"/>
      <c r="UWB12" s="1402"/>
      <c r="UWC12" s="1402"/>
      <c r="UWD12" s="1402"/>
      <c r="UWE12" s="1402"/>
      <c r="UWF12" s="1402"/>
      <c r="UWG12" s="1402"/>
      <c r="UWH12" s="1402"/>
      <c r="UWI12" s="1402"/>
      <c r="UWJ12" s="1402"/>
      <c r="UWK12" s="1402"/>
      <c r="UWL12" s="1402"/>
      <c r="UWM12" s="1402"/>
      <c r="UWN12" s="1402"/>
      <c r="UWO12" s="1402"/>
      <c r="UWP12" s="1402"/>
      <c r="UWQ12" s="1402"/>
      <c r="UWR12" s="1402"/>
      <c r="UWS12" s="1402"/>
      <c r="UWT12" s="1402"/>
      <c r="UWU12" s="1402"/>
      <c r="UWV12" s="1402"/>
      <c r="UWW12" s="1402"/>
      <c r="UWX12" s="1402"/>
      <c r="UWY12" s="1402"/>
      <c r="UWZ12" s="1402"/>
      <c r="UXA12" s="1402"/>
      <c r="UXB12" s="1402"/>
      <c r="UXC12" s="1402"/>
      <c r="UXD12" s="1402"/>
      <c r="UXE12" s="1402"/>
      <c r="UXF12" s="1402"/>
      <c r="UXG12" s="1402"/>
      <c r="UXH12" s="1402"/>
      <c r="UXI12" s="1402"/>
      <c r="UXJ12" s="1402"/>
      <c r="UXK12" s="1402"/>
      <c r="UXL12" s="1402"/>
      <c r="UXM12" s="1402"/>
      <c r="UXN12" s="1402"/>
      <c r="UXO12" s="1402"/>
      <c r="UXP12" s="1402"/>
      <c r="UXQ12" s="1402"/>
      <c r="UXR12" s="1402"/>
      <c r="UXS12" s="1402"/>
      <c r="UXT12" s="1402"/>
      <c r="UXU12" s="1402"/>
      <c r="UXV12" s="1402"/>
      <c r="UXW12" s="1402"/>
      <c r="UXX12" s="1402"/>
      <c r="UXY12" s="1402"/>
      <c r="UXZ12" s="1402"/>
      <c r="UYA12" s="1402"/>
      <c r="UYB12" s="1402"/>
      <c r="UYC12" s="1402"/>
      <c r="UYD12" s="1402"/>
      <c r="UYE12" s="1402"/>
      <c r="UYF12" s="1402"/>
      <c r="UYG12" s="1402"/>
      <c r="UYH12" s="1402"/>
      <c r="UYI12" s="1402"/>
      <c r="UYJ12" s="1402"/>
      <c r="UYK12" s="1402"/>
      <c r="UYL12" s="1402"/>
      <c r="UYM12" s="1402"/>
      <c r="UYN12" s="1402"/>
      <c r="UYO12" s="1402"/>
      <c r="UYP12" s="1402"/>
      <c r="UYQ12" s="1402"/>
      <c r="UYR12" s="1402"/>
      <c r="UYS12" s="1402"/>
      <c r="UYT12" s="1402"/>
      <c r="UYU12" s="1402"/>
      <c r="UYV12" s="1402"/>
      <c r="UYW12" s="1402"/>
      <c r="UYX12" s="1402"/>
      <c r="UYY12" s="1402"/>
      <c r="UYZ12" s="1402"/>
      <c r="UZA12" s="1402"/>
      <c r="UZB12" s="1402"/>
      <c r="UZC12" s="1402"/>
      <c r="UZD12" s="1402"/>
      <c r="UZE12" s="1402"/>
      <c r="UZF12" s="1402"/>
      <c r="UZG12" s="1402"/>
      <c r="UZH12" s="1402"/>
      <c r="UZI12" s="1402"/>
      <c r="UZJ12" s="1402"/>
      <c r="UZK12" s="1402"/>
      <c r="UZL12" s="1402"/>
      <c r="UZM12" s="1402"/>
      <c r="UZN12" s="1402"/>
      <c r="UZO12" s="1402"/>
      <c r="UZP12" s="1402"/>
      <c r="UZQ12" s="1402"/>
      <c r="UZR12" s="1402"/>
      <c r="UZS12" s="1402"/>
      <c r="UZT12" s="1402"/>
      <c r="UZU12" s="1402"/>
      <c r="UZV12" s="1402"/>
      <c r="UZW12" s="1402"/>
      <c r="UZX12" s="1402"/>
      <c r="UZY12" s="1402"/>
      <c r="UZZ12" s="1402"/>
      <c r="VAA12" s="1402"/>
      <c r="VAB12" s="1402"/>
      <c r="VAC12" s="1402"/>
      <c r="VAD12" s="1402"/>
      <c r="VAE12" s="1402"/>
      <c r="VAF12" s="1402"/>
      <c r="VAG12" s="1402"/>
      <c r="VAH12" s="1402"/>
      <c r="VAI12" s="1402"/>
      <c r="VAJ12" s="1402"/>
      <c r="VAK12" s="1402"/>
      <c r="VAL12" s="1402"/>
      <c r="VAM12" s="1402"/>
      <c r="VAN12" s="1402"/>
      <c r="VAO12" s="1402"/>
      <c r="VAP12" s="1402"/>
      <c r="VAQ12" s="1402"/>
      <c r="VAR12" s="1402"/>
      <c r="VAS12" s="1402"/>
      <c r="VAT12" s="1402"/>
      <c r="VAU12" s="1402"/>
      <c r="VAV12" s="1402"/>
      <c r="VAW12" s="1402"/>
      <c r="VAX12" s="1402"/>
      <c r="VAY12" s="1402"/>
      <c r="VAZ12" s="1402"/>
      <c r="VBA12" s="1402"/>
      <c r="VBB12" s="1402"/>
      <c r="VBC12" s="1402"/>
      <c r="VBD12" s="1402"/>
      <c r="VBE12" s="1402"/>
      <c r="VBF12" s="1402"/>
      <c r="VBG12" s="1402"/>
      <c r="VBH12" s="1402"/>
      <c r="VBI12" s="1402"/>
      <c r="VBJ12" s="1402"/>
      <c r="VBK12" s="1402"/>
      <c r="VBL12" s="1402"/>
      <c r="VBM12" s="1402"/>
      <c r="VBN12" s="1402"/>
      <c r="VBO12" s="1402"/>
      <c r="VBP12" s="1402"/>
      <c r="VBQ12" s="1402"/>
      <c r="VBR12" s="1402"/>
      <c r="VBS12" s="1402"/>
      <c r="VBT12" s="1402"/>
      <c r="VBU12" s="1402"/>
      <c r="VBV12" s="1402"/>
      <c r="VBW12" s="1402"/>
      <c r="VBX12" s="1402"/>
      <c r="VBY12" s="1402"/>
      <c r="VBZ12" s="1402"/>
      <c r="VCA12" s="1402"/>
      <c r="VCB12" s="1402"/>
      <c r="VCC12" s="1402"/>
      <c r="VCD12" s="1402"/>
      <c r="VCE12" s="1402"/>
      <c r="VCF12" s="1402"/>
      <c r="VCG12" s="1402"/>
      <c r="VCH12" s="1402"/>
      <c r="VCI12" s="1402"/>
      <c r="VCJ12" s="1402"/>
      <c r="VCK12" s="1402"/>
      <c r="VCL12" s="1402"/>
      <c r="VCM12" s="1402"/>
      <c r="VCN12" s="1402"/>
      <c r="VCO12" s="1402"/>
      <c r="VCP12" s="1402"/>
      <c r="VCQ12" s="1402"/>
      <c r="VCR12" s="1402"/>
      <c r="VCS12" s="1402"/>
      <c r="VCT12" s="1402"/>
      <c r="VCU12" s="1402"/>
      <c r="VCV12" s="1402"/>
      <c r="VCW12" s="1402"/>
      <c r="VCX12" s="1402"/>
      <c r="VCY12" s="1402"/>
      <c r="VCZ12" s="1402"/>
      <c r="VDA12" s="1402"/>
      <c r="VDB12" s="1402"/>
      <c r="VDC12" s="1402"/>
      <c r="VDD12" s="1402"/>
      <c r="VDE12" s="1402"/>
      <c r="VDF12" s="1402"/>
      <c r="VDG12" s="1402"/>
      <c r="VDH12" s="1402"/>
      <c r="VDI12" s="1402"/>
      <c r="VDJ12" s="1402"/>
      <c r="VDK12" s="1402"/>
      <c r="VDL12" s="1402"/>
      <c r="VDM12" s="1402"/>
      <c r="VDN12" s="1402"/>
      <c r="VDO12" s="1402"/>
      <c r="VDP12" s="1402"/>
      <c r="VDQ12" s="1402"/>
      <c r="VDR12" s="1402"/>
      <c r="VDS12" s="1402"/>
      <c r="VDT12" s="1402"/>
      <c r="VDU12" s="1402"/>
      <c r="VDV12" s="1402"/>
      <c r="VDW12" s="1402"/>
      <c r="VDX12" s="1402"/>
      <c r="VDY12" s="1402"/>
      <c r="VDZ12" s="1402"/>
      <c r="VEA12" s="1402"/>
      <c r="VEB12" s="1402"/>
      <c r="VEC12" s="1402"/>
      <c r="VED12" s="1402"/>
      <c r="VEE12" s="1402"/>
      <c r="VEF12" s="1402"/>
      <c r="VEG12" s="1402"/>
      <c r="VEH12" s="1402"/>
      <c r="VEI12" s="1402"/>
      <c r="VEJ12" s="1402"/>
      <c r="VEK12" s="1402"/>
      <c r="VEL12" s="1402"/>
      <c r="VEM12" s="1402"/>
      <c r="VEN12" s="1402"/>
      <c r="VEO12" s="1402"/>
      <c r="VEP12" s="1402"/>
      <c r="VEQ12" s="1402"/>
      <c r="VER12" s="1402"/>
      <c r="VES12" s="1402"/>
      <c r="VET12" s="1402"/>
      <c r="VEU12" s="1402"/>
      <c r="VEV12" s="1402"/>
      <c r="VEW12" s="1402"/>
      <c r="VEX12" s="1402"/>
      <c r="VEY12" s="1402"/>
      <c r="VEZ12" s="1402"/>
      <c r="VFA12" s="1402"/>
      <c r="VFB12" s="1402"/>
      <c r="VFC12" s="1402"/>
      <c r="VFD12" s="1402"/>
      <c r="VFE12" s="1402"/>
      <c r="VFF12" s="1402"/>
      <c r="VFG12" s="1402"/>
      <c r="VFH12" s="1402"/>
      <c r="VFI12" s="1402"/>
      <c r="VFJ12" s="1402"/>
      <c r="VFK12" s="1402"/>
      <c r="VFL12" s="1402"/>
      <c r="VFM12" s="1402"/>
      <c r="VFN12" s="1402"/>
      <c r="VFO12" s="1402"/>
      <c r="VFP12" s="1402"/>
      <c r="VFQ12" s="1402"/>
      <c r="VFR12" s="1402"/>
      <c r="VFS12" s="1402"/>
      <c r="VFT12" s="1402"/>
      <c r="VFU12" s="1402"/>
      <c r="VFV12" s="1402"/>
      <c r="VFW12" s="1402"/>
      <c r="VFX12" s="1402"/>
      <c r="VFY12" s="1402"/>
      <c r="VFZ12" s="1402"/>
      <c r="VGA12" s="1402"/>
      <c r="VGB12" s="1402"/>
      <c r="VGC12" s="1402"/>
      <c r="VGD12" s="1402"/>
      <c r="VGE12" s="1402"/>
      <c r="VGF12" s="1402"/>
      <c r="VGG12" s="1402"/>
      <c r="VGH12" s="1402"/>
      <c r="VGI12" s="1402"/>
      <c r="VGJ12" s="1402"/>
      <c r="VGK12" s="1402"/>
      <c r="VGL12" s="1402"/>
      <c r="VGM12" s="1402"/>
      <c r="VGN12" s="1402"/>
      <c r="VGO12" s="1402"/>
      <c r="VGP12" s="1402"/>
      <c r="VGQ12" s="1402"/>
      <c r="VGR12" s="1402"/>
      <c r="VGS12" s="1402"/>
      <c r="VGT12" s="1402"/>
      <c r="VGU12" s="1402"/>
      <c r="VGV12" s="1402"/>
      <c r="VGW12" s="1402"/>
      <c r="VGX12" s="1402"/>
      <c r="VGY12" s="1402"/>
      <c r="VGZ12" s="1402"/>
      <c r="VHA12" s="1402"/>
      <c r="VHB12" s="1402"/>
      <c r="VHC12" s="1402"/>
      <c r="VHD12" s="1402"/>
      <c r="VHE12" s="1402"/>
      <c r="VHF12" s="1402"/>
      <c r="VHG12" s="1402"/>
      <c r="VHH12" s="1402"/>
      <c r="VHI12" s="1402"/>
      <c r="VHJ12" s="1402"/>
      <c r="VHK12" s="1402"/>
      <c r="VHL12" s="1402"/>
      <c r="VHM12" s="1402"/>
      <c r="VHN12" s="1402"/>
      <c r="VHO12" s="1402"/>
      <c r="VHP12" s="1402"/>
      <c r="VHQ12" s="1402"/>
      <c r="VHR12" s="1402"/>
      <c r="VHS12" s="1402"/>
      <c r="VHT12" s="1402"/>
      <c r="VHU12" s="1402"/>
      <c r="VHV12" s="1402"/>
      <c r="VHW12" s="1402"/>
      <c r="VHX12" s="1402"/>
      <c r="VHY12" s="1402"/>
      <c r="VHZ12" s="1402"/>
      <c r="VIA12" s="1402"/>
      <c r="VIB12" s="1402"/>
      <c r="VIC12" s="1402"/>
      <c r="VID12" s="1402"/>
      <c r="VIE12" s="1402"/>
      <c r="VIF12" s="1402"/>
      <c r="VIG12" s="1402"/>
      <c r="VIH12" s="1402"/>
      <c r="VII12" s="1402"/>
      <c r="VIJ12" s="1402"/>
      <c r="VIK12" s="1402"/>
      <c r="VIL12" s="1402"/>
      <c r="VIM12" s="1402"/>
      <c r="VIN12" s="1402"/>
      <c r="VIO12" s="1402"/>
      <c r="VIP12" s="1402"/>
      <c r="VIQ12" s="1402"/>
      <c r="VIR12" s="1402"/>
      <c r="VIS12" s="1402"/>
      <c r="VIT12" s="1402"/>
      <c r="VIU12" s="1402"/>
      <c r="VIV12" s="1402"/>
      <c r="VIW12" s="1402"/>
      <c r="VIX12" s="1402"/>
      <c r="VIY12" s="1402"/>
      <c r="VIZ12" s="1402"/>
      <c r="VJA12" s="1402"/>
      <c r="VJB12" s="1402"/>
      <c r="VJC12" s="1402"/>
      <c r="VJD12" s="1402"/>
      <c r="VJE12" s="1402"/>
      <c r="VJF12" s="1402"/>
      <c r="VJG12" s="1402"/>
      <c r="VJH12" s="1402"/>
      <c r="VJI12" s="1402"/>
      <c r="VJJ12" s="1402"/>
      <c r="VJK12" s="1402"/>
      <c r="VJL12" s="1402"/>
      <c r="VJM12" s="1402"/>
      <c r="VJN12" s="1402"/>
      <c r="VJO12" s="1402"/>
      <c r="VJP12" s="1402"/>
      <c r="VJQ12" s="1402"/>
      <c r="VJR12" s="1402"/>
      <c r="VJS12" s="1402"/>
      <c r="VJT12" s="1402"/>
      <c r="VJU12" s="1402"/>
      <c r="VJV12" s="1402"/>
      <c r="VJW12" s="1402"/>
      <c r="VJX12" s="1402"/>
      <c r="VJY12" s="1402"/>
      <c r="VJZ12" s="1402"/>
      <c r="VKA12" s="1402"/>
      <c r="VKB12" s="1402"/>
      <c r="VKC12" s="1402"/>
      <c r="VKD12" s="1402"/>
      <c r="VKE12" s="1402"/>
      <c r="VKF12" s="1402"/>
      <c r="VKG12" s="1402"/>
      <c r="VKH12" s="1402"/>
      <c r="VKI12" s="1402"/>
      <c r="VKJ12" s="1402"/>
      <c r="VKK12" s="1402"/>
      <c r="VKL12" s="1402"/>
      <c r="VKM12" s="1402"/>
      <c r="VKN12" s="1402"/>
      <c r="VKO12" s="1402"/>
      <c r="VKP12" s="1402"/>
      <c r="VKQ12" s="1402"/>
      <c r="VKR12" s="1402"/>
      <c r="VKS12" s="1402"/>
      <c r="VKT12" s="1402"/>
      <c r="VKU12" s="1402"/>
      <c r="VKV12" s="1402"/>
      <c r="VKW12" s="1402"/>
      <c r="VKX12" s="1402"/>
      <c r="VKY12" s="1402"/>
      <c r="VKZ12" s="1402"/>
      <c r="VLA12" s="1402"/>
      <c r="VLB12" s="1402"/>
      <c r="VLC12" s="1402"/>
      <c r="VLD12" s="1402"/>
      <c r="VLE12" s="1402"/>
      <c r="VLF12" s="1402"/>
      <c r="VLG12" s="1402"/>
      <c r="VLH12" s="1402"/>
      <c r="VLI12" s="1402"/>
      <c r="VLJ12" s="1402"/>
      <c r="VLK12" s="1402"/>
      <c r="VLL12" s="1402"/>
      <c r="VLM12" s="1402"/>
      <c r="VLN12" s="1402"/>
      <c r="VLO12" s="1402"/>
      <c r="VLP12" s="1402"/>
      <c r="VLQ12" s="1402"/>
      <c r="VLR12" s="1402"/>
      <c r="VLS12" s="1402"/>
      <c r="VLT12" s="1402"/>
      <c r="VLU12" s="1402"/>
      <c r="VLV12" s="1402"/>
      <c r="VLW12" s="1402"/>
      <c r="VLX12" s="1402"/>
      <c r="VLY12" s="1402"/>
      <c r="VLZ12" s="1402"/>
      <c r="VMA12" s="1402"/>
      <c r="VMB12" s="1402"/>
      <c r="VMC12" s="1402"/>
      <c r="VMD12" s="1402"/>
      <c r="VME12" s="1402"/>
      <c r="VMF12" s="1402"/>
      <c r="VMG12" s="1402"/>
      <c r="VMH12" s="1402"/>
      <c r="VMI12" s="1402"/>
      <c r="VMJ12" s="1402"/>
      <c r="VMK12" s="1402"/>
      <c r="VML12" s="1402"/>
      <c r="VMM12" s="1402"/>
      <c r="VMN12" s="1402"/>
      <c r="VMO12" s="1402"/>
      <c r="VMP12" s="1402"/>
      <c r="VMQ12" s="1402"/>
      <c r="VMR12" s="1402"/>
      <c r="VMS12" s="1402"/>
      <c r="VMT12" s="1402"/>
      <c r="VMU12" s="1402"/>
      <c r="VMV12" s="1402"/>
      <c r="VMW12" s="1402"/>
      <c r="VMX12" s="1402"/>
      <c r="VMY12" s="1402"/>
      <c r="VMZ12" s="1402"/>
      <c r="VNA12" s="1402"/>
      <c r="VNB12" s="1402"/>
      <c r="VNC12" s="1402"/>
      <c r="VND12" s="1402"/>
      <c r="VNE12" s="1402"/>
      <c r="VNF12" s="1402"/>
      <c r="VNG12" s="1402"/>
      <c r="VNH12" s="1402"/>
      <c r="VNI12" s="1402"/>
      <c r="VNJ12" s="1402"/>
      <c r="VNK12" s="1402"/>
      <c r="VNL12" s="1402"/>
      <c r="VNM12" s="1402"/>
      <c r="VNN12" s="1402"/>
      <c r="VNO12" s="1402"/>
      <c r="VNP12" s="1402"/>
      <c r="VNQ12" s="1402"/>
      <c r="VNR12" s="1402"/>
      <c r="VNS12" s="1402"/>
      <c r="VNT12" s="1402"/>
      <c r="VNU12" s="1402"/>
      <c r="VNV12" s="1402"/>
      <c r="VNW12" s="1402"/>
      <c r="VNX12" s="1402"/>
      <c r="VNY12" s="1402"/>
      <c r="VNZ12" s="1402"/>
      <c r="VOA12" s="1402"/>
      <c r="VOB12" s="1402"/>
      <c r="VOC12" s="1402"/>
      <c r="VOD12" s="1402"/>
      <c r="VOE12" s="1402"/>
      <c r="VOF12" s="1402"/>
      <c r="VOG12" s="1402"/>
      <c r="VOH12" s="1402"/>
      <c r="VOI12" s="1402"/>
      <c r="VOJ12" s="1402"/>
      <c r="VOK12" s="1402"/>
      <c r="VOL12" s="1402"/>
      <c r="VOM12" s="1402"/>
      <c r="VON12" s="1402"/>
      <c r="VOO12" s="1402"/>
      <c r="VOP12" s="1402"/>
      <c r="VOQ12" s="1402"/>
      <c r="VOR12" s="1402"/>
      <c r="VOS12" s="1402"/>
      <c r="VOT12" s="1402"/>
      <c r="VOU12" s="1402"/>
      <c r="VOV12" s="1402"/>
      <c r="VOW12" s="1402"/>
      <c r="VOX12" s="1402"/>
      <c r="VOY12" s="1402"/>
      <c r="VOZ12" s="1402"/>
      <c r="VPA12" s="1402"/>
      <c r="VPB12" s="1402"/>
      <c r="VPC12" s="1402"/>
      <c r="VPD12" s="1402"/>
      <c r="VPE12" s="1402"/>
      <c r="VPF12" s="1402"/>
      <c r="VPG12" s="1402"/>
      <c r="VPH12" s="1402"/>
      <c r="VPI12" s="1402"/>
      <c r="VPJ12" s="1402"/>
      <c r="VPK12" s="1402"/>
      <c r="VPL12" s="1402"/>
      <c r="VPM12" s="1402"/>
      <c r="VPN12" s="1402"/>
      <c r="VPO12" s="1402"/>
      <c r="VPP12" s="1402"/>
      <c r="VPQ12" s="1402"/>
      <c r="VPR12" s="1402"/>
      <c r="VPS12" s="1402"/>
      <c r="VPT12" s="1402"/>
      <c r="VPU12" s="1402"/>
      <c r="VPV12" s="1402"/>
      <c r="VPW12" s="1402"/>
      <c r="VPX12" s="1402"/>
      <c r="VPY12" s="1402"/>
      <c r="VPZ12" s="1402"/>
      <c r="VQA12" s="1402"/>
      <c r="VQB12" s="1402"/>
      <c r="VQC12" s="1402"/>
      <c r="VQD12" s="1402"/>
      <c r="VQE12" s="1402"/>
      <c r="VQF12" s="1402"/>
      <c r="VQG12" s="1402"/>
      <c r="VQH12" s="1402"/>
      <c r="VQI12" s="1402"/>
      <c r="VQJ12" s="1402"/>
      <c r="VQK12" s="1402"/>
      <c r="VQL12" s="1402"/>
      <c r="VQM12" s="1402"/>
      <c r="VQN12" s="1402"/>
      <c r="VQO12" s="1402"/>
      <c r="VQP12" s="1402"/>
      <c r="VQQ12" s="1402"/>
      <c r="VQR12" s="1402"/>
      <c r="VQS12" s="1402"/>
      <c r="VQT12" s="1402"/>
      <c r="VQU12" s="1402"/>
      <c r="VQV12" s="1402"/>
      <c r="VQW12" s="1402"/>
      <c r="VQX12" s="1402"/>
      <c r="VQY12" s="1402"/>
      <c r="VQZ12" s="1402"/>
      <c r="VRA12" s="1402"/>
      <c r="VRB12" s="1402"/>
      <c r="VRC12" s="1402"/>
      <c r="VRD12" s="1402"/>
      <c r="VRE12" s="1402"/>
      <c r="VRF12" s="1402"/>
      <c r="VRG12" s="1402"/>
      <c r="VRH12" s="1402"/>
      <c r="VRI12" s="1402"/>
      <c r="VRJ12" s="1402"/>
      <c r="VRK12" s="1402"/>
      <c r="VRL12" s="1402"/>
      <c r="VRM12" s="1402"/>
      <c r="VRN12" s="1402"/>
      <c r="VRO12" s="1402"/>
      <c r="VRP12" s="1402"/>
      <c r="VRQ12" s="1402"/>
      <c r="VRR12" s="1402"/>
      <c r="VRS12" s="1402"/>
      <c r="VRT12" s="1402"/>
      <c r="VRU12" s="1402"/>
      <c r="VRV12" s="1402"/>
      <c r="VRW12" s="1402"/>
      <c r="VRX12" s="1402"/>
      <c r="VRY12" s="1402"/>
      <c r="VRZ12" s="1402"/>
      <c r="VSA12" s="1402"/>
      <c r="VSB12" s="1402"/>
      <c r="VSC12" s="1402"/>
      <c r="VSD12" s="1402"/>
      <c r="VSE12" s="1402"/>
      <c r="VSF12" s="1402"/>
      <c r="VSG12" s="1402"/>
      <c r="VSH12" s="1402"/>
      <c r="VSI12" s="1402"/>
      <c r="VSJ12" s="1402"/>
      <c r="VSK12" s="1402"/>
      <c r="VSL12" s="1402"/>
      <c r="VSM12" s="1402"/>
      <c r="VSN12" s="1402"/>
      <c r="VSO12" s="1402"/>
      <c r="VSP12" s="1402"/>
      <c r="VSQ12" s="1402"/>
      <c r="VSR12" s="1402"/>
      <c r="VSS12" s="1402"/>
      <c r="VST12" s="1402"/>
      <c r="VSU12" s="1402"/>
      <c r="VSV12" s="1402"/>
      <c r="VSW12" s="1402"/>
      <c r="VSX12" s="1402"/>
      <c r="VSY12" s="1402"/>
      <c r="VSZ12" s="1402"/>
      <c r="VTA12" s="1402"/>
      <c r="VTB12" s="1402"/>
      <c r="VTC12" s="1402"/>
      <c r="VTD12" s="1402"/>
      <c r="VTE12" s="1402"/>
      <c r="VTF12" s="1402"/>
      <c r="VTG12" s="1402"/>
      <c r="VTH12" s="1402"/>
      <c r="VTI12" s="1402"/>
      <c r="VTJ12" s="1402"/>
      <c r="VTK12" s="1402"/>
      <c r="VTL12" s="1402"/>
      <c r="VTM12" s="1402"/>
      <c r="VTN12" s="1402"/>
      <c r="VTO12" s="1402"/>
      <c r="VTP12" s="1402"/>
      <c r="VTQ12" s="1402"/>
      <c r="VTR12" s="1402"/>
      <c r="VTS12" s="1402"/>
      <c r="VTT12" s="1402"/>
      <c r="VTU12" s="1402"/>
      <c r="VTV12" s="1402"/>
      <c r="VTW12" s="1402"/>
      <c r="VTX12" s="1402"/>
      <c r="VTY12" s="1402"/>
      <c r="VTZ12" s="1402"/>
      <c r="VUA12" s="1402"/>
      <c r="VUB12" s="1402"/>
      <c r="VUC12" s="1402"/>
      <c r="VUD12" s="1402"/>
      <c r="VUE12" s="1402"/>
      <c r="VUF12" s="1402"/>
      <c r="VUG12" s="1402"/>
      <c r="VUH12" s="1402"/>
      <c r="VUI12" s="1402"/>
      <c r="VUJ12" s="1402"/>
      <c r="VUK12" s="1402"/>
      <c r="VUL12" s="1402"/>
      <c r="VUM12" s="1402"/>
      <c r="VUN12" s="1402"/>
      <c r="VUO12" s="1402"/>
      <c r="VUP12" s="1402"/>
      <c r="VUQ12" s="1402"/>
      <c r="VUR12" s="1402"/>
      <c r="VUS12" s="1402"/>
      <c r="VUT12" s="1402"/>
      <c r="VUU12" s="1402"/>
      <c r="VUV12" s="1402"/>
      <c r="VUW12" s="1402"/>
      <c r="VUX12" s="1402"/>
      <c r="VUY12" s="1402"/>
      <c r="VUZ12" s="1402"/>
      <c r="VVA12" s="1402"/>
      <c r="VVB12" s="1402"/>
      <c r="VVC12" s="1402"/>
      <c r="VVD12" s="1402"/>
      <c r="VVE12" s="1402"/>
      <c r="VVF12" s="1402"/>
      <c r="VVG12" s="1402"/>
      <c r="VVH12" s="1402"/>
      <c r="VVI12" s="1402"/>
      <c r="VVJ12" s="1402"/>
      <c r="VVK12" s="1402"/>
      <c r="VVL12" s="1402"/>
      <c r="VVM12" s="1402"/>
      <c r="VVN12" s="1402"/>
      <c r="VVO12" s="1402"/>
      <c r="VVP12" s="1402"/>
      <c r="VVQ12" s="1402"/>
      <c r="VVR12" s="1402"/>
      <c r="VVS12" s="1402"/>
      <c r="VVT12" s="1402"/>
      <c r="VVU12" s="1402"/>
      <c r="VVV12" s="1402"/>
      <c r="VVW12" s="1402"/>
      <c r="VVX12" s="1402"/>
      <c r="VVY12" s="1402"/>
      <c r="VVZ12" s="1402"/>
      <c r="VWA12" s="1402"/>
      <c r="VWB12" s="1402"/>
      <c r="VWC12" s="1402"/>
      <c r="VWD12" s="1402"/>
      <c r="VWE12" s="1402"/>
      <c r="VWF12" s="1402"/>
      <c r="VWG12" s="1402"/>
      <c r="VWH12" s="1402"/>
      <c r="VWI12" s="1402"/>
      <c r="VWJ12" s="1402"/>
      <c r="VWK12" s="1402"/>
      <c r="VWL12" s="1402"/>
      <c r="VWM12" s="1402"/>
      <c r="VWN12" s="1402"/>
      <c r="VWO12" s="1402"/>
      <c r="VWP12" s="1402"/>
      <c r="VWQ12" s="1402"/>
      <c r="VWR12" s="1402"/>
      <c r="VWS12" s="1402"/>
      <c r="VWT12" s="1402"/>
      <c r="VWU12" s="1402"/>
      <c r="VWV12" s="1402"/>
      <c r="VWW12" s="1402"/>
      <c r="VWX12" s="1402"/>
      <c r="VWY12" s="1402"/>
      <c r="VWZ12" s="1402"/>
      <c r="VXA12" s="1402"/>
      <c r="VXB12" s="1402"/>
      <c r="VXC12" s="1402"/>
      <c r="VXD12" s="1402"/>
      <c r="VXE12" s="1402"/>
      <c r="VXF12" s="1402"/>
      <c r="VXG12" s="1402"/>
      <c r="VXH12" s="1402"/>
      <c r="VXI12" s="1402"/>
      <c r="VXJ12" s="1402"/>
      <c r="VXK12" s="1402"/>
      <c r="VXL12" s="1402"/>
      <c r="VXM12" s="1402"/>
      <c r="VXN12" s="1402"/>
      <c r="VXO12" s="1402"/>
      <c r="VXP12" s="1402"/>
      <c r="VXQ12" s="1402"/>
      <c r="VXR12" s="1402"/>
      <c r="VXS12" s="1402"/>
      <c r="VXT12" s="1402"/>
      <c r="VXU12" s="1402"/>
      <c r="VXV12" s="1402"/>
      <c r="VXW12" s="1402"/>
      <c r="VXX12" s="1402"/>
      <c r="VXY12" s="1402"/>
      <c r="VXZ12" s="1402"/>
      <c r="VYA12" s="1402"/>
      <c r="VYB12" s="1402"/>
      <c r="VYC12" s="1402"/>
      <c r="VYD12" s="1402"/>
      <c r="VYE12" s="1402"/>
      <c r="VYF12" s="1402"/>
      <c r="VYG12" s="1402"/>
      <c r="VYH12" s="1402"/>
      <c r="VYI12" s="1402"/>
      <c r="VYJ12" s="1402"/>
      <c r="VYK12" s="1402"/>
      <c r="VYL12" s="1402"/>
      <c r="VYM12" s="1402"/>
      <c r="VYN12" s="1402"/>
      <c r="VYO12" s="1402"/>
      <c r="VYP12" s="1402"/>
      <c r="VYQ12" s="1402"/>
      <c r="VYR12" s="1402"/>
      <c r="VYS12" s="1402"/>
      <c r="VYT12" s="1402"/>
      <c r="VYU12" s="1402"/>
      <c r="VYV12" s="1402"/>
      <c r="VYW12" s="1402"/>
      <c r="VYX12" s="1402"/>
      <c r="VYY12" s="1402"/>
      <c r="VYZ12" s="1402"/>
      <c r="VZA12" s="1402"/>
      <c r="VZB12" s="1402"/>
      <c r="VZC12" s="1402"/>
      <c r="VZD12" s="1402"/>
      <c r="VZE12" s="1402"/>
      <c r="VZF12" s="1402"/>
      <c r="VZG12" s="1402"/>
      <c r="VZH12" s="1402"/>
      <c r="VZI12" s="1402"/>
      <c r="VZJ12" s="1402"/>
      <c r="VZK12" s="1402"/>
      <c r="VZL12" s="1402"/>
      <c r="VZM12" s="1402"/>
      <c r="VZN12" s="1402"/>
      <c r="VZO12" s="1402"/>
      <c r="VZP12" s="1402"/>
      <c r="VZQ12" s="1402"/>
      <c r="VZR12" s="1402"/>
      <c r="VZS12" s="1402"/>
      <c r="VZT12" s="1402"/>
      <c r="VZU12" s="1402"/>
      <c r="VZV12" s="1402"/>
      <c r="VZW12" s="1402"/>
      <c r="VZX12" s="1402"/>
      <c r="VZY12" s="1402"/>
      <c r="VZZ12" s="1402"/>
      <c r="WAA12" s="1402"/>
      <c r="WAB12" s="1402"/>
      <c r="WAC12" s="1402"/>
      <c r="WAD12" s="1402"/>
      <c r="WAE12" s="1402"/>
      <c r="WAF12" s="1402"/>
      <c r="WAG12" s="1402"/>
      <c r="WAH12" s="1402"/>
      <c r="WAI12" s="1402"/>
      <c r="WAJ12" s="1402"/>
      <c r="WAK12" s="1402"/>
      <c r="WAL12" s="1402"/>
      <c r="WAM12" s="1402"/>
      <c r="WAN12" s="1402"/>
      <c r="WAO12" s="1402"/>
      <c r="WAP12" s="1402"/>
      <c r="WAQ12" s="1402"/>
      <c r="WAR12" s="1402"/>
      <c r="WAS12" s="1402"/>
      <c r="WAT12" s="1402"/>
      <c r="WAU12" s="1402"/>
      <c r="WAV12" s="1402"/>
      <c r="WAW12" s="1402"/>
      <c r="WAX12" s="1402"/>
      <c r="WAY12" s="1402"/>
      <c r="WAZ12" s="1402"/>
      <c r="WBA12" s="1402"/>
      <c r="WBB12" s="1402"/>
      <c r="WBC12" s="1402"/>
      <c r="WBD12" s="1402"/>
      <c r="WBE12" s="1402"/>
      <c r="WBF12" s="1402"/>
      <c r="WBG12" s="1402"/>
      <c r="WBH12" s="1402"/>
      <c r="WBI12" s="1402"/>
      <c r="WBJ12" s="1402"/>
      <c r="WBK12" s="1402"/>
      <c r="WBL12" s="1402"/>
      <c r="WBM12" s="1402"/>
      <c r="WBN12" s="1402"/>
      <c r="WBO12" s="1402"/>
      <c r="WBP12" s="1402"/>
      <c r="WBQ12" s="1402"/>
      <c r="WBR12" s="1402"/>
      <c r="WBS12" s="1402"/>
      <c r="WBT12" s="1402"/>
      <c r="WBU12" s="1402"/>
      <c r="WBV12" s="1402"/>
      <c r="WBW12" s="1402"/>
      <c r="WBX12" s="1402"/>
      <c r="WBY12" s="1402"/>
      <c r="WBZ12" s="1402"/>
      <c r="WCA12" s="1402"/>
      <c r="WCB12" s="1402"/>
      <c r="WCC12" s="1402"/>
      <c r="WCD12" s="1402"/>
      <c r="WCE12" s="1402"/>
      <c r="WCF12" s="1402"/>
      <c r="WCG12" s="1402"/>
      <c r="WCH12" s="1402"/>
      <c r="WCI12" s="1402"/>
      <c r="WCJ12" s="1402"/>
      <c r="WCK12" s="1402"/>
      <c r="WCL12" s="1402"/>
      <c r="WCM12" s="1402"/>
      <c r="WCN12" s="1402"/>
      <c r="WCO12" s="1402"/>
      <c r="WCP12" s="1402"/>
      <c r="WCQ12" s="1402"/>
      <c r="WCR12" s="1402"/>
      <c r="WCS12" s="1402"/>
      <c r="WCT12" s="1402"/>
      <c r="WCU12" s="1402"/>
      <c r="WCV12" s="1402"/>
      <c r="WCW12" s="1402"/>
      <c r="WCX12" s="1402"/>
      <c r="WCY12" s="1402"/>
      <c r="WCZ12" s="1402"/>
      <c r="WDA12" s="1402"/>
      <c r="WDB12" s="1402"/>
      <c r="WDC12" s="1402"/>
      <c r="WDD12" s="1402"/>
      <c r="WDE12" s="1402"/>
      <c r="WDF12" s="1402"/>
      <c r="WDG12" s="1402"/>
      <c r="WDH12" s="1402"/>
      <c r="WDI12" s="1402"/>
      <c r="WDJ12" s="1402"/>
      <c r="WDK12" s="1402"/>
      <c r="WDL12" s="1402"/>
      <c r="WDM12" s="1402"/>
      <c r="WDN12" s="1402"/>
      <c r="WDO12" s="1402"/>
      <c r="WDP12" s="1402"/>
      <c r="WDQ12" s="1402"/>
      <c r="WDR12" s="1402"/>
      <c r="WDS12" s="1402"/>
      <c r="WDT12" s="1402"/>
      <c r="WDU12" s="1402"/>
      <c r="WDV12" s="1402"/>
      <c r="WDW12" s="1402"/>
      <c r="WDX12" s="1402"/>
      <c r="WDY12" s="1402"/>
      <c r="WDZ12" s="1402"/>
      <c r="WEA12" s="1402"/>
      <c r="WEB12" s="1402"/>
      <c r="WEC12" s="1402"/>
      <c r="WED12" s="1402"/>
      <c r="WEE12" s="1402"/>
      <c r="WEF12" s="1402"/>
      <c r="WEG12" s="1402"/>
      <c r="WEH12" s="1402"/>
      <c r="WEI12" s="1402"/>
      <c r="WEJ12" s="1402"/>
      <c r="WEK12" s="1402"/>
      <c r="WEL12" s="1402"/>
      <c r="WEM12" s="1402"/>
      <c r="WEN12" s="1402"/>
      <c r="WEO12" s="1402"/>
      <c r="WEP12" s="1402"/>
      <c r="WEQ12" s="1402"/>
      <c r="WER12" s="1402"/>
      <c r="WES12" s="1402"/>
      <c r="WET12" s="1402"/>
      <c r="WEU12" s="1402"/>
      <c r="WEV12" s="1402"/>
      <c r="WEW12" s="1402"/>
      <c r="WEX12" s="1402"/>
      <c r="WEY12" s="1402"/>
      <c r="WEZ12" s="1402"/>
      <c r="WFA12" s="1402"/>
      <c r="WFB12" s="1402"/>
      <c r="WFC12" s="1402"/>
      <c r="WFD12" s="1402"/>
      <c r="WFE12" s="1402"/>
      <c r="WFF12" s="1402"/>
      <c r="WFG12" s="1402"/>
      <c r="WFH12" s="1402"/>
      <c r="WFI12" s="1402"/>
      <c r="WFJ12" s="1402"/>
      <c r="WFK12" s="1402"/>
      <c r="WFL12" s="1402"/>
      <c r="WFM12" s="1402"/>
      <c r="WFN12" s="1402"/>
      <c r="WFO12" s="1402"/>
      <c r="WFP12" s="1402"/>
      <c r="WFQ12" s="1402"/>
      <c r="WFR12" s="1402"/>
      <c r="WFS12" s="1402"/>
      <c r="WFT12" s="1402"/>
      <c r="WFU12" s="1402"/>
      <c r="WFV12" s="1402"/>
      <c r="WFW12" s="1402"/>
      <c r="WFX12" s="1402"/>
      <c r="WFY12" s="1402"/>
      <c r="WFZ12" s="1402"/>
      <c r="WGA12" s="1402"/>
      <c r="WGB12" s="1402"/>
      <c r="WGC12" s="1402"/>
      <c r="WGD12" s="1402"/>
      <c r="WGE12" s="1402"/>
      <c r="WGF12" s="1402"/>
      <c r="WGG12" s="1402"/>
      <c r="WGH12" s="1402"/>
      <c r="WGI12" s="1402"/>
      <c r="WGJ12" s="1402"/>
      <c r="WGK12" s="1402"/>
      <c r="WGL12" s="1402"/>
      <c r="WGM12" s="1402"/>
      <c r="WGN12" s="1402"/>
      <c r="WGO12" s="1402"/>
      <c r="WGP12" s="1402"/>
      <c r="WGQ12" s="1402"/>
      <c r="WGR12" s="1402"/>
      <c r="WGS12" s="1402"/>
      <c r="WGT12" s="1402"/>
      <c r="WGU12" s="1402"/>
      <c r="WGV12" s="1402"/>
      <c r="WGW12" s="1402"/>
      <c r="WGX12" s="1402"/>
      <c r="WGY12" s="1402"/>
      <c r="WGZ12" s="1402"/>
      <c r="WHA12" s="1402"/>
      <c r="WHB12" s="1402"/>
      <c r="WHC12" s="1402"/>
      <c r="WHD12" s="1402"/>
      <c r="WHE12" s="1402"/>
      <c r="WHF12" s="1402"/>
      <c r="WHG12" s="1402"/>
      <c r="WHH12" s="1402"/>
      <c r="WHI12" s="1402"/>
      <c r="WHJ12" s="1402"/>
      <c r="WHK12" s="1402"/>
      <c r="WHL12" s="1402"/>
      <c r="WHM12" s="1402"/>
      <c r="WHN12" s="1402"/>
      <c r="WHO12" s="1402"/>
      <c r="WHP12" s="1402"/>
      <c r="WHQ12" s="1402"/>
      <c r="WHR12" s="1402"/>
      <c r="WHS12" s="1402"/>
      <c r="WHT12" s="1402"/>
      <c r="WHU12" s="1402"/>
      <c r="WHV12" s="1402"/>
      <c r="WHW12" s="1402"/>
      <c r="WHX12" s="1402"/>
      <c r="WHY12" s="1402"/>
      <c r="WHZ12" s="1402"/>
      <c r="WIA12" s="1402"/>
      <c r="WIB12" s="1402"/>
      <c r="WIC12" s="1402"/>
      <c r="WID12" s="1402"/>
      <c r="WIE12" s="1402"/>
      <c r="WIF12" s="1402"/>
      <c r="WIG12" s="1402"/>
      <c r="WIH12" s="1402"/>
      <c r="WII12" s="1402"/>
      <c r="WIJ12" s="1402"/>
      <c r="WIK12" s="1402"/>
      <c r="WIL12" s="1402"/>
      <c r="WIM12" s="1402"/>
      <c r="WIN12" s="1402"/>
      <c r="WIO12" s="1402"/>
      <c r="WIP12" s="1402"/>
      <c r="WIQ12" s="1402"/>
      <c r="WIR12" s="1402"/>
      <c r="WIS12" s="1402"/>
      <c r="WIT12" s="1402"/>
      <c r="WIU12" s="1402"/>
      <c r="WIV12" s="1402"/>
      <c r="WIW12" s="1402"/>
      <c r="WIX12" s="1402"/>
      <c r="WIY12" s="1402"/>
      <c r="WIZ12" s="1402"/>
      <c r="WJA12" s="1402"/>
      <c r="WJB12" s="1402"/>
      <c r="WJC12" s="1402"/>
      <c r="WJD12" s="1402"/>
      <c r="WJE12" s="1402"/>
      <c r="WJF12" s="1402"/>
      <c r="WJG12" s="1402"/>
      <c r="WJH12" s="1402"/>
      <c r="WJI12" s="1402"/>
      <c r="WJJ12" s="1402"/>
      <c r="WJK12" s="1402"/>
      <c r="WJL12" s="1402"/>
      <c r="WJM12" s="1402"/>
      <c r="WJN12" s="1402"/>
      <c r="WJO12" s="1402"/>
      <c r="WJP12" s="1402"/>
      <c r="WJQ12" s="1402"/>
      <c r="WJR12" s="1402"/>
      <c r="WJS12" s="1402"/>
      <c r="WJT12" s="1402"/>
      <c r="WJU12" s="1402"/>
      <c r="WJV12" s="1402"/>
      <c r="WJW12" s="1402"/>
      <c r="WJX12" s="1402"/>
      <c r="WJY12" s="1402"/>
      <c r="WJZ12" s="1402"/>
      <c r="WKA12" s="1402"/>
      <c r="WKB12" s="1402"/>
      <c r="WKC12" s="1402"/>
      <c r="WKD12" s="1402"/>
      <c r="WKE12" s="1402"/>
      <c r="WKF12" s="1402"/>
      <c r="WKG12" s="1402"/>
      <c r="WKH12" s="1402"/>
      <c r="WKI12" s="1402"/>
      <c r="WKJ12" s="1402"/>
      <c r="WKK12" s="1402"/>
      <c r="WKL12" s="1402"/>
      <c r="WKM12" s="1402"/>
      <c r="WKN12" s="1402"/>
      <c r="WKO12" s="1402"/>
      <c r="WKP12" s="1402"/>
      <c r="WKQ12" s="1402"/>
      <c r="WKR12" s="1402"/>
      <c r="WKS12" s="1402"/>
      <c r="WKT12" s="1402"/>
      <c r="WKU12" s="1402"/>
      <c r="WKV12" s="1402"/>
      <c r="WKW12" s="1402"/>
      <c r="WKX12" s="1402"/>
      <c r="WKY12" s="1402"/>
      <c r="WKZ12" s="1402"/>
      <c r="WLA12" s="1402"/>
      <c r="WLB12" s="1402"/>
      <c r="WLC12" s="1402"/>
      <c r="WLD12" s="1402"/>
      <c r="WLE12" s="1402"/>
      <c r="WLF12" s="1402"/>
      <c r="WLG12" s="1402"/>
      <c r="WLH12" s="1402"/>
      <c r="WLI12" s="1402"/>
      <c r="WLJ12" s="1402"/>
      <c r="WLK12" s="1402"/>
      <c r="WLL12" s="1402"/>
      <c r="WLM12" s="1402"/>
      <c r="WLN12" s="1402"/>
      <c r="WLO12" s="1402"/>
      <c r="WLP12" s="1402"/>
      <c r="WLQ12" s="1402"/>
      <c r="WLR12" s="1402"/>
      <c r="WLS12" s="1402"/>
      <c r="WLT12" s="1402"/>
      <c r="WLU12" s="1402"/>
      <c r="WLV12" s="1402"/>
      <c r="WLW12" s="1402"/>
      <c r="WLX12" s="1402"/>
      <c r="WLY12" s="1402"/>
      <c r="WLZ12" s="1402"/>
      <c r="WMA12" s="1402"/>
      <c r="WMB12" s="1402"/>
      <c r="WMC12" s="1402"/>
      <c r="WMD12" s="1402"/>
      <c r="WME12" s="1402"/>
      <c r="WMF12" s="1402"/>
      <c r="WMG12" s="1402"/>
      <c r="WMH12" s="1402"/>
      <c r="WMI12" s="1402"/>
      <c r="WMJ12" s="1402"/>
      <c r="WMK12" s="1402"/>
      <c r="WML12" s="1402"/>
      <c r="WMM12" s="1402"/>
      <c r="WMN12" s="1402"/>
      <c r="WMO12" s="1402"/>
      <c r="WMP12" s="1402"/>
      <c r="WMQ12" s="1402"/>
      <c r="WMR12" s="1402"/>
      <c r="WMS12" s="1402"/>
      <c r="WMT12" s="1402"/>
      <c r="WMU12" s="1402"/>
      <c r="WMV12" s="1402"/>
      <c r="WMW12" s="1402"/>
      <c r="WMX12" s="1402"/>
      <c r="WMY12" s="1402"/>
      <c r="WMZ12" s="1402"/>
      <c r="WNA12" s="1402"/>
      <c r="WNB12" s="1402"/>
      <c r="WNC12" s="1402"/>
      <c r="WND12" s="1402"/>
      <c r="WNE12" s="1402"/>
      <c r="WNF12" s="1402"/>
      <c r="WNG12" s="1402"/>
      <c r="WNH12" s="1402"/>
      <c r="WNI12" s="1402"/>
      <c r="WNJ12" s="1402"/>
      <c r="WNK12" s="1402"/>
      <c r="WNL12" s="1402"/>
      <c r="WNM12" s="1402"/>
      <c r="WNN12" s="1402"/>
      <c r="WNO12" s="1402"/>
      <c r="WNP12" s="1402"/>
      <c r="WNQ12" s="1402"/>
      <c r="WNR12" s="1402"/>
      <c r="WNS12" s="1402"/>
      <c r="WNT12" s="1402"/>
      <c r="WNU12" s="1402"/>
      <c r="WNV12" s="1402"/>
      <c r="WNW12" s="1402"/>
      <c r="WNX12" s="1402"/>
      <c r="WNY12" s="1402"/>
      <c r="WNZ12" s="1402"/>
      <c r="WOA12" s="1402"/>
      <c r="WOB12" s="1402"/>
      <c r="WOC12" s="1402"/>
      <c r="WOD12" s="1402"/>
      <c r="WOE12" s="1402"/>
      <c r="WOF12" s="1402"/>
      <c r="WOG12" s="1402"/>
      <c r="WOH12" s="1402"/>
      <c r="WOI12" s="1402"/>
      <c r="WOJ12" s="1402"/>
      <c r="WOK12" s="1402"/>
      <c r="WOL12" s="1402"/>
      <c r="WOM12" s="1402"/>
      <c r="WON12" s="1402"/>
      <c r="WOO12" s="1402"/>
      <c r="WOP12" s="1402"/>
      <c r="WOQ12" s="1402"/>
      <c r="WOR12" s="1402"/>
      <c r="WOS12" s="1402"/>
      <c r="WOT12" s="1402"/>
      <c r="WOU12" s="1402"/>
      <c r="WOV12" s="1402"/>
      <c r="WOW12" s="1402"/>
      <c r="WOX12" s="1402"/>
      <c r="WOY12" s="1402"/>
      <c r="WOZ12" s="1402"/>
      <c r="WPA12" s="1402"/>
      <c r="WPB12" s="1402"/>
      <c r="WPC12" s="1402"/>
      <c r="WPD12" s="1402"/>
      <c r="WPE12" s="1402"/>
      <c r="WPF12" s="1402"/>
      <c r="WPG12" s="1402"/>
      <c r="WPH12" s="1402"/>
      <c r="WPI12" s="1402"/>
      <c r="WPJ12" s="1402"/>
      <c r="WPK12" s="1402"/>
      <c r="WPL12" s="1402"/>
      <c r="WPM12" s="1402"/>
      <c r="WPN12" s="1402"/>
      <c r="WPO12" s="1402"/>
      <c r="WPP12" s="1402"/>
      <c r="WPQ12" s="1402"/>
      <c r="WPR12" s="1402"/>
      <c r="WPS12" s="1402"/>
      <c r="WPT12" s="1402"/>
      <c r="WPU12" s="1402"/>
      <c r="WPV12" s="1402"/>
      <c r="WPW12" s="1402"/>
      <c r="WPX12" s="1402"/>
      <c r="WPY12" s="1402"/>
      <c r="WPZ12" s="1402"/>
      <c r="WQA12" s="1402"/>
      <c r="WQB12" s="1402"/>
      <c r="WQC12" s="1402"/>
      <c r="WQD12" s="1402"/>
      <c r="WQE12" s="1402"/>
      <c r="WQF12" s="1402"/>
      <c r="WQG12" s="1402"/>
      <c r="WQH12" s="1402"/>
      <c r="WQI12" s="1402"/>
      <c r="WQJ12" s="1402"/>
      <c r="WQK12" s="1402"/>
      <c r="WQL12" s="1402"/>
      <c r="WQM12" s="1402"/>
      <c r="WQN12" s="1402"/>
      <c r="WQO12" s="1402"/>
      <c r="WQP12" s="1402"/>
      <c r="WQQ12" s="1402"/>
      <c r="WQR12" s="1402"/>
      <c r="WQS12" s="1402"/>
      <c r="WQT12" s="1402"/>
      <c r="WQU12" s="1402"/>
      <c r="WQV12" s="1402"/>
      <c r="WQW12" s="1402"/>
      <c r="WQX12" s="1402"/>
      <c r="WQY12" s="1402"/>
      <c r="WQZ12" s="1402"/>
      <c r="WRA12" s="1402"/>
      <c r="WRB12" s="1402"/>
      <c r="WRC12" s="1402"/>
      <c r="WRD12" s="1402"/>
      <c r="WRE12" s="1402"/>
      <c r="WRF12" s="1402"/>
      <c r="WRG12" s="1402"/>
      <c r="WRH12" s="1402"/>
      <c r="WRI12" s="1402"/>
      <c r="WRJ12" s="1402"/>
      <c r="WRK12" s="1402"/>
      <c r="WRL12" s="1402"/>
      <c r="WRM12" s="1402"/>
      <c r="WRN12" s="1402"/>
      <c r="WRO12" s="1402"/>
      <c r="WRP12" s="1402"/>
      <c r="WRQ12" s="1402"/>
      <c r="WRR12" s="1402"/>
      <c r="WRS12" s="1402"/>
      <c r="WRT12" s="1402"/>
      <c r="WRU12" s="1402"/>
      <c r="WRV12" s="1402"/>
      <c r="WRW12" s="1402"/>
      <c r="WRX12" s="1402"/>
      <c r="WRY12" s="1402"/>
      <c r="WRZ12" s="1402"/>
      <c r="WSA12" s="1402"/>
      <c r="WSB12" s="1402"/>
      <c r="WSC12" s="1402"/>
      <c r="WSD12" s="1402"/>
      <c r="WSE12" s="1402"/>
      <c r="WSF12" s="1402"/>
      <c r="WSG12" s="1402"/>
      <c r="WSH12" s="1402"/>
      <c r="WSI12" s="1402"/>
      <c r="WSJ12" s="1402"/>
      <c r="WSK12" s="1402"/>
      <c r="WSL12" s="1402"/>
      <c r="WSM12" s="1402"/>
      <c r="WSN12" s="1402"/>
      <c r="WSO12" s="1402"/>
      <c r="WSP12" s="1402"/>
      <c r="WSQ12" s="1402"/>
      <c r="WSR12" s="1402"/>
      <c r="WSS12" s="1402"/>
      <c r="WST12" s="1402"/>
      <c r="WSU12" s="1402"/>
      <c r="WSV12" s="1402"/>
      <c r="WSW12" s="1402"/>
      <c r="WSX12" s="1402"/>
      <c r="WSY12" s="1402"/>
      <c r="WSZ12" s="1402"/>
      <c r="WTA12" s="1402"/>
      <c r="WTB12" s="1402"/>
      <c r="WTC12" s="1402"/>
      <c r="WTD12" s="1402"/>
      <c r="WTE12" s="1402"/>
      <c r="WTF12" s="1402"/>
      <c r="WTG12" s="1402"/>
      <c r="WTH12" s="1402"/>
      <c r="WTI12" s="1402"/>
      <c r="WTJ12" s="1402"/>
      <c r="WTK12" s="1402"/>
      <c r="WTL12" s="1402"/>
      <c r="WTM12" s="1402"/>
      <c r="WTN12" s="1402"/>
      <c r="WTO12" s="1402"/>
      <c r="WTP12" s="1402"/>
      <c r="WTQ12" s="1402"/>
      <c r="WTR12" s="1402"/>
      <c r="WTS12" s="1402"/>
      <c r="WTT12" s="1402"/>
      <c r="WTU12" s="1402"/>
      <c r="WTV12" s="1402"/>
      <c r="WTW12" s="1402"/>
      <c r="WTX12" s="1402"/>
      <c r="WTY12" s="1402"/>
      <c r="WTZ12" s="1402"/>
      <c r="WUA12" s="1402"/>
      <c r="WUB12" s="1402"/>
      <c r="WUC12" s="1402"/>
      <c r="WUD12" s="1402"/>
      <c r="WUE12" s="1402"/>
      <c r="WUF12" s="1402"/>
      <c r="WUG12" s="1402"/>
      <c r="WUH12" s="1402"/>
      <c r="WUI12" s="1402"/>
      <c r="WUJ12" s="1402"/>
      <c r="WUK12" s="1402"/>
      <c r="WUL12" s="1402"/>
      <c r="WUM12" s="1402"/>
      <c r="WUN12" s="1402"/>
      <c r="WUO12" s="1402"/>
      <c r="WUP12" s="1402"/>
      <c r="WUQ12" s="1402"/>
      <c r="WUR12" s="1402"/>
      <c r="WUS12" s="1402"/>
      <c r="WUT12" s="1402"/>
      <c r="WUU12" s="1402"/>
      <c r="WUV12" s="1402"/>
      <c r="WUW12" s="1402"/>
      <c r="WUX12" s="1402"/>
      <c r="WUY12" s="1402"/>
      <c r="WUZ12" s="1402"/>
      <c r="WVA12" s="1402"/>
      <c r="WVB12" s="1402"/>
      <c r="WVC12" s="1402"/>
      <c r="WVD12" s="1402"/>
      <c r="WVE12" s="1402"/>
      <c r="WVF12" s="1402"/>
      <c r="WVG12" s="1402"/>
      <c r="WVH12" s="1402"/>
      <c r="WVI12" s="1402"/>
      <c r="WVJ12" s="1402"/>
      <c r="WVK12" s="1402"/>
      <c r="WVL12" s="1402"/>
      <c r="WVM12" s="1402"/>
      <c r="WVN12" s="1402"/>
      <c r="WVO12" s="1402"/>
      <c r="WVP12" s="1402"/>
      <c r="WVQ12" s="1402"/>
      <c r="WVR12" s="1402"/>
      <c r="WVS12" s="1402"/>
      <c r="WVT12" s="1402"/>
      <c r="WVU12" s="1402"/>
      <c r="WVV12" s="1402"/>
      <c r="WVW12" s="1402"/>
      <c r="WVX12" s="1402"/>
      <c r="WVY12" s="1402"/>
      <c r="WVZ12" s="1402"/>
      <c r="WWA12" s="1402"/>
      <c r="WWB12" s="1402"/>
      <c r="WWC12" s="1402"/>
      <c r="WWD12" s="1402"/>
      <c r="WWE12" s="1402"/>
      <c r="WWF12" s="1402"/>
      <c r="WWG12" s="1402"/>
      <c r="WWH12" s="1402"/>
      <c r="WWI12" s="1402"/>
      <c r="WWJ12" s="1402"/>
      <c r="WWK12" s="1402"/>
      <c r="WWL12" s="1402"/>
      <c r="WWM12" s="1402"/>
      <c r="WWN12" s="1402"/>
      <c r="WWO12" s="1402"/>
      <c r="WWP12" s="1402"/>
      <c r="WWQ12" s="1402"/>
      <c r="WWR12" s="1402"/>
      <c r="WWS12" s="1402"/>
      <c r="WWT12" s="1402"/>
      <c r="WWU12" s="1402"/>
      <c r="WWV12" s="1402"/>
      <c r="WWW12" s="1402"/>
      <c r="WWX12" s="1402"/>
      <c r="WWY12" s="1402"/>
      <c r="WWZ12" s="1402"/>
      <c r="WXA12" s="1402"/>
      <c r="WXB12" s="1402"/>
      <c r="WXC12" s="1402"/>
      <c r="WXD12" s="1402"/>
      <c r="WXE12" s="1402"/>
      <c r="WXF12" s="1402"/>
      <c r="WXG12" s="1402"/>
      <c r="WXH12" s="1402"/>
      <c r="WXI12" s="1402"/>
      <c r="WXJ12" s="1402"/>
      <c r="WXK12" s="1402"/>
      <c r="WXL12" s="1402"/>
      <c r="WXM12" s="1402"/>
      <c r="WXN12" s="1402"/>
      <c r="WXO12" s="1402"/>
      <c r="WXP12" s="1402"/>
      <c r="WXQ12" s="1402"/>
      <c r="WXR12" s="1402"/>
      <c r="WXS12" s="1402"/>
      <c r="WXT12" s="1402"/>
      <c r="WXU12" s="1402"/>
      <c r="WXV12" s="1402"/>
      <c r="WXW12" s="1402"/>
      <c r="WXX12" s="1402"/>
      <c r="WXY12" s="1402"/>
      <c r="WXZ12" s="1402"/>
      <c r="WYA12" s="1402"/>
      <c r="WYB12" s="1402"/>
      <c r="WYC12" s="1402"/>
      <c r="WYD12" s="1402"/>
      <c r="WYE12" s="1402"/>
      <c r="WYF12" s="1402"/>
      <c r="WYG12" s="1402"/>
      <c r="WYH12" s="1402"/>
      <c r="WYI12" s="1402"/>
      <c r="WYJ12" s="1402"/>
      <c r="WYK12" s="1402"/>
      <c r="WYL12" s="1402"/>
      <c r="WYM12" s="1402"/>
      <c r="WYN12" s="1402"/>
      <c r="WYO12" s="1402"/>
      <c r="WYP12" s="1402"/>
      <c r="WYQ12" s="1402"/>
      <c r="WYR12" s="1402"/>
      <c r="WYS12" s="1402"/>
      <c r="WYT12" s="1402"/>
      <c r="WYU12" s="1402"/>
      <c r="WYV12" s="1402"/>
      <c r="WYW12" s="1402"/>
      <c r="WYX12" s="1402"/>
      <c r="WYY12" s="1402"/>
      <c r="WYZ12" s="1402"/>
      <c r="WZA12" s="1402"/>
      <c r="WZB12" s="1402"/>
      <c r="WZC12" s="1402"/>
      <c r="WZD12" s="1402"/>
      <c r="WZE12" s="1402"/>
      <c r="WZF12" s="1402"/>
      <c r="WZG12" s="1402"/>
      <c r="WZH12" s="1402"/>
      <c r="WZI12" s="1402"/>
      <c r="WZJ12" s="1402"/>
      <c r="WZK12" s="1402"/>
      <c r="WZL12" s="1402"/>
      <c r="WZM12" s="1402"/>
      <c r="WZN12" s="1402"/>
      <c r="WZO12" s="1402"/>
      <c r="WZP12" s="1402"/>
      <c r="WZQ12" s="1402"/>
      <c r="WZR12" s="1402"/>
      <c r="WZS12" s="1402"/>
      <c r="WZT12" s="1402"/>
      <c r="WZU12" s="1402"/>
      <c r="WZV12" s="1402"/>
      <c r="WZW12" s="1402"/>
      <c r="WZX12" s="1402"/>
      <c r="WZY12" s="1402"/>
      <c r="WZZ12" s="1402"/>
      <c r="XAA12" s="1402"/>
      <c r="XAB12" s="1402"/>
      <c r="XAC12" s="1402"/>
      <c r="XAD12" s="1402"/>
      <c r="XAE12" s="1402"/>
      <c r="XAF12" s="1402"/>
      <c r="XAG12" s="1402"/>
      <c r="XAH12" s="1402"/>
      <c r="XAI12" s="1402"/>
      <c r="XAJ12" s="1402"/>
      <c r="XAK12" s="1402"/>
      <c r="XAL12" s="1402"/>
      <c r="XAM12" s="1402"/>
      <c r="XAN12" s="1402"/>
      <c r="XAO12" s="1402"/>
      <c r="XAP12" s="1402"/>
      <c r="XAQ12" s="1402"/>
      <c r="XAR12" s="1402"/>
      <c r="XAS12" s="1402"/>
      <c r="XAT12" s="1402"/>
      <c r="XAU12" s="1402"/>
      <c r="XAV12" s="1402"/>
      <c r="XAW12" s="1402"/>
      <c r="XAX12" s="1402"/>
      <c r="XAY12" s="1402"/>
      <c r="XAZ12" s="1402"/>
      <c r="XBA12" s="1402"/>
      <c r="XBB12" s="1402"/>
      <c r="XBC12" s="1402"/>
      <c r="XBD12" s="1402"/>
      <c r="XBE12" s="1402"/>
      <c r="XBF12" s="1402"/>
      <c r="XBG12" s="1402"/>
      <c r="XBH12" s="1402"/>
      <c r="XBI12" s="1402"/>
      <c r="XBJ12" s="1402"/>
      <c r="XBK12" s="1402"/>
      <c r="XBL12" s="1402"/>
      <c r="XBM12" s="1402"/>
      <c r="XBN12" s="1402"/>
      <c r="XBO12" s="1402"/>
      <c r="XBP12" s="1402"/>
      <c r="XBQ12" s="1402"/>
      <c r="XBR12" s="1402"/>
      <c r="XBS12" s="1402"/>
      <c r="XBT12" s="1402"/>
      <c r="XBU12" s="1402"/>
      <c r="XBV12" s="1402"/>
      <c r="XBW12" s="1402"/>
      <c r="XBX12" s="1402"/>
      <c r="XBY12" s="1402"/>
      <c r="XBZ12" s="1402"/>
      <c r="XCA12" s="1402"/>
      <c r="XCB12" s="1402"/>
      <c r="XCC12" s="1402"/>
      <c r="XCD12" s="1402"/>
      <c r="XCE12" s="1402"/>
      <c r="XCF12" s="1402"/>
      <c r="XCG12" s="1402"/>
      <c r="XCH12" s="1402"/>
      <c r="XCI12" s="1402"/>
      <c r="XCJ12" s="1402"/>
      <c r="XCK12" s="1402"/>
      <c r="XCL12" s="1402"/>
      <c r="XCM12" s="1402"/>
      <c r="XCN12" s="1402"/>
      <c r="XCO12" s="1402"/>
      <c r="XCP12" s="1402"/>
      <c r="XCQ12" s="1402"/>
      <c r="XCR12" s="1402"/>
      <c r="XCS12" s="1402"/>
      <c r="XCT12" s="1402"/>
      <c r="XCU12" s="1402"/>
      <c r="XCV12" s="1402"/>
      <c r="XCW12" s="1402"/>
      <c r="XCX12" s="1402"/>
      <c r="XCY12" s="1402"/>
      <c r="XCZ12" s="1402"/>
      <c r="XDA12" s="1402"/>
      <c r="XDB12" s="1402"/>
      <c r="XDC12" s="1402"/>
      <c r="XDD12" s="1402"/>
      <c r="XDE12" s="1402"/>
      <c r="XDF12" s="1402"/>
      <c r="XDG12" s="1402"/>
      <c r="XDH12" s="1402"/>
      <c r="XDI12" s="1402"/>
      <c r="XDJ12" s="1402"/>
      <c r="XDK12" s="1402"/>
      <c r="XDL12" s="1402"/>
      <c r="XDM12" s="1402"/>
      <c r="XDN12" s="1402"/>
      <c r="XDO12" s="1402"/>
      <c r="XDP12" s="1402"/>
      <c r="XDQ12" s="1402"/>
      <c r="XDR12" s="1402"/>
      <c r="XDS12" s="1402"/>
      <c r="XDT12" s="1402"/>
      <c r="XDU12" s="1402"/>
      <c r="XDV12" s="1402"/>
      <c r="XDW12" s="1402"/>
      <c r="XDX12" s="1402"/>
      <c r="XDY12" s="1402"/>
      <c r="XDZ12" s="1402"/>
      <c r="XEA12" s="1402"/>
      <c r="XEB12" s="1402"/>
      <c r="XEC12" s="1402"/>
      <c r="XED12" s="1402"/>
      <c r="XEE12" s="1402"/>
      <c r="XEF12" s="1402"/>
      <c r="XEG12" s="1402"/>
      <c r="XEH12" s="1402"/>
      <c r="XEI12" s="1402"/>
      <c r="XEJ12" s="1402"/>
      <c r="XEK12" s="1402"/>
      <c r="XEL12" s="1402"/>
      <c r="XEM12" s="1402"/>
      <c r="XEN12" s="1402"/>
      <c r="XEO12" s="1402"/>
      <c r="XEP12" s="1402"/>
      <c r="XEQ12" s="1402"/>
      <c r="XER12" s="1402"/>
      <c r="XES12" s="1402"/>
      <c r="XET12" s="1402"/>
      <c r="XEU12" s="1402"/>
      <c r="XEV12" s="1402"/>
      <c r="XEW12" s="1402"/>
      <c r="XEX12" s="1402"/>
      <c r="XEY12" s="1402"/>
      <c r="XEZ12" s="1402"/>
      <c r="XFA12" s="1402"/>
      <c r="XFB12" s="1402"/>
      <c r="XFC12" s="1402"/>
      <c r="XFD12" s="1402"/>
    </row>
    <row r="13" spans="1:16384" ht="28.5" customHeight="1" x14ac:dyDescent="0.2">
      <c r="A13" s="1407" t="s">
        <v>472</v>
      </c>
      <c r="B13" s="1407"/>
      <c r="C13" s="1407"/>
      <c r="D13" s="1407"/>
      <c r="E13" s="1407"/>
      <c r="F13" s="1407"/>
      <c r="G13" s="1407"/>
      <c r="H13" s="1407"/>
      <c r="I13" s="1407"/>
      <c r="J13" s="1407"/>
      <c r="K13" s="1407"/>
      <c r="L13" s="1407"/>
      <c r="M13" s="1407"/>
    </row>
    <row r="14" spans="1:16384" s="2" customFormat="1" ht="34.5" customHeight="1" x14ac:dyDescent="0.2">
      <c r="A14" s="1407"/>
      <c r="B14" s="1407"/>
      <c r="C14" s="1407"/>
      <c r="D14" s="1407"/>
      <c r="E14" s="1407"/>
      <c r="F14" s="1407"/>
      <c r="G14" s="1407"/>
      <c r="H14" s="1407"/>
      <c r="I14" s="1407"/>
      <c r="J14" s="1407"/>
      <c r="K14" s="1407"/>
      <c r="L14" s="1407"/>
      <c r="M14" s="1407"/>
      <c r="N14" s="265"/>
      <c r="O14" s="265"/>
    </row>
    <row r="15" spans="1:16384" s="2" customFormat="1" ht="11.25" customHeight="1" x14ac:dyDescent="0.2">
      <c r="A15" s="1111"/>
      <c r="B15" s="1111"/>
      <c r="C15" s="1111"/>
      <c r="D15" s="1111"/>
      <c r="E15" s="1111"/>
      <c r="F15" s="1111"/>
      <c r="G15" s="1111"/>
      <c r="H15" s="1111"/>
      <c r="I15" s="1111"/>
      <c r="J15" s="1111"/>
      <c r="K15" s="1111"/>
      <c r="L15" s="1111"/>
      <c r="M15" s="1111"/>
      <c r="N15" s="265"/>
      <c r="O15" s="265"/>
    </row>
    <row r="16" spans="1:16384" ht="27.75" customHeight="1" x14ac:dyDescent="0.2">
      <c r="A16" s="1405" t="s">
        <v>474</v>
      </c>
      <c r="B16" s="1405"/>
      <c r="C16" s="1405"/>
      <c r="D16" s="1405"/>
      <c r="E16" s="1405"/>
      <c r="F16" s="1405"/>
      <c r="G16" s="1405"/>
      <c r="H16" s="1405"/>
      <c r="I16" s="1405"/>
      <c r="J16" s="1405"/>
      <c r="K16" s="1405"/>
      <c r="L16" s="1405"/>
      <c r="M16" s="1405"/>
      <c r="N16" s="1405"/>
      <c r="O16" s="1405"/>
    </row>
    <row r="17" spans="1:13" x14ac:dyDescent="0.2">
      <c r="A17" s="12"/>
      <c r="B17" s="12"/>
      <c r="C17" s="12"/>
      <c r="D17" s="12"/>
      <c r="E17" s="12"/>
      <c r="F17" s="12"/>
      <c r="G17" s="12"/>
      <c r="H17" s="12"/>
      <c r="I17" s="12"/>
      <c r="J17" s="12"/>
      <c r="K17" s="12"/>
      <c r="L17" s="12"/>
      <c r="M17" s="12"/>
    </row>
    <row r="18" spans="1:13" ht="14.25" customHeight="1" x14ac:dyDescent="0.2">
      <c r="A18" s="1404" t="s">
        <v>5</v>
      </c>
      <c r="B18" s="1404"/>
      <c r="C18" s="1404"/>
      <c r="D18" s="1404"/>
      <c r="E18" s="1404"/>
      <c r="F18" s="1404"/>
      <c r="G18" s="1404"/>
      <c r="H18" s="1404"/>
      <c r="I18" s="1404"/>
      <c r="J18" s="1404"/>
      <c r="K18" s="1404"/>
      <c r="L18" s="1404"/>
      <c r="M18" s="12"/>
    </row>
    <row r="19" spans="1:13" x14ac:dyDescent="0.2">
      <c r="A19" s="12"/>
      <c r="B19" s="12"/>
      <c r="C19" s="12"/>
      <c r="D19" s="12"/>
      <c r="E19" s="12"/>
      <c r="F19" s="12"/>
      <c r="G19" s="12"/>
      <c r="H19" s="12"/>
      <c r="I19" s="12"/>
      <c r="J19" s="12"/>
      <c r="K19" s="12"/>
      <c r="L19" s="12"/>
      <c r="M19" s="12"/>
    </row>
    <row r="20" spans="1:13" x14ac:dyDescent="0.2">
      <c r="A20" s="13" t="s">
        <v>6</v>
      </c>
    </row>
    <row r="21" spans="1:13" x14ac:dyDescent="0.2">
      <c r="A21" t="s">
        <v>7</v>
      </c>
    </row>
    <row r="23" spans="1:13" x14ac:dyDescent="0.2">
      <c r="A23" s="761" t="s">
        <v>291</v>
      </c>
    </row>
    <row r="25" spans="1:13" x14ac:dyDescent="0.2">
      <c r="A25" s="13" t="s">
        <v>200</v>
      </c>
    </row>
    <row r="26" spans="1:13" x14ac:dyDescent="0.2">
      <c r="A26" s="14" t="s">
        <v>201</v>
      </c>
    </row>
    <row r="27" spans="1:13" x14ac:dyDescent="0.2">
      <c r="A27" s="14" t="s">
        <v>202</v>
      </c>
    </row>
    <row r="29" spans="1:13" x14ac:dyDescent="0.2">
      <c r="A29" s="1151" t="s">
        <v>406</v>
      </c>
    </row>
    <row r="30" spans="1:13" x14ac:dyDescent="0.2">
      <c r="A30" s="14" t="s">
        <v>8</v>
      </c>
    </row>
    <row r="32" spans="1:13" x14ac:dyDescent="0.2">
      <c r="A32" s="1151" t="s">
        <v>407</v>
      </c>
    </row>
    <row r="33" spans="1:15" x14ac:dyDescent="0.2">
      <c r="A33" s="1406" t="s">
        <v>9</v>
      </c>
      <c r="B33" s="1406"/>
      <c r="C33" s="1406"/>
      <c r="D33" s="1406"/>
      <c r="E33" s="1406"/>
      <c r="F33" s="1406"/>
      <c r="G33" s="1406"/>
      <c r="H33" s="1406"/>
      <c r="I33" s="1406"/>
      <c r="J33" s="1406"/>
      <c r="K33" s="1406"/>
      <c r="L33" s="1406"/>
      <c r="M33" s="1406"/>
      <c r="N33" s="1406"/>
      <c r="O33" s="1406"/>
    </row>
    <row r="34" spans="1:15" x14ac:dyDescent="0.2">
      <c r="A34" s="1406"/>
      <c r="B34" s="1406"/>
      <c r="C34" s="1406"/>
      <c r="D34" s="1406"/>
      <c r="E34" s="1406"/>
      <c r="F34" s="1406"/>
      <c r="G34" s="1406"/>
      <c r="H34" s="1406"/>
      <c r="I34" s="1406"/>
      <c r="J34" s="1406"/>
      <c r="K34" s="1406"/>
      <c r="L34" s="1406"/>
      <c r="M34" s="1406"/>
      <c r="N34" s="1406"/>
      <c r="O34" s="1406"/>
    </row>
    <row r="36" spans="1:15" x14ac:dyDescent="0.2">
      <c r="A36" s="956" t="s">
        <v>408</v>
      </c>
    </row>
    <row r="38" spans="1:15" x14ac:dyDescent="0.2">
      <c r="A38" s="956" t="s">
        <v>409</v>
      </c>
    </row>
    <row r="39" spans="1:15" x14ac:dyDescent="0.2">
      <c r="A39" t="s">
        <v>102</v>
      </c>
    </row>
    <row r="41" spans="1:15" s="179" customFormat="1" x14ac:dyDescent="0.2">
      <c r="A41" s="998" t="s">
        <v>410</v>
      </c>
    </row>
    <row r="42" spans="1:15" s="179" customFormat="1" x14ac:dyDescent="0.2">
      <c r="A42" s="179" t="s">
        <v>91</v>
      </c>
    </row>
    <row r="43" spans="1:15" s="179" customFormat="1" x14ac:dyDescent="0.2"/>
    <row r="44" spans="1:15" x14ac:dyDescent="0.2">
      <c r="A44" s="998" t="s">
        <v>411</v>
      </c>
    </row>
    <row r="45" spans="1:15" x14ac:dyDescent="0.2">
      <c r="A45" s="998"/>
      <c r="B45" s="1000" t="s">
        <v>370</v>
      </c>
      <c r="C45" s="956" t="s">
        <v>413</v>
      </c>
    </row>
    <row r="46" spans="1:15" x14ac:dyDescent="0.2">
      <c r="A46" s="998"/>
      <c r="B46" s="1000" t="s">
        <v>368</v>
      </c>
      <c r="C46" s="956" t="s">
        <v>371</v>
      </c>
    </row>
    <row r="47" spans="1:15" x14ac:dyDescent="0.2">
      <c r="A47" s="998"/>
      <c r="B47" s="1000" t="s">
        <v>369</v>
      </c>
      <c r="C47" s="956" t="s">
        <v>372</v>
      </c>
    </row>
    <row r="48" spans="1:15" x14ac:dyDescent="0.2">
      <c r="A48" s="998"/>
      <c r="B48" s="1000" t="s">
        <v>373</v>
      </c>
      <c r="C48" s="956" t="s">
        <v>414</v>
      </c>
    </row>
    <row r="49" spans="1:3" x14ac:dyDescent="0.2">
      <c r="A49" s="998"/>
      <c r="B49" s="1000" t="s">
        <v>374</v>
      </c>
      <c r="C49" s="956" t="s">
        <v>375</v>
      </c>
    </row>
    <row r="50" spans="1:3" x14ac:dyDescent="0.2">
      <c r="A50" s="998"/>
      <c r="B50" s="1000" t="s">
        <v>376</v>
      </c>
      <c r="C50" s="956" t="s">
        <v>415</v>
      </c>
    </row>
    <row r="51" spans="1:3" x14ac:dyDescent="0.2">
      <c r="A51" s="998"/>
      <c r="B51" s="1000" t="s">
        <v>377</v>
      </c>
      <c r="C51" s="956" t="s">
        <v>378</v>
      </c>
    </row>
    <row r="52" spans="1:3" x14ac:dyDescent="0.2">
      <c r="A52" s="998"/>
      <c r="B52" s="1000" t="s">
        <v>380</v>
      </c>
      <c r="C52" s="956" t="s">
        <v>379</v>
      </c>
    </row>
    <row r="53" spans="1:3" x14ac:dyDescent="0.2">
      <c r="A53" s="998"/>
      <c r="B53" s="1000" t="s">
        <v>381</v>
      </c>
      <c r="C53" s="956" t="s">
        <v>382</v>
      </c>
    </row>
    <row r="54" spans="1:3" x14ac:dyDescent="0.2">
      <c r="A54" s="998"/>
      <c r="B54" s="1000" t="s">
        <v>383</v>
      </c>
      <c r="C54" s="956" t="s">
        <v>384</v>
      </c>
    </row>
    <row r="56" spans="1:3" x14ac:dyDescent="0.2">
      <c r="A56" s="998" t="s">
        <v>412</v>
      </c>
    </row>
    <row r="57" spans="1:3" x14ac:dyDescent="0.2">
      <c r="A57" s="999" t="s">
        <v>367</v>
      </c>
      <c r="B57" s="956" t="s">
        <v>366</v>
      </c>
    </row>
    <row r="58" spans="1:3" x14ac:dyDescent="0.2">
      <c r="B58" s="956" t="s">
        <v>357</v>
      </c>
      <c r="C58" s="956" t="s">
        <v>221</v>
      </c>
    </row>
    <row r="59" spans="1:3" x14ac:dyDescent="0.2">
      <c r="C59" s="956" t="s">
        <v>219</v>
      </c>
    </row>
    <row r="60" spans="1:3" x14ac:dyDescent="0.2">
      <c r="C60" s="956" t="s">
        <v>358</v>
      </c>
    </row>
    <row r="61" spans="1:3" x14ac:dyDescent="0.2">
      <c r="B61" s="956" t="s">
        <v>359</v>
      </c>
    </row>
    <row r="62" spans="1:3" x14ac:dyDescent="0.2">
      <c r="B62" s="956"/>
    </row>
    <row r="63" spans="1:3" x14ac:dyDescent="0.2">
      <c r="A63" s="1000" t="s">
        <v>368</v>
      </c>
      <c r="B63" s="956" t="s">
        <v>365</v>
      </c>
    </row>
    <row r="64" spans="1:3" x14ac:dyDescent="0.2">
      <c r="A64" s="274"/>
      <c r="B64" s="956" t="s">
        <v>357</v>
      </c>
      <c r="C64" s="956" t="s">
        <v>221</v>
      </c>
    </row>
    <row r="65" spans="1:3" x14ac:dyDescent="0.2">
      <c r="A65" s="274"/>
      <c r="C65" s="956" t="s">
        <v>219</v>
      </c>
    </row>
    <row r="66" spans="1:3" x14ac:dyDescent="0.2">
      <c r="A66" s="274"/>
      <c r="B66" s="956" t="s">
        <v>360</v>
      </c>
    </row>
    <row r="67" spans="1:3" x14ac:dyDescent="0.2">
      <c r="A67" s="274"/>
    </row>
    <row r="68" spans="1:3" x14ac:dyDescent="0.2">
      <c r="A68" s="1000" t="s">
        <v>369</v>
      </c>
      <c r="B68" s="956" t="s">
        <v>361</v>
      </c>
    </row>
    <row r="69" spans="1:3" x14ac:dyDescent="0.2">
      <c r="A69" s="274"/>
      <c r="B69" s="956" t="s">
        <v>357</v>
      </c>
      <c r="C69" s="956" t="s">
        <v>362</v>
      </c>
    </row>
    <row r="70" spans="1:3" x14ac:dyDescent="0.2">
      <c r="C70" s="956" t="s">
        <v>363</v>
      </c>
    </row>
    <row r="71" spans="1:3" x14ac:dyDescent="0.2">
      <c r="B71" s="956" t="s">
        <v>364</v>
      </c>
    </row>
  </sheetData>
  <mergeCells count="1265">
    <mergeCell ref="B9:W10"/>
    <mergeCell ref="A18:L18"/>
    <mergeCell ref="A16:O16"/>
    <mergeCell ref="A33:O34"/>
    <mergeCell ref="A13:M14"/>
    <mergeCell ref="GN11:GZ12"/>
    <mergeCell ref="HA11:HM12"/>
    <mergeCell ref="HN11:HZ12"/>
    <mergeCell ref="IA11:IM12"/>
    <mergeCell ref="IN11:IZ12"/>
    <mergeCell ref="EA11:EM12"/>
    <mergeCell ref="EN11:EZ12"/>
    <mergeCell ref="FA11:FM12"/>
    <mergeCell ref="FN11:FZ12"/>
    <mergeCell ref="GA11:GM12"/>
    <mergeCell ref="BN11:BZ12"/>
    <mergeCell ref="CA11:CM12"/>
    <mergeCell ref="CN11:CZ12"/>
    <mergeCell ref="DA11:DM12"/>
    <mergeCell ref="DN11:DZ12"/>
    <mergeCell ref="A11:M12"/>
    <mergeCell ref="AA11:AM12"/>
    <mergeCell ref="AN11:AZ12"/>
    <mergeCell ref="BA11:BM12"/>
    <mergeCell ref="QN11:QZ12"/>
    <mergeCell ref="RA11:RM12"/>
    <mergeCell ref="RN11:RZ12"/>
    <mergeCell ref="SA11:SM12"/>
    <mergeCell ref="SN11:SZ12"/>
    <mergeCell ref="OA11:OM12"/>
    <mergeCell ref="ON11:OZ12"/>
    <mergeCell ref="PA11:PM12"/>
    <mergeCell ref="PN11:PZ12"/>
    <mergeCell ref="QA11:QM12"/>
    <mergeCell ref="LN11:LZ12"/>
    <mergeCell ref="MA11:MM12"/>
    <mergeCell ref="MN11:MZ12"/>
    <mergeCell ref="NA11:NM12"/>
    <mergeCell ref="NN11:NZ12"/>
    <mergeCell ref="JA11:JM12"/>
    <mergeCell ref="JN11:JZ12"/>
    <mergeCell ref="KA11:KM12"/>
    <mergeCell ref="KN11:KZ12"/>
    <mergeCell ref="LA11:LM12"/>
    <mergeCell ref="AAN11:AAZ12"/>
    <mergeCell ref="ABA11:ABM12"/>
    <mergeCell ref="ABN11:ABZ12"/>
    <mergeCell ref="ACA11:ACM12"/>
    <mergeCell ref="ACN11:ACZ12"/>
    <mergeCell ref="YA11:YM12"/>
    <mergeCell ref="YN11:YZ12"/>
    <mergeCell ref="ZA11:ZM12"/>
    <mergeCell ref="ZN11:ZZ12"/>
    <mergeCell ref="AAA11:AAM12"/>
    <mergeCell ref="VN11:VZ12"/>
    <mergeCell ref="WA11:WM12"/>
    <mergeCell ref="WN11:WZ12"/>
    <mergeCell ref="XA11:XM12"/>
    <mergeCell ref="XN11:XZ12"/>
    <mergeCell ref="TA11:TM12"/>
    <mergeCell ref="TN11:TZ12"/>
    <mergeCell ref="UA11:UM12"/>
    <mergeCell ref="UN11:UZ12"/>
    <mergeCell ref="VA11:VM12"/>
    <mergeCell ref="AKN11:AKZ12"/>
    <mergeCell ref="ALA11:ALM12"/>
    <mergeCell ref="ALN11:ALZ12"/>
    <mergeCell ref="AMA11:AMM12"/>
    <mergeCell ref="AMN11:AMZ12"/>
    <mergeCell ref="AIA11:AIM12"/>
    <mergeCell ref="AIN11:AIZ12"/>
    <mergeCell ref="AJA11:AJM12"/>
    <mergeCell ref="AJN11:AJZ12"/>
    <mergeCell ref="AKA11:AKM12"/>
    <mergeCell ref="AFN11:AFZ12"/>
    <mergeCell ref="AGA11:AGM12"/>
    <mergeCell ref="AGN11:AGZ12"/>
    <mergeCell ref="AHA11:AHM12"/>
    <mergeCell ref="AHN11:AHZ12"/>
    <mergeCell ref="ADA11:ADM12"/>
    <mergeCell ref="ADN11:ADZ12"/>
    <mergeCell ref="AEA11:AEM12"/>
    <mergeCell ref="AEN11:AEZ12"/>
    <mergeCell ref="AFA11:AFM12"/>
    <mergeCell ref="AUN11:AUZ12"/>
    <mergeCell ref="AVA11:AVM12"/>
    <mergeCell ref="AVN11:AVZ12"/>
    <mergeCell ref="AWA11:AWM12"/>
    <mergeCell ref="AWN11:AWZ12"/>
    <mergeCell ref="ASA11:ASM12"/>
    <mergeCell ref="ASN11:ASZ12"/>
    <mergeCell ref="ATA11:ATM12"/>
    <mergeCell ref="ATN11:ATZ12"/>
    <mergeCell ref="AUA11:AUM12"/>
    <mergeCell ref="APN11:APZ12"/>
    <mergeCell ref="AQA11:AQM12"/>
    <mergeCell ref="AQN11:AQZ12"/>
    <mergeCell ref="ARA11:ARM12"/>
    <mergeCell ref="ARN11:ARZ12"/>
    <mergeCell ref="ANA11:ANM12"/>
    <mergeCell ref="ANN11:ANZ12"/>
    <mergeCell ref="AOA11:AOM12"/>
    <mergeCell ref="AON11:AOZ12"/>
    <mergeCell ref="APA11:APM12"/>
    <mergeCell ref="BEN11:BEZ12"/>
    <mergeCell ref="BFA11:BFM12"/>
    <mergeCell ref="BFN11:BFZ12"/>
    <mergeCell ref="BGA11:BGM12"/>
    <mergeCell ref="BGN11:BGZ12"/>
    <mergeCell ref="BCA11:BCM12"/>
    <mergeCell ref="BCN11:BCZ12"/>
    <mergeCell ref="BDA11:BDM12"/>
    <mergeCell ref="BDN11:BDZ12"/>
    <mergeCell ref="BEA11:BEM12"/>
    <mergeCell ref="AZN11:AZZ12"/>
    <mergeCell ref="BAA11:BAM12"/>
    <mergeCell ref="BAN11:BAZ12"/>
    <mergeCell ref="BBA11:BBM12"/>
    <mergeCell ref="BBN11:BBZ12"/>
    <mergeCell ref="AXA11:AXM12"/>
    <mergeCell ref="AXN11:AXZ12"/>
    <mergeCell ref="AYA11:AYM12"/>
    <mergeCell ref="AYN11:AYZ12"/>
    <mergeCell ref="AZA11:AZM12"/>
    <mergeCell ref="BON11:BOZ12"/>
    <mergeCell ref="BPA11:BPM12"/>
    <mergeCell ref="BPN11:BPZ12"/>
    <mergeCell ref="BQA11:BQM12"/>
    <mergeCell ref="BQN11:BQZ12"/>
    <mergeCell ref="BMA11:BMM12"/>
    <mergeCell ref="BMN11:BMZ12"/>
    <mergeCell ref="BNA11:BNM12"/>
    <mergeCell ref="BNN11:BNZ12"/>
    <mergeCell ref="BOA11:BOM12"/>
    <mergeCell ref="BJN11:BJZ12"/>
    <mergeCell ref="BKA11:BKM12"/>
    <mergeCell ref="BKN11:BKZ12"/>
    <mergeCell ref="BLA11:BLM12"/>
    <mergeCell ref="BLN11:BLZ12"/>
    <mergeCell ref="BHA11:BHM12"/>
    <mergeCell ref="BHN11:BHZ12"/>
    <mergeCell ref="BIA11:BIM12"/>
    <mergeCell ref="BIN11:BIZ12"/>
    <mergeCell ref="BJA11:BJM12"/>
    <mergeCell ref="BYN11:BYZ12"/>
    <mergeCell ref="BZA11:BZM12"/>
    <mergeCell ref="BZN11:BZZ12"/>
    <mergeCell ref="CAA11:CAM12"/>
    <mergeCell ref="CAN11:CAZ12"/>
    <mergeCell ref="BWA11:BWM12"/>
    <mergeCell ref="BWN11:BWZ12"/>
    <mergeCell ref="BXA11:BXM12"/>
    <mergeCell ref="BXN11:BXZ12"/>
    <mergeCell ref="BYA11:BYM12"/>
    <mergeCell ref="BTN11:BTZ12"/>
    <mergeCell ref="BUA11:BUM12"/>
    <mergeCell ref="BUN11:BUZ12"/>
    <mergeCell ref="BVA11:BVM12"/>
    <mergeCell ref="BVN11:BVZ12"/>
    <mergeCell ref="BRA11:BRM12"/>
    <mergeCell ref="BRN11:BRZ12"/>
    <mergeCell ref="BSA11:BSM12"/>
    <mergeCell ref="BSN11:BSZ12"/>
    <mergeCell ref="BTA11:BTM12"/>
    <mergeCell ref="CIN11:CIZ12"/>
    <mergeCell ref="CJA11:CJM12"/>
    <mergeCell ref="CJN11:CJZ12"/>
    <mergeCell ref="CKA11:CKM12"/>
    <mergeCell ref="CKN11:CKZ12"/>
    <mergeCell ref="CGA11:CGM12"/>
    <mergeCell ref="CGN11:CGZ12"/>
    <mergeCell ref="CHA11:CHM12"/>
    <mergeCell ref="CHN11:CHZ12"/>
    <mergeCell ref="CIA11:CIM12"/>
    <mergeCell ref="CDN11:CDZ12"/>
    <mergeCell ref="CEA11:CEM12"/>
    <mergeCell ref="CEN11:CEZ12"/>
    <mergeCell ref="CFA11:CFM12"/>
    <mergeCell ref="CFN11:CFZ12"/>
    <mergeCell ref="CBA11:CBM12"/>
    <mergeCell ref="CBN11:CBZ12"/>
    <mergeCell ref="CCA11:CCM12"/>
    <mergeCell ref="CCN11:CCZ12"/>
    <mergeCell ref="CDA11:CDM12"/>
    <mergeCell ref="CSN11:CSZ12"/>
    <mergeCell ref="CTA11:CTM12"/>
    <mergeCell ref="CTN11:CTZ12"/>
    <mergeCell ref="CUA11:CUM12"/>
    <mergeCell ref="CUN11:CUZ12"/>
    <mergeCell ref="CQA11:CQM12"/>
    <mergeCell ref="CQN11:CQZ12"/>
    <mergeCell ref="CRA11:CRM12"/>
    <mergeCell ref="CRN11:CRZ12"/>
    <mergeCell ref="CSA11:CSM12"/>
    <mergeCell ref="CNN11:CNZ12"/>
    <mergeCell ref="COA11:COM12"/>
    <mergeCell ref="CON11:COZ12"/>
    <mergeCell ref="CPA11:CPM12"/>
    <mergeCell ref="CPN11:CPZ12"/>
    <mergeCell ref="CLA11:CLM12"/>
    <mergeCell ref="CLN11:CLZ12"/>
    <mergeCell ref="CMA11:CMM12"/>
    <mergeCell ref="CMN11:CMZ12"/>
    <mergeCell ref="CNA11:CNM12"/>
    <mergeCell ref="DCN11:DCZ12"/>
    <mergeCell ref="DDA11:DDM12"/>
    <mergeCell ref="DDN11:DDZ12"/>
    <mergeCell ref="DEA11:DEM12"/>
    <mergeCell ref="DEN11:DEZ12"/>
    <mergeCell ref="DAA11:DAM12"/>
    <mergeCell ref="DAN11:DAZ12"/>
    <mergeCell ref="DBA11:DBM12"/>
    <mergeCell ref="DBN11:DBZ12"/>
    <mergeCell ref="DCA11:DCM12"/>
    <mergeCell ref="CXN11:CXZ12"/>
    <mergeCell ref="CYA11:CYM12"/>
    <mergeCell ref="CYN11:CYZ12"/>
    <mergeCell ref="CZA11:CZM12"/>
    <mergeCell ref="CZN11:CZZ12"/>
    <mergeCell ref="CVA11:CVM12"/>
    <mergeCell ref="CVN11:CVZ12"/>
    <mergeCell ref="CWA11:CWM12"/>
    <mergeCell ref="CWN11:CWZ12"/>
    <mergeCell ref="CXA11:CXM12"/>
    <mergeCell ref="DMN11:DMZ12"/>
    <mergeCell ref="DNA11:DNM12"/>
    <mergeCell ref="DNN11:DNZ12"/>
    <mergeCell ref="DOA11:DOM12"/>
    <mergeCell ref="DON11:DOZ12"/>
    <mergeCell ref="DKA11:DKM12"/>
    <mergeCell ref="DKN11:DKZ12"/>
    <mergeCell ref="DLA11:DLM12"/>
    <mergeCell ref="DLN11:DLZ12"/>
    <mergeCell ref="DMA11:DMM12"/>
    <mergeCell ref="DHN11:DHZ12"/>
    <mergeCell ref="DIA11:DIM12"/>
    <mergeCell ref="DIN11:DIZ12"/>
    <mergeCell ref="DJA11:DJM12"/>
    <mergeCell ref="DJN11:DJZ12"/>
    <mergeCell ref="DFA11:DFM12"/>
    <mergeCell ref="DFN11:DFZ12"/>
    <mergeCell ref="DGA11:DGM12"/>
    <mergeCell ref="DGN11:DGZ12"/>
    <mergeCell ref="DHA11:DHM12"/>
    <mergeCell ref="DWN11:DWZ12"/>
    <mergeCell ref="DXA11:DXM12"/>
    <mergeCell ref="DXN11:DXZ12"/>
    <mergeCell ref="DYA11:DYM12"/>
    <mergeCell ref="DYN11:DYZ12"/>
    <mergeCell ref="DUA11:DUM12"/>
    <mergeCell ref="DUN11:DUZ12"/>
    <mergeCell ref="DVA11:DVM12"/>
    <mergeCell ref="DVN11:DVZ12"/>
    <mergeCell ref="DWA11:DWM12"/>
    <mergeCell ref="DRN11:DRZ12"/>
    <mergeCell ref="DSA11:DSM12"/>
    <mergeCell ref="DSN11:DSZ12"/>
    <mergeCell ref="DTA11:DTM12"/>
    <mergeCell ref="DTN11:DTZ12"/>
    <mergeCell ref="DPA11:DPM12"/>
    <mergeCell ref="DPN11:DPZ12"/>
    <mergeCell ref="DQA11:DQM12"/>
    <mergeCell ref="DQN11:DQZ12"/>
    <mergeCell ref="DRA11:DRM12"/>
    <mergeCell ref="EGN11:EGZ12"/>
    <mergeCell ref="EHA11:EHM12"/>
    <mergeCell ref="EHN11:EHZ12"/>
    <mergeCell ref="EIA11:EIM12"/>
    <mergeCell ref="EIN11:EIZ12"/>
    <mergeCell ref="EEA11:EEM12"/>
    <mergeCell ref="EEN11:EEZ12"/>
    <mergeCell ref="EFA11:EFM12"/>
    <mergeCell ref="EFN11:EFZ12"/>
    <mergeCell ref="EGA11:EGM12"/>
    <mergeCell ref="EBN11:EBZ12"/>
    <mergeCell ref="ECA11:ECM12"/>
    <mergeCell ref="ECN11:ECZ12"/>
    <mergeCell ref="EDA11:EDM12"/>
    <mergeCell ref="EDN11:EDZ12"/>
    <mergeCell ref="DZA11:DZM12"/>
    <mergeCell ref="DZN11:DZZ12"/>
    <mergeCell ref="EAA11:EAM12"/>
    <mergeCell ref="EAN11:EAZ12"/>
    <mergeCell ref="EBA11:EBM12"/>
    <mergeCell ref="EQN11:EQZ12"/>
    <mergeCell ref="ERA11:ERM12"/>
    <mergeCell ref="ERN11:ERZ12"/>
    <mergeCell ref="ESA11:ESM12"/>
    <mergeCell ref="ESN11:ESZ12"/>
    <mergeCell ref="EOA11:EOM12"/>
    <mergeCell ref="EON11:EOZ12"/>
    <mergeCell ref="EPA11:EPM12"/>
    <mergeCell ref="EPN11:EPZ12"/>
    <mergeCell ref="EQA11:EQM12"/>
    <mergeCell ref="ELN11:ELZ12"/>
    <mergeCell ref="EMA11:EMM12"/>
    <mergeCell ref="EMN11:EMZ12"/>
    <mergeCell ref="ENA11:ENM12"/>
    <mergeCell ref="ENN11:ENZ12"/>
    <mergeCell ref="EJA11:EJM12"/>
    <mergeCell ref="EJN11:EJZ12"/>
    <mergeCell ref="EKA11:EKM12"/>
    <mergeCell ref="EKN11:EKZ12"/>
    <mergeCell ref="ELA11:ELM12"/>
    <mergeCell ref="FAN11:FAZ12"/>
    <mergeCell ref="FBA11:FBM12"/>
    <mergeCell ref="FBN11:FBZ12"/>
    <mergeCell ref="FCA11:FCM12"/>
    <mergeCell ref="FCN11:FCZ12"/>
    <mergeCell ref="EYA11:EYM12"/>
    <mergeCell ref="EYN11:EYZ12"/>
    <mergeCell ref="EZA11:EZM12"/>
    <mergeCell ref="EZN11:EZZ12"/>
    <mergeCell ref="FAA11:FAM12"/>
    <mergeCell ref="EVN11:EVZ12"/>
    <mergeCell ref="EWA11:EWM12"/>
    <mergeCell ref="EWN11:EWZ12"/>
    <mergeCell ref="EXA11:EXM12"/>
    <mergeCell ref="EXN11:EXZ12"/>
    <mergeCell ref="ETA11:ETM12"/>
    <mergeCell ref="ETN11:ETZ12"/>
    <mergeCell ref="EUA11:EUM12"/>
    <mergeCell ref="EUN11:EUZ12"/>
    <mergeCell ref="EVA11:EVM12"/>
    <mergeCell ref="FKN11:FKZ12"/>
    <mergeCell ref="FLA11:FLM12"/>
    <mergeCell ref="FLN11:FLZ12"/>
    <mergeCell ref="FMA11:FMM12"/>
    <mergeCell ref="FMN11:FMZ12"/>
    <mergeCell ref="FIA11:FIM12"/>
    <mergeCell ref="FIN11:FIZ12"/>
    <mergeCell ref="FJA11:FJM12"/>
    <mergeCell ref="FJN11:FJZ12"/>
    <mergeCell ref="FKA11:FKM12"/>
    <mergeCell ref="FFN11:FFZ12"/>
    <mergeCell ref="FGA11:FGM12"/>
    <mergeCell ref="FGN11:FGZ12"/>
    <mergeCell ref="FHA11:FHM12"/>
    <mergeCell ref="FHN11:FHZ12"/>
    <mergeCell ref="FDA11:FDM12"/>
    <mergeCell ref="FDN11:FDZ12"/>
    <mergeCell ref="FEA11:FEM12"/>
    <mergeCell ref="FEN11:FEZ12"/>
    <mergeCell ref="FFA11:FFM12"/>
    <mergeCell ref="FUN11:FUZ12"/>
    <mergeCell ref="FVA11:FVM12"/>
    <mergeCell ref="FVN11:FVZ12"/>
    <mergeCell ref="FWA11:FWM12"/>
    <mergeCell ref="FWN11:FWZ12"/>
    <mergeCell ref="FSA11:FSM12"/>
    <mergeCell ref="FSN11:FSZ12"/>
    <mergeCell ref="FTA11:FTM12"/>
    <mergeCell ref="FTN11:FTZ12"/>
    <mergeCell ref="FUA11:FUM12"/>
    <mergeCell ref="FPN11:FPZ12"/>
    <mergeCell ref="FQA11:FQM12"/>
    <mergeCell ref="FQN11:FQZ12"/>
    <mergeCell ref="FRA11:FRM12"/>
    <mergeCell ref="FRN11:FRZ12"/>
    <mergeCell ref="FNA11:FNM12"/>
    <mergeCell ref="FNN11:FNZ12"/>
    <mergeCell ref="FOA11:FOM12"/>
    <mergeCell ref="FON11:FOZ12"/>
    <mergeCell ref="FPA11:FPM12"/>
    <mergeCell ref="GEN11:GEZ12"/>
    <mergeCell ref="GFA11:GFM12"/>
    <mergeCell ref="GFN11:GFZ12"/>
    <mergeCell ref="GGA11:GGM12"/>
    <mergeCell ref="GGN11:GGZ12"/>
    <mergeCell ref="GCA11:GCM12"/>
    <mergeCell ref="GCN11:GCZ12"/>
    <mergeCell ref="GDA11:GDM12"/>
    <mergeCell ref="GDN11:GDZ12"/>
    <mergeCell ref="GEA11:GEM12"/>
    <mergeCell ref="FZN11:FZZ12"/>
    <mergeCell ref="GAA11:GAM12"/>
    <mergeCell ref="GAN11:GAZ12"/>
    <mergeCell ref="GBA11:GBM12"/>
    <mergeCell ref="GBN11:GBZ12"/>
    <mergeCell ref="FXA11:FXM12"/>
    <mergeCell ref="FXN11:FXZ12"/>
    <mergeCell ref="FYA11:FYM12"/>
    <mergeCell ref="FYN11:FYZ12"/>
    <mergeCell ref="FZA11:FZM12"/>
    <mergeCell ref="GON11:GOZ12"/>
    <mergeCell ref="GPA11:GPM12"/>
    <mergeCell ref="GPN11:GPZ12"/>
    <mergeCell ref="GQA11:GQM12"/>
    <mergeCell ref="GQN11:GQZ12"/>
    <mergeCell ref="GMA11:GMM12"/>
    <mergeCell ref="GMN11:GMZ12"/>
    <mergeCell ref="GNA11:GNM12"/>
    <mergeCell ref="GNN11:GNZ12"/>
    <mergeCell ref="GOA11:GOM12"/>
    <mergeCell ref="GJN11:GJZ12"/>
    <mergeCell ref="GKA11:GKM12"/>
    <mergeCell ref="GKN11:GKZ12"/>
    <mergeCell ref="GLA11:GLM12"/>
    <mergeCell ref="GLN11:GLZ12"/>
    <mergeCell ref="GHA11:GHM12"/>
    <mergeCell ref="GHN11:GHZ12"/>
    <mergeCell ref="GIA11:GIM12"/>
    <mergeCell ref="GIN11:GIZ12"/>
    <mergeCell ref="GJA11:GJM12"/>
    <mergeCell ref="GYN11:GYZ12"/>
    <mergeCell ref="GZA11:GZM12"/>
    <mergeCell ref="GZN11:GZZ12"/>
    <mergeCell ref="HAA11:HAM12"/>
    <mergeCell ref="HAN11:HAZ12"/>
    <mergeCell ref="GWA11:GWM12"/>
    <mergeCell ref="GWN11:GWZ12"/>
    <mergeCell ref="GXA11:GXM12"/>
    <mergeCell ref="GXN11:GXZ12"/>
    <mergeCell ref="GYA11:GYM12"/>
    <mergeCell ref="GTN11:GTZ12"/>
    <mergeCell ref="GUA11:GUM12"/>
    <mergeCell ref="GUN11:GUZ12"/>
    <mergeCell ref="GVA11:GVM12"/>
    <mergeCell ref="GVN11:GVZ12"/>
    <mergeCell ref="GRA11:GRM12"/>
    <mergeCell ref="GRN11:GRZ12"/>
    <mergeCell ref="GSA11:GSM12"/>
    <mergeCell ref="GSN11:GSZ12"/>
    <mergeCell ref="GTA11:GTM12"/>
    <mergeCell ref="HIN11:HIZ12"/>
    <mergeCell ref="HJA11:HJM12"/>
    <mergeCell ref="HJN11:HJZ12"/>
    <mergeCell ref="HKA11:HKM12"/>
    <mergeCell ref="HKN11:HKZ12"/>
    <mergeCell ref="HGA11:HGM12"/>
    <mergeCell ref="HGN11:HGZ12"/>
    <mergeCell ref="HHA11:HHM12"/>
    <mergeCell ref="HHN11:HHZ12"/>
    <mergeCell ref="HIA11:HIM12"/>
    <mergeCell ref="HDN11:HDZ12"/>
    <mergeCell ref="HEA11:HEM12"/>
    <mergeCell ref="HEN11:HEZ12"/>
    <mergeCell ref="HFA11:HFM12"/>
    <mergeCell ref="HFN11:HFZ12"/>
    <mergeCell ref="HBA11:HBM12"/>
    <mergeCell ref="HBN11:HBZ12"/>
    <mergeCell ref="HCA11:HCM12"/>
    <mergeCell ref="HCN11:HCZ12"/>
    <mergeCell ref="HDA11:HDM12"/>
    <mergeCell ref="HSN11:HSZ12"/>
    <mergeCell ref="HTA11:HTM12"/>
    <mergeCell ref="HTN11:HTZ12"/>
    <mergeCell ref="HUA11:HUM12"/>
    <mergeCell ref="HUN11:HUZ12"/>
    <mergeCell ref="HQA11:HQM12"/>
    <mergeCell ref="HQN11:HQZ12"/>
    <mergeCell ref="HRA11:HRM12"/>
    <mergeCell ref="HRN11:HRZ12"/>
    <mergeCell ref="HSA11:HSM12"/>
    <mergeCell ref="HNN11:HNZ12"/>
    <mergeCell ref="HOA11:HOM12"/>
    <mergeCell ref="HON11:HOZ12"/>
    <mergeCell ref="HPA11:HPM12"/>
    <mergeCell ref="HPN11:HPZ12"/>
    <mergeCell ref="HLA11:HLM12"/>
    <mergeCell ref="HLN11:HLZ12"/>
    <mergeCell ref="HMA11:HMM12"/>
    <mergeCell ref="HMN11:HMZ12"/>
    <mergeCell ref="HNA11:HNM12"/>
    <mergeCell ref="ICN11:ICZ12"/>
    <mergeCell ref="IDA11:IDM12"/>
    <mergeCell ref="IDN11:IDZ12"/>
    <mergeCell ref="IEA11:IEM12"/>
    <mergeCell ref="IEN11:IEZ12"/>
    <mergeCell ref="IAA11:IAM12"/>
    <mergeCell ref="IAN11:IAZ12"/>
    <mergeCell ref="IBA11:IBM12"/>
    <mergeCell ref="IBN11:IBZ12"/>
    <mergeCell ref="ICA11:ICM12"/>
    <mergeCell ref="HXN11:HXZ12"/>
    <mergeCell ref="HYA11:HYM12"/>
    <mergeCell ref="HYN11:HYZ12"/>
    <mergeCell ref="HZA11:HZM12"/>
    <mergeCell ref="HZN11:HZZ12"/>
    <mergeCell ref="HVA11:HVM12"/>
    <mergeCell ref="HVN11:HVZ12"/>
    <mergeCell ref="HWA11:HWM12"/>
    <mergeCell ref="HWN11:HWZ12"/>
    <mergeCell ref="HXA11:HXM12"/>
    <mergeCell ref="IMN11:IMZ12"/>
    <mergeCell ref="INA11:INM12"/>
    <mergeCell ref="INN11:INZ12"/>
    <mergeCell ref="IOA11:IOM12"/>
    <mergeCell ref="ION11:IOZ12"/>
    <mergeCell ref="IKA11:IKM12"/>
    <mergeCell ref="IKN11:IKZ12"/>
    <mergeCell ref="ILA11:ILM12"/>
    <mergeCell ref="ILN11:ILZ12"/>
    <mergeCell ref="IMA11:IMM12"/>
    <mergeCell ref="IHN11:IHZ12"/>
    <mergeCell ref="IIA11:IIM12"/>
    <mergeCell ref="IIN11:IIZ12"/>
    <mergeCell ref="IJA11:IJM12"/>
    <mergeCell ref="IJN11:IJZ12"/>
    <mergeCell ref="IFA11:IFM12"/>
    <mergeCell ref="IFN11:IFZ12"/>
    <mergeCell ref="IGA11:IGM12"/>
    <mergeCell ref="IGN11:IGZ12"/>
    <mergeCell ref="IHA11:IHM12"/>
    <mergeCell ref="IWN11:IWZ12"/>
    <mergeCell ref="IXA11:IXM12"/>
    <mergeCell ref="IXN11:IXZ12"/>
    <mergeCell ref="IYA11:IYM12"/>
    <mergeCell ref="IYN11:IYZ12"/>
    <mergeCell ref="IUA11:IUM12"/>
    <mergeCell ref="IUN11:IUZ12"/>
    <mergeCell ref="IVA11:IVM12"/>
    <mergeCell ref="IVN11:IVZ12"/>
    <mergeCell ref="IWA11:IWM12"/>
    <mergeCell ref="IRN11:IRZ12"/>
    <mergeCell ref="ISA11:ISM12"/>
    <mergeCell ref="ISN11:ISZ12"/>
    <mergeCell ref="ITA11:ITM12"/>
    <mergeCell ref="ITN11:ITZ12"/>
    <mergeCell ref="IPA11:IPM12"/>
    <mergeCell ref="IPN11:IPZ12"/>
    <mergeCell ref="IQA11:IQM12"/>
    <mergeCell ref="IQN11:IQZ12"/>
    <mergeCell ref="IRA11:IRM12"/>
    <mergeCell ref="JGN11:JGZ12"/>
    <mergeCell ref="JHA11:JHM12"/>
    <mergeCell ref="JHN11:JHZ12"/>
    <mergeCell ref="JIA11:JIM12"/>
    <mergeCell ref="JIN11:JIZ12"/>
    <mergeCell ref="JEA11:JEM12"/>
    <mergeCell ref="JEN11:JEZ12"/>
    <mergeCell ref="JFA11:JFM12"/>
    <mergeCell ref="JFN11:JFZ12"/>
    <mergeCell ref="JGA11:JGM12"/>
    <mergeCell ref="JBN11:JBZ12"/>
    <mergeCell ref="JCA11:JCM12"/>
    <mergeCell ref="JCN11:JCZ12"/>
    <mergeCell ref="JDA11:JDM12"/>
    <mergeCell ref="JDN11:JDZ12"/>
    <mergeCell ref="IZA11:IZM12"/>
    <mergeCell ref="IZN11:IZZ12"/>
    <mergeCell ref="JAA11:JAM12"/>
    <mergeCell ref="JAN11:JAZ12"/>
    <mergeCell ref="JBA11:JBM12"/>
    <mergeCell ref="JQN11:JQZ12"/>
    <mergeCell ref="JRA11:JRM12"/>
    <mergeCell ref="JRN11:JRZ12"/>
    <mergeCell ref="JSA11:JSM12"/>
    <mergeCell ref="JSN11:JSZ12"/>
    <mergeCell ref="JOA11:JOM12"/>
    <mergeCell ref="JON11:JOZ12"/>
    <mergeCell ref="JPA11:JPM12"/>
    <mergeCell ref="JPN11:JPZ12"/>
    <mergeCell ref="JQA11:JQM12"/>
    <mergeCell ref="JLN11:JLZ12"/>
    <mergeCell ref="JMA11:JMM12"/>
    <mergeCell ref="JMN11:JMZ12"/>
    <mergeCell ref="JNA11:JNM12"/>
    <mergeCell ref="JNN11:JNZ12"/>
    <mergeCell ref="JJA11:JJM12"/>
    <mergeCell ref="JJN11:JJZ12"/>
    <mergeCell ref="JKA11:JKM12"/>
    <mergeCell ref="JKN11:JKZ12"/>
    <mergeCell ref="JLA11:JLM12"/>
    <mergeCell ref="KAN11:KAZ12"/>
    <mergeCell ref="KBA11:KBM12"/>
    <mergeCell ref="KBN11:KBZ12"/>
    <mergeCell ref="KCA11:KCM12"/>
    <mergeCell ref="KCN11:KCZ12"/>
    <mergeCell ref="JYA11:JYM12"/>
    <mergeCell ref="JYN11:JYZ12"/>
    <mergeCell ref="JZA11:JZM12"/>
    <mergeCell ref="JZN11:JZZ12"/>
    <mergeCell ref="KAA11:KAM12"/>
    <mergeCell ref="JVN11:JVZ12"/>
    <mergeCell ref="JWA11:JWM12"/>
    <mergeCell ref="JWN11:JWZ12"/>
    <mergeCell ref="JXA11:JXM12"/>
    <mergeCell ref="JXN11:JXZ12"/>
    <mergeCell ref="JTA11:JTM12"/>
    <mergeCell ref="JTN11:JTZ12"/>
    <mergeCell ref="JUA11:JUM12"/>
    <mergeCell ref="JUN11:JUZ12"/>
    <mergeCell ref="JVA11:JVM12"/>
    <mergeCell ref="KKN11:KKZ12"/>
    <mergeCell ref="KLA11:KLM12"/>
    <mergeCell ref="KLN11:KLZ12"/>
    <mergeCell ref="KMA11:KMM12"/>
    <mergeCell ref="KMN11:KMZ12"/>
    <mergeCell ref="KIA11:KIM12"/>
    <mergeCell ref="KIN11:KIZ12"/>
    <mergeCell ref="KJA11:KJM12"/>
    <mergeCell ref="KJN11:KJZ12"/>
    <mergeCell ref="KKA11:KKM12"/>
    <mergeCell ref="KFN11:KFZ12"/>
    <mergeCell ref="KGA11:KGM12"/>
    <mergeCell ref="KGN11:KGZ12"/>
    <mergeCell ref="KHA11:KHM12"/>
    <mergeCell ref="KHN11:KHZ12"/>
    <mergeCell ref="KDA11:KDM12"/>
    <mergeCell ref="KDN11:KDZ12"/>
    <mergeCell ref="KEA11:KEM12"/>
    <mergeCell ref="KEN11:KEZ12"/>
    <mergeCell ref="KFA11:KFM12"/>
    <mergeCell ref="KUN11:KUZ12"/>
    <mergeCell ref="KVA11:KVM12"/>
    <mergeCell ref="KVN11:KVZ12"/>
    <mergeCell ref="KWA11:KWM12"/>
    <mergeCell ref="KWN11:KWZ12"/>
    <mergeCell ref="KSA11:KSM12"/>
    <mergeCell ref="KSN11:KSZ12"/>
    <mergeCell ref="KTA11:KTM12"/>
    <mergeCell ref="KTN11:KTZ12"/>
    <mergeCell ref="KUA11:KUM12"/>
    <mergeCell ref="KPN11:KPZ12"/>
    <mergeCell ref="KQA11:KQM12"/>
    <mergeCell ref="KQN11:KQZ12"/>
    <mergeCell ref="KRA11:KRM12"/>
    <mergeCell ref="KRN11:KRZ12"/>
    <mergeCell ref="KNA11:KNM12"/>
    <mergeCell ref="KNN11:KNZ12"/>
    <mergeCell ref="KOA11:KOM12"/>
    <mergeCell ref="KON11:KOZ12"/>
    <mergeCell ref="KPA11:KPM12"/>
    <mergeCell ref="LEN11:LEZ12"/>
    <mergeCell ref="LFA11:LFM12"/>
    <mergeCell ref="LFN11:LFZ12"/>
    <mergeCell ref="LGA11:LGM12"/>
    <mergeCell ref="LGN11:LGZ12"/>
    <mergeCell ref="LCA11:LCM12"/>
    <mergeCell ref="LCN11:LCZ12"/>
    <mergeCell ref="LDA11:LDM12"/>
    <mergeCell ref="LDN11:LDZ12"/>
    <mergeCell ref="LEA11:LEM12"/>
    <mergeCell ref="KZN11:KZZ12"/>
    <mergeCell ref="LAA11:LAM12"/>
    <mergeCell ref="LAN11:LAZ12"/>
    <mergeCell ref="LBA11:LBM12"/>
    <mergeCell ref="LBN11:LBZ12"/>
    <mergeCell ref="KXA11:KXM12"/>
    <mergeCell ref="KXN11:KXZ12"/>
    <mergeCell ref="KYA11:KYM12"/>
    <mergeCell ref="KYN11:KYZ12"/>
    <mergeCell ref="KZA11:KZM12"/>
    <mergeCell ref="LON11:LOZ12"/>
    <mergeCell ref="LPA11:LPM12"/>
    <mergeCell ref="LPN11:LPZ12"/>
    <mergeCell ref="LQA11:LQM12"/>
    <mergeCell ref="LQN11:LQZ12"/>
    <mergeCell ref="LMA11:LMM12"/>
    <mergeCell ref="LMN11:LMZ12"/>
    <mergeCell ref="LNA11:LNM12"/>
    <mergeCell ref="LNN11:LNZ12"/>
    <mergeCell ref="LOA11:LOM12"/>
    <mergeCell ref="LJN11:LJZ12"/>
    <mergeCell ref="LKA11:LKM12"/>
    <mergeCell ref="LKN11:LKZ12"/>
    <mergeCell ref="LLA11:LLM12"/>
    <mergeCell ref="LLN11:LLZ12"/>
    <mergeCell ref="LHA11:LHM12"/>
    <mergeCell ref="LHN11:LHZ12"/>
    <mergeCell ref="LIA11:LIM12"/>
    <mergeCell ref="LIN11:LIZ12"/>
    <mergeCell ref="LJA11:LJM12"/>
    <mergeCell ref="LYN11:LYZ12"/>
    <mergeCell ref="LZA11:LZM12"/>
    <mergeCell ref="LZN11:LZZ12"/>
    <mergeCell ref="MAA11:MAM12"/>
    <mergeCell ref="MAN11:MAZ12"/>
    <mergeCell ref="LWA11:LWM12"/>
    <mergeCell ref="LWN11:LWZ12"/>
    <mergeCell ref="LXA11:LXM12"/>
    <mergeCell ref="LXN11:LXZ12"/>
    <mergeCell ref="LYA11:LYM12"/>
    <mergeCell ref="LTN11:LTZ12"/>
    <mergeCell ref="LUA11:LUM12"/>
    <mergeCell ref="LUN11:LUZ12"/>
    <mergeCell ref="LVA11:LVM12"/>
    <mergeCell ref="LVN11:LVZ12"/>
    <mergeCell ref="LRA11:LRM12"/>
    <mergeCell ref="LRN11:LRZ12"/>
    <mergeCell ref="LSA11:LSM12"/>
    <mergeCell ref="LSN11:LSZ12"/>
    <mergeCell ref="LTA11:LTM12"/>
    <mergeCell ref="MIN11:MIZ12"/>
    <mergeCell ref="MJA11:MJM12"/>
    <mergeCell ref="MJN11:MJZ12"/>
    <mergeCell ref="MKA11:MKM12"/>
    <mergeCell ref="MKN11:MKZ12"/>
    <mergeCell ref="MGA11:MGM12"/>
    <mergeCell ref="MGN11:MGZ12"/>
    <mergeCell ref="MHA11:MHM12"/>
    <mergeCell ref="MHN11:MHZ12"/>
    <mergeCell ref="MIA11:MIM12"/>
    <mergeCell ref="MDN11:MDZ12"/>
    <mergeCell ref="MEA11:MEM12"/>
    <mergeCell ref="MEN11:MEZ12"/>
    <mergeCell ref="MFA11:MFM12"/>
    <mergeCell ref="MFN11:MFZ12"/>
    <mergeCell ref="MBA11:MBM12"/>
    <mergeCell ref="MBN11:MBZ12"/>
    <mergeCell ref="MCA11:MCM12"/>
    <mergeCell ref="MCN11:MCZ12"/>
    <mergeCell ref="MDA11:MDM12"/>
    <mergeCell ref="MSN11:MSZ12"/>
    <mergeCell ref="MTA11:MTM12"/>
    <mergeCell ref="MTN11:MTZ12"/>
    <mergeCell ref="MUA11:MUM12"/>
    <mergeCell ref="MUN11:MUZ12"/>
    <mergeCell ref="MQA11:MQM12"/>
    <mergeCell ref="MQN11:MQZ12"/>
    <mergeCell ref="MRA11:MRM12"/>
    <mergeCell ref="MRN11:MRZ12"/>
    <mergeCell ref="MSA11:MSM12"/>
    <mergeCell ref="MNN11:MNZ12"/>
    <mergeCell ref="MOA11:MOM12"/>
    <mergeCell ref="MON11:MOZ12"/>
    <mergeCell ref="MPA11:MPM12"/>
    <mergeCell ref="MPN11:MPZ12"/>
    <mergeCell ref="MLA11:MLM12"/>
    <mergeCell ref="MLN11:MLZ12"/>
    <mergeCell ref="MMA11:MMM12"/>
    <mergeCell ref="MMN11:MMZ12"/>
    <mergeCell ref="MNA11:MNM12"/>
    <mergeCell ref="NCN11:NCZ12"/>
    <mergeCell ref="NDA11:NDM12"/>
    <mergeCell ref="NDN11:NDZ12"/>
    <mergeCell ref="NEA11:NEM12"/>
    <mergeCell ref="NEN11:NEZ12"/>
    <mergeCell ref="NAA11:NAM12"/>
    <mergeCell ref="NAN11:NAZ12"/>
    <mergeCell ref="NBA11:NBM12"/>
    <mergeCell ref="NBN11:NBZ12"/>
    <mergeCell ref="NCA11:NCM12"/>
    <mergeCell ref="MXN11:MXZ12"/>
    <mergeCell ref="MYA11:MYM12"/>
    <mergeCell ref="MYN11:MYZ12"/>
    <mergeCell ref="MZA11:MZM12"/>
    <mergeCell ref="MZN11:MZZ12"/>
    <mergeCell ref="MVA11:MVM12"/>
    <mergeCell ref="MVN11:MVZ12"/>
    <mergeCell ref="MWA11:MWM12"/>
    <mergeCell ref="MWN11:MWZ12"/>
    <mergeCell ref="MXA11:MXM12"/>
    <mergeCell ref="NMN11:NMZ12"/>
    <mergeCell ref="NNA11:NNM12"/>
    <mergeCell ref="NNN11:NNZ12"/>
    <mergeCell ref="NOA11:NOM12"/>
    <mergeCell ref="NON11:NOZ12"/>
    <mergeCell ref="NKA11:NKM12"/>
    <mergeCell ref="NKN11:NKZ12"/>
    <mergeCell ref="NLA11:NLM12"/>
    <mergeCell ref="NLN11:NLZ12"/>
    <mergeCell ref="NMA11:NMM12"/>
    <mergeCell ref="NHN11:NHZ12"/>
    <mergeCell ref="NIA11:NIM12"/>
    <mergeCell ref="NIN11:NIZ12"/>
    <mergeCell ref="NJA11:NJM12"/>
    <mergeCell ref="NJN11:NJZ12"/>
    <mergeCell ref="NFA11:NFM12"/>
    <mergeCell ref="NFN11:NFZ12"/>
    <mergeCell ref="NGA11:NGM12"/>
    <mergeCell ref="NGN11:NGZ12"/>
    <mergeCell ref="NHA11:NHM12"/>
    <mergeCell ref="NWN11:NWZ12"/>
    <mergeCell ref="NXA11:NXM12"/>
    <mergeCell ref="NXN11:NXZ12"/>
    <mergeCell ref="NYA11:NYM12"/>
    <mergeCell ref="NYN11:NYZ12"/>
    <mergeCell ref="NUA11:NUM12"/>
    <mergeCell ref="NUN11:NUZ12"/>
    <mergeCell ref="NVA11:NVM12"/>
    <mergeCell ref="NVN11:NVZ12"/>
    <mergeCell ref="NWA11:NWM12"/>
    <mergeCell ref="NRN11:NRZ12"/>
    <mergeCell ref="NSA11:NSM12"/>
    <mergeCell ref="NSN11:NSZ12"/>
    <mergeCell ref="NTA11:NTM12"/>
    <mergeCell ref="NTN11:NTZ12"/>
    <mergeCell ref="NPA11:NPM12"/>
    <mergeCell ref="NPN11:NPZ12"/>
    <mergeCell ref="NQA11:NQM12"/>
    <mergeCell ref="NQN11:NQZ12"/>
    <mergeCell ref="NRA11:NRM12"/>
    <mergeCell ref="OGN11:OGZ12"/>
    <mergeCell ref="OHA11:OHM12"/>
    <mergeCell ref="OHN11:OHZ12"/>
    <mergeCell ref="OIA11:OIM12"/>
    <mergeCell ref="OIN11:OIZ12"/>
    <mergeCell ref="OEA11:OEM12"/>
    <mergeCell ref="OEN11:OEZ12"/>
    <mergeCell ref="OFA11:OFM12"/>
    <mergeCell ref="OFN11:OFZ12"/>
    <mergeCell ref="OGA11:OGM12"/>
    <mergeCell ref="OBN11:OBZ12"/>
    <mergeCell ref="OCA11:OCM12"/>
    <mergeCell ref="OCN11:OCZ12"/>
    <mergeCell ref="ODA11:ODM12"/>
    <mergeCell ref="ODN11:ODZ12"/>
    <mergeCell ref="NZA11:NZM12"/>
    <mergeCell ref="NZN11:NZZ12"/>
    <mergeCell ref="OAA11:OAM12"/>
    <mergeCell ref="OAN11:OAZ12"/>
    <mergeCell ref="OBA11:OBM12"/>
    <mergeCell ref="OQN11:OQZ12"/>
    <mergeCell ref="ORA11:ORM12"/>
    <mergeCell ref="ORN11:ORZ12"/>
    <mergeCell ref="OSA11:OSM12"/>
    <mergeCell ref="OSN11:OSZ12"/>
    <mergeCell ref="OOA11:OOM12"/>
    <mergeCell ref="OON11:OOZ12"/>
    <mergeCell ref="OPA11:OPM12"/>
    <mergeCell ref="OPN11:OPZ12"/>
    <mergeCell ref="OQA11:OQM12"/>
    <mergeCell ref="OLN11:OLZ12"/>
    <mergeCell ref="OMA11:OMM12"/>
    <mergeCell ref="OMN11:OMZ12"/>
    <mergeCell ref="ONA11:ONM12"/>
    <mergeCell ref="ONN11:ONZ12"/>
    <mergeCell ref="OJA11:OJM12"/>
    <mergeCell ref="OJN11:OJZ12"/>
    <mergeCell ref="OKA11:OKM12"/>
    <mergeCell ref="OKN11:OKZ12"/>
    <mergeCell ref="OLA11:OLM12"/>
    <mergeCell ref="PAN11:PAZ12"/>
    <mergeCell ref="PBA11:PBM12"/>
    <mergeCell ref="PBN11:PBZ12"/>
    <mergeCell ref="PCA11:PCM12"/>
    <mergeCell ref="PCN11:PCZ12"/>
    <mergeCell ref="OYA11:OYM12"/>
    <mergeCell ref="OYN11:OYZ12"/>
    <mergeCell ref="OZA11:OZM12"/>
    <mergeCell ref="OZN11:OZZ12"/>
    <mergeCell ref="PAA11:PAM12"/>
    <mergeCell ref="OVN11:OVZ12"/>
    <mergeCell ref="OWA11:OWM12"/>
    <mergeCell ref="OWN11:OWZ12"/>
    <mergeCell ref="OXA11:OXM12"/>
    <mergeCell ref="OXN11:OXZ12"/>
    <mergeCell ref="OTA11:OTM12"/>
    <mergeCell ref="OTN11:OTZ12"/>
    <mergeCell ref="OUA11:OUM12"/>
    <mergeCell ref="OUN11:OUZ12"/>
    <mergeCell ref="OVA11:OVM12"/>
    <mergeCell ref="PKN11:PKZ12"/>
    <mergeCell ref="PLA11:PLM12"/>
    <mergeCell ref="PLN11:PLZ12"/>
    <mergeCell ref="PMA11:PMM12"/>
    <mergeCell ref="PMN11:PMZ12"/>
    <mergeCell ref="PIA11:PIM12"/>
    <mergeCell ref="PIN11:PIZ12"/>
    <mergeCell ref="PJA11:PJM12"/>
    <mergeCell ref="PJN11:PJZ12"/>
    <mergeCell ref="PKA11:PKM12"/>
    <mergeCell ref="PFN11:PFZ12"/>
    <mergeCell ref="PGA11:PGM12"/>
    <mergeCell ref="PGN11:PGZ12"/>
    <mergeCell ref="PHA11:PHM12"/>
    <mergeCell ref="PHN11:PHZ12"/>
    <mergeCell ref="PDA11:PDM12"/>
    <mergeCell ref="PDN11:PDZ12"/>
    <mergeCell ref="PEA11:PEM12"/>
    <mergeCell ref="PEN11:PEZ12"/>
    <mergeCell ref="PFA11:PFM12"/>
    <mergeCell ref="PUN11:PUZ12"/>
    <mergeCell ref="PVA11:PVM12"/>
    <mergeCell ref="PVN11:PVZ12"/>
    <mergeCell ref="PWA11:PWM12"/>
    <mergeCell ref="PWN11:PWZ12"/>
    <mergeCell ref="PSA11:PSM12"/>
    <mergeCell ref="PSN11:PSZ12"/>
    <mergeCell ref="PTA11:PTM12"/>
    <mergeCell ref="PTN11:PTZ12"/>
    <mergeCell ref="PUA11:PUM12"/>
    <mergeCell ref="PPN11:PPZ12"/>
    <mergeCell ref="PQA11:PQM12"/>
    <mergeCell ref="PQN11:PQZ12"/>
    <mergeCell ref="PRA11:PRM12"/>
    <mergeCell ref="PRN11:PRZ12"/>
    <mergeCell ref="PNA11:PNM12"/>
    <mergeCell ref="PNN11:PNZ12"/>
    <mergeCell ref="POA11:POM12"/>
    <mergeCell ref="PON11:POZ12"/>
    <mergeCell ref="PPA11:PPM12"/>
    <mergeCell ref="QEN11:QEZ12"/>
    <mergeCell ref="QFA11:QFM12"/>
    <mergeCell ref="QFN11:QFZ12"/>
    <mergeCell ref="QGA11:QGM12"/>
    <mergeCell ref="QGN11:QGZ12"/>
    <mergeCell ref="QCA11:QCM12"/>
    <mergeCell ref="QCN11:QCZ12"/>
    <mergeCell ref="QDA11:QDM12"/>
    <mergeCell ref="QDN11:QDZ12"/>
    <mergeCell ref="QEA11:QEM12"/>
    <mergeCell ref="PZN11:PZZ12"/>
    <mergeCell ref="QAA11:QAM12"/>
    <mergeCell ref="QAN11:QAZ12"/>
    <mergeCell ref="QBA11:QBM12"/>
    <mergeCell ref="QBN11:QBZ12"/>
    <mergeCell ref="PXA11:PXM12"/>
    <mergeCell ref="PXN11:PXZ12"/>
    <mergeCell ref="PYA11:PYM12"/>
    <mergeCell ref="PYN11:PYZ12"/>
    <mergeCell ref="PZA11:PZM12"/>
    <mergeCell ref="QON11:QOZ12"/>
    <mergeCell ref="QPA11:QPM12"/>
    <mergeCell ref="QPN11:QPZ12"/>
    <mergeCell ref="QQA11:QQM12"/>
    <mergeCell ref="QQN11:QQZ12"/>
    <mergeCell ref="QMA11:QMM12"/>
    <mergeCell ref="QMN11:QMZ12"/>
    <mergeCell ref="QNA11:QNM12"/>
    <mergeCell ref="QNN11:QNZ12"/>
    <mergeCell ref="QOA11:QOM12"/>
    <mergeCell ref="QJN11:QJZ12"/>
    <mergeCell ref="QKA11:QKM12"/>
    <mergeCell ref="QKN11:QKZ12"/>
    <mergeCell ref="QLA11:QLM12"/>
    <mergeCell ref="QLN11:QLZ12"/>
    <mergeCell ref="QHA11:QHM12"/>
    <mergeCell ref="QHN11:QHZ12"/>
    <mergeCell ref="QIA11:QIM12"/>
    <mergeCell ref="QIN11:QIZ12"/>
    <mergeCell ref="QJA11:QJM12"/>
    <mergeCell ref="QYN11:QYZ12"/>
    <mergeCell ref="QZA11:QZM12"/>
    <mergeCell ref="QZN11:QZZ12"/>
    <mergeCell ref="RAA11:RAM12"/>
    <mergeCell ref="RAN11:RAZ12"/>
    <mergeCell ref="QWA11:QWM12"/>
    <mergeCell ref="QWN11:QWZ12"/>
    <mergeCell ref="QXA11:QXM12"/>
    <mergeCell ref="QXN11:QXZ12"/>
    <mergeCell ref="QYA11:QYM12"/>
    <mergeCell ref="QTN11:QTZ12"/>
    <mergeCell ref="QUA11:QUM12"/>
    <mergeCell ref="QUN11:QUZ12"/>
    <mergeCell ref="QVA11:QVM12"/>
    <mergeCell ref="QVN11:QVZ12"/>
    <mergeCell ref="QRA11:QRM12"/>
    <mergeCell ref="QRN11:QRZ12"/>
    <mergeCell ref="QSA11:QSM12"/>
    <mergeCell ref="QSN11:QSZ12"/>
    <mergeCell ref="QTA11:QTM12"/>
    <mergeCell ref="RIN11:RIZ12"/>
    <mergeCell ref="RJA11:RJM12"/>
    <mergeCell ref="RJN11:RJZ12"/>
    <mergeCell ref="RKA11:RKM12"/>
    <mergeCell ref="RKN11:RKZ12"/>
    <mergeCell ref="RGA11:RGM12"/>
    <mergeCell ref="RGN11:RGZ12"/>
    <mergeCell ref="RHA11:RHM12"/>
    <mergeCell ref="RHN11:RHZ12"/>
    <mergeCell ref="RIA11:RIM12"/>
    <mergeCell ref="RDN11:RDZ12"/>
    <mergeCell ref="REA11:REM12"/>
    <mergeCell ref="REN11:REZ12"/>
    <mergeCell ref="RFA11:RFM12"/>
    <mergeCell ref="RFN11:RFZ12"/>
    <mergeCell ref="RBA11:RBM12"/>
    <mergeCell ref="RBN11:RBZ12"/>
    <mergeCell ref="RCA11:RCM12"/>
    <mergeCell ref="RCN11:RCZ12"/>
    <mergeCell ref="RDA11:RDM12"/>
    <mergeCell ref="RSN11:RSZ12"/>
    <mergeCell ref="RTA11:RTM12"/>
    <mergeCell ref="RTN11:RTZ12"/>
    <mergeCell ref="RUA11:RUM12"/>
    <mergeCell ref="RUN11:RUZ12"/>
    <mergeCell ref="RQA11:RQM12"/>
    <mergeCell ref="RQN11:RQZ12"/>
    <mergeCell ref="RRA11:RRM12"/>
    <mergeCell ref="RRN11:RRZ12"/>
    <mergeCell ref="RSA11:RSM12"/>
    <mergeCell ref="RNN11:RNZ12"/>
    <mergeCell ref="ROA11:ROM12"/>
    <mergeCell ref="RON11:ROZ12"/>
    <mergeCell ref="RPA11:RPM12"/>
    <mergeCell ref="RPN11:RPZ12"/>
    <mergeCell ref="RLA11:RLM12"/>
    <mergeCell ref="RLN11:RLZ12"/>
    <mergeCell ref="RMA11:RMM12"/>
    <mergeCell ref="RMN11:RMZ12"/>
    <mergeCell ref="RNA11:RNM12"/>
    <mergeCell ref="SCN11:SCZ12"/>
    <mergeCell ref="SDA11:SDM12"/>
    <mergeCell ref="SDN11:SDZ12"/>
    <mergeCell ref="SEA11:SEM12"/>
    <mergeCell ref="SEN11:SEZ12"/>
    <mergeCell ref="SAA11:SAM12"/>
    <mergeCell ref="SAN11:SAZ12"/>
    <mergeCell ref="SBA11:SBM12"/>
    <mergeCell ref="SBN11:SBZ12"/>
    <mergeCell ref="SCA11:SCM12"/>
    <mergeCell ref="RXN11:RXZ12"/>
    <mergeCell ref="RYA11:RYM12"/>
    <mergeCell ref="RYN11:RYZ12"/>
    <mergeCell ref="RZA11:RZM12"/>
    <mergeCell ref="RZN11:RZZ12"/>
    <mergeCell ref="RVA11:RVM12"/>
    <mergeCell ref="RVN11:RVZ12"/>
    <mergeCell ref="RWA11:RWM12"/>
    <mergeCell ref="RWN11:RWZ12"/>
    <mergeCell ref="RXA11:RXM12"/>
    <mergeCell ref="SMN11:SMZ12"/>
    <mergeCell ref="SNA11:SNM12"/>
    <mergeCell ref="SNN11:SNZ12"/>
    <mergeCell ref="SOA11:SOM12"/>
    <mergeCell ref="SON11:SOZ12"/>
    <mergeCell ref="SKA11:SKM12"/>
    <mergeCell ref="SKN11:SKZ12"/>
    <mergeCell ref="SLA11:SLM12"/>
    <mergeCell ref="SLN11:SLZ12"/>
    <mergeCell ref="SMA11:SMM12"/>
    <mergeCell ref="SHN11:SHZ12"/>
    <mergeCell ref="SIA11:SIM12"/>
    <mergeCell ref="SIN11:SIZ12"/>
    <mergeCell ref="SJA11:SJM12"/>
    <mergeCell ref="SJN11:SJZ12"/>
    <mergeCell ref="SFA11:SFM12"/>
    <mergeCell ref="SFN11:SFZ12"/>
    <mergeCell ref="SGA11:SGM12"/>
    <mergeCell ref="SGN11:SGZ12"/>
    <mergeCell ref="SHA11:SHM12"/>
    <mergeCell ref="SWN11:SWZ12"/>
    <mergeCell ref="SXA11:SXM12"/>
    <mergeCell ref="SXN11:SXZ12"/>
    <mergeCell ref="SYA11:SYM12"/>
    <mergeCell ref="SYN11:SYZ12"/>
    <mergeCell ref="SUA11:SUM12"/>
    <mergeCell ref="SUN11:SUZ12"/>
    <mergeCell ref="SVA11:SVM12"/>
    <mergeCell ref="SVN11:SVZ12"/>
    <mergeCell ref="SWA11:SWM12"/>
    <mergeCell ref="SRN11:SRZ12"/>
    <mergeCell ref="SSA11:SSM12"/>
    <mergeCell ref="SSN11:SSZ12"/>
    <mergeCell ref="STA11:STM12"/>
    <mergeCell ref="STN11:STZ12"/>
    <mergeCell ref="SPA11:SPM12"/>
    <mergeCell ref="SPN11:SPZ12"/>
    <mergeCell ref="SQA11:SQM12"/>
    <mergeCell ref="SQN11:SQZ12"/>
    <mergeCell ref="SRA11:SRM12"/>
    <mergeCell ref="TGN11:TGZ12"/>
    <mergeCell ref="THA11:THM12"/>
    <mergeCell ref="THN11:THZ12"/>
    <mergeCell ref="TIA11:TIM12"/>
    <mergeCell ref="TIN11:TIZ12"/>
    <mergeCell ref="TEA11:TEM12"/>
    <mergeCell ref="TEN11:TEZ12"/>
    <mergeCell ref="TFA11:TFM12"/>
    <mergeCell ref="TFN11:TFZ12"/>
    <mergeCell ref="TGA11:TGM12"/>
    <mergeCell ref="TBN11:TBZ12"/>
    <mergeCell ref="TCA11:TCM12"/>
    <mergeCell ref="TCN11:TCZ12"/>
    <mergeCell ref="TDA11:TDM12"/>
    <mergeCell ref="TDN11:TDZ12"/>
    <mergeCell ref="SZA11:SZM12"/>
    <mergeCell ref="SZN11:SZZ12"/>
    <mergeCell ref="TAA11:TAM12"/>
    <mergeCell ref="TAN11:TAZ12"/>
    <mergeCell ref="TBA11:TBM12"/>
    <mergeCell ref="TQN11:TQZ12"/>
    <mergeCell ref="TRA11:TRM12"/>
    <mergeCell ref="TRN11:TRZ12"/>
    <mergeCell ref="TSA11:TSM12"/>
    <mergeCell ref="TSN11:TSZ12"/>
    <mergeCell ref="TOA11:TOM12"/>
    <mergeCell ref="TON11:TOZ12"/>
    <mergeCell ref="TPA11:TPM12"/>
    <mergeCell ref="TPN11:TPZ12"/>
    <mergeCell ref="TQA11:TQM12"/>
    <mergeCell ref="TLN11:TLZ12"/>
    <mergeCell ref="TMA11:TMM12"/>
    <mergeCell ref="TMN11:TMZ12"/>
    <mergeCell ref="TNA11:TNM12"/>
    <mergeCell ref="TNN11:TNZ12"/>
    <mergeCell ref="TJA11:TJM12"/>
    <mergeCell ref="TJN11:TJZ12"/>
    <mergeCell ref="TKA11:TKM12"/>
    <mergeCell ref="TKN11:TKZ12"/>
    <mergeCell ref="TLA11:TLM12"/>
    <mergeCell ref="UAN11:UAZ12"/>
    <mergeCell ref="UBA11:UBM12"/>
    <mergeCell ref="UBN11:UBZ12"/>
    <mergeCell ref="UCA11:UCM12"/>
    <mergeCell ref="UCN11:UCZ12"/>
    <mergeCell ref="TYA11:TYM12"/>
    <mergeCell ref="TYN11:TYZ12"/>
    <mergeCell ref="TZA11:TZM12"/>
    <mergeCell ref="TZN11:TZZ12"/>
    <mergeCell ref="UAA11:UAM12"/>
    <mergeCell ref="TVN11:TVZ12"/>
    <mergeCell ref="TWA11:TWM12"/>
    <mergeCell ref="TWN11:TWZ12"/>
    <mergeCell ref="TXA11:TXM12"/>
    <mergeCell ref="TXN11:TXZ12"/>
    <mergeCell ref="TTA11:TTM12"/>
    <mergeCell ref="TTN11:TTZ12"/>
    <mergeCell ref="TUA11:TUM12"/>
    <mergeCell ref="TUN11:TUZ12"/>
    <mergeCell ref="TVA11:TVM12"/>
    <mergeCell ref="UKN11:UKZ12"/>
    <mergeCell ref="ULA11:ULM12"/>
    <mergeCell ref="ULN11:ULZ12"/>
    <mergeCell ref="UMA11:UMM12"/>
    <mergeCell ref="UMN11:UMZ12"/>
    <mergeCell ref="UIA11:UIM12"/>
    <mergeCell ref="UIN11:UIZ12"/>
    <mergeCell ref="UJA11:UJM12"/>
    <mergeCell ref="UJN11:UJZ12"/>
    <mergeCell ref="UKA11:UKM12"/>
    <mergeCell ref="UFN11:UFZ12"/>
    <mergeCell ref="UGA11:UGM12"/>
    <mergeCell ref="UGN11:UGZ12"/>
    <mergeCell ref="UHA11:UHM12"/>
    <mergeCell ref="UHN11:UHZ12"/>
    <mergeCell ref="UDA11:UDM12"/>
    <mergeCell ref="UDN11:UDZ12"/>
    <mergeCell ref="UEA11:UEM12"/>
    <mergeCell ref="UEN11:UEZ12"/>
    <mergeCell ref="UFA11:UFM12"/>
    <mergeCell ref="UUN11:UUZ12"/>
    <mergeCell ref="UVA11:UVM12"/>
    <mergeCell ref="UVN11:UVZ12"/>
    <mergeCell ref="UWA11:UWM12"/>
    <mergeCell ref="UWN11:UWZ12"/>
    <mergeCell ref="USA11:USM12"/>
    <mergeCell ref="USN11:USZ12"/>
    <mergeCell ref="UTA11:UTM12"/>
    <mergeCell ref="UTN11:UTZ12"/>
    <mergeCell ref="UUA11:UUM12"/>
    <mergeCell ref="UPN11:UPZ12"/>
    <mergeCell ref="UQA11:UQM12"/>
    <mergeCell ref="UQN11:UQZ12"/>
    <mergeCell ref="URA11:URM12"/>
    <mergeCell ref="URN11:URZ12"/>
    <mergeCell ref="UNA11:UNM12"/>
    <mergeCell ref="UNN11:UNZ12"/>
    <mergeCell ref="UOA11:UOM12"/>
    <mergeCell ref="UON11:UOZ12"/>
    <mergeCell ref="UPA11:UPM12"/>
    <mergeCell ref="VEN11:VEZ12"/>
    <mergeCell ref="VFA11:VFM12"/>
    <mergeCell ref="VFN11:VFZ12"/>
    <mergeCell ref="VGA11:VGM12"/>
    <mergeCell ref="VGN11:VGZ12"/>
    <mergeCell ref="VCA11:VCM12"/>
    <mergeCell ref="VCN11:VCZ12"/>
    <mergeCell ref="VDA11:VDM12"/>
    <mergeCell ref="VDN11:VDZ12"/>
    <mergeCell ref="VEA11:VEM12"/>
    <mergeCell ref="UZN11:UZZ12"/>
    <mergeCell ref="VAA11:VAM12"/>
    <mergeCell ref="VAN11:VAZ12"/>
    <mergeCell ref="VBA11:VBM12"/>
    <mergeCell ref="VBN11:VBZ12"/>
    <mergeCell ref="UXA11:UXM12"/>
    <mergeCell ref="UXN11:UXZ12"/>
    <mergeCell ref="UYA11:UYM12"/>
    <mergeCell ref="UYN11:UYZ12"/>
    <mergeCell ref="UZA11:UZM12"/>
    <mergeCell ref="VON11:VOZ12"/>
    <mergeCell ref="VPA11:VPM12"/>
    <mergeCell ref="VPN11:VPZ12"/>
    <mergeCell ref="VQA11:VQM12"/>
    <mergeCell ref="VQN11:VQZ12"/>
    <mergeCell ref="VMA11:VMM12"/>
    <mergeCell ref="VMN11:VMZ12"/>
    <mergeCell ref="VNA11:VNM12"/>
    <mergeCell ref="VNN11:VNZ12"/>
    <mergeCell ref="VOA11:VOM12"/>
    <mergeCell ref="VJN11:VJZ12"/>
    <mergeCell ref="VKA11:VKM12"/>
    <mergeCell ref="VKN11:VKZ12"/>
    <mergeCell ref="VLA11:VLM12"/>
    <mergeCell ref="VLN11:VLZ12"/>
    <mergeCell ref="VHA11:VHM12"/>
    <mergeCell ref="VHN11:VHZ12"/>
    <mergeCell ref="VIA11:VIM12"/>
    <mergeCell ref="VIN11:VIZ12"/>
    <mergeCell ref="VJA11:VJM12"/>
    <mergeCell ref="VYN11:VYZ12"/>
    <mergeCell ref="VZA11:VZM12"/>
    <mergeCell ref="VZN11:VZZ12"/>
    <mergeCell ref="WAA11:WAM12"/>
    <mergeCell ref="WAN11:WAZ12"/>
    <mergeCell ref="VWA11:VWM12"/>
    <mergeCell ref="VWN11:VWZ12"/>
    <mergeCell ref="VXA11:VXM12"/>
    <mergeCell ref="VXN11:VXZ12"/>
    <mergeCell ref="VYA11:VYM12"/>
    <mergeCell ref="VTN11:VTZ12"/>
    <mergeCell ref="VUA11:VUM12"/>
    <mergeCell ref="VUN11:VUZ12"/>
    <mergeCell ref="VVA11:VVM12"/>
    <mergeCell ref="VVN11:VVZ12"/>
    <mergeCell ref="VRA11:VRM12"/>
    <mergeCell ref="VRN11:VRZ12"/>
    <mergeCell ref="VSA11:VSM12"/>
    <mergeCell ref="VSN11:VSZ12"/>
    <mergeCell ref="VTA11:VTM12"/>
    <mergeCell ref="WIN11:WIZ12"/>
    <mergeCell ref="WJA11:WJM12"/>
    <mergeCell ref="WJN11:WJZ12"/>
    <mergeCell ref="WKA11:WKM12"/>
    <mergeCell ref="WKN11:WKZ12"/>
    <mergeCell ref="WGA11:WGM12"/>
    <mergeCell ref="WGN11:WGZ12"/>
    <mergeCell ref="WHA11:WHM12"/>
    <mergeCell ref="WHN11:WHZ12"/>
    <mergeCell ref="WIA11:WIM12"/>
    <mergeCell ref="WDN11:WDZ12"/>
    <mergeCell ref="WEA11:WEM12"/>
    <mergeCell ref="WEN11:WEZ12"/>
    <mergeCell ref="WFA11:WFM12"/>
    <mergeCell ref="WFN11:WFZ12"/>
    <mergeCell ref="WBA11:WBM12"/>
    <mergeCell ref="WBN11:WBZ12"/>
    <mergeCell ref="WCA11:WCM12"/>
    <mergeCell ref="WCN11:WCZ12"/>
    <mergeCell ref="WDA11:WDM12"/>
    <mergeCell ref="WSN11:WSZ12"/>
    <mergeCell ref="WTA11:WTM12"/>
    <mergeCell ref="WTN11:WTZ12"/>
    <mergeCell ref="WUA11:WUM12"/>
    <mergeCell ref="WUN11:WUZ12"/>
    <mergeCell ref="WQA11:WQM12"/>
    <mergeCell ref="WQN11:WQZ12"/>
    <mergeCell ref="WRA11:WRM12"/>
    <mergeCell ref="WRN11:WRZ12"/>
    <mergeCell ref="WSA11:WSM12"/>
    <mergeCell ref="WNN11:WNZ12"/>
    <mergeCell ref="WOA11:WOM12"/>
    <mergeCell ref="WON11:WOZ12"/>
    <mergeCell ref="WPA11:WPM12"/>
    <mergeCell ref="WPN11:WPZ12"/>
    <mergeCell ref="WLA11:WLM12"/>
    <mergeCell ref="WLN11:WLZ12"/>
    <mergeCell ref="WMA11:WMM12"/>
    <mergeCell ref="WMN11:WMZ12"/>
    <mergeCell ref="WNA11:WNM12"/>
    <mergeCell ref="XFA11:XFD12"/>
    <mergeCell ref="XCN11:XCZ12"/>
    <mergeCell ref="XDA11:XDM12"/>
    <mergeCell ref="XDN11:XDZ12"/>
    <mergeCell ref="XEA11:XEM12"/>
    <mergeCell ref="XEN11:XEZ12"/>
    <mergeCell ref="XAA11:XAM12"/>
    <mergeCell ref="XAN11:XAZ12"/>
    <mergeCell ref="XBA11:XBM12"/>
    <mergeCell ref="XBN11:XBZ12"/>
    <mergeCell ref="XCA11:XCM12"/>
    <mergeCell ref="WXN11:WXZ12"/>
    <mergeCell ref="WYA11:WYM12"/>
    <mergeCell ref="WYN11:WYZ12"/>
    <mergeCell ref="WZA11:WZM12"/>
    <mergeCell ref="WZN11:WZZ12"/>
    <mergeCell ref="WVA11:WVM12"/>
    <mergeCell ref="WVN11:WVZ12"/>
    <mergeCell ref="WWA11:WWM12"/>
    <mergeCell ref="WWN11:WWZ12"/>
    <mergeCell ref="WXA11:WXM12"/>
  </mergeCells>
  <phoneticPr fontId="7" type="noConversion"/>
  <pageMargins left="0.75" right="0.75" top="1" bottom="1" header="0.5" footer="0.5"/>
  <pageSetup scale="84"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FFFF"/>
    <pageSetUpPr fitToPage="1"/>
  </sheetPr>
  <dimension ref="A1:Y72"/>
  <sheetViews>
    <sheetView workbookViewId="0">
      <pane xSplit="1" ySplit="5" topLeftCell="B20" activePane="bottomRight" state="frozen"/>
      <selection activeCell="B36" sqref="B36"/>
      <selection pane="topRight" activeCell="B36" sqref="B36"/>
      <selection pane="bottomLeft" activeCell="B36" sqref="B36"/>
      <selection pane="bottomRight" activeCell="B30" sqref="B30"/>
    </sheetView>
  </sheetViews>
  <sheetFormatPr defaultRowHeight="12.75" x14ac:dyDescent="0.2"/>
  <cols>
    <col min="1" max="1" width="12.28515625" customWidth="1"/>
    <col min="2" max="3" width="10.28515625" customWidth="1"/>
    <col min="4" max="4" width="11" customWidth="1"/>
    <col min="5" max="5" width="10" customWidth="1"/>
    <col min="6" max="6" width="10.5703125" customWidth="1"/>
    <col min="7" max="8" width="10.7109375" customWidth="1"/>
    <col min="9" max="10" width="11.42578125" customWidth="1"/>
    <col min="11" max="11" width="12.28515625" customWidth="1"/>
    <col min="12" max="12" width="10.42578125" customWidth="1"/>
    <col min="13" max="13" width="11" style="2" customWidth="1"/>
    <col min="14" max="14" width="10.42578125" customWidth="1"/>
    <col min="15" max="15" width="9.5703125" customWidth="1"/>
    <col min="16" max="17" width="10.28515625" customWidth="1"/>
    <col min="18" max="18" width="11" customWidth="1"/>
    <col min="19" max="19" width="10" customWidth="1"/>
    <col min="20" max="21" width="10.28515625" customWidth="1"/>
    <col min="23" max="23" width="9.28515625" bestFit="1" customWidth="1"/>
    <col min="24" max="24" width="10.28515625" bestFit="1" customWidth="1"/>
    <col min="25" max="25" width="9.28515625" bestFit="1" customWidth="1"/>
  </cols>
  <sheetData>
    <row r="1" spans="1:25" ht="15.75" x14ac:dyDescent="0.25">
      <c r="A1" s="4" t="str">
        <f>'RES Audit Alt'!A1</f>
        <v>Conservation Savings @ Meter</v>
      </c>
      <c r="B1" s="4"/>
      <c r="C1" s="4"/>
      <c r="D1" s="4"/>
      <c r="E1" s="4"/>
      <c r="F1" s="4"/>
      <c r="G1" s="4"/>
      <c r="H1" s="249"/>
      <c r="I1" s="249"/>
      <c r="J1" s="4"/>
      <c r="K1" s="4"/>
      <c r="L1" s="4"/>
      <c r="M1" s="4"/>
      <c r="N1" s="4"/>
      <c r="V1" s="2"/>
    </row>
    <row r="2" spans="1:25" ht="16.5" thickBot="1" x14ac:dyDescent="0.3">
      <c r="A2" s="5" t="str">
        <f>'RES Audit Alt'!A2</f>
        <v>PROGRAM:</v>
      </c>
      <c r="B2" s="27" t="s">
        <v>204</v>
      </c>
      <c r="C2" s="27"/>
      <c r="D2" s="27"/>
      <c r="E2" s="27"/>
      <c r="F2" s="23"/>
      <c r="J2" s="4"/>
      <c r="K2" s="4"/>
      <c r="L2" s="4"/>
      <c r="M2" s="4"/>
      <c r="N2" s="4"/>
      <c r="V2" s="2"/>
    </row>
    <row r="3" spans="1:25" ht="16.5" thickBot="1" x14ac:dyDescent="0.3">
      <c r="A3" s="4"/>
      <c r="B3" s="4"/>
      <c r="C3" s="4"/>
      <c r="D3" s="4"/>
      <c r="E3" s="4"/>
      <c r="F3" s="4"/>
      <c r="G3" s="1463" t="s">
        <v>20</v>
      </c>
      <c r="H3" s="1464"/>
      <c r="I3" s="1465"/>
      <c r="J3" s="4"/>
      <c r="K3" s="4"/>
      <c r="L3" s="4"/>
      <c r="M3" s="4"/>
      <c r="N3" s="4"/>
      <c r="V3" s="2"/>
    </row>
    <row r="4" spans="1:25" ht="16.5" thickBot="1" x14ac:dyDescent="0.3">
      <c r="A4" s="26"/>
      <c r="B4" s="1466" t="s">
        <v>26</v>
      </c>
      <c r="C4" s="1467"/>
      <c r="D4" s="1467"/>
      <c r="E4" s="1467"/>
      <c r="F4" s="1467"/>
      <c r="G4" s="1467"/>
      <c r="H4" s="1467"/>
      <c r="I4" s="1468"/>
      <c r="J4" s="1466" t="s">
        <v>27</v>
      </c>
      <c r="K4" s="1467"/>
      <c r="L4" s="1467"/>
      <c r="M4" s="1468"/>
      <c r="N4" s="1466" t="s">
        <v>34</v>
      </c>
      <c r="O4" s="1467"/>
      <c r="P4" s="1467"/>
      <c r="Q4" s="1468"/>
      <c r="R4" s="1466" t="s">
        <v>28</v>
      </c>
      <c r="S4" s="1467"/>
      <c r="T4" s="1467"/>
      <c r="U4" s="1468"/>
      <c r="V4" s="2"/>
    </row>
    <row r="5" spans="1:25"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5" s="19" customFormat="1" ht="15" customHeight="1" x14ac:dyDescent="0.2">
      <c r="A6" s="68" t="s">
        <v>37</v>
      </c>
      <c r="B6" s="48"/>
      <c r="C6" s="659">
        <v>0</v>
      </c>
      <c r="D6" s="628"/>
      <c r="E6" s="15"/>
      <c r="F6" s="31"/>
      <c r="G6" s="208"/>
      <c r="H6" s="15"/>
      <c r="I6" s="31"/>
      <c r="J6" s="37"/>
      <c r="K6" s="59"/>
      <c r="L6" s="6"/>
      <c r="M6" s="46"/>
      <c r="N6" s="40"/>
      <c r="O6" s="670"/>
      <c r="P6" s="57"/>
      <c r="Q6" s="41"/>
      <c r="R6" s="43"/>
      <c r="S6" s="24"/>
      <c r="T6" s="21"/>
      <c r="U6" s="47"/>
      <c r="V6" s="3"/>
    </row>
    <row r="7" spans="1:25" s="1" customFormat="1" ht="15.75" customHeight="1" x14ac:dyDescent="0.2">
      <c r="A7" s="68" t="s">
        <v>63</v>
      </c>
      <c r="B7" s="30"/>
      <c r="C7" s="659">
        <v>0</v>
      </c>
      <c r="D7" s="628"/>
      <c r="E7" s="15"/>
      <c r="F7" s="31"/>
      <c r="G7" s="208"/>
      <c r="H7" s="15"/>
      <c r="I7" s="31"/>
      <c r="J7" s="37"/>
      <c r="K7" s="59"/>
      <c r="L7" s="6"/>
      <c r="M7" s="46"/>
      <c r="N7" s="40"/>
      <c r="O7" s="670"/>
      <c r="P7" s="57"/>
      <c r="Q7" s="41"/>
      <c r="R7" s="43"/>
      <c r="S7" s="24"/>
      <c r="T7" s="21"/>
      <c r="U7" s="47"/>
      <c r="V7" s="3"/>
      <c r="W7" s="1" t="s">
        <v>53</v>
      </c>
    </row>
    <row r="8" spans="1:25" x14ac:dyDescent="0.2">
      <c r="A8" s="33">
        <v>1995</v>
      </c>
      <c r="B8" s="30">
        <v>0</v>
      </c>
      <c r="C8" s="660">
        <v>0</v>
      </c>
      <c r="D8" s="662"/>
      <c r="E8" s="663"/>
      <c r="F8" s="617"/>
      <c r="G8" s="626"/>
      <c r="H8" s="72"/>
      <c r="I8" s="630"/>
      <c r="J8" s="61">
        <v>0</v>
      </c>
      <c r="K8" s="188"/>
      <c r="L8" s="188"/>
      <c r="M8" s="188"/>
      <c r="N8" s="51">
        <v>0</v>
      </c>
      <c r="O8" s="670"/>
      <c r="P8" s="670"/>
      <c r="Q8" s="670"/>
      <c r="R8" s="247">
        <v>0</v>
      </c>
      <c r="S8" s="24"/>
      <c r="T8" s="25"/>
      <c r="U8" s="654"/>
      <c r="V8" s="9"/>
      <c r="W8" t="s">
        <v>50</v>
      </c>
      <c r="X8" s="1" t="s">
        <v>51</v>
      </c>
      <c r="Y8" t="s">
        <v>52</v>
      </c>
    </row>
    <row r="9" spans="1:25" x14ac:dyDescent="0.2">
      <c r="A9" s="33">
        <v>1996</v>
      </c>
      <c r="B9" s="30">
        <v>2770</v>
      </c>
      <c r="C9" s="660">
        <f>+B9</f>
        <v>2770</v>
      </c>
      <c r="D9" s="662">
        <v>0.03</v>
      </c>
      <c r="E9" s="663">
        <v>6.8000000000000005E-2</v>
      </c>
      <c r="F9" s="617">
        <v>250</v>
      </c>
      <c r="G9" s="626">
        <f t="shared" ref="G9:G23" si="0">+$B9*D9/1000</f>
        <v>8.3099999999999993E-2</v>
      </c>
      <c r="H9" s="72">
        <f t="shared" ref="H9:H23" si="1">+$B9*E9/1000</f>
        <v>0.18836000000000003</v>
      </c>
      <c r="I9" s="630">
        <f t="shared" ref="I9:I23" si="2">+$B9*F9/1000000</f>
        <v>0.6925</v>
      </c>
      <c r="J9" s="61">
        <f t="shared" ref="J9:J15" si="3">+(((B9+B8)/2)+B8)</f>
        <v>1385</v>
      </c>
      <c r="K9" s="188">
        <f t="shared" ref="K9:K16" si="4">+D9</f>
        <v>0.03</v>
      </c>
      <c r="L9" s="188">
        <f t="shared" ref="L9:L16" si="5">+J9*K9/1000</f>
        <v>4.1549999999999997E-2</v>
      </c>
      <c r="M9" s="188">
        <f>+M8+L9</f>
        <v>4.1549999999999997E-2</v>
      </c>
      <c r="N9" s="54">
        <f t="shared" ref="N9:N15" si="6">+B8</f>
        <v>0</v>
      </c>
      <c r="O9" s="670">
        <f t="shared" ref="O9:O16" si="7">+E9</f>
        <v>6.8000000000000005E-2</v>
      </c>
      <c r="P9" s="670">
        <f t="shared" ref="P9:P16" si="8">+N9*O9/1000</f>
        <v>0</v>
      </c>
      <c r="Q9" s="670">
        <f t="shared" ref="Q9:Q16" si="9">+Q8+P9</f>
        <v>0</v>
      </c>
      <c r="R9" s="247">
        <f t="shared" ref="R9:R16" si="10">+(B9+B8)/2</f>
        <v>1385</v>
      </c>
      <c r="S9" s="24">
        <f t="shared" ref="S9:S16" si="11">+F9</f>
        <v>250</v>
      </c>
      <c r="T9" s="25">
        <f t="shared" ref="T9:T16" si="12">+R9*S9/1000000</f>
        <v>0.34625</v>
      </c>
      <c r="U9" s="654">
        <f>+U8+T9</f>
        <v>0.34625</v>
      </c>
      <c r="V9" s="10"/>
      <c r="W9">
        <f>+M9+'RES Audit RCS'!M9+'RES Audit Alt'!M9</f>
        <v>11.523490000000001</v>
      </c>
      <c r="X9" s="1">
        <f>+Q9+'RES Audit RCS'!Q9+'RES Audit Alt'!Q9</f>
        <v>16.658040000000003</v>
      </c>
      <c r="Y9">
        <f>+U9+'RES Audit RCS'!U9+'RES Audit Alt'!U9</f>
        <v>45.024439000000008</v>
      </c>
    </row>
    <row r="10" spans="1:25" x14ac:dyDescent="0.2">
      <c r="A10" s="33">
        <v>1997</v>
      </c>
      <c r="B10" s="30">
        <v>12839</v>
      </c>
      <c r="C10" s="660">
        <f>+C9+B10</f>
        <v>15609</v>
      </c>
      <c r="D10" s="662">
        <v>3.0000000000000002E-2</v>
      </c>
      <c r="E10" s="663">
        <v>6.7999844224628084E-2</v>
      </c>
      <c r="F10" s="617">
        <v>250</v>
      </c>
      <c r="G10" s="626">
        <f t="shared" si="0"/>
        <v>0.38517000000000001</v>
      </c>
      <c r="H10" s="72">
        <f t="shared" si="1"/>
        <v>0.87304999999999999</v>
      </c>
      <c r="I10" s="630">
        <f t="shared" si="2"/>
        <v>3.2097500000000001</v>
      </c>
      <c r="J10" s="61">
        <f t="shared" si="3"/>
        <v>10574.5</v>
      </c>
      <c r="K10" s="188">
        <f t="shared" si="4"/>
        <v>3.0000000000000002E-2</v>
      </c>
      <c r="L10" s="188">
        <f t="shared" si="5"/>
        <v>0.31723499999999999</v>
      </c>
      <c r="M10" s="188">
        <f t="shared" ref="M10:M16" si="13">+M9+L10</f>
        <v>0.35878499999999997</v>
      </c>
      <c r="N10" s="54">
        <f t="shared" si="6"/>
        <v>2770</v>
      </c>
      <c r="O10" s="670">
        <f t="shared" si="7"/>
        <v>6.7999844224628084E-2</v>
      </c>
      <c r="P10" s="670">
        <f t="shared" si="8"/>
        <v>0.1883595685022198</v>
      </c>
      <c r="Q10" s="670">
        <f t="shared" si="9"/>
        <v>0.1883595685022198</v>
      </c>
      <c r="R10" s="247">
        <f t="shared" si="10"/>
        <v>7804.5</v>
      </c>
      <c r="S10" s="24">
        <f t="shared" si="11"/>
        <v>250</v>
      </c>
      <c r="T10" s="25">
        <f t="shared" si="12"/>
        <v>1.951125</v>
      </c>
      <c r="U10" s="654">
        <f t="shared" ref="U10:U16" si="14">+U9+T10</f>
        <v>2.2973750000000002</v>
      </c>
      <c r="V10" s="10"/>
      <c r="W10">
        <f>+M10+'RES Audit RCS'!M10+'RES Audit Alt'!M10</f>
        <v>12.051583290049606</v>
      </c>
      <c r="X10" s="1">
        <f>+Q10+'RES Audit RCS'!Q10+'RES Audit Alt'!Q10</f>
        <v>17.30017187372545</v>
      </c>
      <c r="Y10">
        <f>+U10+'RES Audit RCS'!U10+'RES Audit Alt'!U10</f>
        <v>48.730959264662978</v>
      </c>
    </row>
    <row r="11" spans="1:25" x14ac:dyDescent="0.2">
      <c r="A11" s="33">
        <v>1998</v>
      </c>
      <c r="B11" s="30">
        <v>12132</v>
      </c>
      <c r="C11" s="660">
        <f t="shared" ref="C11:C38" si="15">+C10+B11</f>
        <v>27741</v>
      </c>
      <c r="D11" s="662">
        <v>0.03</v>
      </c>
      <c r="E11" s="663">
        <v>6.8000329706561169E-2</v>
      </c>
      <c r="F11" s="617">
        <v>250</v>
      </c>
      <c r="G11" s="626">
        <f t="shared" si="0"/>
        <v>0.36396000000000001</v>
      </c>
      <c r="H11" s="72">
        <f t="shared" si="1"/>
        <v>0.82498000000000016</v>
      </c>
      <c r="I11" s="630">
        <f t="shared" si="2"/>
        <v>3.0329999999999999</v>
      </c>
      <c r="J11" s="61">
        <f t="shared" si="3"/>
        <v>25324.5</v>
      </c>
      <c r="K11" s="188">
        <f t="shared" si="4"/>
        <v>0.03</v>
      </c>
      <c r="L11" s="188">
        <f t="shared" si="5"/>
        <v>0.75973500000000005</v>
      </c>
      <c r="M11" s="188">
        <f t="shared" si="13"/>
        <v>1.11852</v>
      </c>
      <c r="N11" s="54">
        <f t="shared" si="6"/>
        <v>12839</v>
      </c>
      <c r="O11" s="670">
        <f t="shared" si="7"/>
        <v>6.8000329706561169E-2</v>
      </c>
      <c r="P11" s="670">
        <f t="shared" si="8"/>
        <v>0.87305623310253888</v>
      </c>
      <c r="Q11" s="670">
        <f t="shared" si="9"/>
        <v>1.0614158016047588</v>
      </c>
      <c r="R11" s="247">
        <f t="shared" si="10"/>
        <v>12485.5</v>
      </c>
      <c r="S11" s="24">
        <f t="shared" si="11"/>
        <v>250</v>
      </c>
      <c r="T11" s="25">
        <f t="shared" si="12"/>
        <v>3.121375</v>
      </c>
      <c r="U11" s="654">
        <f t="shared" si="14"/>
        <v>5.4187500000000002</v>
      </c>
      <c r="V11" s="10"/>
      <c r="W11">
        <f>+M11+'RES Audit RCS'!M11+'RES Audit Alt'!M11</f>
        <v>13.041278290049608</v>
      </c>
      <c r="X11" s="1">
        <f>+Q11+'RES Audit RCS'!Q11+'RES Audit Alt'!Q11</f>
        <v>18.790088106827987</v>
      </c>
      <c r="Y11">
        <f>+U11+'RES Audit RCS'!U11+'RES Audit Alt'!U11</f>
        <v>53.766751264662979</v>
      </c>
    </row>
    <row r="12" spans="1:25" x14ac:dyDescent="0.2">
      <c r="A12" s="33">
        <v>1999</v>
      </c>
      <c r="B12" s="30">
        <v>14074</v>
      </c>
      <c r="C12" s="660">
        <f t="shared" si="15"/>
        <v>41815</v>
      </c>
      <c r="D12" s="662">
        <v>0.03</v>
      </c>
      <c r="E12" s="663">
        <v>6.7999857893988921E-2</v>
      </c>
      <c r="F12" s="617">
        <v>250</v>
      </c>
      <c r="G12" s="626">
        <f t="shared" si="0"/>
        <v>0.42221999999999998</v>
      </c>
      <c r="H12" s="72">
        <f t="shared" si="1"/>
        <v>0.95703000000000005</v>
      </c>
      <c r="I12" s="630">
        <f t="shared" si="2"/>
        <v>3.5185</v>
      </c>
      <c r="J12" s="61">
        <f t="shared" si="3"/>
        <v>25235</v>
      </c>
      <c r="K12" s="188">
        <f t="shared" si="4"/>
        <v>0.03</v>
      </c>
      <c r="L12" s="188">
        <f t="shared" si="5"/>
        <v>0.75705</v>
      </c>
      <c r="M12" s="188">
        <f t="shared" si="13"/>
        <v>1.87557</v>
      </c>
      <c r="N12" s="54">
        <f t="shared" si="6"/>
        <v>12132</v>
      </c>
      <c r="O12" s="670">
        <f t="shared" si="7"/>
        <v>6.7999857893988921E-2</v>
      </c>
      <c r="P12" s="670">
        <f t="shared" si="8"/>
        <v>0.8249742759698736</v>
      </c>
      <c r="Q12" s="670">
        <f t="shared" si="9"/>
        <v>1.8863900775746325</v>
      </c>
      <c r="R12" s="247">
        <f t="shared" si="10"/>
        <v>13103</v>
      </c>
      <c r="S12" s="24">
        <f t="shared" si="11"/>
        <v>250</v>
      </c>
      <c r="T12" s="25">
        <f t="shared" si="12"/>
        <v>3.2757499999999999</v>
      </c>
      <c r="U12" s="654">
        <f t="shared" si="14"/>
        <v>8.6944999999999997</v>
      </c>
      <c r="V12" s="10"/>
      <c r="W12">
        <f>+M12+'RES Audit RCS'!M12+'RES Audit Alt'!M12</f>
        <v>13.991188290049607</v>
      </c>
      <c r="X12" s="1">
        <f>+Q12+'RES Audit RCS'!Q12+'RES Audit Alt'!Q12</f>
        <v>20.03302238279786</v>
      </c>
      <c r="Y12">
        <f>+U12+'RES Audit RCS'!U12+'RES Audit Alt'!U12</f>
        <v>58.648060764662979</v>
      </c>
    </row>
    <row r="13" spans="1:25" x14ac:dyDescent="0.2">
      <c r="A13" s="33">
        <v>2000</v>
      </c>
      <c r="B13" s="30">
        <v>12073</v>
      </c>
      <c r="C13" s="660">
        <f t="shared" si="15"/>
        <v>53888</v>
      </c>
      <c r="D13" s="662">
        <v>0.03</v>
      </c>
      <c r="E13" s="663">
        <v>6.7999668682183392E-2</v>
      </c>
      <c r="F13" s="617">
        <v>250</v>
      </c>
      <c r="G13" s="626">
        <f t="shared" si="0"/>
        <v>0.36219000000000001</v>
      </c>
      <c r="H13" s="72">
        <f t="shared" si="1"/>
        <v>0.82096000000000013</v>
      </c>
      <c r="I13" s="630">
        <f t="shared" si="2"/>
        <v>3.0182500000000001</v>
      </c>
      <c r="J13" s="61">
        <f t="shared" si="3"/>
        <v>27147.5</v>
      </c>
      <c r="K13" s="188">
        <f t="shared" si="4"/>
        <v>0.03</v>
      </c>
      <c r="L13" s="188">
        <f t="shared" si="5"/>
        <v>0.81442499999999995</v>
      </c>
      <c r="M13" s="188">
        <f t="shared" si="13"/>
        <v>2.6899949999999997</v>
      </c>
      <c r="N13" s="54">
        <f t="shared" si="6"/>
        <v>14074</v>
      </c>
      <c r="O13" s="670">
        <f t="shared" si="7"/>
        <v>6.7999668682183392E-2</v>
      </c>
      <c r="P13" s="670">
        <f t="shared" si="8"/>
        <v>0.9570273370330491</v>
      </c>
      <c r="Q13" s="670">
        <f t="shared" si="9"/>
        <v>2.8434174146076816</v>
      </c>
      <c r="R13" s="247">
        <f t="shared" si="10"/>
        <v>13073.5</v>
      </c>
      <c r="S13" s="24">
        <f t="shared" si="11"/>
        <v>250</v>
      </c>
      <c r="T13" s="25">
        <f t="shared" si="12"/>
        <v>3.2683749999999998</v>
      </c>
      <c r="U13" s="654">
        <f t="shared" si="14"/>
        <v>11.962875</v>
      </c>
      <c r="V13" s="9"/>
      <c r="W13">
        <f>+M13+'RES Audit RCS'!M13+'RES Audit Alt'!M13</f>
        <v>15.025993290049605</v>
      </c>
      <c r="X13" s="1">
        <f>+Q13+'RES Audit RCS'!Q13+'RES Audit Alt'!Q13</f>
        <v>21.43995971983091</v>
      </c>
      <c r="Y13">
        <f>+U13+'RES Audit RCS'!U13+'RES Audit Alt'!U13</f>
        <v>63.751099264662976</v>
      </c>
    </row>
    <row r="14" spans="1:25" x14ac:dyDescent="0.2">
      <c r="A14" s="33">
        <v>2001</v>
      </c>
      <c r="B14" s="30">
        <v>13322</v>
      </c>
      <c r="C14" s="660">
        <f t="shared" si="15"/>
        <v>67210</v>
      </c>
      <c r="D14" s="662">
        <v>3.0000000000000002E-2</v>
      </c>
      <c r="E14" s="663">
        <v>6.8000300255216944E-2</v>
      </c>
      <c r="F14" s="617">
        <v>250</v>
      </c>
      <c r="G14" s="626">
        <f t="shared" si="0"/>
        <v>0.39966000000000002</v>
      </c>
      <c r="H14" s="72">
        <f t="shared" si="1"/>
        <v>0.90590000000000004</v>
      </c>
      <c r="I14" s="630">
        <f t="shared" si="2"/>
        <v>3.3304999999999998</v>
      </c>
      <c r="J14" s="61">
        <f t="shared" si="3"/>
        <v>24770.5</v>
      </c>
      <c r="K14" s="188">
        <f t="shared" si="4"/>
        <v>3.0000000000000002E-2</v>
      </c>
      <c r="L14" s="188">
        <f t="shared" si="5"/>
        <v>0.74311499999999997</v>
      </c>
      <c r="M14" s="188">
        <f t="shared" si="13"/>
        <v>3.4331099999999997</v>
      </c>
      <c r="N14" s="54">
        <f t="shared" si="6"/>
        <v>12073</v>
      </c>
      <c r="O14" s="670">
        <f t="shared" si="7"/>
        <v>6.8000300255216944E-2</v>
      </c>
      <c r="P14" s="670">
        <f t="shared" si="8"/>
        <v>0.82096762498123421</v>
      </c>
      <c r="Q14" s="670">
        <f t="shared" si="9"/>
        <v>3.6643850395889159</v>
      </c>
      <c r="R14" s="247">
        <f t="shared" si="10"/>
        <v>12697.5</v>
      </c>
      <c r="S14" s="24">
        <f t="shared" si="11"/>
        <v>250</v>
      </c>
      <c r="T14" s="25">
        <f t="shared" si="12"/>
        <v>3.1743749999999999</v>
      </c>
      <c r="U14" s="654">
        <f t="shared" si="14"/>
        <v>15.13725</v>
      </c>
      <c r="V14" s="9"/>
      <c r="W14">
        <f>+M14+'RES Audit RCS'!M14+'RES Audit Alt'!M14</f>
        <v>16.031348290049607</v>
      </c>
      <c r="X14" s="1">
        <f>+Q14+'RES Audit RCS'!Q14+'RES Audit Alt'!Q14</f>
        <v>22.802727344812141</v>
      </c>
      <c r="Y14">
        <f>+U14+'RES Audit RCS'!U14+'RES Audit Alt'!U14</f>
        <v>69.108622264662984</v>
      </c>
    </row>
    <row r="15" spans="1:25" x14ac:dyDescent="0.2">
      <c r="A15" s="33">
        <v>2002</v>
      </c>
      <c r="B15" s="30">
        <v>11885</v>
      </c>
      <c r="C15" s="660">
        <f t="shared" si="15"/>
        <v>79095</v>
      </c>
      <c r="D15" s="662">
        <v>2.9999999999999995E-2</v>
      </c>
      <c r="E15" s="663">
        <v>6.8000000000000005E-2</v>
      </c>
      <c r="F15" s="617">
        <v>250</v>
      </c>
      <c r="G15" s="626">
        <f t="shared" si="0"/>
        <v>0.35654999999999998</v>
      </c>
      <c r="H15" s="72">
        <f t="shared" si="1"/>
        <v>0.80818000000000001</v>
      </c>
      <c r="I15" s="630">
        <f t="shared" si="2"/>
        <v>2.9712499999999999</v>
      </c>
      <c r="J15" s="61">
        <f t="shared" si="3"/>
        <v>25925.5</v>
      </c>
      <c r="K15" s="188">
        <f t="shared" si="4"/>
        <v>2.9999999999999995E-2</v>
      </c>
      <c r="L15" s="188">
        <f t="shared" si="5"/>
        <v>0.77776499999999982</v>
      </c>
      <c r="M15" s="188">
        <f t="shared" si="13"/>
        <v>4.2108749999999997</v>
      </c>
      <c r="N15" s="54">
        <f t="shared" si="6"/>
        <v>13322</v>
      </c>
      <c r="O15" s="670">
        <f t="shared" si="7"/>
        <v>6.8000000000000005E-2</v>
      </c>
      <c r="P15" s="670">
        <f t="shared" si="8"/>
        <v>0.90589600000000003</v>
      </c>
      <c r="Q15" s="670">
        <f t="shared" si="9"/>
        <v>4.5702810395889157</v>
      </c>
      <c r="R15" s="247">
        <f t="shared" si="10"/>
        <v>12603.5</v>
      </c>
      <c r="S15" s="24">
        <f t="shared" si="11"/>
        <v>250</v>
      </c>
      <c r="T15" s="25">
        <f t="shared" si="12"/>
        <v>3.1508750000000001</v>
      </c>
      <c r="U15" s="654">
        <f t="shared" si="14"/>
        <v>18.288125000000001</v>
      </c>
      <c r="V15" s="9"/>
      <c r="W15">
        <f>+M15+'RES Audit RCS'!M15+'RES Audit Alt'!M15</f>
        <v>17.123933290049607</v>
      </c>
      <c r="X15" s="1">
        <f>+Q15+'RES Audit RCS'!Q15+'RES Audit Alt'!Q15</f>
        <v>24.346903344812144</v>
      </c>
      <c r="Y15">
        <f>+U15+'RES Audit RCS'!U15+'RES Audit Alt'!U15</f>
        <v>74.880373764662977</v>
      </c>
    </row>
    <row r="16" spans="1:25" x14ac:dyDescent="0.2">
      <c r="A16" s="33">
        <v>2003</v>
      </c>
      <c r="B16" s="30">
        <v>13891</v>
      </c>
      <c r="C16" s="660">
        <f t="shared" si="15"/>
        <v>92986</v>
      </c>
      <c r="D16" s="662">
        <v>0.03</v>
      </c>
      <c r="E16" s="663">
        <v>6.8000143978115324E-2</v>
      </c>
      <c r="F16" s="617">
        <v>250</v>
      </c>
      <c r="G16" s="626">
        <f t="shared" si="0"/>
        <v>0.41672999999999993</v>
      </c>
      <c r="H16" s="72">
        <f t="shared" si="1"/>
        <v>0.94458999999999993</v>
      </c>
      <c r="I16" s="630">
        <f t="shared" si="2"/>
        <v>3.47275</v>
      </c>
      <c r="J16" s="61">
        <f>+(((B16+B15)/2)+B15)</f>
        <v>24773</v>
      </c>
      <c r="K16" s="188">
        <f t="shared" si="4"/>
        <v>0.03</v>
      </c>
      <c r="L16" s="188">
        <f t="shared" si="5"/>
        <v>0.74318999999999991</v>
      </c>
      <c r="M16" s="188">
        <f t="shared" si="13"/>
        <v>4.9540649999999999</v>
      </c>
      <c r="N16" s="54">
        <f>+B15</f>
        <v>11885</v>
      </c>
      <c r="O16" s="670">
        <f t="shared" si="7"/>
        <v>6.8000143978115324E-2</v>
      </c>
      <c r="P16" s="670">
        <f t="shared" si="8"/>
        <v>0.80818171117990056</v>
      </c>
      <c r="Q16" s="670">
        <f t="shared" si="9"/>
        <v>5.3784627507688167</v>
      </c>
      <c r="R16" s="247">
        <f t="shared" si="10"/>
        <v>12888</v>
      </c>
      <c r="S16" s="24">
        <f t="shared" si="11"/>
        <v>250</v>
      </c>
      <c r="T16" s="25">
        <f t="shared" si="12"/>
        <v>3.222</v>
      </c>
      <c r="U16" s="654">
        <f t="shared" si="14"/>
        <v>21.510125000000002</v>
      </c>
      <c r="V16" s="9"/>
      <c r="W16">
        <f>+M16+'RES Audit RCS'!M16+'RES Audit Alt'!M16</f>
        <v>18.233183290049606</v>
      </c>
      <c r="X16" s="1">
        <f>+Q16+'RES Audit RCS'!Q16+'RES Audit Alt'!Q16</f>
        <v>25.933495055992047</v>
      </c>
      <c r="Y16">
        <f>+U16+'RES Audit RCS'!U16+'RES Audit Alt'!U16</f>
        <v>81.149823264662984</v>
      </c>
    </row>
    <row r="17" spans="1:25" x14ac:dyDescent="0.2">
      <c r="A17" s="33">
        <v>2004</v>
      </c>
      <c r="B17" s="30">
        <v>12620</v>
      </c>
      <c r="C17" s="660">
        <f t="shared" si="15"/>
        <v>105606</v>
      </c>
      <c r="D17" s="662">
        <v>0.03</v>
      </c>
      <c r="E17" s="663">
        <v>6.8000000000000005E-2</v>
      </c>
      <c r="F17" s="617">
        <v>250</v>
      </c>
      <c r="G17" s="626">
        <f t="shared" si="0"/>
        <v>0.37859999999999999</v>
      </c>
      <c r="H17" s="72">
        <f t="shared" si="1"/>
        <v>0.85816000000000003</v>
      </c>
      <c r="I17" s="630">
        <f t="shared" si="2"/>
        <v>3.1549999999999998</v>
      </c>
      <c r="J17" s="61">
        <f t="shared" ref="J17:J37" si="16">+(((B17+B16)/2)+B16)</f>
        <v>27146.5</v>
      </c>
      <c r="K17" s="188">
        <f t="shared" ref="K17:K37" si="17">+D17</f>
        <v>0.03</v>
      </c>
      <c r="L17" s="188">
        <f t="shared" ref="L17:L37" si="18">+J17*K17/1000</f>
        <v>0.81439499999999998</v>
      </c>
      <c r="M17" s="188">
        <f t="shared" ref="M17:M37" si="19">+M16+L17</f>
        <v>5.7684600000000001</v>
      </c>
      <c r="N17" s="54">
        <f t="shared" ref="N17:N37" si="20">+B16</f>
        <v>13891</v>
      </c>
      <c r="O17" s="670">
        <f t="shared" ref="O17:O37" si="21">+E17</f>
        <v>6.8000000000000005E-2</v>
      </c>
      <c r="P17" s="670">
        <f t="shared" ref="P17:P37" si="22">+N17*O17/1000</f>
        <v>0.94458800000000009</v>
      </c>
      <c r="Q17" s="670">
        <f t="shared" ref="Q17:Q37" si="23">+Q16+P17</f>
        <v>6.3230507507688172</v>
      </c>
      <c r="R17" s="247">
        <f t="shared" ref="R17:R37" si="24">+(B17+B16)/2</f>
        <v>13255.5</v>
      </c>
      <c r="S17" s="24">
        <f t="shared" ref="S17:S37" si="25">+F17</f>
        <v>250</v>
      </c>
      <c r="T17" s="25">
        <f t="shared" ref="T17:T37" si="26">+R17*S17/1000000</f>
        <v>3.3138749999999999</v>
      </c>
      <c r="U17" s="654">
        <f t="shared" ref="U17:U37" si="27">+U16+T17</f>
        <v>24.824000000000002</v>
      </c>
      <c r="V17" s="9"/>
      <c r="W17">
        <f>+M17+'RES Audit RCS'!M17+'RES Audit Alt'!M17</f>
        <v>19.407958290049606</v>
      </c>
      <c r="X17" s="1">
        <f>+Q17+'RES Audit RCS'!Q17+'RES Audit Alt'!Q17</f>
        <v>27.746943055992048</v>
      </c>
      <c r="Y17">
        <f>+U17+'RES Audit RCS'!U17+'RES Audit Alt'!U17</f>
        <v>87.46386176466298</v>
      </c>
    </row>
    <row r="18" spans="1:25" x14ac:dyDescent="0.2">
      <c r="A18" s="33">
        <f>+A17+1</f>
        <v>2005</v>
      </c>
      <c r="B18" s="30">
        <v>2006</v>
      </c>
      <c r="C18" s="660">
        <f t="shared" si="15"/>
        <v>107612</v>
      </c>
      <c r="D18" s="662">
        <v>2.0000000000000004E-2</v>
      </c>
      <c r="E18" s="663">
        <v>0.03</v>
      </c>
      <c r="F18" s="617">
        <v>103</v>
      </c>
      <c r="G18" s="626">
        <f t="shared" si="0"/>
        <v>4.0120000000000003E-2</v>
      </c>
      <c r="H18" s="72">
        <f t="shared" si="1"/>
        <v>6.0179999999999997E-2</v>
      </c>
      <c r="I18" s="630">
        <f t="shared" si="2"/>
        <v>0.206618</v>
      </c>
      <c r="J18" s="61">
        <f t="shared" si="16"/>
        <v>19933</v>
      </c>
      <c r="K18" s="188">
        <f t="shared" si="17"/>
        <v>2.0000000000000004E-2</v>
      </c>
      <c r="L18" s="188">
        <f t="shared" si="18"/>
        <v>0.39866000000000007</v>
      </c>
      <c r="M18" s="188">
        <f t="shared" si="19"/>
        <v>6.1671200000000006</v>
      </c>
      <c r="N18" s="54">
        <f t="shared" si="20"/>
        <v>12620</v>
      </c>
      <c r="O18" s="670">
        <f t="shared" si="21"/>
        <v>0.03</v>
      </c>
      <c r="P18" s="670">
        <f t="shared" si="22"/>
        <v>0.37859999999999999</v>
      </c>
      <c r="Q18" s="670">
        <f t="shared" si="23"/>
        <v>6.7016507507688168</v>
      </c>
      <c r="R18" s="247">
        <f t="shared" si="24"/>
        <v>7313</v>
      </c>
      <c r="S18" s="24">
        <f t="shared" si="25"/>
        <v>103</v>
      </c>
      <c r="T18" s="25">
        <f t="shared" si="26"/>
        <v>0.75323899999999999</v>
      </c>
      <c r="U18" s="654">
        <f t="shared" si="27"/>
        <v>25.577239000000002</v>
      </c>
      <c r="V18" s="9"/>
      <c r="W18">
        <f>+M18+'RES Audit RCS'!M18+'RES Audit Alt'!M18</f>
        <v>20.042328290049603</v>
      </c>
      <c r="X18" s="1">
        <f>+Q18+'RES Audit RCS'!Q18+'RES Audit Alt'!Q18</f>
        <v>28.460143055992045</v>
      </c>
      <c r="Y18">
        <f>+U18+'RES Audit RCS'!U18+'RES Audit Alt'!U18</f>
        <v>89.293509764662986</v>
      </c>
    </row>
    <row r="19" spans="1:25" x14ac:dyDescent="0.2">
      <c r="A19" s="33">
        <f t="shared" ref="A19:A54" si="28">+A18+1</f>
        <v>2006</v>
      </c>
      <c r="B19" s="30">
        <v>1691</v>
      </c>
      <c r="C19" s="660">
        <f t="shared" si="15"/>
        <v>109303</v>
      </c>
      <c r="D19" s="662">
        <v>0.02</v>
      </c>
      <c r="E19" s="663">
        <v>0.03</v>
      </c>
      <c r="F19" s="617">
        <v>103</v>
      </c>
      <c r="G19" s="626">
        <f t="shared" si="0"/>
        <v>3.3820000000000003E-2</v>
      </c>
      <c r="H19" s="72">
        <f t="shared" si="1"/>
        <v>5.0729999999999997E-2</v>
      </c>
      <c r="I19" s="630">
        <f t="shared" si="2"/>
        <v>0.17417299999999999</v>
      </c>
      <c r="J19" s="61">
        <f t="shared" si="16"/>
        <v>3854.5</v>
      </c>
      <c r="K19" s="188">
        <f t="shared" si="17"/>
        <v>0.02</v>
      </c>
      <c r="L19" s="188">
        <f t="shared" si="18"/>
        <v>7.7090000000000006E-2</v>
      </c>
      <c r="M19" s="188">
        <f t="shared" si="19"/>
        <v>6.2442100000000007</v>
      </c>
      <c r="N19" s="54">
        <f t="shared" si="20"/>
        <v>2006</v>
      </c>
      <c r="O19" s="670">
        <f t="shared" si="21"/>
        <v>0.03</v>
      </c>
      <c r="P19" s="670">
        <f t="shared" si="22"/>
        <v>6.0179999999999997E-2</v>
      </c>
      <c r="Q19" s="670">
        <f t="shared" si="23"/>
        <v>6.7618307507688167</v>
      </c>
      <c r="R19" s="247">
        <f t="shared" si="24"/>
        <v>1848.5</v>
      </c>
      <c r="S19" s="24">
        <f t="shared" si="25"/>
        <v>103</v>
      </c>
      <c r="T19" s="25">
        <f t="shared" si="26"/>
        <v>0.1903955</v>
      </c>
      <c r="U19" s="654">
        <f t="shared" si="27"/>
        <v>25.767634500000003</v>
      </c>
      <c r="V19" s="8"/>
      <c r="W19">
        <f>+M19+'RES Audit RCS'!M19+'RES Audit Alt'!M19</f>
        <v>20.329943290049606</v>
      </c>
      <c r="X19" s="1">
        <f>+Q19+'RES Audit RCS'!Q19+'RES Audit Alt'!Q19</f>
        <v>28.814283055992043</v>
      </c>
      <c r="Y19">
        <f>+U19+'RES Audit RCS'!U19+'RES Audit Alt'!U19</f>
        <v>90.445302764662983</v>
      </c>
    </row>
    <row r="20" spans="1:25" x14ac:dyDescent="0.2">
      <c r="A20" s="33">
        <f t="shared" si="28"/>
        <v>2007</v>
      </c>
      <c r="B20" s="30">
        <v>1603</v>
      </c>
      <c r="C20" s="660">
        <f t="shared" si="15"/>
        <v>110906</v>
      </c>
      <c r="D20" s="662">
        <v>1.9999999999999997E-2</v>
      </c>
      <c r="E20" s="663">
        <v>3.0000000000000002E-2</v>
      </c>
      <c r="F20" s="617">
        <v>103</v>
      </c>
      <c r="G20" s="626">
        <f t="shared" si="0"/>
        <v>3.2059999999999998E-2</v>
      </c>
      <c r="H20" s="72">
        <f t="shared" si="1"/>
        <v>4.8090000000000001E-2</v>
      </c>
      <c r="I20" s="630">
        <f t="shared" si="2"/>
        <v>0.16510900000000001</v>
      </c>
      <c r="J20" s="61">
        <f>+(((B20+B19)/2)+B19)</f>
        <v>3338</v>
      </c>
      <c r="K20" s="188">
        <f t="shared" si="17"/>
        <v>1.9999999999999997E-2</v>
      </c>
      <c r="L20" s="188">
        <f t="shared" si="18"/>
        <v>6.6759999999999986E-2</v>
      </c>
      <c r="M20" s="188">
        <f t="shared" si="19"/>
        <v>6.3109700000000011</v>
      </c>
      <c r="N20" s="54">
        <f t="shared" si="20"/>
        <v>1691</v>
      </c>
      <c r="O20" s="670">
        <f t="shared" si="21"/>
        <v>3.0000000000000002E-2</v>
      </c>
      <c r="P20" s="670">
        <f t="shared" si="22"/>
        <v>5.0730000000000004E-2</v>
      </c>
      <c r="Q20" s="670">
        <f t="shared" si="23"/>
        <v>6.8125607507688164</v>
      </c>
      <c r="R20" s="247">
        <f t="shared" si="24"/>
        <v>1647</v>
      </c>
      <c r="S20" s="24">
        <f t="shared" si="25"/>
        <v>103</v>
      </c>
      <c r="T20" s="25">
        <f t="shared" si="26"/>
        <v>0.16964099999999999</v>
      </c>
      <c r="U20" s="654">
        <f t="shared" si="27"/>
        <v>25.937275500000002</v>
      </c>
      <c r="V20" s="2"/>
      <c r="W20">
        <f>+M20+'RES Audit RCS'!M20+'RES Audit Alt'!M20</f>
        <v>20.594673290049606</v>
      </c>
      <c r="X20">
        <f>+Q20+'RES Audit RCS'!Q20+'RES Audit Alt'!Q20</f>
        <v>29.132453055992045</v>
      </c>
      <c r="Y20">
        <f>+U20+'RES Audit RCS'!U20+'RES Audit Alt'!U20</f>
        <v>91.519006764662976</v>
      </c>
    </row>
    <row r="21" spans="1:25" x14ac:dyDescent="0.2">
      <c r="A21" s="33">
        <f t="shared" si="28"/>
        <v>2008</v>
      </c>
      <c r="B21" s="30">
        <v>1851</v>
      </c>
      <c r="C21" s="660">
        <f t="shared" si="15"/>
        <v>112757</v>
      </c>
      <c r="D21" s="662">
        <v>2.0259319286871962E-2</v>
      </c>
      <c r="E21" s="663">
        <v>3.0388978930307942E-2</v>
      </c>
      <c r="F21" s="617">
        <v>104.33549432739061</v>
      </c>
      <c r="G21" s="626">
        <f t="shared" si="0"/>
        <v>3.7499999999999999E-2</v>
      </c>
      <c r="H21" s="72">
        <f t="shared" si="1"/>
        <v>5.6250000000000001E-2</v>
      </c>
      <c r="I21" s="630">
        <f t="shared" si="2"/>
        <v>0.19312499999999999</v>
      </c>
      <c r="J21" s="61">
        <f>+(((B21+B20)/2)+B20)</f>
        <v>3330</v>
      </c>
      <c r="K21" s="188">
        <f t="shared" si="17"/>
        <v>2.0259319286871962E-2</v>
      </c>
      <c r="L21" s="188">
        <f t="shared" si="18"/>
        <v>6.7463533225283631E-2</v>
      </c>
      <c r="M21" s="188">
        <f t="shared" si="19"/>
        <v>6.3784335332252846</v>
      </c>
      <c r="N21" s="54">
        <f t="shared" si="20"/>
        <v>1603</v>
      </c>
      <c r="O21" s="670">
        <f t="shared" si="21"/>
        <v>3.0388978930307942E-2</v>
      </c>
      <c r="P21" s="670">
        <f t="shared" si="22"/>
        <v>4.8713533225283635E-2</v>
      </c>
      <c r="Q21" s="670">
        <f t="shared" si="23"/>
        <v>6.8612742839941001</v>
      </c>
      <c r="R21" s="247">
        <f t="shared" si="24"/>
        <v>1727</v>
      </c>
      <c r="S21" s="24">
        <f t="shared" si="25"/>
        <v>104.33549432739061</v>
      </c>
      <c r="T21" s="25">
        <f t="shared" si="26"/>
        <v>0.18018739870340356</v>
      </c>
      <c r="U21" s="654">
        <f t="shared" si="27"/>
        <v>26.117462898703405</v>
      </c>
      <c r="V21" s="2"/>
      <c r="W21">
        <f>+M21+'RES Audit RCS'!M21+'RES Audit Alt'!M21</f>
        <v>20.84692182327489</v>
      </c>
      <c r="X21">
        <f>+Q21+'RES Audit RCS'!Q21+'RES Audit Alt'!Q21</f>
        <v>29.441646589217328</v>
      </c>
      <c r="Y21">
        <f>+U21+'RES Audit RCS'!U21+'RES Audit Alt'!U21</f>
        <v>92.543045663366371</v>
      </c>
    </row>
    <row r="22" spans="1:25" x14ac:dyDescent="0.2">
      <c r="A22" s="33">
        <f t="shared" si="28"/>
        <v>2009</v>
      </c>
      <c r="B22" s="30">
        <v>1905</v>
      </c>
      <c r="C22" s="660">
        <f t="shared" si="15"/>
        <v>114662</v>
      </c>
      <c r="D22" s="662">
        <v>0.02</v>
      </c>
      <c r="E22" s="663">
        <v>0.03</v>
      </c>
      <c r="F22" s="617">
        <v>103</v>
      </c>
      <c r="G22" s="626">
        <f t="shared" si="0"/>
        <v>3.8100000000000002E-2</v>
      </c>
      <c r="H22" s="72">
        <f t="shared" si="1"/>
        <v>5.7149999999999999E-2</v>
      </c>
      <c r="I22" s="630">
        <f t="shared" si="2"/>
        <v>0.196215</v>
      </c>
      <c r="J22" s="61">
        <f t="shared" si="16"/>
        <v>3729</v>
      </c>
      <c r="K22" s="188">
        <f t="shared" si="17"/>
        <v>0.02</v>
      </c>
      <c r="L22" s="188">
        <f t="shared" si="18"/>
        <v>7.4579999999999994E-2</v>
      </c>
      <c r="M22" s="188">
        <f t="shared" si="19"/>
        <v>6.4530135332252847</v>
      </c>
      <c r="N22" s="54">
        <f t="shared" si="20"/>
        <v>1851</v>
      </c>
      <c r="O22" s="670">
        <f t="shared" si="21"/>
        <v>0.03</v>
      </c>
      <c r="P22" s="670">
        <f t="shared" si="22"/>
        <v>5.5530000000000003E-2</v>
      </c>
      <c r="Q22" s="670">
        <f t="shared" si="23"/>
        <v>6.9168042839941002</v>
      </c>
      <c r="R22" s="247">
        <f t="shared" si="24"/>
        <v>1878</v>
      </c>
      <c r="S22" s="24">
        <f t="shared" si="25"/>
        <v>103</v>
      </c>
      <c r="T22" s="25">
        <f t="shared" si="26"/>
        <v>0.19343399999999999</v>
      </c>
      <c r="U22" s="654">
        <f t="shared" si="27"/>
        <v>26.310896898703405</v>
      </c>
      <c r="V22" s="2"/>
      <c r="W22">
        <f>+M22+'RES Audit RCS'!M22+'RES Audit Alt'!M22</f>
        <v>21.138821823274888</v>
      </c>
      <c r="X22">
        <f>+Q22+'RES Audit RCS'!Q22+'RES Audit Alt'!Q22</f>
        <v>29.729456589217328</v>
      </c>
      <c r="Y22">
        <f>+U22+'RES Audit RCS'!U22+'RES Audit Alt'!U22</f>
        <v>93.728907663366371</v>
      </c>
    </row>
    <row r="23" spans="1:25" x14ac:dyDescent="0.2">
      <c r="A23" s="33">
        <f t="shared" si="28"/>
        <v>2010</v>
      </c>
      <c r="B23" s="30">
        <v>1957</v>
      </c>
      <c r="C23" s="661">
        <f t="shared" si="15"/>
        <v>116619</v>
      </c>
      <c r="D23" s="662">
        <v>0.02</v>
      </c>
      <c r="E23" s="663">
        <v>0.03</v>
      </c>
      <c r="F23" s="617">
        <v>103</v>
      </c>
      <c r="G23" s="626">
        <f t="shared" si="0"/>
        <v>3.9140000000000001E-2</v>
      </c>
      <c r="H23" s="72">
        <f t="shared" si="1"/>
        <v>5.8709999999999998E-2</v>
      </c>
      <c r="I23" s="630">
        <f t="shared" si="2"/>
        <v>0.201571</v>
      </c>
      <c r="J23" s="61">
        <f t="shared" si="16"/>
        <v>3836</v>
      </c>
      <c r="K23" s="188">
        <f t="shared" si="17"/>
        <v>0.02</v>
      </c>
      <c r="L23" s="188">
        <f t="shared" si="18"/>
        <v>7.6719999999999997E-2</v>
      </c>
      <c r="M23" s="188">
        <f t="shared" si="19"/>
        <v>6.5297335332252846</v>
      </c>
      <c r="N23" s="54">
        <f t="shared" si="20"/>
        <v>1905</v>
      </c>
      <c r="O23" s="670">
        <f t="shared" si="21"/>
        <v>0.03</v>
      </c>
      <c r="P23" s="670">
        <f t="shared" si="22"/>
        <v>5.7149999999999999E-2</v>
      </c>
      <c r="Q23" s="670">
        <f t="shared" si="23"/>
        <v>6.9739542839941002</v>
      </c>
      <c r="R23" s="247">
        <f t="shared" si="24"/>
        <v>1931</v>
      </c>
      <c r="S23" s="24">
        <f t="shared" si="25"/>
        <v>103</v>
      </c>
      <c r="T23" s="25">
        <f t="shared" si="26"/>
        <v>0.19889299999999999</v>
      </c>
      <c r="U23" s="654">
        <f t="shared" si="27"/>
        <v>26.509789898703403</v>
      </c>
      <c r="V23" s="2"/>
      <c r="W23">
        <f>+M23+'RES Audit RCS'!M23+'RES Audit Alt'!M23</f>
        <v>21.500121823274888</v>
      </c>
      <c r="X23">
        <f>+Q23+'RES Audit RCS'!Q23+'RES Audit Alt'!Q23</f>
        <v>30.133846589217328</v>
      </c>
      <c r="Y23">
        <f>+U23+'RES Audit RCS'!U23+'RES Audit Alt'!U23</f>
        <v>95.22738266336637</v>
      </c>
    </row>
    <row r="24" spans="1:25" x14ac:dyDescent="0.2">
      <c r="A24" s="33">
        <f t="shared" si="28"/>
        <v>2011</v>
      </c>
      <c r="B24" s="30">
        <v>1449</v>
      </c>
      <c r="C24" s="661">
        <f t="shared" si="15"/>
        <v>118068</v>
      </c>
      <c r="D24" s="662">
        <v>0.03</v>
      </c>
      <c r="E24" s="663">
        <v>0.04</v>
      </c>
      <c r="F24" s="617">
        <v>301</v>
      </c>
      <c r="G24" s="626">
        <f t="shared" ref="G24:G37" si="29">+$B24*D24/1000</f>
        <v>4.3470000000000002E-2</v>
      </c>
      <c r="H24" s="72">
        <f t="shared" ref="H24:H37" si="30">+$B24*E24/1000</f>
        <v>5.7959999999999998E-2</v>
      </c>
      <c r="I24" s="630">
        <f t="shared" ref="I24:I37" si="31">+$B24*F24/1000000</f>
        <v>0.43614900000000001</v>
      </c>
      <c r="J24" s="61">
        <f t="shared" si="16"/>
        <v>3660</v>
      </c>
      <c r="K24" s="188">
        <f t="shared" si="17"/>
        <v>0.03</v>
      </c>
      <c r="L24" s="188">
        <f t="shared" si="18"/>
        <v>0.10979999999999999</v>
      </c>
      <c r="M24" s="188">
        <f t="shared" si="19"/>
        <v>6.6395335332252845</v>
      </c>
      <c r="N24" s="54">
        <f t="shared" si="20"/>
        <v>1957</v>
      </c>
      <c r="O24" s="670">
        <f t="shared" si="21"/>
        <v>0.04</v>
      </c>
      <c r="P24" s="670">
        <f t="shared" si="22"/>
        <v>7.8280000000000002E-2</v>
      </c>
      <c r="Q24" s="670">
        <f t="shared" si="23"/>
        <v>7.0522342839941006</v>
      </c>
      <c r="R24" s="247">
        <f t="shared" si="24"/>
        <v>1703</v>
      </c>
      <c r="S24" s="24">
        <f t="shared" si="25"/>
        <v>301</v>
      </c>
      <c r="T24" s="25">
        <f t="shared" si="26"/>
        <v>0.51260300000000003</v>
      </c>
      <c r="U24" s="654">
        <f t="shared" si="27"/>
        <v>27.022392898703401</v>
      </c>
      <c r="V24" s="2"/>
      <c r="W24">
        <f>+M24+'RES Audit RCS'!M24+'RES Audit Alt'!M24</f>
        <v>21.988781823274888</v>
      </c>
      <c r="X24">
        <f>+Q24+'RES Audit RCS'!Q24+'RES Audit Alt'!Q24</f>
        <v>30.829586589217328</v>
      </c>
      <c r="Y24">
        <f>+U24+'RES Audit RCS'!U24+'RES Audit Alt'!U24</f>
        <v>99.869559663366374</v>
      </c>
    </row>
    <row r="25" spans="1:25" x14ac:dyDescent="0.2">
      <c r="A25" s="33">
        <f t="shared" si="28"/>
        <v>2012</v>
      </c>
      <c r="B25" s="30">
        <v>1065</v>
      </c>
      <c r="C25" s="661">
        <f t="shared" si="15"/>
        <v>119133</v>
      </c>
      <c r="D25" s="662">
        <v>0.04</v>
      </c>
      <c r="E25" s="663">
        <v>0.06</v>
      </c>
      <c r="F25" s="617">
        <v>510</v>
      </c>
      <c r="G25" s="626">
        <f t="shared" si="29"/>
        <v>4.2599999999999999E-2</v>
      </c>
      <c r="H25" s="72">
        <f t="shared" si="30"/>
        <v>6.3899999999999998E-2</v>
      </c>
      <c r="I25" s="630">
        <f t="shared" si="31"/>
        <v>0.54315000000000002</v>
      </c>
      <c r="J25" s="61">
        <f t="shared" si="16"/>
        <v>2706</v>
      </c>
      <c r="K25" s="188">
        <f t="shared" si="17"/>
        <v>0.04</v>
      </c>
      <c r="L25" s="188">
        <f t="shared" si="18"/>
        <v>0.10824</v>
      </c>
      <c r="M25" s="188">
        <f t="shared" si="19"/>
        <v>6.7477735332252848</v>
      </c>
      <c r="N25" s="54">
        <f t="shared" si="20"/>
        <v>1449</v>
      </c>
      <c r="O25" s="670">
        <f t="shared" si="21"/>
        <v>0.06</v>
      </c>
      <c r="P25" s="670">
        <f t="shared" si="22"/>
        <v>8.6940000000000003E-2</v>
      </c>
      <c r="Q25" s="670">
        <f t="shared" si="23"/>
        <v>7.1391742839941008</v>
      </c>
      <c r="R25" s="247">
        <f t="shared" si="24"/>
        <v>1257</v>
      </c>
      <c r="S25" s="24">
        <f t="shared" si="25"/>
        <v>510</v>
      </c>
      <c r="T25" s="25">
        <f t="shared" si="26"/>
        <v>0.64107000000000003</v>
      </c>
      <c r="U25" s="654">
        <f t="shared" si="27"/>
        <v>27.663462898703401</v>
      </c>
      <c r="V25" s="2"/>
      <c r="W25">
        <f>+M25+'RES Audit RCS'!M25+'RES Audit Alt'!M25</f>
        <v>22.511021823274888</v>
      </c>
      <c r="X25">
        <f>+Q25+'RES Audit RCS'!Q25+'RES Audit Alt'!Q25</f>
        <v>31.522166589217331</v>
      </c>
      <c r="Y25">
        <f>+U25+'RES Audit RCS'!U25+'RES Audit Alt'!U25</f>
        <v>105.01494966336637</v>
      </c>
    </row>
    <row r="26" spans="1:25" s="831" customFormat="1" x14ac:dyDescent="0.2">
      <c r="A26" s="33">
        <f t="shared" si="28"/>
        <v>2013</v>
      </c>
      <c r="B26" s="30">
        <v>680</v>
      </c>
      <c r="C26" s="619">
        <f t="shared" si="15"/>
        <v>119813</v>
      </c>
      <c r="D26" s="807">
        <v>0.04</v>
      </c>
      <c r="E26" s="808">
        <v>0.06</v>
      </c>
      <c r="F26" s="806">
        <v>510</v>
      </c>
      <c r="G26" s="626">
        <f t="shared" si="29"/>
        <v>2.7199999999999998E-2</v>
      </c>
      <c r="H26" s="72">
        <f t="shared" si="30"/>
        <v>4.0799999999999996E-2</v>
      </c>
      <c r="I26" s="630">
        <f t="shared" si="31"/>
        <v>0.3468</v>
      </c>
      <c r="J26" s="61">
        <f t="shared" si="16"/>
        <v>1937.5</v>
      </c>
      <c r="K26" s="188">
        <f t="shared" si="17"/>
        <v>0.04</v>
      </c>
      <c r="L26" s="188">
        <f t="shared" si="18"/>
        <v>7.7499999999999999E-2</v>
      </c>
      <c r="M26" s="829">
        <f t="shared" si="19"/>
        <v>6.8252735332252845</v>
      </c>
      <c r="N26" s="54">
        <f t="shared" si="20"/>
        <v>1065</v>
      </c>
      <c r="O26" s="670">
        <f t="shared" si="21"/>
        <v>0.06</v>
      </c>
      <c r="P26" s="670">
        <f t="shared" si="22"/>
        <v>6.3899999999999998E-2</v>
      </c>
      <c r="Q26" s="671">
        <f t="shared" si="23"/>
        <v>7.2030742839941011</v>
      </c>
      <c r="R26" s="247">
        <f t="shared" si="24"/>
        <v>872.5</v>
      </c>
      <c r="S26" s="24">
        <f t="shared" si="25"/>
        <v>510</v>
      </c>
      <c r="T26" s="25">
        <f t="shared" si="26"/>
        <v>0.44497500000000001</v>
      </c>
      <c r="U26" s="654">
        <f t="shared" si="27"/>
        <v>28.1084378987034</v>
      </c>
      <c r="V26" s="830"/>
      <c r="W26" s="831">
        <f>+M26+'RES Audit RCS'!M26+'RES Audit Alt'!M26</f>
        <v>22.979796823274889</v>
      </c>
      <c r="X26" s="831">
        <f>+Q26+'RES Audit RCS'!Q26+'RES Audit Alt'!Q26</f>
        <v>32.139626589217329</v>
      </c>
      <c r="Y26" s="831">
        <f>+U26+'RES Audit RCS'!U26+'RES Audit Alt'!U26</f>
        <v>109.71699666336636</v>
      </c>
    </row>
    <row r="27" spans="1:25" s="831" customFormat="1" x14ac:dyDescent="0.2">
      <c r="A27" s="33">
        <f t="shared" si="28"/>
        <v>2014</v>
      </c>
      <c r="B27" s="30">
        <v>1067</v>
      </c>
      <c r="C27" s="619">
        <f t="shared" si="15"/>
        <v>120880</v>
      </c>
      <c r="D27" s="807">
        <f t="shared" ref="D27:F43" si="32">+D26</f>
        <v>0.04</v>
      </c>
      <c r="E27" s="808">
        <f t="shared" ref="E27:F36" si="33">+E26</f>
        <v>0.06</v>
      </c>
      <c r="F27" s="806">
        <f t="shared" si="33"/>
        <v>510</v>
      </c>
      <c r="G27" s="626">
        <f t="shared" si="29"/>
        <v>4.2680000000000003E-2</v>
      </c>
      <c r="H27" s="72">
        <f t="shared" si="30"/>
        <v>6.4019999999999994E-2</v>
      </c>
      <c r="I27" s="630">
        <f t="shared" si="31"/>
        <v>0.54417000000000004</v>
      </c>
      <c r="J27" s="61">
        <f t="shared" si="16"/>
        <v>1553.5</v>
      </c>
      <c r="K27" s="188">
        <f t="shared" si="17"/>
        <v>0.04</v>
      </c>
      <c r="L27" s="188">
        <f t="shared" si="18"/>
        <v>6.2140000000000001E-2</v>
      </c>
      <c r="M27" s="829">
        <f t="shared" si="19"/>
        <v>6.8874135332252848</v>
      </c>
      <c r="N27" s="54">
        <f t="shared" si="20"/>
        <v>680</v>
      </c>
      <c r="O27" s="670">
        <f t="shared" si="21"/>
        <v>0.06</v>
      </c>
      <c r="P27" s="670">
        <f t="shared" si="22"/>
        <v>4.0799999999999996E-2</v>
      </c>
      <c r="Q27" s="671">
        <f t="shared" si="23"/>
        <v>7.243874283994101</v>
      </c>
      <c r="R27" s="247">
        <f t="shared" si="24"/>
        <v>873.5</v>
      </c>
      <c r="S27" s="24">
        <f t="shared" si="25"/>
        <v>510</v>
      </c>
      <c r="T27" s="25">
        <f t="shared" si="26"/>
        <v>0.44548500000000002</v>
      </c>
      <c r="U27" s="654">
        <f t="shared" si="27"/>
        <v>28.553922898703402</v>
      </c>
      <c r="V27" s="830"/>
      <c r="W27" s="831">
        <f>+M27+'RES Audit RCS'!M27+'RES Audit Alt'!M27</f>
        <v>23.47351182327489</v>
      </c>
      <c r="X27" s="831">
        <f>+Q27+'RES Audit RCS'!Q27+'RES Audit Alt'!Q27</f>
        <v>32.722436589217331</v>
      </c>
      <c r="Y27" s="831">
        <f>+U27+'RES Audit RCS'!U27+'RES Audit Alt'!U27</f>
        <v>114.85801766336637</v>
      </c>
    </row>
    <row r="28" spans="1:25" s="831" customFormat="1" x14ac:dyDescent="0.2">
      <c r="A28" s="33">
        <f t="shared" si="28"/>
        <v>2015</v>
      </c>
      <c r="B28" s="30">
        <v>658</v>
      </c>
      <c r="C28" s="619">
        <f t="shared" si="15"/>
        <v>121538</v>
      </c>
      <c r="D28" s="807">
        <v>0</v>
      </c>
      <c r="E28" s="808">
        <v>0</v>
      </c>
      <c r="F28" s="806">
        <v>0</v>
      </c>
      <c r="G28" s="626">
        <f t="shared" si="29"/>
        <v>0</v>
      </c>
      <c r="H28" s="72">
        <f t="shared" si="30"/>
        <v>0</v>
      </c>
      <c r="I28" s="630">
        <f t="shared" si="31"/>
        <v>0</v>
      </c>
      <c r="J28" s="61">
        <f t="shared" si="16"/>
        <v>1929.5</v>
      </c>
      <c r="K28" s="188">
        <f t="shared" si="17"/>
        <v>0</v>
      </c>
      <c r="L28" s="188">
        <f t="shared" si="18"/>
        <v>0</v>
      </c>
      <c r="M28" s="829">
        <f t="shared" si="19"/>
        <v>6.8874135332252848</v>
      </c>
      <c r="N28" s="54">
        <f t="shared" si="20"/>
        <v>1067</v>
      </c>
      <c r="O28" s="670">
        <f t="shared" si="21"/>
        <v>0</v>
      </c>
      <c r="P28" s="670">
        <f t="shared" si="22"/>
        <v>0</v>
      </c>
      <c r="Q28" s="671">
        <f t="shared" si="23"/>
        <v>7.243874283994101</v>
      </c>
      <c r="R28" s="247">
        <f t="shared" si="24"/>
        <v>862.5</v>
      </c>
      <c r="S28" s="24">
        <f t="shared" si="25"/>
        <v>0</v>
      </c>
      <c r="T28" s="25">
        <f t="shared" si="26"/>
        <v>0</v>
      </c>
      <c r="U28" s="654">
        <f t="shared" si="27"/>
        <v>28.553922898703402</v>
      </c>
      <c r="V28" s="830"/>
      <c r="W28" s="831">
        <f>+M28+'RES Audit RCS'!M28+'RES Audit Alt'!M28</f>
        <v>23.47351182327489</v>
      </c>
      <c r="X28" s="831">
        <f>+Q28+'RES Audit RCS'!Q28+'RES Audit Alt'!Q28</f>
        <v>32.722436589217331</v>
      </c>
      <c r="Y28" s="831">
        <f>+U28+'RES Audit RCS'!U28+'RES Audit Alt'!U28</f>
        <v>114.85801766336637</v>
      </c>
    </row>
    <row r="29" spans="1:25" ht="13.5" thickBot="1" x14ac:dyDescent="0.25">
      <c r="A29" s="701">
        <f t="shared" si="28"/>
        <v>2016</v>
      </c>
      <c r="B29" s="702">
        <v>1017</v>
      </c>
      <c r="C29" s="703">
        <f t="shared" si="15"/>
        <v>122555</v>
      </c>
      <c r="D29" s="835"/>
      <c r="E29" s="836"/>
      <c r="F29" s="705"/>
      <c r="G29" s="823">
        <f t="shared" si="29"/>
        <v>0</v>
      </c>
      <c r="H29" s="707">
        <f t="shared" si="30"/>
        <v>0</v>
      </c>
      <c r="I29" s="824">
        <f t="shared" si="31"/>
        <v>0</v>
      </c>
      <c r="J29" s="708">
        <f t="shared" si="16"/>
        <v>1495.5</v>
      </c>
      <c r="K29" s="825">
        <f t="shared" si="17"/>
        <v>0</v>
      </c>
      <c r="L29" s="825">
        <f t="shared" si="18"/>
        <v>0</v>
      </c>
      <c r="M29" s="826">
        <f t="shared" si="19"/>
        <v>6.8874135332252848</v>
      </c>
      <c r="N29" s="711">
        <f t="shared" si="20"/>
        <v>658</v>
      </c>
      <c r="O29" s="827">
        <f t="shared" si="21"/>
        <v>0</v>
      </c>
      <c r="P29" s="827">
        <f t="shared" si="22"/>
        <v>0</v>
      </c>
      <c r="Q29" s="828">
        <f t="shared" si="23"/>
        <v>7.243874283994101</v>
      </c>
      <c r="R29" s="714">
        <f t="shared" si="24"/>
        <v>837.5</v>
      </c>
      <c r="S29" s="715">
        <f t="shared" si="25"/>
        <v>0</v>
      </c>
      <c r="T29" s="716">
        <f t="shared" si="26"/>
        <v>0</v>
      </c>
      <c r="U29" s="717">
        <f t="shared" si="27"/>
        <v>28.553922898703402</v>
      </c>
      <c r="V29" s="2"/>
      <c r="W29">
        <f>+M29+'RES Audit RCS'!M29+'RES Audit Alt'!M29</f>
        <v>23.47351182327489</v>
      </c>
      <c r="X29">
        <f>+Q29+'RES Audit RCS'!Q29+'RES Audit Alt'!Q29</f>
        <v>32.722436589217331</v>
      </c>
      <c r="Y29">
        <f>+U29+'RES Audit RCS'!U29+'RES Audit Alt'!U29</f>
        <v>114.85801766336637</v>
      </c>
    </row>
    <row r="30" spans="1:25" x14ac:dyDescent="0.2">
      <c r="A30" s="33">
        <f t="shared" si="28"/>
        <v>2017</v>
      </c>
      <c r="B30" s="787">
        <v>500</v>
      </c>
      <c r="C30" s="565">
        <f t="shared" si="15"/>
        <v>123055</v>
      </c>
      <c r="D30" s="1050">
        <f t="shared" si="32"/>
        <v>0</v>
      </c>
      <c r="E30" s="1051">
        <f t="shared" si="33"/>
        <v>0</v>
      </c>
      <c r="F30" s="1052">
        <f t="shared" si="33"/>
        <v>0</v>
      </c>
      <c r="G30" s="473">
        <f t="shared" si="29"/>
        <v>0</v>
      </c>
      <c r="H30" s="474">
        <f t="shared" si="30"/>
        <v>0</v>
      </c>
      <c r="I30" s="474">
        <f t="shared" si="31"/>
        <v>0</v>
      </c>
      <c r="J30" s="61">
        <f t="shared" si="16"/>
        <v>1775.5</v>
      </c>
      <c r="K30" s="967">
        <f t="shared" si="17"/>
        <v>0</v>
      </c>
      <c r="L30" s="967">
        <f t="shared" si="18"/>
        <v>0</v>
      </c>
      <c r="M30" s="188">
        <f t="shared" si="19"/>
        <v>6.8874135332252848</v>
      </c>
      <c r="N30" s="54">
        <f t="shared" si="20"/>
        <v>1017</v>
      </c>
      <c r="O30" s="968">
        <f t="shared" si="21"/>
        <v>0</v>
      </c>
      <c r="P30" s="968">
        <f t="shared" si="22"/>
        <v>0</v>
      </c>
      <c r="Q30" s="671">
        <f t="shared" si="23"/>
        <v>7.243874283994101</v>
      </c>
      <c r="R30" s="247">
        <f t="shared" si="24"/>
        <v>758.5</v>
      </c>
      <c r="S30" s="24">
        <f t="shared" si="25"/>
        <v>0</v>
      </c>
      <c r="T30" s="970">
        <f t="shared" si="26"/>
        <v>0</v>
      </c>
      <c r="U30" s="654">
        <f t="shared" si="27"/>
        <v>28.553922898703402</v>
      </c>
      <c r="V30" s="2"/>
      <c r="W30">
        <f>+M30+'RES Audit RCS'!M30+'RES Audit Alt'!M30</f>
        <v>23.47351182327489</v>
      </c>
      <c r="X30">
        <f>+Q30+'RES Audit RCS'!Q30+'RES Audit Alt'!Q30</f>
        <v>32.722436589217331</v>
      </c>
      <c r="Y30">
        <f>+U30+'RES Audit RCS'!U30+'RES Audit Alt'!U30</f>
        <v>114.85801766336637</v>
      </c>
    </row>
    <row r="31" spans="1:25" x14ac:dyDescent="0.2">
      <c r="A31" s="33">
        <f t="shared" si="28"/>
        <v>2018</v>
      </c>
      <c r="B31" s="787">
        <v>500</v>
      </c>
      <c r="C31" s="565">
        <f t="shared" si="15"/>
        <v>123555</v>
      </c>
      <c r="D31" s="1053">
        <f t="shared" si="32"/>
        <v>0</v>
      </c>
      <c r="E31" s="1054">
        <f t="shared" si="33"/>
        <v>0</v>
      </c>
      <c r="F31" s="1055">
        <f t="shared" si="33"/>
        <v>0</v>
      </c>
      <c r="G31" s="473">
        <f t="shared" si="29"/>
        <v>0</v>
      </c>
      <c r="H31" s="474">
        <f t="shared" si="30"/>
        <v>0</v>
      </c>
      <c r="I31" s="474">
        <f t="shared" si="31"/>
        <v>0</v>
      </c>
      <c r="J31" s="61">
        <f t="shared" si="16"/>
        <v>1000</v>
      </c>
      <c r="K31" s="967">
        <f t="shared" si="17"/>
        <v>0</v>
      </c>
      <c r="L31" s="967">
        <f t="shared" si="18"/>
        <v>0</v>
      </c>
      <c r="M31" s="188">
        <f t="shared" si="19"/>
        <v>6.8874135332252848</v>
      </c>
      <c r="N31" s="54">
        <f t="shared" si="20"/>
        <v>500</v>
      </c>
      <c r="O31" s="968">
        <f t="shared" si="21"/>
        <v>0</v>
      </c>
      <c r="P31" s="968">
        <f t="shared" si="22"/>
        <v>0</v>
      </c>
      <c r="Q31" s="671">
        <f t="shared" si="23"/>
        <v>7.243874283994101</v>
      </c>
      <c r="R31" s="247">
        <f t="shared" si="24"/>
        <v>500</v>
      </c>
      <c r="S31" s="24">
        <f t="shared" si="25"/>
        <v>0</v>
      </c>
      <c r="T31" s="970">
        <f t="shared" si="26"/>
        <v>0</v>
      </c>
      <c r="U31" s="654">
        <f t="shared" si="27"/>
        <v>28.553922898703402</v>
      </c>
      <c r="V31" s="2"/>
      <c r="W31">
        <f>+M31+'RES Audit RCS'!M31+'RES Audit Alt'!M31</f>
        <v>23.47351182327489</v>
      </c>
      <c r="X31">
        <f>+Q31+'RES Audit RCS'!Q31+'RES Audit Alt'!Q31</f>
        <v>32.722436589217331</v>
      </c>
      <c r="Y31">
        <f>+U31+'RES Audit RCS'!U31+'RES Audit Alt'!U31</f>
        <v>114.85801766336637</v>
      </c>
    </row>
    <row r="32" spans="1:25" x14ac:dyDescent="0.2">
      <c r="A32" s="33">
        <f t="shared" si="28"/>
        <v>2019</v>
      </c>
      <c r="B32" s="787">
        <v>500</v>
      </c>
      <c r="C32" s="565">
        <f t="shared" si="15"/>
        <v>124055</v>
      </c>
      <c r="D32" s="1053">
        <f t="shared" si="32"/>
        <v>0</v>
      </c>
      <c r="E32" s="1054">
        <f t="shared" si="33"/>
        <v>0</v>
      </c>
      <c r="F32" s="1055">
        <f t="shared" si="33"/>
        <v>0</v>
      </c>
      <c r="G32" s="473">
        <f t="shared" si="29"/>
        <v>0</v>
      </c>
      <c r="H32" s="474">
        <f t="shared" si="30"/>
        <v>0</v>
      </c>
      <c r="I32" s="474">
        <f t="shared" si="31"/>
        <v>0</v>
      </c>
      <c r="J32" s="61">
        <f t="shared" si="16"/>
        <v>1000</v>
      </c>
      <c r="K32" s="967">
        <f t="shared" si="17"/>
        <v>0</v>
      </c>
      <c r="L32" s="967">
        <f t="shared" si="18"/>
        <v>0</v>
      </c>
      <c r="M32" s="188">
        <f t="shared" si="19"/>
        <v>6.8874135332252848</v>
      </c>
      <c r="N32" s="54">
        <f t="shared" si="20"/>
        <v>500</v>
      </c>
      <c r="O32" s="968">
        <f t="shared" si="21"/>
        <v>0</v>
      </c>
      <c r="P32" s="968">
        <f t="shared" si="22"/>
        <v>0</v>
      </c>
      <c r="Q32" s="671">
        <f t="shared" si="23"/>
        <v>7.243874283994101</v>
      </c>
      <c r="R32" s="247">
        <f t="shared" si="24"/>
        <v>500</v>
      </c>
      <c r="S32" s="24">
        <f t="shared" si="25"/>
        <v>0</v>
      </c>
      <c r="T32" s="970">
        <f t="shared" si="26"/>
        <v>0</v>
      </c>
      <c r="U32" s="654">
        <f t="shared" si="27"/>
        <v>28.553922898703402</v>
      </c>
      <c r="V32" s="2"/>
      <c r="W32">
        <f>+M32+'RES Audit RCS'!M32+'RES Audit Alt'!M32</f>
        <v>23.47351182327489</v>
      </c>
      <c r="X32">
        <f>+Q32+'RES Audit RCS'!Q32+'RES Audit Alt'!Q32</f>
        <v>32.722436589217331</v>
      </c>
      <c r="Y32">
        <f>+U32+'RES Audit RCS'!U32+'RES Audit Alt'!U32</f>
        <v>114.85801766336637</v>
      </c>
    </row>
    <row r="33" spans="1:25" x14ac:dyDescent="0.2">
      <c r="A33" s="33">
        <f t="shared" si="28"/>
        <v>2020</v>
      </c>
      <c r="B33" s="787">
        <v>500</v>
      </c>
      <c r="C33" s="565">
        <f t="shared" si="15"/>
        <v>124555</v>
      </c>
      <c r="D33" s="1053">
        <f t="shared" si="32"/>
        <v>0</v>
      </c>
      <c r="E33" s="1054">
        <f t="shared" si="33"/>
        <v>0</v>
      </c>
      <c r="F33" s="1055">
        <f t="shared" si="33"/>
        <v>0</v>
      </c>
      <c r="G33" s="473">
        <f t="shared" si="29"/>
        <v>0</v>
      </c>
      <c r="H33" s="474">
        <f t="shared" si="30"/>
        <v>0</v>
      </c>
      <c r="I33" s="474">
        <f t="shared" si="31"/>
        <v>0</v>
      </c>
      <c r="J33" s="61">
        <f t="shared" si="16"/>
        <v>1000</v>
      </c>
      <c r="K33" s="967">
        <f t="shared" si="17"/>
        <v>0</v>
      </c>
      <c r="L33" s="967">
        <f t="shared" si="18"/>
        <v>0</v>
      </c>
      <c r="M33" s="188">
        <f t="shared" si="19"/>
        <v>6.8874135332252848</v>
      </c>
      <c r="N33" s="54">
        <f t="shared" si="20"/>
        <v>500</v>
      </c>
      <c r="O33" s="968">
        <f t="shared" si="21"/>
        <v>0</v>
      </c>
      <c r="P33" s="968">
        <f t="shared" si="22"/>
        <v>0</v>
      </c>
      <c r="Q33" s="671">
        <f t="shared" si="23"/>
        <v>7.243874283994101</v>
      </c>
      <c r="R33" s="247">
        <f t="shared" si="24"/>
        <v>500</v>
      </c>
      <c r="S33" s="24">
        <f t="shared" si="25"/>
        <v>0</v>
      </c>
      <c r="T33" s="970">
        <f t="shared" si="26"/>
        <v>0</v>
      </c>
      <c r="U33" s="654">
        <f t="shared" si="27"/>
        <v>28.553922898703402</v>
      </c>
      <c r="V33" s="2"/>
      <c r="W33">
        <f>+M33+'RES Audit RCS'!M33+'RES Audit Alt'!M33</f>
        <v>23.47351182327489</v>
      </c>
      <c r="X33">
        <f>+Q33+'RES Audit RCS'!Q33+'RES Audit Alt'!Q33</f>
        <v>32.722436589217331</v>
      </c>
      <c r="Y33">
        <f>+U33+'RES Audit RCS'!U33+'RES Audit Alt'!U33</f>
        <v>114.85801766336637</v>
      </c>
    </row>
    <row r="34" spans="1:25" x14ac:dyDescent="0.2">
      <c r="A34" s="33">
        <f t="shared" si="28"/>
        <v>2021</v>
      </c>
      <c r="B34" s="787">
        <v>500</v>
      </c>
      <c r="C34" s="565">
        <f t="shared" si="15"/>
        <v>125055</v>
      </c>
      <c r="D34" s="1053">
        <f t="shared" si="32"/>
        <v>0</v>
      </c>
      <c r="E34" s="1054">
        <f t="shared" si="33"/>
        <v>0</v>
      </c>
      <c r="F34" s="1055">
        <f t="shared" si="33"/>
        <v>0</v>
      </c>
      <c r="G34" s="473">
        <f t="shared" si="29"/>
        <v>0</v>
      </c>
      <c r="H34" s="474">
        <f t="shared" si="30"/>
        <v>0</v>
      </c>
      <c r="I34" s="474">
        <f t="shared" si="31"/>
        <v>0</v>
      </c>
      <c r="J34" s="61">
        <f t="shared" si="16"/>
        <v>1000</v>
      </c>
      <c r="K34" s="967">
        <f t="shared" si="17"/>
        <v>0</v>
      </c>
      <c r="L34" s="967">
        <f t="shared" si="18"/>
        <v>0</v>
      </c>
      <c r="M34" s="188">
        <f t="shared" si="19"/>
        <v>6.8874135332252848</v>
      </c>
      <c r="N34" s="54">
        <f t="shared" si="20"/>
        <v>500</v>
      </c>
      <c r="O34" s="968">
        <f t="shared" si="21"/>
        <v>0</v>
      </c>
      <c r="P34" s="968">
        <f t="shared" si="22"/>
        <v>0</v>
      </c>
      <c r="Q34" s="671">
        <f t="shared" si="23"/>
        <v>7.243874283994101</v>
      </c>
      <c r="R34" s="247">
        <f t="shared" si="24"/>
        <v>500</v>
      </c>
      <c r="S34" s="24">
        <f t="shared" si="25"/>
        <v>0</v>
      </c>
      <c r="T34" s="970">
        <f t="shared" si="26"/>
        <v>0</v>
      </c>
      <c r="U34" s="654">
        <f t="shared" si="27"/>
        <v>28.553922898703402</v>
      </c>
      <c r="V34" s="2"/>
      <c r="W34">
        <f>+M34+'RES Audit RCS'!M34+'RES Audit Alt'!M34</f>
        <v>23.47351182327489</v>
      </c>
      <c r="X34">
        <f>+Q34+'RES Audit RCS'!Q34+'RES Audit Alt'!Q34</f>
        <v>32.722436589217331</v>
      </c>
      <c r="Y34">
        <f>+U34+'RES Audit RCS'!U34+'RES Audit Alt'!U34</f>
        <v>114.85801766336637</v>
      </c>
    </row>
    <row r="35" spans="1:25" x14ac:dyDescent="0.2">
      <c r="A35" s="33">
        <f t="shared" si="28"/>
        <v>2022</v>
      </c>
      <c r="B35" s="787">
        <v>500</v>
      </c>
      <c r="C35" s="565">
        <f t="shared" si="15"/>
        <v>125555</v>
      </c>
      <c r="D35" s="1053">
        <f t="shared" si="32"/>
        <v>0</v>
      </c>
      <c r="E35" s="1054">
        <f t="shared" si="33"/>
        <v>0</v>
      </c>
      <c r="F35" s="1055">
        <f t="shared" si="33"/>
        <v>0</v>
      </c>
      <c r="G35" s="473">
        <f t="shared" si="29"/>
        <v>0</v>
      </c>
      <c r="H35" s="474">
        <f t="shared" si="30"/>
        <v>0</v>
      </c>
      <c r="I35" s="474">
        <f t="shared" si="31"/>
        <v>0</v>
      </c>
      <c r="J35" s="61">
        <f t="shared" si="16"/>
        <v>1000</v>
      </c>
      <c r="K35" s="967">
        <f t="shared" si="17"/>
        <v>0</v>
      </c>
      <c r="L35" s="967">
        <f t="shared" si="18"/>
        <v>0</v>
      </c>
      <c r="M35" s="188">
        <f t="shared" si="19"/>
        <v>6.8874135332252848</v>
      </c>
      <c r="N35" s="54">
        <f t="shared" si="20"/>
        <v>500</v>
      </c>
      <c r="O35" s="968">
        <f t="shared" si="21"/>
        <v>0</v>
      </c>
      <c r="P35" s="968">
        <f t="shared" si="22"/>
        <v>0</v>
      </c>
      <c r="Q35" s="671">
        <f t="shared" si="23"/>
        <v>7.243874283994101</v>
      </c>
      <c r="R35" s="247">
        <f t="shared" si="24"/>
        <v>500</v>
      </c>
      <c r="S35" s="24">
        <f t="shared" si="25"/>
        <v>0</v>
      </c>
      <c r="T35" s="970">
        <f t="shared" si="26"/>
        <v>0</v>
      </c>
      <c r="U35" s="654">
        <f t="shared" si="27"/>
        <v>28.553922898703402</v>
      </c>
      <c r="V35" s="2"/>
      <c r="W35">
        <f>+M35+'RES Audit RCS'!M35+'RES Audit Alt'!M35</f>
        <v>23.47351182327489</v>
      </c>
      <c r="X35">
        <f>+Q35+'RES Audit RCS'!Q35+'RES Audit Alt'!Q35</f>
        <v>32.722436589217331</v>
      </c>
      <c r="Y35">
        <f>+U35+'RES Audit RCS'!U35+'RES Audit Alt'!U35</f>
        <v>114.85801766336637</v>
      </c>
    </row>
    <row r="36" spans="1:25" x14ac:dyDescent="0.2">
      <c r="A36" s="33">
        <f t="shared" si="28"/>
        <v>2023</v>
      </c>
      <c r="B36" s="787">
        <v>500</v>
      </c>
      <c r="C36" s="565">
        <f t="shared" si="15"/>
        <v>126055</v>
      </c>
      <c r="D36" s="1053">
        <f t="shared" si="32"/>
        <v>0</v>
      </c>
      <c r="E36" s="1054">
        <f t="shared" si="33"/>
        <v>0</v>
      </c>
      <c r="F36" s="1055">
        <f t="shared" si="33"/>
        <v>0</v>
      </c>
      <c r="G36" s="473">
        <f t="shared" si="29"/>
        <v>0</v>
      </c>
      <c r="H36" s="474">
        <f t="shared" si="30"/>
        <v>0</v>
      </c>
      <c r="I36" s="474">
        <f t="shared" si="31"/>
        <v>0</v>
      </c>
      <c r="J36" s="61">
        <f t="shared" si="16"/>
        <v>1000</v>
      </c>
      <c r="K36" s="967">
        <f t="shared" si="17"/>
        <v>0</v>
      </c>
      <c r="L36" s="967">
        <f t="shared" si="18"/>
        <v>0</v>
      </c>
      <c r="M36" s="188">
        <f t="shared" si="19"/>
        <v>6.8874135332252848</v>
      </c>
      <c r="N36" s="54">
        <f t="shared" si="20"/>
        <v>500</v>
      </c>
      <c r="O36" s="968">
        <f t="shared" si="21"/>
        <v>0</v>
      </c>
      <c r="P36" s="968">
        <f t="shared" si="22"/>
        <v>0</v>
      </c>
      <c r="Q36" s="671">
        <f t="shared" si="23"/>
        <v>7.243874283994101</v>
      </c>
      <c r="R36" s="247">
        <f t="shared" si="24"/>
        <v>500</v>
      </c>
      <c r="S36" s="24">
        <f t="shared" si="25"/>
        <v>0</v>
      </c>
      <c r="T36" s="970">
        <f t="shared" si="26"/>
        <v>0</v>
      </c>
      <c r="U36" s="654">
        <f t="shared" si="27"/>
        <v>28.553922898703402</v>
      </c>
      <c r="V36" s="2"/>
      <c r="W36">
        <f>+M36+'RES Audit RCS'!M36+'RES Audit Alt'!M36</f>
        <v>23.47351182327489</v>
      </c>
      <c r="X36">
        <f>+Q36+'RES Audit RCS'!Q36+'RES Audit Alt'!Q36</f>
        <v>32.722436589217331</v>
      </c>
      <c r="Y36">
        <f>+U36+'RES Audit RCS'!U36+'RES Audit Alt'!U36</f>
        <v>114.85801766336637</v>
      </c>
    </row>
    <row r="37" spans="1:25" x14ac:dyDescent="0.2">
      <c r="A37" s="33">
        <f t="shared" si="28"/>
        <v>2024</v>
      </c>
      <c r="B37" s="787">
        <v>500</v>
      </c>
      <c r="C37" s="565">
        <f t="shared" si="15"/>
        <v>126555</v>
      </c>
      <c r="D37" s="1053">
        <f t="shared" si="32"/>
        <v>0</v>
      </c>
      <c r="E37" s="1054">
        <f t="shared" ref="E37:F40" si="34">+E36</f>
        <v>0</v>
      </c>
      <c r="F37" s="1055">
        <f t="shared" si="34"/>
        <v>0</v>
      </c>
      <c r="G37" s="473">
        <f t="shared" si="29"/>
        <v>0</v>
      </c>
      <c r="H37" s="474">
        <f t="shared" si="30"/>
        <v>0</v>
      </c>
      <c r="I37" s="474">
        <f t="shared" si="31"/>
        <v>0</v>
      </c>
      <c r="J37" s="61">
        <f t="shared" si="16"/>
        <v>1000</v>
      </c>
      <c r="K37" s="967">
        <f t="shared" si="17"/>
        <v>0</v>
      </c>
      <c r="L37" s="967">
        <f t="shared" si="18"/>
        <v>0</v>
      </c>
      <c r="M37" s="188">
        <f t="shared" si="19"/>
        <v>6.8874135332252848</v>
      </c>
      <c r="N37" s="54">
        <f t="shared" si="20"/>
        <v>500</v>
      </c>
      <c r="O37" s="968">
        <f t="shared" si="21"/>
        <v>0</v>
      </c>
      <c r="P37" s="968">
        <f t="shared" si="22"/>
        <v>0</v>
      </c>
      <c r="Q37" s="671">
        <f t="shared" si="23"/>
        <v>7.243874283994101</v>
      </c>
      <c r="R37" s="247">
        <f t="shared" si="24"/>
        <v>500</v>
      </c>
      <c r="S37" s="24">
        <f t="shared" si="25"/>
        <v>0</v>
      </c>
      <c r="T37" s="970">
        <f t="shared" si="26"/>
        <v>0</v>
      </c>
      <c r="U37" s="654">
        <f t="shared" si="27"/>
        <v>28.553922898703402</v>
      </c>
      <c r="V37" s="2"/>
      <c r="W37">
        <f>+M37+'RES Audit RCS'!M37+'RES Audit Alt'!M37</f>
        <v>23.47351182327489</v>
      </c>
      <c r="X37">
        <f>+Q37+'RES Audit RCS'!Q37+'RES Audit Alt'!Q37</f>
        <v>32.722436589217331</v>
      </c>
      <c r="Y37">
        <f>+U37+'RES Audit RCS'!U37+'RES Audit Alt'!U37</f>
        <v>114.85801766336637</v>
      </c>
    </row>
    <row r="38" spans="1:25" x14ac:dyDescent="0.2">
      <c r="A38" s="33">
        <f t="shared" si="28"/>
        <v>2025</v>
      </c>
      <c r="B38" s="787">
        <v>500</v>
      </c>
      <c r="C38" s="565">
        <f t="shared" si="15"/>
        <v>127055</v>
      </c>
      <c r="D38" s="1053">
        <f t="shared" si="32"/>
        <v>0</v>
      </c>
      <c r="E38" s="1054">
        <f t="shared" si="34"/>
        <v>0</v>
      </c>
      <c r="F38" s="1055">
        <f t="shared" si="34"/>
        <v>0</v>
      </c>
      <c r="G38" s="473">
        <f t="shared" ref="G38:H40" si="35">+$B38*D38/1000</f>
        <v>0</v>
      </c>
      <c r="H38" s="474">
        <f t="shared" si="35"/>
        <v>0</v>
      </c>
      <c r="I38" s="474">
        <f t="shared" ref="I38:I42" si="36">+$B38*F38/1000000</f>
        <v>0</v>
      </c>
      <c r="J38" s="61">
        <f t="shared" ref="J38:J42" si="37">+(((B38+B37)/2)+B37)</f>
        <v>1000</v>
      </c>
      <c r="K38" s="967">
        <f t="shared" ref="K38:K42" si="38">+D38</f>
        <v>0</v>
      </c>
      <c r="L38" s="967">
        <f t="shared" ref="L38:L42" si="39">+J38*K38/1000</f>
        <v>0</v>
      </c>
      <c r="M38" s="188">
        <f t="shared" ref="M38:M42" si="40">+M37+L38</f>
        <v>6.8874135332252848</v>
      </c>
      <c r="N38" s="54">
        <f t="shared" ref="N38:N42" si="41">+B37</f>
        <v>500</v>
      </c>
      <c r="O38" s="968">
        <f t="shared" ref="O38:O42" si="42">+E38</f>
        <v>0</v>
      </c>
      <c r="P38" s="968">
        <f t="shared" ref="P38:P42" si="43">+N38*O38/1000</f>
        <v>0</v>
      </c>
      <c r="Q38" s="671">
        <f t="shared" ref="Q38:Q42" si="44">+Q37+P38</f>
        <v>7.243874283994101</v>
      </c>
      <c r="R38" s="247">
        <f t="shared" ref="R38:R42" si="45">+(B38+B37)/2</f>
        <v>500</v>
      </c>
      <c r="S38" s="24">
        <f t="shared" ref="S38:S42" si="46">+F38</f>
        <v>0</v>
      </c>
      <c r="T38" s="970">
        <f t="shared" ref="T38:T42" si="47">+R38*S38/1000000</f>
        <v>0</v>
      </c>
      <c r="U38" s="654">
        <f t="shared" ref="U38:U42" si="48">+U37+T38</f>
        <v>28.553922898703402</v>
      </c>
      <c r="V38" s="2"/>
      <c r="W38">
        <f>+M38+'RES Audit RCS'!M38+'RES Audit Alt'!M38</f>
        <v>23.47351182327489</v>
      </c>
      <c r="X38">
        <f>+Q38+'RES Audit RCS'!Q38+'RES Audit Alt'!Q38</f>
        <v>32.722436589217331</v>
      </c>
      <c r="Y38">
        <f>+U38+'RES Audit RCS'!U38+'RES Audit Alt'!U38</f>
        <v>114.85801766336637</v>
      </c>
    </row>
    <row r="39" spans="1:25" x14ac:dyDescent="0.2">
      <c r="A39" s="33">
        <f t="shared" si="28"/>
        <v>2026</v>
      </c>
      <c r="B39" s="787">
        <v>500</v>
      </c>
      <c r="C39" s="565">
        <f>+C38+B39</f>
        <v>127555</v>
      </c>
      <c r="D39" s="1053">
        <f t="shared" si="32"/>
        <v>0</v>
      </c>
      <c r="E39" s="1054">
        <f t="shared" si="34"/>
        <v>0</v>
      </c>
      <c r="F39" s="1055">
        <f t="shared" si="34"/>
        <v>0</v>
      </c>
      <c r="G39" s="473">
        <f t="shared" si="35"/>
        <v>0</v>
      </c>
      <c r="H39" s="474">
        <f t="shared" si="35"/>
        <v>0</v>
      </c>
      <c r="I39" s="474">
        <f t="shared" si="36"/>
        <v>0</v>
      </c>
      <c r="J39" s="61">
        <f t="shared" si="37"/>
        <v>1000</v>
      </c>
      <c r="K39" s="967">
        <f t="shared" si="38"/>
        <v>0</v>
      </c>
      <c r="L39" s="967">
        <f t="shared" si="39"/>
        <v>0</v>
      </c>
      <c r="M39" s="188">
        <f t="shared" si="40"/>
        <v>6.8874135332252848</v>
      </c>
      <c r="N39" s="54">
        <f t="shared" si="41"/>
        <v>500</v>
      </c>
      <c r="O39" s="968">
        <f t="shared" si="42"/>
        <v>0</v>
      </c>
      <c r="P39" s="968">
        <f t="shared" si="43"/>
        <v>0</v>
      </c>
      <c r="Q39" s="671">
        <f t="shared" si="44"/>
        <v>7.243874283994101</v>
      </c>
      <c r="R39" s="247">
        <f t="shared" si="45"/>
        <v>500</v>
      </c>
      <c r="S39" s="24">
        <f t="shared" si="46"/>
        <v>0</v>
      </c>
      <c r="T39" s="970">
        <f t="shared" si="47"/>
        <v>0</v>
      </c>
      <c r="U39" s="654">
        <f t="shared" si="48"/>
        <v>28.553922898703402</v>
      </c>
      <c r="V39" s="2"/>
      <c r="W39">
        <f>+M39+'RES Audit RCS'!M39+'RES Audit Alt'!M39</f>
        <v>23.47351182327489</v>
      </c>
      <c r="X39">
        <f>+Q39+'RES Audit RCS'!Q39+'RES Audit Alt'!Q39</f>
        <v>32.722436589217331</v>
      </c>
      <c r="Y39">
        <f>+U39+'RES Audit RCS'!U39+'RES Audit Alt'!U39</f>
        <v>114.85801766336637</v>
      </c>
    </row>
    <row r="40" spans="1:25" x14ac:dyDescent="0.2">
      <c r="A40" s="33">
        <f t="shared" si="28"/>
        <v>2027</v>
      </c>
      <c r="B40" s="787">
        <v>500</v>
      </c>
      <c r="C40" s="565">
        <f>+C39+B40</f>
        <v>128055</v>
      </c>
      <c r="D40" s="1053">
        <f t="shared" si="32"/>
        <v>0</v>
      </c>
      <c r="E40" s="1054">
        <f t="shared" si="34"/>
        <v>0</v>
      </c>
      <c r="F40" s="1055">
        <f t="shared" si="34"/>
        <v>0</v>
      </c>
      <c r="G40" s="473">
        <f t="shared" si="35"/>
        <v>0</v>
      </c>
      <c r="H40" s="474">
        <f t="shared" si="35"/>
        <v>0</v>
      </c>
      <c r="I40" s="474">
        <f t="shared" si="36"/>
        <v>0</v>
      </c>
      <c r="J40" s="61">
        <f t="shared" si="37"/>
        <v>1000</v>
      </c>
      <c r="K40" s="967">
        <f t="shared" si="38"/>
        <v>0</v>
      </c>
      <c r="L40" s="967">
        <f t="shared" si="39"/>
        <v>0</v>
      </c>
      <c r="M40" s="188">
        <f t="shared" si="40"/>
        <v>6.8874135332252848</v>
      </c>
      <c r="N40" s="54">
        <f t="shared" si="41"/>
        <v>500</v>
      </c>
      <c r="O40" s="968">
        <f t="shared" si="42"/>
        <v>0</v>
      </c>
      <c r="P40" s="968">
        <f t="shared" si="43"/>
        <v>0</v>
      </c>
      <c r="Q40" s="671">
        <f t="shared" si="44"/>
        <v>7.243874283994101</v>
      </c>
      <c r="R40" s="247">
        <f t="shared" si="45"/>
        <v>500</v>
      </c>
      <c r="S40" s="24">
        <f t="shared" si="46"/>
        <v>0</v>
      </c>
      <c r="T40" s="970">
        <f t="shared" si="47"/>
        <v>0</v>
      </c>
      <c r="U40" s="654">
        <f t="shared" si="48"/>
        <v>28.553922898703402</v>
      </c>
      <c r="V40" s="2"/>
      <c r="W40">
        <f>+M40+'RES Audit RCS'!M40+'RES Audit Alt'!M40</f>
        <v>23.47351182327489</v>
      </c>
      <c r="X40">
        <f>+Q40+'RES Audit RCS'!Q40+'RES Audit Alt'!Q40</f>
        <v>32.722436589217331</v>
      </c>
      <c r="Y40">
        <f>+U40+'RES Audit RCS'!U40+'RES Audit Alt'!U40</f>
        <v>114.85801766336637</v>
      </c>
    </row>
    <row r="41" spans="1:25" x14ac:dyDescent="0.2">
      <c r="A41" s="33">
        <f t="shared" si="28"/>
        <v>2028</v>
      </c>
      <c r="B41" s="787">
        <v>500</v>
      </c>
      <c r="C41" s="565">
        <f>+C40+B41</f>
        <v>128555</v>
      </c>
      <c r="D41" s="1053">
        <f t="shared" si="32"/>
        <v>0</v>
      </c>
      <c r="E41" s="1054">
        <f t="shared" ref="E41:F42" si="49">+E40</f>
        <v>0</v>
      </c>
      <c r="F41" s="1055">
        <f t="shared" si="49"/>
        <v>0</v>
      </c>
      <c r="G41" s="473">
        <f t="shared" ref="G41:H42" si="50">+$B41*D41/1000</f>
        <v>0</v>
      </c>
      <c r="H41" s="474">
        <f t="shared" si="50"/>
        <v>0</v>
      </c>
      <c r="I41" s="474">
        <f t="shared" si="36"/>
        <v>0</v>
      </c>
      <c r="J41" s="61">
        <f t="shared" si="37"/>
        <v>1000</v>
      </c>
      <c r="K41" s="967">
        <f t="shared" si="38"/>
        <v>0</v>
      </c>
      <c r="L41" s="967">
        <f t="shared" si="39"/>
        <v>0</v>
      </c>
      <c r="M41" s="188">
        <f t="shared" si="40"/>
        <v>6.8874135332252848</v>
      </c>
      <c r="N41" s="54">
        <f t="shared" si="41"/>
        <v>500</v>
      </c>
      <c r="O41" s="968">
        <f t="shared" si="42"/>
        <v>0</v>
      </c>
      <c r="P41" s="968">
        <f t="shared" si="43"/>
        <v>0</v>
      </c>
      <c r="Q41" s="671">
        <f t="shared" si="44"/>
        <v>7.243874283994101</v>
      </c>
      <c r="R41" s="247">
        <f t="shared" si="45"/>
        <v>500</v>
      </c>
      <c r="S41" s="24">
        <f t="shared" si="46"/>
        <v>0</v>
      </c>
      <c r="T41" s="970">
        <f t="shared" si="47"/>
        <v>0</v>
      </c>
      <c r="U41" s="654">
        <f t="shared" si="48"/>
        <v>28.553922898703402</v>
      </c>
      <c r="V41" s="2"/>
    </row>
    <row r="42" spans="1:25" x14ac:dyDescent="0.2">
      <c r="A42" s="33">
        <f t="shared" si="28"/>
        <v>2029</v>
      </c>
      <c r="B42" s="787">
        <v>500</v>
      </c>
      <c r="C42" s="565">
        <f>+C41+B42</f>
        <v>129055</v>
      </c>
      <c r="D42" s="1053">
        <f t="shared" si="32"/>
        <v>0</v>
      </c>
      <c r="E42" s="1054">
        <f t="shared" si="49"/>
        <v>0</v>
      </c>
      <c r="F42" s="1055">
        <f t="shared" si="49"/>
        <v>0</v>
      </c>
      <c r="G42" s="473">
        <f t="shared" si="50"/>
        <v>0</v>
      </c>
      <c r="H42" s="474">
        <f t="shared" si="50"/>
        <v>0</v>
      </c>
      <c r="I42" s="474">
        <f t="shared" si="36"/>
        <v>0</v>
      </c>
      <c r="J42" s="61">
        <f t="shared" si="37"/>
        <v>1000</v>
      </c>
      <c r="K42" s="967">
        <f t="shared" si="38"/>
        <v>0</v>
      </c>
      <c r="L42" s="967">
        <f t="shared" si="39"/>
        <v>0</v>
      </c>
      <c r="M42" s="188">
        <f t="shared" si="40"/>
        <v>6.8874135332252848</v>
      </c>
      <c r="N42" s="54">
        <f t="shared" si="41"/>
        <v>500</v>
      </c>
      <c r="O42" s="968">
        <f t="shared" si="42"/>
        <v>0</v>
      </c>
      <c r="P42" s="968">
        <f t="shared" si="43"/>
        <v>0</v>
      </c>
      <c r="Q42" s="671">
        <f t="shared" si="44"/>
        <v>7.243874283994101</v>
      </c>
      <c r="R42" s="247">
        <f t="shared" si="45"/>
        <v>500</v>
      </c>
      <c r="S42" s="24">
        <f t="shared" si="46"/>
        <v>0</v>
      </c>
      <c r="T42" s="970">
        <f t="shared" si="47"/>
        <v>0</v>
      </c>
      <c r="U42" s="654">
        <f t="shared" si="48"/>
        <v>28.553922898703402</v>
      </c>
      <c r="V42" s="2"/>
    </row>
    <row r="43" spans="1:25" x14ac:dyDescent="0.2">
      <c r="A43" s="33">
        <f t="shared" si="28"/>
        <v>2030</v>
      </c>
      <c r="B43" s="787">
        <v>500</v>
      </c>
      <c r="C43" s="565">
        <f t="shared" ref="C43:C47" si="51">+C42+B43</f>
        <v>129555</v>
      </c>
      <c r="D43" s="1053">
        <f t="shared" si="32"/>
        <v>0</v>
      </c>
      <c r="E43" s="1054">
        <f t="shared" si="32"/>
        <v>0</v>
      </c>
      <c r="F43" s="1055">
        <f t="shared" si="32"/>
        <v>0</v>
      </c>
      <c r="G43" s="473">
        <f t="shared" ref="G43:G47" si="52">+$B43*D43/1000</f>
        <v>0</v>
      </c>
      <c r="H43" s="474">
        <f t="shared" ref="H43:H47" si="53">+$B43*E43/1000</f>
        <v>0</v>
      </c>
      <c r="I43" s="474">
        <f t="shared" ref="I43:I47" si="54">+$B43*F43/1000000</f>
        <v>0</v>
      </c>
      <c r="J43" s="61">
        <f t="shared" ref="J43:J47" si="55">+(((B43+B42)/2)+B42)</f>
        <v>1000</v>
      </c>
      <c r="K43" s="967">
        <f t="shared" ref="K43:K47" si="56">+D43</f>
        <v>0</v>
      </c>
      <c r="L43" s="967">
        <f t="shared" ref="L43:L47" si="57">+J43*K43/1000</f>
        <v>0</v>
      </c>
      <c r="M43" s="188">
        <f t="shared" ref="M43:M47" si="58">+M42+L43</f>
        <v>6.8874135332252848</v>
      </c>
      <c r="N43" s="54">
        <f t="shared" ref="N43:N47" si="59">+B42</f>
        <v>500</v>
      </c>
      <c r="O43" s="968">
        <f t="shared" ref="O43:O47" si="60">+E43</f>
        <v>0</v>
      </c>
      <c r="P43" s="968">
        <f t="shared" ref="P43:P47" si="61">+N43*O43/1000</f>
        <v>0</v>
      </c>
      <c r="Q43" s="671">
        <f t="shared" ref="Q43:Q47" si="62">+Q42+P43</f>
        <v>7.243874283994101</v>
      </c>
      <c r="R43" s="247">
        <f t="shared" ref="R43:R47" si="63">+(B43+B42)/2</f>
        <v>500</v>
      </c>
      <c r="S43" s="24">
        <f t="shared" ref="S43:S47" si="64">+F43</f>
        <v>0</v>
      </c>
      <c r="T43" s="970">
        <f t="shared" ref="T43:T47" si="65">+R43*S43/1000000</f>
        <v>0</v>
      </c>
      <c r="U43" s="654">
        <f t="shared" ref="U43:U47" si="66">+U42+T43</f>
        <v>28.553922898703402</v>
      </c>
      <c r="V43" s="2"/>
    </row>
    <row r="44" spans="1:25" x14ac:dyDescent="0.2">
      <c r="A44" s="33">
        <f t="shared" si="28"/>
        <v>2031</v>
      </c>
      <c r="B44" s="787">
        <v>500</v>
      </c>
      <c r="C44" s="565">
        <f t="shared" si="51"/>
        <v>130055</v>
      </c>
      <c r="D44" s="1053">
        <f t="shared" ref="D44:F47" si="67">+D43</f>
        <v>0</v>
      </c>
      <c r="E44" s="1054">
        <f t="shared" si="67"/>
        <v>0</v>
      </c>
      <c r="F44" s="1055">
        <f t="shared" si="67"/>
        <v>0</v>
      </c>
      <c r="G44" s="473">
        <f t="shared" si="52"/>
        <v>0</v>
      </c>
      <c r="H44" s="474">
        <f t="shared" si="53"/>
        <v>0</v>
      </c>
      <c r="I44" s="474">
        <f t="shared" si="54"/>
        <v>0</v>
      </c>
      <c r="J44" s="61">
        <f t="shared" si="55"/>
        <v>1000</v>
      </c>
      <c r="K44" s="967">
        <f t="shared" si="56"/>
        <v>0</v>
      </c>
      <c r="L44" s="967">
        <f t="shared" si="57"/>
        <v>0</v>
      </c>
      <c r="M44" s="188">
        <f t="shared" si="58"/>
        <v>6.8874135332252848</v>
      </c>
      <c r="N44" s="54">
        <f t="shared" si="59"/>
        <v>500</v>
      </c>
      <c r="O44" s="968">
        <f t="shared" si="60"/>
        <v>0</v>
      </c>
      <c r="P44" s="968">
        <f t="shared" si="61"/>
        <v>0</v>
      </c>
      <c r="Q44" s="671">
        <f t="shared" si="62"/>
        <v>7.243874283994101</v>
      </c>
      <c r="R44" s="247">
        <f t="shared" si="63"/>
        <v>500</v>
      </c>
      <c r="S44" s="24">
        <f t="shared" si="64"/>
        <v>0</v>
      </c>
      <c r="T44" s="970">
        <f t="shared" si="65"/>
        <v>0</v>
      </c>
      <c r="U44" s="654">
        <f t="shared" si="66"/>
        <v>28.553922898703402</v>
      </c>
      <c r="V44" s="2"/>
    </row>
    <row r="45" spans="1:25" x14ac:dyDescent="0.2">
      <c r="A45" s="33">
        <f t="shared" si="28"/>
        <v>2032</v>
      </c>
      <c r="B45" s="787">
        <v>500</v>
      </c>
      <c r="C45" s="565">
        <f t="shared" si="51"/>
        <v>130555</v>
      </c>
      <c r="D45" s="1053">
        <f t="shared" si="67"/>
        <v>0</v>
      </c>
      <c r="E45" s="1054">
        <f t="shared" si="67"/>
        <v>0</v>
      </c>
      <c r="F45" s="1055">
        <f t="shared" si="67"/>
        <v>0</v>
      </c>
      <c r="G45" s="473">
        <f t="shared" si="52"/>
        <v>0</v>
      </c>
      <c r="H45" s="474">
        <f t="shared" si="53"/>
        <v>0</v>
      </c>
      <c r="I45" s="474">
        <f t="shared" si="54"/>
        <v>0</v>
      </c>
      <c r="J45" s="61">
        <f t="shared" si="55"/>
        <v>1000</v>
      </c>
      <c r="K45" s="967">
        <f t="shared" si="56"/>
        <v>0</v>
      </c>
      <c r="L45" s="967">
        <f t="shared" si="57"/>
        <v>0</v>
      </c>
      <c r="M45" s="188">
        <f t="shared" si="58"/>
        <v>6.8874135332252848</v>
      </c>
      <c r="N45" s="54">
        <f t="shared" si="59"/>
        <v>500</v>
      </c>
      <c r="O45" s="968">
        <f t="shared" si="60"/>
        <v>0</v>
      </c>
      <c r="P45" s="968">
        <f t="shared" si="61"/>
        <v>0</v>
      </c>
      <c r="Q45" s="671">
        <f t="shared" si="62"/>
        <v>7.243874283994101</v>
      </c>
      <c r="R45" s="247">
        <f t="shared" si="63"/>
        <v>500</v>
      </c>
      <c r="S45" s="24">
        <f t="shared" si="64"/>
        <v>0</v>
      </c>
      <c r="T45" s="970">
        <f t="shared" si="65"/>
        <v>0</v>
      </c>
      <c r="U45" s="654">
        <f t="shared" si="66"/>
        <v>28.553922898703402</v>
      </c>
      <c r="V45" s="2"/>
    </row>
    <row r="46" spans="1:25" x14ac:dyDescent="0.2">
      <c r="A46" s="33">
        <f t="shared" si="28"/>
        <v>2033</v>
      </c>
      <c r="B46" s="787">
        <v>500</v>
      </c>
      <c r="C46" s="565">
        <f t="shared" si="51"/>
        <v>131055</v>
      </c>
      <c r="D46" s="1053">
        <f t="shared" si="67"/>
        <v>0</v>
      </c>
      <c r="E46" s="1054">
        <f t="shared" si="67"/>
        <v>0</v>
      </c>
      <c r="F46" s="1055">
        <f t="shared" si="67"/>
        <v>0</v>
      </c>
      <c r="G46" s="473">
        <f t="shared" si="52"/>
        <v>0</v>
      </c>
      <c r="H46" s="474">
        <f t="shared" si="53"/>
        <v>0</v>
      </c>
      <c r="I46" s="474">
        <f t="shared" si="54"/>
        <v>0</v>
      </c>
      <c r="J46" s="61">
        <f t="shared" si="55"/>
        <v>1000</v>
      </c>
      <c r="K46" s="967">
        <f t="shared" si="56"/>
        <v>0</v>
      </c>
      <c r="L46" s="967">
        <f t="shared" si="57"/>
        <v>0</v>
      </c>
      <c r="M46" s="188">
        <f t="shared" si="58"/>
        <v>6.8874135332252848</v>
      </c>
      <c r="N46" s="54">
        <f t="shared" si="59"/>
        <v>500</v>
      </c>
      <c r="O46" s="968">
        <f t="shared" si="60"/>
        <v>0</v>
      </c>
      <c r="P46" s="968">
        <f t="shared" si="61"/>
        <v>0</v>
      </c>
      <c r="Q46" s="671">
        <f t="shared" si="62"/>
        <v>7.243874283994101</v>
      </c>
      <c r="R46" s="247">
        <f t="shared" si="63"/>
        <v>500</v>
      </c>
      <c r="S46" s="24">
        <f t="shared" si="64"/>
        <v>0</v>
      </c>
      <c r="T46" s="970">
        <f t="shared" si="65"/>
        <v>0</v>
      </c>
      <c r="U46" s="654">
        <f t="shared" si="66"/>
        <v>28.553922898703402</v>
      </c>
      <c r="V46" s="2"/>
    </row>
    <row r="47" spans="1:25" x14ac:dyDescent="0.2">
      <c r="A47" s="33">
        <f t="shared" si="28"/>
        <v>2034</v>
      </c>
      <c r="B47" s="787">
        <v>500</v>
      </c>
      <c r="C47" s="565">
        <f t="shared" si="51"/>
        <v>131555</v>
      </c>
      <c r="D47" s="1053">
        <f t="shared" si="67"/>
        <v>0</v>
      </c>
      <c r="E47" s="1054">
        <f t="shared" si="67"/>
        <v>0</v>
      </c>
      <c r="F47" s="1055">
        <f t="shared" si="67"/>
        <v>0</v>
      </c>
      <c r="G47" s="473">
        <f t="shared" si="52"/>
        <v>0</v>
      </c>
      <c r="H47" s="474">
        <f t="shared" si="53"/>
        <v>0</v>
      </c>
      <c r="I47" s="474">
        <f t="shared" si="54"/>
        <v>0</v>
      </c>
      <c r="J47" s="61">
        <f t="shared" si="55"/>
        <v>1000</v>
      </c>
      <c r="K47" s="967">
        <f t="shared" si="56"/>
        <v>0</v>
      </c>
      <c r="L47" s="967">
        <f t="shared" si="57"/>
        <v>0</v>
      </c>
      <c r="M47" s="188">
        <f t="shared" si="58"/>
        <v>6.8874135332252848</v>
      </c>
      <c r="N47" s="54">
        <f t="shared" si="59"/>
        <v>500</v>
      </c>
      <c r="O47" s="968">
        <f t="shared" si="60"/>
        <v>0</v>
      </c>
      <c r="P47" s="968">
        <f t="shared" si="61"/>
        <v>0</v>
      </c>
      <c r="Q47" s="671">
        <f t="shared" si="62"/>
        <v>7.243874283994101</v>
      </c>
      <c r="R47" s="247">
        <f t="shared" si="63"/>
        <v>500</v>
      </c>
      <c r="S47" s="24">
        <f t="shared" si="64"/>
        <v>0</v>
      </c>
      <c r="T47" s="970">
        <f t="shared" si="65"/>
        <v>0</v>
      </c>
      <c r="U47" s="654">
        <f t="shared" si="66"/>
        <v>28.553922898703402</v>
      </c>
    </row>
    <row r="48" spans="1:25" x14ac:dyDescent="0.2">
      <c r="A48" s="33">
        <f t="shared" si="28"/>
        <v>2035</v>
      </c>
      <c r="B48" s="787">
        <f>B47</f>
        <v>500</v>
      </c>
      <c r="C48" s="565">
        <f t="shared" ref="C48:C54" si="68">+C47+B48</f>
        <v>132055</v>
      </c>
      <c r="D48" s="1053">
        <f t="shared" ref="D48:F48" si="69">+D47</f>
        <v>0</v>
      </c>
      <c r="E48" s="1054">
        <f t="shared" si="69"/>
        <v>0</v>
      </c>
      <c r="F48" s="1055">
        <f t="shared" si="69"/>
        <v>0</v>
      </c>
      <c r="G48" s="473">
        <f t="shared" ref="G48:G54" si="70">+$B48*D48/1000</f>
        <v>0</v>
      </c>
      <c r="H48" s="474">
        <f t="shared" ref="H48:H54" si="71">+$B48*E48/1000</f>
        <v>0</v>
      </c>
      <c r="I48" s="474">
        <f t="shared" ref="I48:I54" si="72">+$B48*F48/1000000</f>
        <v>0</v>
      </c>
      <c r="J48" s="61">
        <f t="shared" ref="J48:J54" si="73">+(((B48+B47)/2)+B47)</f>
        <v>1000</v>
      </c>
      <c r="K48" s="967">
        <f t="shared" ref="K48:K54" si="74">+D48</f>
        <v>0</v>
      </c>
      <c r="L48" s="967">
        <f t="shared" ref="L48:L54" si="75">+J48*K48/1000</f>
        <v>0</v>
      </c>
      <c r="M48" s="188">
        <f t="shared" ref="M48:M54" si="76">+M47+L48</f>
        <v>6.8874135332252848</v>
      </c>
      <c r="N48" s="54">
        <f t="shared" ref="N48:N54" si="77">+B47</f>
        <v>500</v>
      </c>
      <c r="O48" s="968">
        <f t="shared" ref="O48:O54" si="78">+E48</f>
        <v>0</v>
      </c>
      <c r="P48" s="968">
        <f t="shared" ref="P48:P54" si="79">+N48*O48/1000</f>
        <v>0</v>
      </c>
      <c r="Q48" s="671">
        <f t="shared" ref="Q48:Q54" si="80">+Q47+P48</f>
        <v>7.243874283994101</v>
      </c>
      <c r="R48" s="247">
        <f t="shared" ref="R48:R54" si="81">+(B48+B47)/2</f>
        <v>500</v>
      </c>
      <c r="S48" s="24">
        <f t="shared" ref="S48:S54" si="82">+F48</f>
        <v>0</v>
      </c>
      <c r="T48" s="970">
        <f t="shared" ref="T48:T54" si="83">+R48*S48/1000000</f>
        <v>0</v>
      </c>
      <c r="U48" s="654">
        <f t="shared" ref="U48:U54" si="84">+U47+T48</f>
        <v>28.553922898703402</v>
      </c>
    </row>
    <row r="49" spans="1:22" x14ac:dyDescent="0.2">
      <c r="A49" s="33">
        <f t="shared" si="28"/>
        <v>2036</v>
      </c>
      <c r="B49" s="787">
        <f t="shared" ref="B49:B54" si="85">B48</f>
        <v>500</v>
      </c>
      <c r="C49" s="565">
        <f t="shared" si="68"/>
        <v>132555</v>
      </c>
      <c r="D49" s="1053">
        <f t="shared" ref="D49:F49" si="86">+D48</f>
        <v>0</v>
      </c>
      <c r="E49" s="1054">
        <f t="shared" si="86"/>
        <v>0</v>
      </c>
      <c r="F49" s="1055">
        <f t="shared" si="86"/>
        <v>0</v>
      </c>
      <c r="G49" s="473">
        <f t="shared" si="70"/>
        <v>0</v>
      </c>
      <c r="H49" s="474">
        <f t="shared" si="71"/>
        <v>0</v>
      </c>
      <c r="I49" s="474">
        <f t="shared" si="72"/>
        <v>0</v>
      </c>
      <c r="J49" s="61">
        <f t="shared" si="73"/>
        <v>1000</v>
      </c>
      <c r="K49" s="967">
        <f t="shared" si="74"/>
        <v>0</v>
      </c>
      <c r="L49" s="967">
        <f t="shared" si="75"/>
        <v>0</v>
      </c>
      <c r="M49" s="188">
        <f t="shared" si="76"/>
        <v>6.8874135332252848</v>
      </c>
      <c r="N49" s="54">
        <f t="shared" si="77"/>
        <v>500</v>
      </c>
      <c r="O49" s="968">
        <f t="shared" si="78"/>
        <v>0</v>
      </c>
      <c r="P49" s="968">
        <f t="shared" si="79"/>
        <v>0</v>
      </c>
      <c r="Q49" s="671">
        <f t="shared" si="80"/>
        <v>7.243874283994101</v>
      </c>
      <c r="R49" s="247">
        <f t="shared" si="81"/>
        <v>500</v>
      </c>
      <c r="S49" s="24">
        <f t="shared" si="82"/>
        <v>0</v>
      </c>
      <c r="T49" s="970">
        <f t="shared" si="83"/>
        <v>0</v>
      </c>
      <c r="U49" s="654">
        <f t="shared" si="84"/>
        <v>28.553922898703402</v>
      </c>
    </row>
    <row r="50" spans="1:22" x14ac:dyDescent="0.2">
      <c r="A50" s="33">
        <f t="shared" si="28"/>
        <v>2037</v>
      </c>
      <c r="B50" s="787">
        <f t="shared" si="85"/>
        <v>500</v>
      </c>
      <c r="C50" s="565">
        <f t="shared" si="68"/>
        <v>133055</v>
      </c>
      <c r="D50" s="1053">
        <f t="shared" ref="D50:F50" si="87">+D49</f>
        <v>0</v>
      </c>
      <c r="E50" s="1054">
        <f t="shared" si="87"/>
        <v>0</v>
      </c>
      <c r="F50" s="1055">
        <f t="shared" si="87"/>
        <v>0</v>
      </c>
      <c r="G50" s="473">
        <f t="shared" si="70"/>
        <v>0</v>
      </c>
      <c r="H50" s="474">
        <f t="shared" si="71"/>
        <v>0</v>
      </c>
      <c r="I50" s="474">
        <f t="shared" si="72"/>
        <v>0</v>
      </c>
      <c r="J50" s="61">
        <f t="shared" si="73"/>
        <v>1000</v>
      </c>
      <c r="K50" s="967">
        <f t="shared" si="74"/>
        <v>0</v>
      </c>
      <c r="L50" s="967">
        <f t="shared" si="75"/>
        <v>0</v>
      </c>
      <c r="M50" s="188">
        <f t="shared" si="76"/>
        <v>6.8874135332252848</v>
      </c>
      <c r="N50" s="54">
        <f t="shared" si="77"/>
        <v>500</v>
      </c>
      <c r="O50" s="968">
        <f t="shared" si="78"/>
        <v>0</v>
      </c>
      <c r="P50" s="968">
        <f t="shared" si="79"/>
        <v>0</v>
      </c>
      <c r="Q50" s="671">
        <f t="shared" si="80"/>
        <v>7.243874283994101</v>
      </c>
      <c r="R50" s="247">
        <f t="shared" si="81"/>
        <v>500</v>
      </c>
      <c r="S50" s="24">
        <f t="shared" si="82"/>
        <v>0</v>
      </c>
      <c r="T50" s="970">
        <f t="shared" si="83"/>
        <v>0</v>
      </c>
      <c r="U50" s="654">
        <f t="shared" si="84"/>
        <v>28.553922898703402</v>
      </c>
    </row>
    <row r="51" spans="1:22" x14ac:dyDescent="0.2">
      <c r="A51" s="33">
        <f t="shared" si="28"/>
        <v>2038</v>
      </c>
      <c r="B51" s="787">
        <f t="shared" si="85"/>
        <v>500</v>
      </c>
      <c r="C51" s="565">
        <f t="shared" si="68"/>
        <v>133555</v>
      </c>
      <c r="D51" s="1053">
        <f t="shared" ref="D51:F51" si="88">+D50</f>
        <v>0</v>
      </c>
      <c r="E51" s="1054">
        <f t="shared" si="88"/>
        <v>0</v>
      </c>
      <c r="F51" s="1055">
        <f t="shared" si="88"/>
        <v>0</v>
      </c>
      <c r="G51" s="473">
        <f t="shared" si="70"/>
        <v>0</v>
      </c>
      <c r="H51" s="474">
        <f t="shared" si="71"/>
        <v>0</v>
      </c>
      <c r="I51" s="474">
        <f t="shared" si="72"/>
        <v>0</v>
      </c>
      <c r="J51" s="61">
        <f t="shared" si="73"/>
        <v>1000</v>
      </c>
      <c r="K51" s="967">
        <f t="shared" si="74"/>
        <v>0</v>
      </c>
      <c r="L51" s="967">
        <f t="shared" si="75"/>
        <v>0</v>
      </c>
      <c r="M51" s="188">
        <f t="shared" si="76"/>
        <v>6.8874135332252848</v>
      </c>
      <c r="N51" s="54">
        <f t="shared" si="77"/>
        <v>500</v>
      </c>
      <c r="O51" s="968">
        <f t="shared" si="78"/>
        <v>0</v>
      </c>
      <c r="P51" s="968">
        <f t="shared" si="79"/>
        <v>0</v>
      </c>
      <c r="Q51" s="671">
        <f t="shared" si="80"/>
        <v>7.243874283994101</v>
      </c>
      <c r="R51" s="247">
        <f t="shared" si="81"/>
        <v>500</v>
      </c>
      <c r="S51" s="24">
        <f t="shared" si="82"/>
        <v>0</v>
      </c>
      <c r="T51" s="970">
        <f t="shared" si="83"/>
        <v>0</v>
      </c>
      <c r="U51" s="654">
        <f t="shared" si="84"/>
        <v>28.553922898703402</v>
      </c>
    </row>
    <row r="52" spans="1:22" x14ac:dyDescent="0.2">
      <c r="A52" s="33">
        <f t="shared" si="28"/>
        <v>2039</v>
      </c>
      <c r="B52" s="787">
        <f t="shared" si="85"/>
        <v>500</v>
      </c>
      <c r="C52" s="565">
        <f t="shared" si="68"/>
        <v>134055</v>
      </c>
      <c r="D52" s="1053">
        <f t="shared" ref="D52:F52" si="89">+D51</f>
        <v>0</v>
      </c>
      <c r="E52" s="1054">
        <f t="shared" si="89"/>
        <v>0</v>
      </c>
      <c r="F52" s="1055">
        <f t="shared" si="89"/>
        <v>0</v>
      </c>
      <c r="G52" s="473">
        <f t="shared" si="70"/>
        <v>0</v>
      </c>
      <c r="H52" s="474">
        <f t="shared" si="71"/>
        <v>0</v>
      </c>
      <c r="I52" s="474">
        <f t="shared" si="72"/>
        <v>0</v>
      </c>
      <c r="J52" s="61">
        <f t="shared" si="73"/>
        <v>1000</v>
      </c>
      <c r="K52" s="967">
        <f t="shared" si="74"/>
        <v>0</v>
      </c>
      <c r="L52" s="967">
        <f t="shared" si="75"/>
        <v>0</v>
      </c>
      <c r="M52" s="188">
        <f t="shared" si="76"/>
        <v>6.8874135332252848</v>
      </c>
      <c r="N52" s="54">
        <f t="shared" si="77"/>
        <v>500</v>
      </c>
      <c r="O52" s="968">
        <f t="shared" si="78"/>
        <v>0</v>
      </c>
      <c r="P52" s="968">
        <f t="shared" si="79"/>
        <v>0</v>
      </c>
      <c r="Q52" s="671">
        <f t="shared" si="80"/>
        <v>7.243874283994101</v>
      </c>
      <c r="R52" s="247">
        <f t="shared" si="81"/>
        <v>500</v>
      </c>
      <c r="S52" s="24">
        <f t="shared" si="82"/>
        <v>0</v>
      </c>
      <c r="T52" s="970">
        <f t="shared" si="83"/>
        <v>0</v>
      </c>
      <c r="U52" s="654">
        <f t="shared" si="84"/>
        <v>28.553922898703402</v>
      </c>
    </row>
    <row r="53" spans="1:22" x14ac:dyDescent="0.2">
      <c r="A53" s="33">
        <f t="shared" si="28"/>
        <v>2040</v>
      </c>
      <c r="B53" s="787">
        <f t="shared" si="85"/>
        <v>500</v>
      </c>
      <c r="C53" s="565">
        <f t="shared" si="68"/>
        <v>134555</v>
      </c>
      <c r="D53" s="1053">
        <f t="shared" ref="D53:F53" si="90">+D52</f>
        <v>0</v>
      </c>
      <c r="E53" s="1054">
        <f t="shared" si="90"/>
        <v>0</v>
      </c>
      <c r="F53" s="1055">
        <f t="shared" si="90"/>
        <v>0</v>
      </c>
      <c r="G53" s="473">
        <f t="shared" si="70"/>
        <v>0</v>
      </c>
      <c r="H53" s="474">
        <f t="shared" si="71"/>
        <v>0</v>
      </c>
      <c r="I53" s="474">
        <f t="shared" si="72"/>
        <v>0</v>
      </c>
      <c r="J53" s="61">
        <f t="shared" si="73"/>
        <v>1000</v>
      </c>
      <c r="K53" s="967">
        <f t="shared" si="74"/>
        <v>0</v>
      </c>
      <c r="L53" s="967">
        <f t="shared" si="75"/>
        <v>0</v>
      </c>
      <c r="M53" s="188">
        <f t="shared" si="76"/>
        <v>6.8874135332252848</v>
      </c>
      <c r="N53" s="54">
        <f t="shared" si="77"/>
        <v>500</v>
      </c>
      <c r="O53" s="968">
        <f t="shared" si="78"/>
        <v>0</v>
      </c>
      <c r="P53" s="968">
        <f t="shared" si="79"/>
        <v>0</v>
      </c>
      <c r="Q53" s="671">
        <f t="shared" si="80"/>
        <v>7.243874283994101</v>
      </c>
      <c r="R53" s="247">
        <f t="shared" si="81"/>
        <v>500</v>
      </c>
      <c r="S53" s="24">
        <f t="shared" si="82"/>
        <v>0</v>
      </c>
      <c r="T53" s="970">
        <f t="shared" si="83"/>
        <v>0</v>
      </c>
      <c r="U53" s="654">
        <f t="shared" si="84"/>
        <v>28.553922898703402</v>
      </c>
    </row>
    <row r="54" spans="1:22" x14ac:dyDescent="0.2">
      <c r="A54" s="33">
        <f t="shared" si="28"/>
        <v>2041</v>
      </c>
      <c r="B54" s="787">
        <f t="shared" si="85"/>
        <v>500</v>
      </c>
      <c r="C54" s="565">
        <f t="shared" si="68"/>
        <v>135055</v>
      </c>
      <c r="D54" s="1053">
        <f t="shared" ref="D54:F54" si="91">+D53</f>
        <v>0</v>
      </c>
      <c r="E54" s="1054">
        <f t="shared" si="91"/>
        <v>0</v>
      </c>
      <c r="F54" s="1055">
        <f t="shared" si="91"/>
        <v>0</v>
      </c>
      <c r="G54" s="473">
        <f t="shared" si="70"/>
        <v>0</v>
      </c>
      <c r="H54" s="474">
        <f t="shared" si="71"/>
        <v>0</v>
      </c>
      <c r="I54" s="474">
        <f t="shared" si="72"/>
        <v>0</v>
      </c>
      <c r="J54" s="61">
        <f t="shared" si="73"/>
        <v>1000</v>
      </c>
      <c r="K54" s="967">
        <f t="shared" si="74"/>
        <v>0</v>
      </c>
      <c r="L54" s="967">
        <f t="shared" si="75"/>
        <v>0</v>
      </c>
      <c r="M54" s="188">
        <f t="shared" si="76"/>
        <v>6.8874135332252848</v>
      </c>
      <c r="N54" s="54">
        <f t="shared" si="77"/>
        <v>500</v>
      </c>
      <c r="O54" s="968">
        <f t="shared" si="78"/>
        <v>0</v>
      </c>
      <c r="P54" s="968">
        <f t="shared" si="79"/>
        <v>0</v>
      </c>
      <c r="Q54" s="671">
        <f t="shared" si="80"/>
        <v>7.243874283994101</v>
      </c>
      <c r="R54" s="247">
        <f t="shared" si="81"/>
        <v>500</v>
      </c>
      <c r="S54" s="24">
        <f t="shared" si="82"/>
        <v>0</v>
      </c>
      <c r="T54" s="970">
        <f t="shared" si="83"/>
        <v>0</v>
      </c>
      <c r="U54" s="654">
        <f t="shared" si="84"/>
        <v>28.553922898703402</v>
      </c>
    </row>
    <row r="55" spans="1:22" s="2" customFormat="1" x14ac:dyDescent="0.2">
      <c r="A55" s="491"/>
      <c r="B55" s="498"/>
      <c r="C55" s="493"/>
      <c r="D55" s="495"/>
      <c r="E55" s="495"/>
      <c r="F55" s="498"/>
      <c r="G55" s="495"/>
      <c r="H55" s="495"/>
      <c r="I55" s="495"/>
      <c r="J55" s="498"/>
      <c r="K55" s="495"/>
      <c r="L55" s="495"/>
      <c r="M55" s="495"/>
      <c r="N55" s="498"/>
      <c r="O55" s="495"/>
      <c r="P55" s="495"/>
      <c r="Q55" s="495"/>
      <c r="R55" s="248"/>
      <c r="S55" s="499"/>
      <c r="T55" s="500"/>
      <c r="U55" s="500"/>
    </row>
    <row r="56" spans="1:22" x14ac:dyDescent="0.2">
      <c r="A56" s="69" t="s">
        <v>38</v>
      </c>
    </row>
    <row r="57" spans="1:22" x14ac:dyDescent="0.2">
      <c r="A57" s="69" t="s">
        <v>39</v>
      </c>
    </row>
    <row r="58" spans="1:22" x14ac:dyDescent="0.2">
      <c r="A58" s="86" t="s">
        <v>57</v>
      </c>
      <c r="M58"/>
      <c r="V58" s="2"/>
    </row>
    <row r="59" spans="1:22" x14ac:dyDescent="0.2">
      <c r="A59" s="86" t="s">
        <v>58</v>
      </c>
      <c r="M59"/>
      <c r="V59" s="2"/>
    </row>
    <row r="61" spans="1:22" x14ac:dyDescent="0.2">
      <c r="A61" s="69" t="s">
        <v>104</v>
      </c>
    </row>
    <row r="62" spans="1:22" x14ac:dyDescent="0.2">
      <c r="A62" s="69" t="s">
        <v>105</v>
      </c>
    </row>
    <row r="65" spans="2:4" ht="15" x14ac:dyDescent="0.2">
      <c r="B65" s="253">
        <v>1650</v>
      </c>
      <c r="C65" s="253">
        <v>75</v>
      </c>
      <c r="D65" s="257">
        <f>SUM(B65:C65)</f>
        <v>1725</v>
      </c>
    </row>
    <row r="66" spans="2:4" ht="15" x14ac:dyDescent="0.2">
      <c r="B66" s="253">
        <v>1575</v>
      </c>
      <c r="C66" s="253">
        <v>300</v>
      </c>
      <c r="D66" s="257">
        <f t="shared" ref="D66:D72" si="92">SUM(B66:C66)</f>
        <v>1875</v>
      </c>
    </row>
    <row r="67" spans="2:4" ht="15" x14ac:dyDescent="0.2">
      <c r="B67" s="253">
        <v>1500</v>
      </c>
      <c r="C67" s="253">
        <v>500</v>
      </c>
      <c r="D67" s="257">
        <f t="shared" si="92"/>
        <v>2000</v>
      </c>
    </row>
    <row r="68" spans="2:4" ht="15" x14ac:dyDescent="0.2">
      <c r="B68" s="253">
        <v>1425</v>
      </c>
      <c r="C68" s="253">
        <v>500</v>
      </c>
      <c r="D68" s="257">
        <f t="shared" si="92"/>
        <v>1925</v>
      </c>
    </row>
    <row r="69" spans="2:4" ht="15" x14ac:dyDescent="0.2">
      <c r="B69" s="253">
        <v>1350</v>
      </c>
      <c r="C69" s="253">
        <v>500</v>
      </c>
      <c r="D69" s="257">
        <f t="shared" si="92"/>
        <v>1850</v>
      </c>
    </row>
    <row r="70" spans="2:4" ht="15" x14ac:dyDescent="0.2">
      <c r="B70" s="253">
        <v>1275</v>
      </c>
      <c r="C70" s="253">
        <v>500</v>
      </c>
      <c r="D70" s="257">
        <f t="shared" si="92"/>
        <v>1775</v>
      </c>
    </row>
    <row r="71" spans="2:4" ht="15" x14ac:dyDescent="0.2">
      <c r="B71" s="253">
        <v>1200</v>
      </c>
      <c r="C71" s="253">
        <v>500</v>
      </c>
      <c r="D71" s="257">
        <f t="shared" si="92"/>
        <v>1700</v>
      </c>
    </row>
    <row r="72" spans="2:4" ht="15.75" thickBot="1" x14ac:dyDescent="0.25">
      <c r="B72" s="255">
        <v>1125</v>
      </c>
      <c r="C72" s="256">
        <v>500</v>
      </c>
      <c r="D72" s="257">
        <f t="shared" si="92"/>
        <v>1625</v>
      </c>
    </row>
  </sheetData>
  <mergeCells count="5">
    <mergeCell ref="R4:U4"/>
    <mergeCell ref="G3:I3"/>
    <mergeCell ref="B4:I4"/>
    <mergeCell ref="J4:M4"/>
    <mergeCell ref="N4:Q4"/>
  </mergeCells>
  <phoneticPr fontId="7" type="noConversion"/>
  <pageMargins left="0.75" right="0.75" top="1" bottom="1" header="0.5" footer="0.5"/>
  <pageSetup scale="5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00FFFF"/>
    <pageSetUpPr fitToPage="1"/>
  </sheetPr>
  <dimension ref="A1:IV59"/>
  <sheetViews>
    <sheetView workbookViewId="0">
      <pane xSplit="1" ySplit="5" topLeftCell="B24" activePane="bottomRight" state="frozen"/>
      <selection activeCell="B36" sqref="B36"/>
      <selection pane="topRight" activeCell="B36" sqref="B36"/>
      <selection pane="bottomLeft" activeCell="B36" sqref="B36"/>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tr">
        <f>'RES Audit Alt'!A1</f>
        <v>Conservation Savings @ Meter</v>
      </c>
      <c r="B1" s="4"/>
      <c r="C1" s="4"/>
      <c r="D1" s="4"/>
      <c r="E1" s="4"/>
      <c r="F1" s="4"/>
      <c r="G1" s="4"/>
      <c r="H1" s="249"/>
      <c r="I1" s="249"/>
      <c r="J1" s="249"/>
      <c r="K1" s="4"/>
      <c r="L1" s="4"/>
      <c r="M1" s="4"/>
      <c r="N1" s="4"/>
    </row>
    <row r="2" spans="1:24" ht="16.5" thickBot="1" x14ac:dyDescent="0.3">
      <c r="A2" s="5" t="str">
        <f>'RES Audit Alt'!A2</f>
        <v>PROGRAM:</v>
      </c>
      <c r="B2" s="27" t="s">
        <v>216</v>
      </c>
      <c r="C2" s="27"/>
      <c r="D2" s="27"/>
      <c r="E2" s="27"/>
      <c r="F2" s="23"/>
      <c r="G2" s="27"/>
      <c r="H2" s="27"/>
      <c r="I2" s="27"/>
      <c r="J2" s="27"/>
      <c r="K2" s="27"/>
      <c r="L2" s="27"/>
      <c r="M2" s="4"/>
      <c r="N2" s="4"/>
    </row>
    <row r="3" spans="1:24" ht="16.5" thickBot="1" x14ac:dyDescent="0.3">
      <c r="A3" s="4"/>
      <c r="B3" s="178"/>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3890</v>
      </c>
      <c r="D6" s="628"/>
      <c r="E6" s="15"/>
      <c r="F6" s="31"/>
      <c r="G6" s="208"/>
      <c r="H6" s="15"/>
      <c r="I6" s="31"/>
      <c r="J6" s="37"/>
      <c r="K6" s="59">
        <f>+M6/C6*1000</f>
        <v>0.24935732647814912</v>
      </c>
      <c r="L6" s="6"/>
      <c r="M6" s="46">
        <v>0.97</v>
      </c>
      <c r="N6" s="40"/>
      <c r="O6" s="670">
        <f>+Q6/C6*1000</f>
        <v>0.34961439588688953</v>
      </c>
      <c r="P6" s="57"/>
      <c r="Q6" s="41">
        <v>1.36</v>
      </c>
      <c r="R6" s="43"/>
      <c r="S6" s="24">
        <f>+U6/C6*1000000</f>
        <v>840.61696658097696</v>
      </c>
      <c r="T6" s="21"/>
      <c r="U6" s="47">
        <v>3.27</v>
      </c>
      <c r="V6" s="3"/>
    </row>
    <row r="7" spans="1:24" s="1" customFormat="1" ht="15.75" customHeight="1" x14ac:dyDescent="0.2">
      <c r="A7" s="68" t="s">
        <v>63</v>
      </c>
      <c r="B7" s="30">
        <v>0</v>
      </c>
      <c r="C7" s="659">
        <f>+C6+B7</f>
        <v>3890</v>
      </c>
      <c r="D7" s="628"/>
      <c r="E7" s="15"/>
      <c r="F7" s="31"/>
      <c r="G7" s="208"/>
      <c r="H7" s="15"/>
      <c r="I7" s="31"/>
      <c r="J7" s="37"/>
      <c r="K7" s="59">
        <v>0</v>
      </c>
      <c r="L7" s="6"/>
      <c r="M7" s="46">
        <f>+M6+0</f>
        <v>0.97</v>
      </c>
      <c r="N7" s="40"/>
      <c r="O7" s="670">
        <v>0</v>
      </c>
      <c r="P7" s="57"/>
      <c r="Q7" s="41">
        <f>+Q6+0</f>
        <v>1.36</v>
      </c>
      <c r="R7" s="43"/>
      <c r="S7" s="24">
        <v>0</v>
      </c>
      <c r="T7" s="21"/>
      <c r="U7" s="47">
        <f>+U6+0</f>
        <v>3.27</v>
      </c>
      <c r="V7" s="3"/>
    </row>
    <row r="8" spans="1:24" x14ac:dyDescent="0.2">
      <c r="A8" s="33">
        <v>1995</v>
      </c>
      <c r="B8" s="30">
        <v>0</v>
      </c>
      <c r="C8" s="660">
        <f t="shared" ref="C8:C16" si="0">+C7+B8</f>
        <v>3890</v>
      </c>
      <c r="D8" s="662">
        <v>0</v>
      </c>
      <c r="E8" s="663">
        <v>0</v>
      </c>
      <c r="F8" s="617">
        <v>0</v>
      </c>
      <c r="G8" s="626">
        <v>0</v>
      </c>
      <c r="H8" s="72">
        <v>0</v>
      </c>
      <c r="I8" s="630">
        <v>0</v>
      </c>
      <c r="J8" s="61">
        <f>+(B8+B7)/2</f>
        <v>0</v>
      </c>
      <c r="K8" s="188">
        <f>+D8</f>
        <v>0</v>
      </c>
      <c r="L8" s="188">
        <f>+J8*K8/1000</f>
        <v>0</v>
      </c>
      <c r="M8" s="188">
        <f>+M7+L8</f>
        <v>0.97</v>
      </c>
      <c r="N8" s="51">
        <f>+B7</f>
        <v>0</v>
      </c>
      <c r="O8" s="670">
        <f>+E8</f>
        <v>0</v>
      </c>
      <c r="P8" s="670">
        <f>+N8*O8/1000</f>
        <v>0</v>
      </c>
      <c r="Q8" s="670">
        <f>+Q7+P8</f>
        <v>1.36</v>
      </c>
      <c r="R8" s="247">
        <f>+(B8+B7)/2</f>
        <v>0</v>
      </c>
      <c r="S8" s="24">
        <f>+F8</f>
        <v>0</v>
      </c>
      <c r="T8" s="25">
        <f>+R8*S8/1000000</f>
        <v>0</v>
      </c>
      <c r="U8" s="654">
        <f>+U7+T8</f>
        <v>3.27</v>
      </c>
      <c r="V8" s="9"/>
      <c r="X8" s="1"/>
    </row>
    <row r="9" spans="1:24" x14ac:dyDescent="0.2">
      <c r="A9" s="33">
        <v>1996</v>
      </c>
      <c r="B9" s="30">
        <v>0</v>
      </c>
      <c r="C9" s="660">
        <f t="shared" si="0"/>
        <v>3890</v>
      </c>
      <c r="D9" s="662">
        <v>0</v>
      </c>
      <c r="E9" s="663">
        <v>0</v>
      </c>
      <c r="F9" s="617">
        <v>0</v>
      </c>
      <c r="G9" s="626">
        <v>0</v>
      </c>
      <c r="H9" s="72">
        <v>0</v>
      </c>
      <c r="I9" s="630">
        <v>0</v>
      </c>
      <c r="J9" s="61">
        <f t="shared" ref="J9:J37" si="1">+(B9+B8)/2</f>
        <v>0</v>
      </c>
      <c r="K9" s="188">
        <f t="shared" ref="K9:K16" si="2">+D9</f>
        <v>0</v>
      </c>
      <c r="L9" s="188">
        <f t="shared" ref="L9:L16" si="3">+J9*K9/1000</f>
        <v>0</v>
      </c>
      <c r="M9" s="188">
        <f>+M8+L9</f>
        <v>0.97</v>
      </c>
      <c r="N9" s="54">
        <f t="shared" ref="N9:N16" si="4">+B8</f>
        <v>0</v>
      </c>
      <c r="O9" s="670">
        <f t="shared" ref="O9:O16" si="5">+E9</f>
        <v>0</v>
      </c>
      <c r="P9" s="670">
        <f t="shared" ref="P9:P16" si="6">+N9*O9/1000</f>
        <v>0</v>
      </c>
      <c r="Q9" s="670">
        <f t="shared" ref="Q9:Q16" si="7">+Q8+P9</f>
        <v>1.36</v>
      </c>
      <c r="R9" s="247">
        <f t="shared" ref="R9:R16" si="8">+(B9+B8)/2</f>
        <v>0</v>
      </c>
      <c r="S9" s="24">
        <f t="shared" ref="S9:S16" si="9">+F9</f>
        <v>0</v>
      </c>
      <c r="T9" s="25">
        <f t="shared" ref="T9:T16" si="10">+R9*S9/1000000</f>
        <v>0</v>
      </c>
      <c r="U9" s="654">
        <f>+U8+T9</f>
        <v>3.27</v>
      </c>
      <c r="V9" s="10"/>
      <c r="X9" s="1"/>
    </row>
    <row r="10" spans="1:24" x14ac:dyDescent="0.2">
      <c r="A10" s="33">
        <v>1997</v>
      </c>
      <c r="B10" s="30">
        <v>0</v>
      </c>
      <c r="C10" s="660">
        <f t="shared" si="0"/>
        <v>3890</v>
      </c>
      <c r="D10" s="662">
        <v>0</v>
      </c>
      <c r="E10" s="663">
        <v>0</v>
      </c>
      <c r="F10" s="617">
        <v>0</v>
      </c>
      <c r="G10" s="626">
        <v>0</v>
      </c>
      <c r="H10" s="72">
        <v>0</v>
      </c>
      <c r="I10" s="630">
        <v>0</v>
      </c>
      <c r="J10" s="61">
        <f t="shared" si="1"/>
        <v>0</v>
      </c>
      <c r="K10" s="188">
        <f t="shared" si="2"/>
        <v>0</v>
      </c>
      <c r="L10" s="188">
        <f t="shared" si="3"/>
        <v>0</v>
      </c>
      <c r="M10" s="188">
        <f t="shared" ref="M10:M16" si="11">+M9+L10</f>
        <v>0.97</v>
      </c>
      <c r="N10" s="54">
        <f t="shared" si="4"/>
        <v>0</v>
      </c>
      <c r="O10" s="670">
        <f t="shared" si="5"/>
        <v>0</v>
      </c>
      <c r="P10" s="670">
        <f t="shared" si="6"/>
        <v>0</v>
      </c>
      <c r="Q10" s="670">
        <f t="shared" si="7"/>
        <v>1.36</v>
      </c>
      <c r="R10" s="247">
        <f t="shared" si="8"/>
        <v>0</v>
      </c>
      <c r="S10" s="24">
        <f t="shared" si="9"/>
        <v>0</v>
      </c>
      <c r="T10" s="25">
        <f t="shared" si="10"/>
        <v>0</v>
      </c>
      <c r="U10" s="654">
        <f t="shared" ref="U10:U16" si="12">+U9+T10</f>
        <v>3.27</v>
      </c>
      <c r="V10" s="10"/>
      <c r="X10" s="1"/>
    </row>
    <row r="11" spans="1:24" x14ac:dyDescent="0.2">
      <c r="A11" s="33">
        <v>1998</v>
      </c>
      <c r="B11" s="30">
        <v>0</v>
      </c>
      <c r="C11" s="660">
        <f t="shared" si="0"/>
        <v>3890</v>
      </c>
      <c r="D11" s="662">
        <v>0</v>
      </c>
      <c r="E11" s="663">
        <v>0</v>
      </c>
      <c r="F11" s="617">
        <v>0</v>
      </c>
      <c r="G11" s="626">
        <v>0</v>
      </c>
      <c r="H11" s="72">
        <v>0</v>
      </c>
      <c r="I11" s="630">
        <v>0</v>
      </c>
      <c r="J11" s="61">
        <f t="shared" si="1"/>
        <v>0</v>
      </c>
      <c r="K11" s="188">
        <f t="shared" si="2"/>
        <v>0</v>
      </c>
      <c r="L11" s="188">
        <f t="shared" si="3"/>
        <v>0</v>
      </c>
      <c r="M11" s="188">
        <f t="shared" si="11"/>
        <v>0.97</v>
      </c>
      <c r="N11" s="54">
        <f t="shared" si="4"/>
        <v>0</v>
      </c>
      <c r="O11" s="670">
        <f t="shared" si="5"/>
        <v>0</v>
      </c>
      <c r="P11" s="670">
        <f t="shared" si="6"/>
        <v>0</v>
      </c>
      <c r="Q11" s="670">
        <f t="shared" si="7"/>
        <v>1.36</v>
      </c>
      <c r="R11" s="247">
        <f t="shared" si="8"/>
        <v>0</v>
      </c>
      <c r="S11" s="24">
        <f t="shared" si="9"/>
        <v>0</v>
      </c>
      <c r="T11" s="25">
        <f t="shared" si="10"/>
        <v>0</v>
      </c>
      <c r="U11" s="654">
        <f t="shared" si="12"/>
        <v>3.27</v>
      </c>
      <c r="V11" s="10"/>
      <c r="X11" s="1"/>
    </row>
    <row r="12" spans="1:24" x14ac:dyDescent="0.2">
      <c r="A12" s="33">
        <v>1999</v>
      </c>
      <c r="B12" s="30">
        <v>0</v>
      </c>
      <c r="C12" s="660">
        <f t="shared" si="0"/>
        <v>3890</v>
      </c>
      <c r="D12" s="662">
        <v>0</v>
      </c>
      <c r="E12" s="663">
        <v>0</v>
      </c>
      <c r="F12" s="617">
        <v>0</v>
      </c>
      <c r="G12" s="626">
        <v>0</v>
      </c>
      <c r="H12" s="72">
        <v>0</v>
      </c>
      <c r="I12" s="630">
        <v>0</v>
      </c>
      <c r="J12" s="61">
        <f t="shared" si="1"/>
        <v>0</v>
      </c>
      <c r="K12" s="188">
        <f t="shared" si="2"/>
        <v>0</v>
      </c>
      <c r="L12" s="188">
        <f t="shared" si="3"/>
        <v>0</v>
      </c>
      <c r="M12" s="188">
        <f t="shared" si="11"/>
        <v>0.97</v>
      </c>
      <c r="N12" s="54">
        <f t="shared" si="4"/>
        <v>0</v>
      </c>
      <c r="O12" s="670">
        <f t="shared" si="5"/>
        <v>0</v>
      </c>
      <c r="P12" s="670">
        <f t="shared" si="6"/>
        <v>0</v>
      </c>
      <c r="Q12" s="670">
        <f t="shared" si="7"/>
        <v>1.36</v>
      </c>
      <c r="R12" s="247">
        <f t="shared" si="8"/>
        <v>0</v>
      </c>
      <c r="S12" s="24">
        <f t="shared" si="9"/>
        <v>0</v>
      </c>
      <c r="T12" s="25">
        <f t="shared" si="10"/>
        <v>0</v>
      </c>
      <c r="U12" s="654">
        <f t="shared" si="12"/>
        <v>3.27</v>
      </c>
      <c r="V12" s="10"/>
      <c r="X12" s="1"/>
    </row>
    <row r="13" spans="1:24" x14ac:dyDescent="0.2">
      <c r="A13" s="33">
        <v>2000</v>
      </c>
      <c r="B13" s="30">
        <v>0</v>
      </c>
      <c r="C13" s="660">
        <f t="shared" si="0"/>
        <v>3890</v>
      </c>
      <c r="D13" s="662">
        <v>0</v>
      </c>
      <c r="E13" s="663">
        <v>0</v>
      </c>
      <c r="F13" s="617">
        <v>0</v>
      </c>
      <c r="G13" s="626">
        <v>0</v>
      </c>
      <c r="H13" s="72">
        <v>0</v>
      </c>
      <c r="I13" s="630">
        <v>0</v>
      </c>
      <c r="J13" s="61">
        <f t="shared" si="1"/>
        <v>0</v>
      </c>
      <c r="K13" s="188">
        <f t="shared" si="2"/>
        <v>0</v>
      </c>
      <c r="L13" s="188">
        <f t="shared" si="3"/>
        <v>0</v>
      </c>
      <c r="M13" s="188">
        <f t="shared" si="11"/>
        <v>0.97</v>
      </c>
      <c r="N13" s="54">
        <f t="shared" si="4"/>
        <v>0</v>
      </c>
      <c r="O13" s="670">
        <f t="shared" si="5"/>
        <v>0</v>
      </c>
      <c r="P13" s="670">
        <f t="shared" si="6"/>
        <v>0</v>
      </c>
      <c r="Q13" s="670">
        <f t="shared" si="7"/>
        <v>1.36</v>
      </c>
      <c r="R13" s="247">
        <f t="shared" si="8"/>
        <v>0</v>
      </c>
      <c r="S13" s="24">
        <f t="shared" si="9"/>
        <v>0</v>
      </c>
      <c r="T13" s="25">
        <f t="shared" si="10"/>
        <v>0</v>
      </c>
      <c r="U13" s="654">
        <f t="shared" si="12"/>
        <v>3.27</v>
      </c>
      <c r="V13" s="9"/>
      <c r="X13" s="1"/>
    </row>
    <row r="14" spans="1:24" x14ac:dyDescent="0.2">
      <c r="A14" s="33">
        <v>2001</v>
      </c>
      <c r="B14" s="30">
        <v>0</v>
      </c>
      <c r="C14" s="660">
        <f t="shared" si="0"/>
        <v>3890</v>
      </c>
      <c r="D14" s="662">
        <v>0</v>
      </c>
      <c r="E14" s="663">
        <v>0</v>
      </c>
      <c r="F14" s="617">
        <v>0</v>
      </c>
      <c r="G14" s="626">
        <v>0</v>
      </c>
      <c r="H14" s="72">
        <v>0</v>
      </c>
      <c r="I14" s="630">
        <v>0</v>
      </c>
      <c r="J14" s="61">
        <f t="shared" si="1"/>
        <v>0</v>
      </c>
      <c r="K14" s="188">
        <f t="shared" si="2"/>
        <v>0</v>
      </c>
      <c r="L14" s="188">
        <f t="shared" si="3"/>
        <v>0</v>
      </c>
      <c r="M14" s="188">
        <f t="shared" si="11"/>
        <v>0.97</v>
      </c>
      <c r="N14" s="54">
        <f t="shared" si="4"/>
        <v>0</v>
      </c>
      <c r="O14" s="670">
        <f t="shared" si="5"/>
        <v>0</v>
      </c>
      <c r="P14" s="670">
        <f t="shared" si="6"/>
        <v>0</v>
      </c>
      <c r="Q14" s="670">
        <f t="shared" si="7"/>
        <v>1.36</v>
      </c>
      <c r="R14" s="247">
        <f t="shared" si="8"/>
        <v>0</v>
      </c>
      <c r="S14" s="24">
        <f t="shared" si="9"/>
        <v>0</v>
      </c>
      <c r="T14" s="25">
        <f t="shared" si="10"/>
        <v>0</v>
      </c>
      <c r="U14" s="654">
        <f t="shared" si="12"/>
        <v>3.27</v>
      </c>
      <c r="V14" s="9"/>
      <c r="X14" s="1"/>
    </row>
    <row r="15" spans="1:24" x14ac:dyDescent="0.2">
      <c r="A15" s="33">
        <v>2002</v>
      </c>
      <c r="B15" s="30">
        <v>0</v>
      </c>
      <c r="C15" s="660">
        <f t="shared" si="0"/>
        <v>3890</v>
      </c>
      <c r="D15" s="662">
        <v>0</v>
      </c>
      <c r="E15" s="663">
        <v>0</v>
      </c>
      <c r="F15" s="617">
        <v>0</v>
      </c>
      <c r="G15" s="626">
        <v>0</v>
      </c>
      <c r="H15" s="72">
        <v>0</v>
      </c>
      <c r="I15" s="630">
        <v>0</v>
      </c>
      <c r="J15" s="61">
        <f t="shared" si="1"/>
        <v>0</v>
      </c>
      <c r="K15" s="188">
        <f t="shared" si="2"/>
        <v>0</v>
      </c>
      <c r="L15" s="188">
        <f t="shared" si="3"/>
        <v>0</v>
      </c>
      <c r="M15" s="188">
        <f t="shared" si="11"/>
        <v>0.97</v>
      </c>
      <c r="N15" s="54">
        <f t="shared" si="4"/>
        <v>0</v>
      </c>
      <c r="O15" s="670">
        <f t="shared" si="5"/>
        <v>0</v>
      </c>
      <c r="P15" s="670">
        <f t="shared" si="6"/>
        <v>0</v>
      </c>
      <c r="Q15" s="670">
        <f t="shared" si="7"/>
        <v>1.36</v>
      </c>
      <c r="R15" s="247">
        <f t="shared" si="8"/>
        <v>0</v>
      </c>
      <c r="S15" s="24">
        <f t="shared" si="9"/>
        <v>0</v>
      </c>
      <c r="T15" s="25">
        <f t="shared" si="10"/>
        <v>0</v>
      </c>
      <c r="U15" s="654">
        <f t="shared" si="12"/>
        <v>3.27</v>
      </c>
      <c r="V15" s="9"/>
      <c r="X15" s="1"/>
    </row>
    <row r="16" spans="1:24" x14ac:dyDescent="0.2">
      <c r="A16" s="33">
        <v>2003</v>
      </c>
      <c r="B16" s="30">
        <v>0</v>
      </c>
      <c r="C16" s="660">
        <f t="shared" si="0"/>
        <v>3890</v>
      </c>
      <c r="D16" s="662">
        <v>0</v>
      </c>
      <c r="E16" s="663">
        <v>0</v>
      </c>
      <c r="F16" s="617">
        <v>0</v>
      </c>
      <c r="G16" s="626">
        <v>0</v>
      </c>
      <c r="H16" s="72">
        <v>0</v>
      </c>
      <c r="I16" s="630">
        <v>0</v>
      </c>
      <c r="J16" s="61">
        <f t="shared" si="1"/>
        <v>0</v>
      </c>
      <c r="K16" s="188">
        <f t="shared" si="2"/>
        <v>0</v>
      </c>
      <c r="L16" s="188">
        <f t="shared" si="3"/>
        <v>0</v>
      </c>
      <c r="M16" s="188">
        <f t="shared" si="11"/>
        <v>0.97</v>
      </c>
      <c r="N16" s="54">
        <f t="shared" si="4"/>
        <v>0</v>
      </c>
      <c r="O16" s="670">
        <f t="shared" si="5"/>
        <v>0</v>
      </c>
      <c r="P16" s="670">
        <f t="shared" si="6"/>
        <v>0</v>
      </c>
      <c r="Q16" s="670">
        <f t="shared" si="7"/>
        <v>1.36</v>
      </c>
      <c r="R16" s="247">
        <f t="shared" si="8"/>
        <v>0</v>
      </c>
      <c r="S16" s="24">
        <f t="shared" si="9"/>
        <v>0</v>
      </c>
      <c r="T16" s="25">
        <f t="shared" si="10"/>
        <v>0</v>
      </c>
      <c r="U16" s="654">
        <f t="shared" si="12"/>
        <v>3.27</v>
      </c>
      <c r="V16" s="9"/>
      <c r="X16" s="1"/>
    </row>
    <row r="17" spans="1:24" x14ac:dyDescent="0.2">
      <c r="A17" s="33">
        <f>+A16+1</f>
        <v>2004</v>
      </c>
      <c r="B17" s="30">
        <v>0</v>
      </c>
      <c r="C17" s="660">
        <f t="shared" ref="C17:C38" si="13">+C16+B17</f>
        <v>3890</v>
      </c>
      <c r="D17" s="662">
        <v>0</v>
      </c>
      <c r="E17" s="663">
        <v>0</v>
      </c>
      <c r="F17" s="617">
        <v>0</v>
      </c>
      <c r="G17" s="626">
        <v>0</v>
      </c>
      <c r="H17" s="72">
        <v>0</v>
      </c>
      <c r="I17" s="630">
        <v>0</v>
      </c>
      <c r="J17" s="61">
        <f t="shared" si="1"/>
        <v>0</v>
      </c>
      <c r="K17" s="188">
        <f t="shared" ref="K17:K37" si="14">+D17</f>
        <v>0</v>
      </c>
      <c r="L17" s="188">
        <f t="shared" ref="L17:L37" si="15">+J17*K17/1000</f>
        <v>0</v>
      </c>
      <c r="M17" s="188">
        <f t="shared" ref="M17:M37" si="16">+M16+L17</f>
        <v>0.97</v>
      </c>
      <c r="N17" s="54">
        <f t="shared" ref="N17:N37" si="17">+B16</f>
        <v>0</v>
      </c>
      <c r="O17" s="670">
        <f t="shared" ref="O17:O37" si="18">+E17</f>
        <v>0</v>
      </c>
      <c r="P17" s="670">
        <f t="shared" ref="P17:P37" si="19">+N17*O17/1000</f>
        <v>0</v>
      </c>
      <c r="Q17" s="670">
        <f t="shared" ref="Q17:Q37" si="20">+Q16+P17</f>
        <v>1.36</v>
      </c>
      <c r="R17" s="247">
        <f t="shared" ref="R17:R37" si="21">+(B17+B16)/2</f>
        <v>0</v>
      </c>
      <c r="S17" s="24">
        <f t="shared" ref="S17:S37" si="22">+F17</f>
        <v>0</v>
      </c>
      <c r="T17" s="25">
        <f t="shared" ref="T17:T37" si="23">+R17*S17/1000000</f>
        <v>0</v>
      </c>
      <c r="U17" s="654">
        <f t="shared" ref="U17:U37" si="24">+U16+T17</f>
        <v>3.27</v>
      </c>
      <c r="V17" s="9"/>
      <c r="X17" s="1"/>
    </row>
    <row r="18" spans="1:24" x14ac:dyDescent="0.2">
      <c r="A18" s="33">
        <f t="shared" ref="A18:A54" si="25">+A17+1</f>
        <v>2005</v>
      </c>
      <c r="B18" s="30">
        <v>0</v>
      </c>
      <c r="C18" s="660">
        <f t="shared" si="13"/>
        <v>3890</v>
      </c>
      <c r="D18" s="662">
        <v>0</v>
      </c>
      <c r="E18" s="663">
        <v>0</v>
      </c>
      <c r="F18" s="617">
        <v>0</v>
      </c>
      <c r="G18" s="626">
        <v>0</v>
      </c>
      <c r="H18" s="72">
        <v>0</v>
      </c>
      <c r="I18" s="630">
        <v>0</v>
      </c>
      <c r="J18" s="61">
        <f t="shared" si="1"/>
        <v>0</v>
      </c>
      <c r="K18" s="188">
        <f t="shared" si="14"/>
        <v>0</v>
      </c>
      <c r="L18" s="188">
        <f t="shared" si="15"/>
        <v>0</v>
      </c>
      <c r="M18" s="188">
        <f t="shared" si="16"/>
        <v>0.97</v>
      </c>
      <c r="N18" s="54">
        <f t="shared" si="17"/>
        <v>0</v>
      </c>
      <c r="O18" s="670">
        <f t="shared" si="18"/>
        <v>0</v>
      </c>
      <c r="P18" s="670">
        <f t="shared" si="19"/>
        <v>0</v>
      </c>
      <c r="Q18" s="670">
        <f t="shared" si="20"/>
        <v>1.36</v>
      </c>
      <c r="R18" s="247">
        <f t="shared" si="21"/>
        <v>0</v>
      </c>
      <c r="S18" s="24">
        <f t="shared" si="22"/>
        <v>0</v>
      </c>
      <c r="T18" s="25">
        <f t="shared" si="23"/>
        <v>0</v>
      </c>
      <c r="U18" s="654">
        <f t="shared" si="24"/>
        <v>3.27</v>
      </c>
      <c r="V18" s="9"/>
      <c r="X18" s="1"/>
    </row>
    <row r="19" spans="1:24" x14ac:dyDescent="0.2">
      <c r="A19" s="33">
        <f t="shared" si="25"/>
        <v>2006</v>
      </c>
      <c r="B19" s="30">
        <v>0</v>
      </c>
      <c r="C19" s="660">
        <f t="shared" si="13"/>
        <v>3890</v>
      </c>
      <c r="D19" s="662">
        <v>0</v>
      </c>
      <c r="E19" s="663">
        <v>0</v>
      </c>
      <c r="F19" s="617">
        <v>0</v>
      </c>
      <c r="G19" s="626">
        <v>0</v>
      </c>
      <c r="H19" s="72">
        <v>0</v>
      </c>
      <c r="I19" s="630">
        <v>0</v>
      </c>
      <c r="J19" s="61">
        <f t="shared" si="1"/>
        <v>0</v>
      </c>
      <c r="K19" s="188">
        <f t="shared" si="14"/>
        <v>0</v>
      </c>
      <c r="L19" s="188">
        <f t="shared" si="15"/>
        <v>0</v>
      </c>
      <c r="M19" s="188">
        <f t="shared" si="16"/>
        <v>0.97</v>
      </c>
      <c r="N19" s="54">
        <f t="shared" si="17"/>
        <v>0</v>
      </c>
      <c r="O19" s="670">
        <f t="shared" si="18"/>
        <v>0</v>
      </c>
      <c r="P19" s="670">
        <f t="shared" si="19"/>
        <v>0</v>
      </c>
      <c r="Q19" s="670">
        <f t="shared" si="20"/>
        <v>1.36</v>
      </c>
      <c r="R19" s="247">
        <f t="shared" si="21"/>
        <v>0</v>
      </c>
      <c r="S19" s="24">
        <f t="shared" si="22"/>
        <v>0</v>
      </c>
      <c r="T19" s="25">
        <f t="shared" si="23"/>
        <v>0</v>
      </c>
      <c r="U19" s="654">
        <f t="shared" si="24"/>
        <v>3.27</v>
      </c>
      <c r="V19" s="8"/>
      <c r="X19" s="1"/>
    </row>
    <row r="20" spans="1:24" x14ac:dyDescent="0.2">
      <c r="A20" s="33">
        <f t="shared" si="25"/>
        <v>2007</v>
      </c>
      <c r="B20" s="30">
        <v>0</v>
      </c>
      <c r="C20" s="660">
        <f t="shared" si="13"/>
        <v>3890</v>
      </c>
      <c r="D20" s="662">
        <v>0</v>
      </c>
      <c r="E20" s="663">
        <v>0</v>
      </c>
      <c r="F20" s="617">
        <v>0</v>
      </c>
      <c r="G20" s="626">
        <v>0</v>
      </c>
      <c r="H20" s="72">
        <v>0</v>
      </c>
      <c r="I20" s="630">
        <v>0</v>
      </c>
      <c r="J20" s="61">
        <f t="shared" si="1"/>
        <v>0</v>
      </c>
      <c r="K20" s="188">
        <f t="shared" si="14"/>
        <v>0</v>
      </c>
      <c r="L20" s="188">
        <f t="shared" si="15"/>
        <v>0</v>
      </c>
      <c r="M20" s="188">
        <f t="shared" si="16"/>
        <v>0.97</v>
      </c>
      <c r="N20" s="54">
        <f t="shared" si="17"/>
        <v>0</v>
      </c>
      <c r="O20" s="670">
        <f t="shared" si="18"/>
        <v>0</v>
      </c>
      <c r="P20" s="670">
        <f t="shared" si="19"/>
        <v>0</v>
      </c>
      <c r="Q20" s="670">
        <f t="shared" si="20"/>
        <v>1.36</v>
      </c>
      <c r="R20" s="247">
        <f t="shared" si="21"/>
        <v>0</v>
      </c>
      <c r="S20" s="24">
        <f t="shared" si="22"/>
        <v>0</v>
      </c>
      <c r="T20" s="25">
        <f t="shared" si="23"/>
        <v>0</v>
      </c>
      <c r="U20" s="654">
        <f t="shared" si="24"/>
        <v>3.27</v>
      </c>
    </row>
    <row r="21" spans="1:24" x14ac:dyDescent="0.2">
      <c r="A21" s="33">
        <f t="shared" si="25"/>
        <v>2008</v>
      </c>
      <c r="B21" s="30">
        <v>0</v>
      </c>
      <c r="C21" s="660">
        <f t="shared" si="13"/>
        <v>3890</v>
      </c>
      <c r="D21" s="662">
        <v>0.03</v>
      </c>
      <c r="E21" s="663">
        <v>0.04</v>
      </c>
      <c r="F21" s="617">
        <v>137</v>
      </c>
      <c r="G21" s="626">
        <f t="shared" ref="G21:H37" si="26">+$B21*D21/1000</f>
        <v>0</v>
      </c>
      <c r="H21" s="72">
        <f t="shared" si="26"/>
        <v>0</v>
      </c>
      <c r="I21" s="630">
        <f t="shared" ref="I21:I37" si="27">+$B21*F21/1000000</f>
        <v>0</v>
      </c>
      <c r="J21" s="61">
        <f t="shared" si="1"/>
        <v>0</v>
      </c>
      <c r="K21" s="188">
        <f t="shared" si="14"/>
        <v>0.03</v>
      </c>
      <c r="L21" s="188">
        <f t="shared" si="15"/>
        <v>0</v>
      </c>
      <c r="M21" s="188">
        <f t="shared" si="16"/>
        <v>0.97</v>
      </c>
      <c r="N21" s="54">
        <f t="shared" si="17"/>
        <v>0</v>
      </c>
      <c r="O21" s="670">
        <f t="shared" si="18"/>
        <v>0.04</v>
      </c>
      <c r="P21" s="670">
        <f t="shared" si="19"/>
        <v>0</v>
      </c>
      <c r="Q21" s="670">
        <f t="shared" si="20"/>
        <v>1.36</v>
      </c>
      <c r="R21" s="247">
        <f t="shared" si="21"/>
        <v>0</v>
      </c>
      <c r="S21" s="24">
        <f t="shared" si="22"/>
        <v>137</v>
      </c>
      <c r="T21" s="25">
        <f t="shared" si="23"/>
        <v>0</v>
      </c>
      <c r="U21" s="654">
        <f t="shared" si="24"/>
        <v>3.27</v>
      </c>
    </row>
    <row r="22" spans="1:24" x14ac:dyDescent="0.2">
      <c r="A22" s="33">
        <f t="shared" si="25"/>
        <v>2009</v>
      </c>
      <c r="B22" s="30">
        <v>0</v>
      </c>
      <c r="C22" s="660">
        <f t="shared" si="13"/>
        <v>3890</v>
      </c>
      <c r="D22" s="662">
        <v>0.03</v>
      </c>
      <c r="E22" s="663">
        <v>0.04</v>
      </c>
      <c r="F22" s="617">
        <v>137</v>
      </c>
      <c r="G22" s="626">
        <f t="shared" si="26"/>
        <v>0</v>
      </c>
      <c r="H22" s="72">
        <f t="shared" si="26"/>
        <v>0</v>
      </c>
      <c r="I22" s="630">
        <f t="shared" si="27"/>
        <v>0</v>
      </c>
      <c r="J22" s="61">
        <f t="shared" si="1"/>
        <v>0</v>
      </c>
      <c r="K22" s="188">
        <f t="shared" si="14"/>
        <v>0.03</v>
      </c>
      <c r="L22" s="188">
        <f>+J22*K22/1000</f>
        <v>0</v>
      </c>
      <c r="M22" s="188">
        <f t="shared" si="16"/>
        <v>0.97</v>
      </c>
      <c r="N22" s="54">
        <f t="shared" si="17"/>
        <v>0</v>
      </c>
      <c r="O22" s="670">
        <f t="shared" si="18"/>
        <v>0.04</v>
      </c>
      <c r="P22" s="670">
        <f t="shared" si="19"/>
        <v>0</v>
      </c>
      <c r="Q22" s="670">
        <f t="shared" si="20"/>
        <v>1.36</v>
      </c>
      <c r="R22" s="247">
        <f t="shared" si="21"/>
        <v>0</v>
      </c>
      <c r="S22" s="24">
        <f t="shared" si="22"/>
        <v>137</v>
      </c>
      <c r="T22" s="25">
        <f t="shared" si="23"/>
        <v>0</v>
      </c>
      <c r="U22" s="654">
        <f t="shared" si="24"/>
        <v>3.27</v>
      </c>
    </row>
    <row r="23" spans="1:24" x14ac:dyDescent="0.2">
      <c r="A23" s="33">
        <f t="shared" si="25"/>
        <v>2010</v>
      </c>
      <c r="B23" s="30">
        <v>0</v>
      </c>
      <c r="C23" s="661">
        <f t="shared" si="13"/>
        <v>3890</v>
      </c>
      <c r="D23" s="662">
        <v>0.03</v>
      </c>
      <c r="E23" s="663">
        <v>0.04</v>
      </c>
      <c r="F23" s="617">
        <v>137</v>
      </c>
      <c r="G23" s="626">
        <f t="shared" si="26"/>
        <v>0</v>
      </c>
      <c r="H23" s="72">
        <f t="shared" si="26"/>
        <v>0</v>
      </c>
      <c r="I23" s="630">
        <f t="shared" si="27"/>
        <v>0</v>
      </c>
      <c r="J23" s="61">
        <f t="shared" si="1"/>
        <v>0</v>
      </c>
      <c r="K23" s="188">
        <f t="shared" si="14"/>
        <v>0.03</v>
      </c>
      <c r="L23" s="188">
        <f t="shared" si="15"/>
        <v>0</v>
      </c>
      <c r="M23" s="188">
        <f t="shared" si="16"/>
        <v>0.97</v>
      </c>
      <c r="N23" s="54">
        <f t="shared" si="17"/>
        <v>0</v>
      </c>
      <c r="O23" s="670">
        <f t="shared" si="18"/>
        <v>0.04</v>
      </c>
      <c r="P23" s="670">
        <f t="shared" si="19"/>
        <v>0</v>
      </c>
      <c r="Q23" s="670">
        <f t="shared" si="20"/>
        <v>1.36</v>
      </c>
      <c r="R23" s="247">
        <f t="shared" si="21"/>
        <v>0</v>
      </c>
      <c r="S23" s="24">
        <f t="shared" si="22"/>
        <v>137</v>
      </c>
      <c r="T23" s="25">
        <f t="shared" si="23"/>
        <v>0</v>
      </c>
      <c r="U23" s="654">
        <f t="shared" si="24"/>
        <v>3.27</v>
      </c>
    </row>
    <row r="24" spans="1:24" x14ac:dyDescent="0.2">
      <c r="A24" s="33">
        <f t="shared" si="25"/>
        <v>2011</v>
      </c>
      <c r="B24" s="30">
        <v>0</v>
      </c>
      <c r="C24" s="661">
        <f t="shared" si="13"/>
        <v>3890</v>
      </c>
      <c r="D24" s="662">
        <v>0.05</v>
      </c>
      <c r="E24" s="663">
        <v>7.0000000000000007E-2</v>
      </c>
      <c r="F24" s="617">
        <v>544</v>
      </c>
      <c r="G24" s="626">
        <f t="shared" si="26"/>
        <v>0</v>
      </c>
      <c r="H24" s="72">
        <f t="shared" si="26"/>
        <v>0</v>
      </c>
      <c r="I24" s="630">
        <f t="shared" si="27"/>
        <v>0</v>
      </c>
      <c r="J24" s="61">
        <f t="shared" si="1"/>
        <v>0</v>
      </c>
      <c r="K24" s="188">
        <f t="shared" si="14"/>
        <v>0.05</v>
      </c>
      <c r="L24" s="188">
        <f t="shared" si="15"/>
        <v>0</v>
      </c>
      <c r="M24" s="188">
        <f t="shared" si="16"/>
        <v>0.97</v>
      </c>
      <c r="N24" s="54">
        <f t="shared" si="17"/>
        <v>0</v>
      </c>
      <c r="O24" s="670">
        <f t="shared" si="18"/>
        <v>7.0000000000000007E-2</v>
      </c>
      <c r="P24" s="670">
        <f t="shared" si="19"/>
        <v>0</v>
      </c>
      <c r="Q24" s="670">
        <f t="shared" si="20"/>
        <v>1.36</v>
      </c>
      <c r="R24" s="247">
        <f t="shared" si="21"/>
        <v>0</v>
      </c>
      <c r="S24" s="24">
        <f t="shared" si="22"/>
        <v>544</v>
      </c>
      <c r="T24" s="25">
        <f t="shared" si="23"/>
        <v>0</v>
      </c>
      <c r="U24" s="654">
        <f t="shared" si="24"/>
        <v>3.27</v>
      </c>
    </row>
    <row r="25" spans="1:24" x14ac:dyDescent="0.2">
      <c r="A25" s="33">
        <f t="shared" si="25"/>
        <v>2012</v>
      </c>
      <c r="B25" s="30">
        <v>0</v>
      </c>
      <c r="C25" s="661">
        <f t="shared" si="13"/>
        <v>3890</v>
      </c>
      <c r="D25" s="662">
        <v>0.05</v>
      </c>
      <c r="E25" s="663">
        <v>7.0000000000000007E-2</v>
      </c>
      <c r="F25" s="617">
        <v>544</v>
      </c>
      <c r="G25" s="626">
        <f t="shared" si="26"/>
        <v>0</v>
      </c>
      <c r="H25" s="72">
        <f t="shared" si="26"/>
        <v>0</v>
      </c>
      <c r="I25" s="630">
        <f t="shared" si="27"/>
        <v>0</v>
      </c>
      <c r="J25" s="61">
        <f t="shared" si="1"/>
        <v>0</v>
      </c>
      <c r="K25" s="188">
        <f t="shared" si="14"/>
        <v>0.05</v>
      </c>
      <c r="L25" s="188">
        <f t="shared" si="15"/>
        <v>0</v>
      </c>
      <c r="M25" s="188">
        <f t="shared" si="16"/>
        <v>0.97</v>
      </c>
      <c r="N25" s="54">
        <f t="shared" si="17"/>
        <v>0</v>
      </c>
      <c r="O25" s="670">
        <f t="shared" si="18"/>
        <v>7.0000000000000007E-2</v>
      </c>
      <c r="P25" s="670">
        <f t="shared" si="19"/>
        <v>0</v>
      </c>
      <c r="Q25" s="670">
        <f t="shared" si="20"/>
        <v>1.36</v>
      </c>
      <c r="R25" s="247">
        <f t="shared" si="21"/>
        <v>0</v>
      </c>
      <c r="S25" s="24">
        <f t="shared" si="22"/>
        <v>544</v>
      </c>
      <c r="T25" s="25">
        <f t="shared" si="23"/>
        <v>0</v>
      </c>
      <c r="U25" s="654">
        <f t="shared" si="24"/>
        <v>3.27</v>
      </c>
    </row>
    <row r="26" spans="1:24" s="831" customFormat="1" x14ac:dyDescent="0.2">
      <c r="A26" s="33">
        <f t="shared" si="25"/>
        <v>2013</v>
      </c>
      <c r="B26" s="30">
        <v>0</v>
      </c>
      <c r="C26" s="619">
        <f t="shared" si="13"/>
        <v>3890</v>
      </c>
      <c r="D26" s="807">
        <v>0.05</v>
      </c>
      <c r="E26" s="808">
        <v>7.0000000000000007E-2</v>
      </c>
      <c r="F26" s="806">
        <v>544</v>
      </c>
      <c r="G26" s="626">
        <f t="shared" si="26"/>
        <v>0</v>
      </c>
      <c r="H26" s="72">
        <f t="shared" si="26"/>
        <v>0</v>
      </c>
      <c r="I26" s="630">
        <f t="shared" si="27"/>
        <v>0</v>
      </c>
      <c r="J26" s="61">
        <f t="shared" si="1"/>
        <v>0</v>
      </c>
      <c r="K26" s="188">
        <f t="shared" si="14"/>
        <v>0.05</v>
      </c>
      <c r="L26" s="188">
        <f t="shared" si="15"/>
        <v>0</v>
      </c>
      <c r="M26" s="829">
        <f t="shared" si="16"/>
        <v>0.97</v>
      </c>
      <c r="N26" s="54">
        <f t="shared" si="17"/>
        <v>0</v>
      </c>
      <c r="O26" s="670">
        <f t="shared" si="18"/>
        <v>7.0000000000000007E-2</v>
      </c>
      <c r="P26" s="670">
        <f t="shared" si="19"/>
        <v>0</v>
      </c>
      <c r="Q26" s="671">
        <f t="shared" si="20"/>
        <v>1.36</v>
      </c>
      <c r="R26" s="247">
        <f t="shared" si="21"/>
        <v>0</v>
      </c>
      <c r="S26" s="24">
        <f t="shared" si="22"/>
        <v>544</v>
      </c>
      <c r="T26" s="25">
        <f t="shared" si="23"/>
        <v>0</v>
      </c>
      <c r="U26" s="654">
        <f t="shared" si="24"/>
        <v>3.27</v>
      </c>
      <c r="V26" s="830"/>
    </row>
    <row r="27" spans="1:24" s="831" customFormat="1" x14ac:dyDescent="0.2">
      <c r="A27" s="33">
        <f t="shared" si="25"/>
        <v>2014</v>
      </c>
      <c r="B27" s="30">
        <v>0</v>
      </c>
      <c r="C27" s="619">
        <f t="shared" si="13"/>
        <v>3890</v>
      </c>
      <c r="D27" s="807">
        <f t="shared" ref="D27:D40" si="28">+D26</f>
        <v>0.05</v>
      </c>
      <c r="E27" s="808">
        <f t="shared" ref="E27:E40" si="29">+E26</f>
        <v>7.0000000000000007E-2</v>
      </c>
      <c r="F27" s="806">
        <f t="shared" ref="F27:F40" si="30">+F26</f>
        <v>544</v>
      </c>
      <c r="G27" s="626">
        <f t="shared" si="26"/>
        <v>0</v>
      </c>
      <c r="H27" s="72">
        <f t="shared" si="26"/>
        <v>0</v>
      </c>
      <c r="I27" s="630">
        <f t="shared" si="27"/>
        <v>0</v>
      </c>
      <c r="J27" s="61">
        <f t="shared" si="1"/>
        <v>0</v>
      </c>
      <c r="K27" s="188">
        <f t="shared" si="14"/>
        <v>0.05</v>
      </c>
      <c r="L27" s="188">
        <f t="shared" si="15"/>
        <v>0</v>
      </c>
      <c r="M27" s="829">
        <f t="shared" si="16"/>
        <v>0.97</v>
      </c>
      <c r="N27" s="54">
        <f t="shared" si="17"/>
        <v>0</v>
      </c>
      <c r="O27" s="670">
        <f t="shared" si="18"/>
        <v>7.0000000000000007E-2</v>
      </c>
      <c r="P27" s="670">
        <f t="shared" si="19"/>
        <v>0</v>
      </c>
      <c r="Q27" s="671">
        <f t="shared" si="20"/>
        <v>1.36</v>
      </c>
      <c r="R27" s="247">
        <f t="shared" si="21"/>
        <v>0</v>
      </c>
      <c r="S27" s="24">
        <f t="shared" si="22"/>
        <v>544</v>
      </c>
      <c r="T27" s="25">
        <f t="shared" si="23"/>
        <v>0</v>
      </c>
      <c r="U27" s="654">
        <f t="shared" si="24"/>
        <v>3.27</v>
      </c>
      <c r="V27" s="830"/>
    </row>
    <row r="28" spans="1:24" s="831" customFormat="1" x14ac:dyDescent="0.2">
      <c r="A28" s="33">
        <f t="shared" si="25"/>
        <v>2015</v>
      </c>
      <c r="B28" s="30">
        <v>5</v>
      </c>
      <c r="C28" s="619">
        <f t="shared" si="13"/>
        <v>3895</v>
      </c>
      <c r="D28" s="807">
        <v>0</v>
      </c>
      <c r="E28" s="808">
        <v>0</v>
      </c>
      <c r="F28" s="806">
        <v>0</v>
      </c>
      <c r="G28" s="626">
        <f t="shared" si="26"/>
        <v>0</v>
      </c>
      <c r="H28" s="72">
        <f t="shared" si="26"/>
        <v>0</v>
      </c>
      <c r="I28" s="630">
        <f t="shared" si="27"/>
        <v>0</v>
      </c>
      <c r="J28" s="61">
        <f t="shared" si="1"/>
        <v>2.5</v>
      </c>
      <c r="K28" s="188">
        <f t="shared" si="14"/>
        <v>0</v>
      </c>
      <c r="L28" s="188">
        <f t="shared" si="15"/>
        <v>0</v>
      </c>
      <c r="M28" s="829">
        <f t="shared" si="16"/>
        <v>0.97</v>
      </c>
      <c r="N28" s="54">
        <f t="shared" si="17"/>
        <v>0</v>
      </c>
      <c r="O28" s="670">
        <f t="shared" si="18"/>
        <v>0</v>
      </c>
      <c r="P28" s="670">
        <f t="shared" si="19"/>
        <v>0</v>
      </c>
      <c r="Q28" s="671">
        <f t="shared" si="20"/>
        <v>1.36</v>
      </c>
      <c r="R28" s="247">
        <f t="shared" si="21"/>
        <v>2.5</v>
      </c>
      <c r="S28" s="24">
        <f t="shared" si="22"/>
        <v>0</v>
      </c>
      <c r="T28" s="25">
        <f t="shared" si="23"/>
        <v>0</v>
      </c>
      <c r="U28" s="654">
        <f t="shared" si="24"/>
        <v>3.27</v>
      </c>
      <c r="V28" s="830"/>
    </row>
    <row r="29" spans="1:24" ht="13.5" thickBot="1" x14ac:dyDescent="0.25">
      <c r="A29" s="701">
        <f t="shared" si="25"/>
        <v>2016</v>
      </c>
      <c r="B29" s="702">
        <v>9</v>
      </c>
      <c r="C29" s="703">
        <f t="shared" si="13"/>
        <v>3904</v>
      </c>
      <c r="D29" s="832">
        <v>0</v>
      </c>
      <c r="E29" s="833">
        <v>0</v>
      </c>
      <c r="F29" s="834">
        <v>0</v>
      </c>
      <c r="G29" s="823">
        <f t="shared" si="26"/>
        <v>0</v>
      </c>
      <c r="H29" s="707">
        <f t="shared" si="26"/>
        <v>0</v>
      </c>
      <c r="I29" s="824">
        <f t="shared" si="27"/>
        <v>0</v>
      </c>
      <c r="J29" s="708">
        <f t="shared" si="1"/>
        <v>7</v>
      </c>
      <c r="K29" s="825">
        <f t="shared" si="14"/>
        <v>0</v>
      </c>
      <c r="L29" s="825">
        <f t="shared" si="15"/>
        <v>0</v>
      </c>
      <c r="M29" s="826">
        <f t="shared" si="16"/>
        <v>0.97</v>
      </c>
      <c r="N29" s="711">
        <f t="shared" si="17"/>
        <v>5</v>
      </c>
      <c r="O29" s="827">
        <f t="shared" si="18"/>
        <v>0</v>
      </c>
      <c r="P29" s="827">
        <f t="shared" si="19"/>
        <v>0</v>
      </c>
      <c r="Q29" s="828">
        <f t="shared" si="20"/>
        <v>1.36</v>
      </c>
      <c r="R29" s="714">
        <f t="shared" si="21"/>
        <v>7</v>
      </c>
      <c r="S29" s="715">
        <f t="shared" si="22"/>
        <v>0</v>
      </c>
      <c r="T29" s="716">
        <f t="shared" si="23"/>
        <v>0</v>
      </c>
      <c r="U29" s="717">
        <f t="shared" si="24"/>
        <v>3.27</v>
      </c>
    </row>
    <row r="30" spans="1:24" x14ac:dyDescent="0.2">
      <c r="A30" s="33">
        <f t="shared" si="25"/>
        <v>2017</v>
      </c>
      <c r="B30" s="787">
        <v>1</v>
      </c>
      <c r="C30" s="565">
        <f t="shared" si="13"/>
        <v>3905</v>
      </c>
      <c r="D30" s="1050">
        <f t="shared" si="28"/>
        <v>0</v>
      </c>
      <c r="E30" s="1051">
        <f t="shared" si="29"/>
        <v>0</v>
      </c>
      <c r="F30" s="1052">
        <f t="shared" si="30"/>
        <v>0</v>
      </c>
      <c r="G30" s="473">
        <f t="shared" si="26"/>
        <v>0</v>
      </c>
      <c r="H30" s="474">
        <f t="shared" si="26"/>
        <v>0</v>
      </c>
      <c r="I30" s="474">
        <f t="shared" si="27"/>
        <v>0</v>
      </c>
      <c r="J30" s="61">
        <f t="shared" si="1"/>
        <v>5</v>
      </c>
      <c r="K30" s="967">
        <f t="shared" si="14"/>
        <v>0</v>
      </c>
      <c r="L30" s="967">
        <f t="shared" si="15"/>
        <v>0</v>
      </c>
      <c r="M30" s="967">
        <f t="shared" si="16"/>
        <v>0.97</v>
      </c>
      <c r="N30" s="54">
        <f t="shared" si="17"/>
        <v>9</v>
      </c>
      <c r="O30" s="968">
        <f t="shared" si="18"/>
        <v>0</v>
      </c>
      <c r="P30" s="968">
        <f t="shared" si="19"/>
        <v>0</v>
      </c>
      <c r="Q30" s="969">
        <f t="shared" si="20"/>
        <v>1.36</v>
      </c>
      <c r="R30" s="247">
        <f t="shared" si="21"/>
        <v>5</v>
      </c>
      <c r="S30" s="24">
        <f t="shared" si="22"/>
        <v>0</v>
      </c>
      <c r="T30" s="970">
        <f t="shared" si="23"/>
        <v>0</v>
      </c>
      <c r="U30" s="971">
        <f t="shared" si="24"/>
        <v>3.27</v>
      </c>
    </row>
    <row r="31" spans="1:24" x14ac:dyDescent="0.2">
      <c r="A31" s="33">
        <f t="shared" si="25"/>
        <v>2018</v>
      </c>
      <c r="B31" s="787">
        <v>1</v>
      </c>
      <c r="C31" s="565">
        <f t="shared" si="13"/>
        <v>3906</v>
      </c>
      <c r="D31" s="1053">
        <f t="shared" si="28"/>
        <v>0</v>
      </c>
      <c r="E31" s="1054">
        <f t="shared" si="29"/>
        <v>0</v>
      </c>
      <c r="F31" s="1055">
        <f t="shared" si="30"/>
        <v>0</v>
      </c>
      <c r="G31" s="473">
        <f t="shared" si="26"/>
        <v>0</v>
      </c>
      <c r="H31" s="474">
        <f t="shared" si="26"/>
        <v>0</v>
      </c>
      <c r="I31" s="474">
        <f t="shared" si="27"/>
        <v>0</v>
      </c>
      <c r="J31" s="61">
        <f t="shared" si="1"/>
        <v>1</v>
      </c>
      <c r="K31" s="967">
        <f t="shared" si="14"/>
        <v>0</v>
      </c>
      <c r="L31" s="967">
        <f t="shared" si="15"/>
        <v>0</v>
      </c>
      <c r="M31" s="967">
        <f t="shared" si="16"/>
        <v>0.97</v>
      </c>
      <c r="N31" s="54">
        <f t="shared" si="17"/>
        <v>1</v>
      </c>
      <c r="O31" s="968">
        <f t="shared" si="18"/>
        <v>0</v>
      </c>
      <c r="P31" s="968">
        <f t="shared" si="19"/>
        <v>0</v>
      </c>
      <c r="Q31" s="969">
        <f t="shared" si="20"/>
        <v>1.36</v>
      </c>
      <c r="R31" s="247">
        <f t="shared" si="21"/>
        <v>1</v>
      </c>
      <c r="S31" s="24">
        <f t="shared" si="22"/>
        <v>0</v>
      </c>
      <c r="T31" s="970">
        <f t="shared" si="23"/>
        <v>0</v>
      </c>
      <c r="U31" s="971">
        <f t="shared" si="24"/>
        <v>3.27</v>
      </c>
    </row>
    <row r="32" spans="1:24" x14ac:dyDescent="0.2">
      <c r="A32" s="33">
        <f t="shared" si="25"/>
        <v>2019</v>
      </c>
      <c r="B32" s="787">
        <v>1</v>
      </c>
      <c r="C32" s="565">
        <f t="shared" si="13"/>
        <v>3907</v>
      </c>
      <c r="D32" s="1053">
        <f t="shared" si="28"/>
        <v>0</v>
      </c>
      <c r="E32" s="1054">
        <f t="shared" si="29"/>
        <v>0</v>
      </c>
      <c r="F32" s="1055">
        <f t="shared" si="30"/>
        <v>0</v>
      </c>
      <c r="G32" s="473">
        <f t="shared" si="26"/>
        <v>0</v>
      </c>
      <c r="H32" s="474">
        <f t="shared" si="26"/>
        <v>0</v>
      </c>
      <c r="I32" s="474">
        <f t="shared" si="27"/>
        <v>0</v>
      </c>
      <c r="J32" s="61">
        <f t="shared" si="1"/>
        <v>1</v>
      </c>
      <c r="K32" s="967">
        <f t="shared" si="14"/>
        <v>0</v>
      </c>
      <c r="L32" s="967">
        <f t="shared" si="15"/>
        <v>0</v>
      </c>
      <c r="M32" s="967">
        <f t="shared" si="16"/>
        <v>0.97</v>
      </c>
      <c r="N32" s="54">
        <f t="shared" si="17"/>
        <v>1</v>
      </c>
      <c r="O32" s="968">
        <f t="shared" si="18"/>
        <v>0</v>
      </c>
      <c r="P32" s="968">
        <f t="shared" si="19"/>
        <v>0</v>
      </c>
      <c r="Q32" s="969">
        <f t="shared" si="20"/>
        <v>1.36</v>
      </c>
      <c r="R32" s="247">
        <f t="shared" si="21"/>
        <v>1</v>
      </c>
      <c r="S32" s="24">
        <f t="shared" si="22"/>
        <v>0</v>
      </c>
      <c r="T32" s="970">
        <f t="shared" si="23"/>
        <v>0</v>
      </c>
      <c r="U32" s="971">
        <f t="shared" si="24"/>
        <v>3.27</v>
      </c>
    </row>
    <row r="33" spans="1:256" x14ac:dyDescent="0.2">
      <c r="A33" s="33">
        <f t="shared" si="25"/>
        <v>2020</v>
      </c>
      <c r="B33" s="787">
        <f t="shared" ref="B33:B47" si="31">B32</f>
        <v>1</v>
      </c>
      <c r="C33" s="565">
        <f t="shared" si="13"/>
        <v>3908</v>
      </c>
      <c r="D33" s="1053">
        <f t="shared" si="28"/>
        <v>0</v>
      </c>
      <c r="E33" s="1054">
        <f t="shared" si="29"/>
        <v>0</v>
      </c>
      <c r="F33" s="1055">
        <f t="shared" si="30"/>
        <v>0</v>
      </c>
      <c r="G33" s="473">
        <f t="shared" si="26"/>
        <v>0</v>
      </c>
      <c r="H33" s="474">
        <f t="shared" si="26"/>
        <v>0</v>
      </c>
      <c r="I33" s="474">
        <f t="shared" si="27"/>
        <v>0</v>
      </c>
      <c r="J33" s="61">
        <f t="shared" si="1"/>
        <v>1</v>
      </c>
      <c r="K33" s="967">
        <f t="shared" si="14"/>
        <v>0</v>
      </c>
      <c r="L33" s="967">
        <f t="shared" si="15"/>
        <v>0</v>
      </c>
      <c r="M33" s="967">
        <f t="shared" si="16"/>
        <v>0.97</v>
      </c>
      <c r="N33" s="54">
        <f t="shared" si="17"/>
        <v>1</v>
      </c>
      <c r="O33" s="968">
        <f t="shared" si="18"/>
        <v>0</v>
      </c>
      <c r="P33" s="968">
        <f t="shared" si="19"/>
        <v>0</v>
      </c>
      <c r="Q33" s="969">
        <f t="shared" si="20"/>
        <v>1.36</v>
      </c>
      <c r="R33" s="247">
        <f t="shared" si="21"/>
        <v>1</v>
      </c>
      <c r="S33" s="24">
        <f t="shared" si="22"/>
        <v>0</v>
      </c>
      <c r="T33" s="970">
        <f t="shared" si="23"/>
        <v>0</v>
      </c>
      <c r="U33" s="971">
        <f t="shared" si="24"/>
        <v>3.27</v>
      </c>
    </row>
    <row r="34" spans="1:256" x14ac:dyDescent="0.2">
      <c r="A34" s="33">
        <f t="shared" si="25"/>
        <v>2021</v>
      </c>
      <c r="B34" s="787">
        <f t="shared" si="31"/>
        <v>1</v>
      </c>
      <c r="C34" s="565">
        <f t="shared" si="13"/>
        <v>3909</v>
      </c>
      <c r="D34" s="1053">
        <f t="shared" si="28"/>
        <v>0</v>
      </c>
      <c r="E34" s="1054">
        <f t="shared" si="29"/>
        <v>0</v>
      </c>
      <c r="F34" s="1055">
        <f t="shared" si="30"/>
        <v>0</v>
      </c>
      <c r="G34" s="473">
        <f t="shared" si="26"/>
        <v>0</v>
      </c>
      <c r="H34" s="474">
        <f t="shared" si="26"/>
        <v>0</v>
      </c>
      <c r="I34" s="474">
        <f t="shared" si="27"/>
        <v>0</v>
      </c>
      <c r="J34" s="61">
        <f t="shared" si="1"/>
        <v>1</v>
      </c>
      <c r="K34" s="967">
        <f t="shared" si="14"/>
        <v>0</v>
      </c>
      <c r="L34" s="967">
        <f t="shared" si="15"/>
        <v>0</v>
      </c>
      <c r="M34" s="967">
        <f t="shared" si="16"/>
        <v>0.97</v>
      </c>
      <c r="N34" s="54">
        <f t="shared" si="17"/>
        <v>1</v>
      </c>
      <c r="O34" s="968">
        <f t="shared" si="18"/>
        <v>0</v>
      </c>
      <c r="P34" s="968">
        <f t="shared" si="19"/>
        <v>0</v>
      </c>
      <c r="Q34" s="969">
        <f t="shared" si="20"/>
        <v>1.36</v>
      </c>
      <c r="R34" s="247">
        <f t="shared" si="21"/>
        <v>1</v>
      </c>
      <c r="S34" s="24">
        <f t="shared" si="22"/>
        <v>0</v>
      </c>
      <c r="T34" s="970">
        <f t="shared" si="23"/>
        <v>0</v>
      </c>
      <c r="U34" s="971">
        <f t="shared" si="24"/>
        <v>3.27</v>
      </c>
    </row>
    <row r="35" spans="1:256" x14ac:dyDescent="0.2">
      <c r="A35" s="33">
        <f t="shared" si="25"/>
        <v>2022</v>
      </c>
      <c r="B35" s="787">
        <f t="shared" si="31"/>
        <v>1</v>
      </c>
      <c r="C35" s="565">
        <f t="shared" si="13"/>
        <v>3910</v>
      </c>
      <c r="D35" s="1053">
        <f t="shared" si="28"/>
        <v>0</v>
      </c>
      <c r="E35" s="1054">
        <f t="shared" si="29"/>
        <v>0</v>
      </c>
      <c r="F35" s="1055">
        <f t="shared" si="30"/>
        <v>0</v>
      </c>
      <c r="G35" s="473">
        <f t="shared" si="26"/>
        <v>0</v>
      </c>
      <c r="H35" s="474">
        <f t="shared" si="26"/>
        <v>0</v>
      </c>
      <c r="I35" s="474">
        <f t="shared" si="27"/>
        <v>0</v>
      </c>
      <c r="J35" s="61">
        <f t="shared" si="1"/>
        <v>1</v>
      </c>
      <c r="K35" s="967">
        <f t="shared" si="14"/>
        <v>0</v>
      </c>
      <c r="L35" s="967">
        <f t="shared" si="15"/>
        <v>0</v>
      </c>
      <c r="M35" s="967">
        <f t="shared" si="16"/>
        <v>0.97</v>
      </c>
      <c r="N35" s="54">
        <f t="shared" si="17"/>
        <v>1</v>
      </c>
      <c r="O35" s="968">
        <f t="shared" si="18"/>
        <v>0</v>
      </c>
      <c r="P35" s="968">
        <f t="shared" si="19"/>
        <v>0</v>
      </c>
      <c r="Q35" s="969">
        <f t="shared" si="20"/>
        <v>1.36</v>
      </c>
      <c r="R35" s="247">
        <f t="shared" si="21"/>
        <v>1</v>
      </c>
      <c r="S35" s="24">
        <f t="shared" si="22"/>
        <v>0</v>
      </c>
      <c r="T35" s="970">
        <f t="shared" si="23"/>
        <v>0</v>
      </c>
      <c r="U35" s="971">
        <f t="shared" si="24"/>
        <v>3.27</v>
      </c>
    </row>
    <row r="36" spans="1:256" x14ac:dyDescent="0.2">
      <c r="A36" s="33">
        <f t="shared" si="25"/>
        <v>2023</v>
      </c>
      <c r="B36" s="787">
        <f t="shared" si="31"/>
        <v>1</v>
      </c>
      <c r="C36" s="565">
        <f t="shared" si="13"/>
        <v>3911</v>
      </c>
      <c r="D36" s="1053">
        <f t="shared" si="28"/>
        <v>0</v>
      </c>
      <c r="E36" s="1054">
        <f t="shared" si="29"/>
        <v>0</v>
      </c>
      <c r="F36" s="1055">
        <f t="shared" si="30"/>
        <v>0</v>
      </c>
      <c r="G36" s="473">
        <f t="shared" si="26"/>
        <v>0</v>
      </c>
      <c r="H36" s="474">
        <f t="shared" si="26"/>
        <v>0</v>
      </c>
      <c r="I36" s="474">
        <f t="shared" si="27"/>
        <v>0</v>
      </c>
      <c r="J36" s="61">
        <f t="shared" si="1"/>
        <v>1</v>
      </c>
      <c r="K36" s="967">
        <f t="shared" si="14"/>
        <v>0</v>
      </c>
      <c r="L36" s="967">
        <f t="shared" si="15"/>
        <v>0</v>
      </c>
      <c r="M36" s="967">
        <f t="shared" si="16"/>
        <v>0.97</v>
      </c>
      <c r="N36" s="54">
        <f t="shared" si="17"/>
        <v>1</v>
      </c>
      <c r="O36" s="968">
        <f t="shared" si="18"/>
        <v>0</v>
      </c>
      <c r="P36" s="968">
        <f t="shared" si="19"/>
        <v>0</v>
      </c>
      <c r="Q36" s="969">
        <f t="shared" si="20"/>
        <v>1.36</v>
      </c>
      <c r="R36" s="247">
        <f t="shared" si="21"/>
        <v>1</v>
      </c>
      <c r="S36" s="24">
        <f t="shared" si="22"/>
        <v>0</v>
      </c>
      <c r="T36" s="970">
        <f t="shared" si="23"/>
        <v>0</v>
      </c>
      <c r="U36" s="971">
        <f t="shared" si="24"/>
        <v>3.27</v>
      </c>
    </row>
    <row r="37" spans="1:256" x14ac:dyDescent="0.2">
      <c r="A37" s="33">
        <f t="shared" si="25"/>
        <v>2024</v>
      </c>
      <c r="B37" s="787">
        <f t="shared" si="31"/>
        <v>1</v>
      </c>
      <c r="C37" s="565">
        <f t="shared" si="13"/>
        <v>3912</v>
      </c>
      <c r="D37" s="1053">
        <f t="shared" si="28"/>
        <v>0</v>
      </c>
      <c r="E37" s="1054">
        <f t="shared" si="29"/>
        <v>0</v>
      </c>
      <c r="F37" s="1055">
        <f t="shared" si="30"/>
        <v>0</v>
      </c>
      <c r="G37" s="473">
        <f t="shared" si="26"/>
        <v>0</v>
      </c>
      <c r="H37" s="474">
        <f t="shared" si="26"/>
        <v>0</v>
      </c>
      <c r="I37" s="474">
        <f t="shared" si="27"/>
        <v>0</v>
      </c>
      <c r="J37" s="61">
        <f t="shared" si="1"/>
        <v>1</v>
      </c>
      <c r="K37" s="967">
        <f t="shared" si="14"/>
        <v>0</v>
      </c>
      <c r="L37" s="967">
        <f t="shared" si="15"/>
        <v>0</v>
      </c>
      <c r="M37" s="967">
        <f t="shared" si="16"/>
        <v>0.97</v>
      </c>
      <c r="N37" s="54">
        <f t="shared" si="17"/>
        <v>1</v>
      </c>
      <c r="O37" s="968">
        <f t="shared" si="18"/>
        <v>0</v>
      </c>
      <c r="P37" s="968">
        <f t="shared" si="19"/>
        <v>0</v>
      </c>
      <c r="Q37" s="969">
        <f t="shared" si="20"/>
        <v>1.36</v>
      </c>
      <c r="R37" s="247">
        <f t="shared" si="21"/>
        <v>1</v>
      </c>
      <c r="S37" s="24">
        <f t="shared" si="22"/>
        <v>0</v>
      </c>
      <c r="T37" s="970">
        <f t="shared" si="23"/>
        <v>0</v>
      </c>
      <c r="U37" s="971">
        <f t="shared" si="24"/>
        <v>3.27</v>
      </c>
    </row>
    <row r="38" spans="1:256" x14ac:dyDescent="0.2">
      <c r="A38" s="33">
        <f t="shared" si="25"/>
        <v>2025</v>
      </c>
      <c r="B38" s="787">
        <f t="shared" si="31"/>
        <v>1</v>
      </c>
      <c r="C38" s="565">
        <f t="shared" si="13"/>
        <v>3913</v>
      </c>
      <c r="D38" s="1053">
        <f t="shared" si="28"/>
        <v>0</v>
      </c>
      <c r="E38" s="1054">
        <f t="shared" si="29"/>
        <v>0</v>
      </c>
      <c r="F38" s="1055">
        <f t="shared" si="30"/>
        <v>0</v>
      </c>
      <c r="G38" s="473">
        <f t="shared" ref="G38:H40" si="32">+$B38*D38/1000</f>
        <v>0</v>
      </c>
      <c r="H38" s="474">
        <f t="shared" si="32"/>
        <v>0</v>
      </c>
      <c r="I38" s="474">
        <f>+$B38*F38/1000000</f>
        <v>0</v>
      </c>
      <c r="J38" s="61">
        <f>+(B38+B37)/2</f>
        <v>1</v>
      </c>
      <c r="K38" s="967">
        <f>+D38</f>
        <v>0</v>
      </c>
      <c r="L38" s="967">
        <f>+J38*K38/1000</f>
        <v>0</v>
      </c>
      <c r="M38" s="967">
        <f>+M37+L38</f>
        <v>0.97</v>
      </c>
      <c r="N38" s="54">
        <f>+B37</f>
        <v>1</v>
      </c>
      <c r="O38" s="968">
        <f>+E38</f>
        <v>0</v>
      </c>
      <c r="P38" s="968">
        <f>+N38*O38/1000</f>
        <v>0</v>
      </c>
      <c r="Q38" s="969">
        <f>+Q37+P38</f>
        <v>1.36</v>
      </c>
      <c r="R38" s="247">
        <f>+(B38+B37)/2</f>
        <v>1</v>
      </c>
      <c r="S38" s="24">
        <f>+F38</f>
        <v>0</v>
      </c>
      <c r="T38" s="970">
        <f>+R38*S38/1000000</f>
        <v>0</v>
      </c>
      <c r="U38" s="971">
        <f>+U37+T38</f>
        <v>3.27</v>
      </c>
    </row>
    <row r="39" spans="1:256" s="8" customFormat="1" x14ac:dyDescent="0.2">
      <c r="A39" s="33">
        <f t="shared" si="25"/>
        <v>2026</v>
      </c>
      <c r="B39" s="787">
        <f t="shared" si="31"/>
        <v>1</v>
      </c>
      <c r="C39" s="565">
        <f>+C38+B39</f>
        <v>3914</v>
      </c>
      <c r="D39" s="1053">
        <f t="shared" si="28"/>
        <v>0</v>
      </c>
      <c r="E39" s="1054">
        <f t="shared" si="29"/>
        <v>0</v>
      </c>
      <c r="F39" s="1055">
        <f t="shared" si="30"/>
        <v>0</v>
      </c>
      <c r="G39" s="473">
        <f t="shared" si="32"/>
        <v>0</v>
      </c>
      <c r="H39" s="474">
        <f t="shared" si="32"/>
        <v>0</v>
      </c>
      <c r="I39" s="474">
        <f>+$B39*F39/1000000</f>
        <v>0</v>
      </c>
      <c r="J39" s="61">
        <f>+(B39+B38)/2</f>
        <v>1</v>
      </c>
      <c r="K39" s="967">
        <f>+D39</f>
        <v>0</v>
      </c>
      <c r="L39" s="967">
        <f>+J39*K39/1000</f>
        <v>0</v>
      </c>
      <c r="M39" s="967">
        <f>+M38+L39</f>
        <v>0.97</v>
      </c>
      <c r="N39" s="54">
        <f>+B38</f>
        <v>1</v>
      </c>
      <c r="O39" s="968">
        <f>+E39</f>
        <v>0</v>
      </c>
      <c r="P39" s="968">
        <f>+N39*O39/1000</f>
        <v>0</v>
      </c>
      <c r="Q39" s="969">
        <f>+Q38+P39</f>
        <v>1.36</v>
      </c>
      <c r="R39" s="247">
        <f>+(B39+B38)/2</f>
        <v>1</v>
      </c>
      <c r="S39" s="24">
        <f>+F39</f>
        <v>0</v>
      </c>
      <c r="T39" s="970">
        <f>+R39*S39/1000000</f>
        <v>0</v>
      </c>
      <c r="U39" s="971">
        <f>+U38+T39</f>
        <v>3.27</v>
      </c>
    </row>
    <row r="40" spans="1:256" s="8" customFormat="1" x14ac:dyDescent="0.2">
      <c r="A40" s="33">
        <f t="shared" si="25"/>
        <v>2027</v>
      </c>
      <c r="B40" s="787">
        <f t="shared" si="31"/>
        <v>1</v>
      </c>
      <c r="C40" s="565">
        <f>+C39+B40</f>
        <v>3915</v>
      </c>
      <c r="D40" s="1053">
        <f t="shared" si="28"/>
        <v>0</v>
      </c>
      <c r="E40" s="1054">
        <f t="shared" si="29"/>
        <v>0</v>
      </c>
      <c r="F40" s="1055">
        <f t="shared" si="30"/>
        <v>0</v>
      </c>
      <c r="G40" s="473">
        <f t="shared" si="32"/>
        <v>0</v>
      </c>
      <c r="H40" s="474">
        <f t="shared" si="32"/>
        <v>0</v>
      </c>
      <c r="I40" s="474">
        <f>+$B40*F40/1000000</f>
        <v>0</v>
      </c>
      <c r="J40" s="61">
        <f>+(B40+B39)/2</f>
        <v>1</v>
      </c>
      <c r="K40" s="967">
        <f>+D40</f>
        <v>0</v>
      </c>
      <c r="L40" s="967">
        <f>+J40*K40/1000</f>
        <v>0</v>
      </c>
      <c r="M40" s="967">
        <f>+M39+L40</f>
        <v>0.97</v>
      </c>
      <c r="N40" s="54">
        <f>+B39</f>
        <v>1</v>
      </c>
      <c r="O40" s="968">
        <f>+E40</f>
        <v>0</v>
      </c>
      <c r="P40" s="968">
        <f>+N40*O40/1000</f>
        <v>0</v>
      </c>
      <c r="Q40" s="969">
        <f>+Q39+P40</f>
        <v>1.36</v>
      </c>
      <c r="R40" s="247">
        <f>+(B40+B39)/2</f>
        <v>1</v>
      </c>
      <c r="S40" s="24">
        <f>+F40</f>
        <v>0</v>
      </c>
      <c r="T40" s="970">
        <f>+R40*S40/1000000</f>
        <v>0</v>
      </c>
      <c r="U40" s="971">
        <f>+U39+T40</f>
        <v>3.27</v>
      </c>
    </row>
    <row r="41" spans="1:256" s="8" customFormat="1" x14ac:dyDescent="0.2">
      <c r="A41" s="33">
        <f t="shared" si="25"/>
        <v>2028</v>
      </c>
      <c r="B41" s="787">
        <f t="shared" si="31"/>
        <v>1</v>
      </c>
      <c r="C41" s="565">
        <f>+C40+B41</f>
        <v>3916</v>
      </c>
      <c r="D41" s="1053">
        <f>+D40</f>
        <v>0</v>
      </c>
      <c r="E41" s="1054">
        <f>+E40</f>
        <v>0</v>
      </c>
      <c r="F41" s="1055">
        <f>+F40</f>
        <v>0</v>
      </c>
      <c r="G41" s="473">
        <f>+$B41*D41/1000</f>
        <v>0</v>
      </c>
      <c r="H41" s="474">
        <f>+$B41*E41/1000</f>
        <v>0</v>
      </c>
      <c r="I41" s="474">
        <f>+$B41*F41/1000000</f>
        <v>0</v>
      </c>
      <c r="J41" s="61">
        <f>+(B41+B40)/2</f>
        <v>1</v>
      </c>
      <c r="K41" s="967">
        <f>+D41</f>
        <v>0</v>
      </c>
      <c r="L41" s="967">
        <f>+J41*K41/1000</f>
        <v>0</v>
      </c>
      <c r="M41" s="967">
        <f>+M40+L41</f>
        <v>0.97</v>
      </c>
      <c r="N41" s="54">
        <f>+B40</f>
        <v>1</v>
      </c>
      <c r="O41" s="968">
        <f>+E41</f>
        <v>0</v>
      </c>
      <c r="P41" s="968">
        <f>+N41*O41/1000</f>
        <v>0</v>
      </c>
      <c r="Q41" s="969">
        <f>+Q40+P41</f>
        <v>1.36</v>
      </c>
      <c r="R41" s="247">
        <f>+(B41+B40)/2</f>
        <v>1</v>
      </c>
      <c r="S41" s="24">
        <f>+F41</f>
        <v>0</v>
      </c>
      <c r="T41" s="970">
        <f>+R41*S41/1000000</f>
        <v>0</v>
      </c>
      <c r="U41" s="971">
        <f>+U40+T41</f>
        <v>3.27</v>
      </c>
    </row>
    <row r="42" spans="1:256" s="8" customFormat="1" x14ac:dyDescent="0.2">
      <c r="A42" s="33">
        <f t="shared" si="25"/>
        <v>2029</v>
      </c>
      <c r="B42" s="787">
        <f t="shared" si="31"/>
        <v>1</v>
      </c>
      <c r="C42" s="565">
        <f>+C41+B42</f>
        <v>3917</v>
      </c>
      <c r="D42" s="1053">
        <f t="shared" ref="D42:U42" si="33">D41</f>
        <v>0</v>
      </c>
      <c r="E42" s="1054">
        <f t="shared" si="33"/>
        <v>0</v>
      </c>
      <c r="F42" s="1055">
        <f t="shared" si="33"/>
        <v>0</v>
      </c>
      <c r="G42" s="473">
        <f t="shared" si="33"/>
        <v>0</v>
      </c>
      <c r="H42" s="474">
        <f t="shared" si="33"/>
        <v>0</v>
      </c>
      <c r="I42" s="474">
        <f t="shared" si="33"/>
        <v>0</v>
      </c>
      <c r="J42" s="61">
        <f t="shared" si="33"/>
        <v>1</v>
      </c>
      <c r="K42" s="967">
        <f t="shared" si="33"/>
        <v>0</v>
      </c>
      <c r="L42" s="967">
        <f t="shared" si="33"/>
        <v>0</v>
      </c>
      <c r="M42" s="967">
        <f t="shared" si="33"/>
        <v>0.97</v>
      </c>
      <c r="N42" s="54">
        <f t="shared" si="33"/>
        <v>1</v>
      </c>
      <c r="O42" s="968">
        <f t="shared" si="33"/>
        <v>0</v>
      </c>
      <c r="P42" s="968">
        <f t="shared" si="33"/>
        <v>0</v>
      </c>
      <c r="Q42" s="969">
        <f t="shared" si="33"/>
        <v>1.36</v>
      </c>
      <c r="R42" s="247">
        <f t="shared" si="33"/>
        <v>1</v>
      </c>
      <c r="S42" s="24">
        <f t="shared" si="33"/>
        <v>0</v>
      </c>
      <c r="T42" s="970">
        <f t="shared" si="33"/>
        <v>0</v>
      </c>
      <c r="U42" s="971">
        <f t="shared" si="33"/>
        <v>3.27</v>
      </c>
    </row>
    <row r="43" spans="1:256" s="8" customFormat="1" x14ac:dyDescent="0.2">
      <c r="A43" s="33">
        <f t="shared" si="25"/>
        <v>2030</v>
      </c>
      <c r="B43" s="787">
        <f t="shared" si="31"/>
        <v>1</v>
      </c>
      <c r="C43" s="565">
        <f t="shared" ref="C43:C46" si="34">+C42+B43</f>
        <v>3918</v>
      </c>
      <c r="D43" s="1053">
        <f t="shared" ref="D43:U43" si="35">D42</f>
        <v>0</v>
      </c>
      <c r="E43" s="1054">
        <f t="shared" si="35"/>
        <v>0</v>
      </c>
      <c r="F43" s="1055">
        <f t="shared" si="35"/>
        <v>0</v>
      </c>
      <c r="G43" s="473">
        <f t="shared" si="35"/>
        <v>0</v>
      </c>
      <c r="H43" s="474">
        <f t="shared" si="35"/>
        <v>0</v>
      </c>
      <c r="I43" s="474">
        <f t="shared" si="35"/>
        <v>0</v>
      </c>
      <c r="J43" s="61">
        <f t="shared" si="35"/>
        <v>1</v>
      </c>
      <c r="K43" s="967">
        <f t="shared" si="35"/>
        <v>0</v>
      </c>
      <c r="L43" s="967">
        <f t="shared" si="35"/>
        <v>0</v>
      </c>
      <c r="M43" s="967">
        <f t="shared" si="35"/>
        <v>0.97</v>
      </c>
      <c r="N43" s="54">
        <f t="shared" si="35"/>
        <v>1</v>
      </c>
      <c r="O43" s="968">
        <f t="shared" si="35"/>
        <v>0</v>
      </c>
      <c r="P43" s="968">
        <f t="shared" si="35"/>
        <v>0</v>
      </c>
      <c r="Q43" s="969">
        <f t="shared" si="35"/>
        <v>1.36</v>
      </c>
      <c r="R43" s="247">
        <f t="shared" si="35"/>
        <v>1</v>
      </c>
      <c r="S43" s="24">
        <f t="shared" si="35"/>
        <v>0</v>
      </c>
      <c r="T43" s="970">
        <f t="shared" si="35"/>
        <v>0</v>
      </c>
      <c r="U43" s="971">
        <f t="shared" si="35"/>
        <v>3.27</v>
      </c>
    </row>
    <row r="44" spans="1:256" s="8" customFormat="1" x14ac:dyDescent="0.2">
      <c r="A44" s="33">
        <f t="shared" si="25"/>
        <v>2031</v>
      </c>
      <c r="B44" s="787">
        <f t="shared" si="31"/>
        <v>1</v>
      </c>
      <c r="C44" s="565">
        <f t="shared" si="34"/>
        <v>3919</v>
      </c>
      <c r="D44" s="1053">
        <f t="shared" ref="D44:U44" si="36">D43</f>
        <v>0</v>
      </c>
      <c r="E44" s="1054">
        <f t="shared" si="36"/>
        <v>0</v>
      </c>
      <c r="F44" s="1055">
        <f t="shared" si="36"/>
        <v>0</v>
      </c>
      <c r="G44" s="473">
        <f t="shared" si="36"/>
        <v>0</v>
      </c>
      <c r="H44" s="474">
        <f t="shared" si="36"/>
        <v>0</v>
      </c>
      <c r="I44" s="474">
        <f t="shared" si="36"/>
        <v>0</v>
      </c>
      <c r="J44" s="61">
        <f t="shared" si="36"/>
        <v>1</v>
      </c>
      <c r="K44" s="967">
        <f t="shared" si="36"/>
        <v>0</v>
      </c>
      <c r="L44" s="967">
        <f t="shared" si="36"/>
        <v>0</v>
      </c>
      <c r="M44" s="967">
        <f t="shared" si="36"/>
        <v>0.97</v>
      </c>
      <c r="N44" s="54">
        <f t="shared" si="36"/>
        <v>1</v>
      </c>
      <c r="O44" s="968">
        <f t="shared" si="36"/>
        <v>0</v>
      </c>
      <c r="P44" s="968">
        <f t="shared" si="36"/>
        <v>0</v>
      </c>
      <c r="Q44" s="969">
        <f t="shared" si="36"/>
        <v>1.36</v>
      </c>
      <c r="R44" s="247">
        <f t="shared" si="36"/>
        <v>1</v>
      </c>
      <c r="S44" s="24">
        <f t="shared" si="36"/>
        <v>0</v>
      </c>
      <c r="T44" s="970">
        <f t="shared" si="36"/>
        <v>0</v>
      </c>
      <c r="U44" s="971">
        <f t="shared" si="36"/>
        <v>3.27</v>
      </c>
    </row>
    <row r="45" spans="1:256" s="8" customFormat="1" x14ac:dyDescent="0.2">
      <c r="A45" s="33">
        <f t="shared" si="25"/>
        <v>2032</v>
      </c>
      <c r="B45" s="787">
        <f t="shared" si="31"/>
        <v>1</v>
      </c>
      <c r="C45" s="565">
        <f t="shared" si="34"/>
        <v>3920</v>
      </c>
      <c r="D45" s="1053">
        <f t="shared" ref="D45:U45" si="37">D44</f>
        <v>0</v>
      </c>
      <c r="E45" s="1054">
        <f t="shared" si="37"/>
        <v>0</v>
      </c>
      <c r="F45" s="1055">
        <f t="shared" si="37"/>
        <v>0</v>
      </c>
      <c r="G45" s="473">
        <f t="shared" si="37"/>
        <v>0</v>
      </c>
      <c r="H45" s="474">
        <f t="shared" si="37"/>
        <v>0</v>
      </c>
      <c r="I45" s="474">
        <f t="shared" si="37"/>
        <v>0</v>
      </c>
      <c r="J45" s="61">
        <f t="shared" si="37"/>
        <v>1</v>
      </c>
      <c r="K45" s="967">
        <f t="shared" si="37"/>
        <v>0</v>
      </c>
      <c r="L45" s="967">
        <f t="shared" si="37"/>
        <v>0</v>
      </c>
      <c r="M45" s="967">
        <f t="shared" si="37"/>
        <v>0.97</v>
      </c>
      <c r="N45" s="54">
        <f t="shared" si="37"/>
        <v>1</v>
      </c>
      <c r="O45" s="968">
        <f t="shared" si="37"/>
        <v>0</v>
      </c>
      <c r="P45" s="968">
        <f t="shared" si="37"/>
        <v>0</v>
      </c>
      <c r="Q45" s="969">
        <f t="shared" si="37"/>
        <v>1.36</v>
      </c>
      <c r="R45" s="247">
        <f t="shared" si="37"/>
        <v>1</v>
      </c>
      <c r="S45" s="24">
        <f t="shared" si="37"/>
        <v>0</v>
      </c>
      <c r="T45" s="970">
        <f t="shared" si="37"/>
        <v>0</v>
      </c>
      <c r="U45" s="971">
        <f t="shared" si="37"/>
        <v>3.27</v>
      </c>
    </row>
    <row r="46" spans="1:256" s="8" customFormat="1" x14ac:dyDescent="0.2">
      <c r="A46" s="33">
        <f t="shared" si="25"/>
        <v>2033</v>
      </c>
      <c r="B46" s="787">
        <f t="shared" si="31"/>
        <v>1</v>
      </c>
      <c r="C46" s="565">
        <f t="shared" si="34"/>
        <v>3921</v>
      </c>
      <c r="D46" s="1053">
        <f t="shared" ref="D46:U46" si="38">D45</f>
        <v>0</v>
      </c>
      <c r="E46" s="1054">
        <f t="shared" si="38"/>
        <v>0</v>
      </c>
      <c r="F46" s="1055">
        <f t="shared" si="38"/>
        <v>0</v>
      </c>
      <c r="G46" s="473">
        <f t="shared" si="38"/>
        <v>0</v>
      </c>
      <c r="H46" s="474">
        <f t="shared" si="38"/>
        <v>0</v>
      </c>
      <c r="I46" s="474">
        <f t="shared" si="38"/>
        <v>0</v>
      </c>
      <c r="J46" s="61">
        <f t="shared" si="38"/>
        <v>1</v>
      </c>
      <c r="K46" s="967">
        <f t="shared" si="38"/>
        <v>0</v>
      </c>
      <c r="L46" s="967">
        <f t="shared" si="38"/>
        <v>0</v>
      </c>
      <c r="M46" s="967">
        <f t="shared" si="38"/>
        <v>0.97</v>
      </c>
      <c r="N46" s="54">
        <f t="shared" si="38"/>
        <v>1</v>
      </c>
      <c r="O46" s="968">
        <f t="shared" si="38"/>
        <v>0</v>
      </c>
      <c r="P46" s="968">
        <f t="shared" si="38"/>
        <v>0</v>
      </c>
      <c r="Q46" s="969">
        <f t="shared" si="38"/>
        <v>1.36</v>
      </c>
      <c r="R46" s="247">
        <f t="shared" si="38"/>
        <v>1</v>
      </c>
      <c r="S46" s="24">
        <f t="shared" si="38"/>
        <v>0</v>
      </c>
      <c r="T46" s="970">
        <f t="shared" si="38"/>
        <v>0</v>
      </c>
      <c r="U46" s="971">
        <f t="shared" si="38"/>
        <v>3.27</v>
      </c>
    </row>
    <row r="47" spans="1:256" s="8" customFormat="1" x14ac:dyDescent="0.2">
      <c r="A47" s="33">
        <f t="shared" si="25"/>
        <v>2034</v>
      </c>
      <c r="B47" s="787">
        <f t="shared" si="31"/>
        <v>1</v>
      </c>
      <c r="C47" s="565">
        <f>+C42+B47</f>
        <v>3918</v>
      </c>
      <c r="D47" s="1053">
        <f t="shared" ref="D47:U47" si="39">D46</f>
        <v>0</v>
      </c>
      <c r="E47" s="1054">
        <f t="shared" si="39"/>
        <v>0</v>
      </c>
      <c r="F47" s="1055">
        <f t="shared" si="39"/>
        <v>0</v>
      </c>
      <c r="G47" s="473">
        <f t="shared" si="39"/>
        <v>0</v>
      </c>
      <c r="H47" s="474">
        <f t="shared" si="39"/>
        <v>0</v>
      </c>
      <c r="I47" s="474">
        <f t="shared" si="39"/>
        <v>0</v>
      </c>
      <c r="J47" s="61">
        <f t="shared" si="39"/>
        <v>1</v>
      </c>
      <c r="K47" s="967">
        <f t="shared" si="39"/>
        <v>0</v>
      </c>
      <c r="L47" s="967">
        <f t="shared" si="39"/>
        <v>0</v>
      </c>
      <c r="M47" s="967">
        <f t="shared" si="39"/>
        <v>0.97</v>
      </c>
      <c r="N47" s="54">
        <f t="shared" si="39"/>
        <v>1</v>
      </c>
      <c r="O47" s="968">
        <f t="shared" si="39"/>
        <v>0</v>
      </c>
      <c r="P47" s="968">
        <f t="shared" si="39"/>
        <v>0</v>
      </c>
      <c r="Q47" s="969">
        <f t="shared" si="39"/>
        <v>1.36</v>
      </c>
      <c r="R47" s="247">
        <f t="shared" si="39"/>
        <v>1</v>
      </c>
      <c r="S47" s="24">
        <f t="shared" si="39"/>
        <v>0</v>
      </c>
      <c r="T47" s="970">
        <f t="shared" si="39"/>
        <v>0</v>
      </c>
      <c r="U47" s="971">
        <f t="shared" si="39"/>
        <v>3.27</v>
      </c>
      <c r="V47" s="491"/>
      <c r="W47" s="492"/>
      <c r="X47" s="493"/>
      <c r="Y47" s="494"/>
      <c r="Z47" s="494"/>
      <c r="AA47" s="493"/>
      <c r="AB47" s="495"/>
      <c r="AC47" s="495"/>
      <c r="AD47" s="495"/>
      <c r="AE47" s="496"/>
      <c r="AF47" s="497"/>
      <c r="AG47" s="497"/>
      <c r="AH47" s="497"/>
      <c r="AI47" s="498"/>
      <c r="AJ47" s="497"/>
      <c r="AK47" s="497"/>
      <c r="AL47" s="497"/>
      <c r="AM47" s="9"/>
      <c r="AN47" s="499"/>
      <c r="AO47" s="500"/>
      <c r="AP47" s="497"/>
      <c r="AQ47" s="491"/>
      <c r="AR47" s="492"/>
      <c r="AS47" s="493"/>
      <c r="AT47" s="494"/>
      <c r="AU47" s="494"/>
      <c r="AV47" s="493"/>
      <c r="AW47" s="495"/>
      <c r="AX47" s="495"/>
      <c r="AY47" s="495"/>
      <c r="AZ47" s="496"/>
      <c r="BA47" s="497"/>
      <c r="BB47" s="497"/>
      <c r="BC47" s="497"/>
      <c r="BD47" s="498"/>
      <c r="BE47" s="497"/>
      <c r="BF47" s="497"/>
      <c r="BG47" s="497"/>
      <c r="BH47" s="9"/>
      <c r="BI47" s="499"/>
      <c r="BJ47" s="500"/>
      <c r="BK47" s="497"/>
      <c r="BL47" s="491"/>
      <c r="BM47" s="492"/>
      <c r="BN47" s="493"/>
      <c r="BO47" s="494"/>
      <c r="BP47" s="494"/>
      <c r="BQ47" s="493"/>
      <c r="BR47" s="495"/>
      <c r="BS47" s="495"/>
      <c r="BT47" s="495"/>
      <c r="BU47" s="496"/>
      <c r="BV47" s="497"/>
      <c r="BW47" s="497"/>
      <c r="BX47" s="497"/>
      <c r="BY47" s="498"/>
      <c r="BZ47" s="497"/>
      <c r="CA47" s="497"/>
      <c r="CB47" s="497"/>
      <c r="CC47" s="9"/>
      <c r="CD47" s="499"/>
      <c r="CE47" s="500"/>
      <c r="CF47" s="497"/>
      <c r="CG47" s="491"/>
      <c r="CH47" s="492"/>
      <c r="CI47" s="493"/>
      <c r="CJ47" s="494"/>
      <c r="CK47" s="494"/>
      <c r="CL47" s="493"/>
      <c r="CM47" s="495"/>
      <c r="CN47" s="495"/>
      <c r="CO47" s="495"/>
      <c r="CP47" s="496"/>
      <c r="CQ47" s="497"/>
      <c r="CR47" s="497"/>
      <c r="CS47" s="497"/>
      <c r="CT47" s="498"/>
      <c r="CU47" s="497"/>
      <c r="CV47" s="497"/>
      <c r="CW47" s="497"/>
      <c r="CX47" s="9"/>
      <c r="CY47" s="499"/>
      <c r="CZ47" s="500"/>
      <c r="DA47" s="497"/>
      <c r="DB47" s="491"/>
      <c r="DC47" s="492"/>
      <c r="DD47" s="493"/>
      <c r="DE47" s="494"/>
      <c r="DF47" s="494"/>
      <c r="DG47" s="493"/>
      <c r="DH47" s="495"/>
      <c r="DI47" s="495"/>
      <c r="DJ47" s="495"/>
      <c r="DK47" s="496"/>
      <c r="DL47" s="497"/>
      <c r="DM47" s="497"/>
      <c r="DN47" s="497"/>
      <c r="DO47" s="498"/>
      <c r="DP47" s="497"/>
      <c r="DQ47" s="497"/>
      <c r="DR47" s="497"/>
      <c r="DS47" s="9"/>
      <c r="DT47" s="499"/>
      <c r="DU47" s="500"/>
      <c r="DV47" s="497"/>
      <c r="DW47" s="491"/>
      <c r="DX47" s="492"/>
      <c r="DY47" s="493"/>
      <c r="DZ47" s="494"/>
      <c r="EA47" s="494"/>
      <c r="EB47" s="493"/>
      <c r="EC47" s="495"/>
      <c r="ED47" s="495"/>
      <c r="EE47" s="495"/>
      <c r="EF47" s="496"/>
      <c r="EG47" s="497"/>
      <c r="EH47" s="497"/>
      <c r="EI47" s="497"/>
      <c r="EJ47" s="498"/>
      <c r="EK47" s="497"/>
      <c r="EL47" s="497"/>
      <c r="EM47" s="497"/>
      <c r="EN47" s="9"/>
      <c r="EO47" s="499"/>
      <c r="EP47" s="500"/>
      <c r="EQ47" s="497"/>
      <c r="ER47" s="491"/>
      <c r="ES47" s="492"/>
      <c r="ET47" s="493"/>
      <c r="EU47" s="494"/>
      <c r="EV47" s="494"/>
      <c r="EW47" s="493"/>
      <c r="EX47" s="495"/>
      <c r="EY47" s="495"/>
      <c r="EZ47" s="495"/>
      <c r="FA47" s="496"/>
      <c r="FB47" s="497"/>
      <c r="FC47" s="497"/>
      <c r="FD47" s="497"/>
      <c r="FE47" s="498"/>
      <c r="FF47" s="497"/>
      <c r="FG47" s="497"/>
      <c r="FH47" s="497"/>
      <c r="FI47" s="9"/>
      <c r="FJ47" s="499"/>
      <c r="FK47" s="500"/>
      <c r="FL47" s="497"/>
      <c r="FM47" s="491"/>
      <c r="FN47" s="492"/>
      <c r="FO47" s="493"/>
      <c r="FP47" s="494"/>
      <c r="FQ47" s="494"/>
      <c r="FR47" s="493"/>
      <c r="FS47" s="495"/>
      <c r="FT47" s="495"/>
      <c r="FU47" s="495"/>
      <c r="FV47" s="496"/>
      <c r="FW47" s="497"/>
      <c r="FX47" s="497"/>
      <c r="FY47" s="497"/>
      <c r="FZ47" s="498"/>
      <c r="GA47" s="497"/>
      <c r="GB47" s="497"/>
      <c r="GC47" s="497"/>
      <c r="GD47" s="9"/>
      <c r="GE47" s="499"/>
      <c r="GF47" s="500"/>
      <c r="GG47" s="497"/>
      <c r="GH47" s="491"/>
      <c r="GI47" s="492"/>
      <c r="GJ47" s="493"/>
      <c r="GK47" s="494"/>
      <c r="GL47" s="494"/>
      <c r="GM47" s="493"/>
      <c r="GN47" s="495"/>
      <c r="GO47" s="495"/>
      <c r="GP47" s="495"/>
      <c r="GQ47" s="496"/>
      <c r="GR47" s="497"/>
      <c r="GS47" s="497"/>
      <c r="GT47" s="497"/>
      <c r="GU47" s="498"/>
      <c r="GV47" s="497"/>
      <c r="GW47" s="497"/>
      <c r="GX47" s="497"/>
      <c r="GY47" s="9"/>
      <c r="GZ47" s="499"/>
      <c r="HA47" s="500"/>
      <c r="HB47" s="497"/>
      <c r="HC47" s="491"/>
      <c r="HD47" s="492"/>
      <c r="HE47" s="493"/>
      <c r="HF47" s="494"/>
      <c r="HG47" s="494"/>
      <c r="HH47" s="493"/>
      <c r="HI47" s="495"/>
      <c r="HJ47" s="495"/>
      <c r="HK47" s="495"/>
      <c r="HL47" s="496"/>
      <c r="HM47" s="497"/>
      <c r="HN47" s="497"/>
      <c r="HO47" s="497"/>
      <c r="HP47" s="498"/>
      <c r="HQ47" s="497"/>
      <c r="HR47" s="497"/>
      <c r="HS47" s="497"/>
      <c r="HT47" s="9"/>
      <c r="HU47" s="499"/>
      <c r="HV47" s="500"/>
      <c r="HW47" s="497"/>
      <c r="HX47" s="491"/>
      <c r="HY47" s="492"/>
      <c r="HZ47" s="493"/>
      <c r="IA47" s="494"/>
      <c r="IB47" s="494"/>
      <c r="IC47" s="493"/>
      <c r="ID47" s="495"/>
      <c r="IE47" s="495"/>
      <c r="IF47" s="495"/>
      <c r="IG47" s="496"/>
      <c r="IH47" s="497"/>
      <c r="II47" s="497"/>
      <c r="IJ47" s="497"/>
      <c r="IK47" s="498"/>
      <c r="IL47" s="497"/>
      <c r="IM47" s="497"/>
      <c r="IN47" s="497"/>
      <c r="IO47" s="9"/>
      <c r="IP47" s="499"/>
      <c r="IQ47" s="500"/>
      <c r="IR47" s="497"/>
      <c r="IS47" s="491"/>
      <c r="IT47" s="492"/>
      <c r="IU47" s="493"/>
      <c r="IV47" s="494"/>
    </row>
    <row r="48" spans="1:256" s="804" customFormat="1" x14ac:dyDescent="0.2">
      <c r="A48" s="33">
        <f t="shared" si="25"/>
        <v>2035</v>
      </c>
      <c r="B48" s="787">
        <f>B47</f>
        <v>1</v>
      </c>
      <c r="C48" s="565">
        <f t="shared" ref="C48:C54" si="40">+C43+B48</f>
        <v>3919</v>
      </c>
      <c r="D48" s="1053">
        <f t="shared" ref="D48:U48" si="41">D47</f>
        <v>0</v>
      </c>
      <c r="E48" s="1054">
        <f t="shared" si="41"/>
        <v>0</v>
      </c>
      <c r="F48" s="1055">
        <f t="shared" si="41"/>
        <v>0</v>
      </c>
      <c r="G48" s="473">
        <f t="shared" si="41"/>
        <v>0</v>
      </c>
      <c r="H48" s="474">
        <f t="shared" si="41"/>
        <v>0</v>
      </c>
      <c r="I48" s="474">
        <f t="shared" si="41"/>
        <v>0</v>
      </c>
      <c r="J48" s="61">
        <f t="shared" si="41"/>
        <v>1</v>
      </c>
      <c r="K48" s="967">
        <f t="shared" si="41"/>
        <v>0</v>
      </c>
      <c r="L48" s="967">
        <f t="shared" si="41"/>
        <v>0</v>
      </c>
      <c r="M48" s="967">
        <f t="shared" si="41"/>
        <v>0.97</v>
      </c>
      <c r="N48" s="54">
        <f t="shared" si="41"/>
        <v>1</v>
      </c>
      <c r="O48" s="968">
        <f t="shared" si="41"/>
        <v>0</v>
      </c>
      <c r="P48" s="968">
        <f t="shared" si="41"/>
        <v>0</v>
      </c>
      <c r="Q48" s="969">
        <f t="shared" si="41"/>
        <v>1.36</v>
      </c>
      <c r="R48" s="247">
        <f t="shared" si="41"/>
        <v>1</v>
      </c>
      <c r="S48" s="24">
        <f t="shared" si="41"/>
        <v>0</v>
      </c>
      <c r="T48" s="970">
        <f t="shared" si="41"/>
        <v>0</v>
      </c>
      <c r="U48" s="971">
        <f t="shared" si="41"/>
        <v>3.27</v>
      </c>
      <c r="V48" s="491"/>
      <c r="W48" s="492"/>
      <c r="X48" s="493"/>
      <c r="Y48" s="494"/>
      <c r="Z48" s="494"/>
      <c r="AA48" s="493"/>
      <c r="AB48" s="495"/>
      <c r="AC48" s="495"/>
      <c r="AD48" s="495"/>
      <c r="AE48" s="496"/>
      <c r="AF48" s="497"/>
      <c r="AG48" s="497"/>
      <c r="AH48" s="497"/>
      <c r="AI48" s="498"/>
      <c r="AJ48" s="497"/>
      <c r="AK48" s="497"/>
      <c r="AL48" s="497"/>
      <c r="AM48" s="9"/>
      <c r="AN48" s="499"/>
      <c r="AO48" s="500"/>
      <c r="AP48" s="497"/>
      <c r="AQ48" s="491"/>
      <c r="AR48" s="492"/>
      <c r="AS48" s="493"/>
      <c r="AT48" s="494"/>
      <c r="AU48" s="494"/>
      <c r="AV48" s="493"/>
      <c r="AW48" s="495"/>
      <c r="AX48" s="495"/>
      <c r="AY48" s="495"/>
      <c r="AZ48" s="496"/>
      <c r="BA48" s="497"/>
      <c r="BB48" s="497"/>
      <c r="BC48" s="497"/>
      <c r="BD48" s="498"/>
      <c r="BE48" s="497"/>
      <c r="BF48" s="497"/>
      <c r="BG48" s="497"/>
      <c r="BH48" s="9"/>
      <c r="BI48" s="499"/>
      <c r="BJ48" s="500"/>
      <c r="BK48" s="497"/>
      <c r="BL48" s="491"/>
      <c r="BM48" s="492"/>
      <c r="BN48" s="493"/>
      <c r="BO48" s="494"/>
      <c r="BP48" s="494"/>
      <c r="BQ48" s="493"/>
      <c r="BR48" s="495"/>
      <c r="BS48" s="495"/>
      <c r="BT48" s="495"/>
      <c r="BU48" s="496"/>
      <c r="BV48" s="497"/>
      <c r="BW48" s="497"/>
      <c r="BX48" s="497"/>
      <c r="BY48" s="498"/>
      <c r="BZ48" s="497"/>
      <c r="CA48" s="497"/>
      <c r="CB48" s="497"/>
      <c r="CC48" s="9"/>
      <c r="CD48" s="499"/>
      <c r="CE48" s="500"/>
      <c r="CF48" s="497"/>
      <c r="CG48" s="491"/>
      <c r="CH48" s="492"/>
      <c r="CI48" s="493"/>
      <c r="CJ48" s="494"/>
      <c r="CK48" s="494"/>
      <c r="CL48" s="493"/>
      <c r="CM48" s="495"/>
      <c r="CN48" s="495"/>
      <c r="CO48" s="495"/>
      <c r="CP48" s="496"/>
      <c r="CQ48" s="497"/>
      <c r="CR48" s="497"/>
      <c r="CS48" s="497"/>
      <c r="CT48" s="498"/>
      <c r="CU48" s="497"/>
      <c r="CV48" s="497"/>
      <c r="CW48" s="497"/>
      <c r="CX48" s="9"/>
      <c r="CY48" s="499"/>
      <c r="CZ48" s="500"/>
      <c r="DA48" s="497"/>
      <c r="DB48" s="491"/>
      <c r="DC48" s="492"/>
      <c r="DD48" s="493"/>
      <c r="DE48" s="494"/>
      <c r="DF48" s="494"/>
      <c r="DG48" s="493"/>
      <c r="DH48" s="495"/>
      <c r="DI48" s="495"/>
      <c r="DJ48" s="495"/>
      <c r="DK48" s="496"/>
      <c r="DL48" s="497"/>
      <c r="DM48" s="497"/>
      <c r="DN48" s="497"/>
      <c r="DO48" s="498"/>
      <c r="DP48" s="497"/>
      <c r="DQ48" s="497"/>
      <c r="DR48" s="497"/>
      <c r="DS48" s="9"/>
      <c r="DT48" s="499"/>
      <c r="DU48" s="500"/>
      <c r="DV48" s="497"/>
      <c r="DW48" s="491"/>
      <c r="DX48" s="492"/>
      <c r="DY48" s="493"/>
      <c r="DZ48" s="494"/>
      <c r="EA48" s="494"/>
      <c r="EB48" s="493"/>
      <c r="EC48" s="495"/>
      <c r="ED48" s="495"/>
      <c r="EE48" s="495"/>
      <c r="EF48" s="496"/>
      <c r="EG48" s="497"/>
      <c r="EH48" s="497"/>
      <c r="EI48" s="497"/>
      <c r="EJ48" s="498"/>
      <c r="EK48" s="497"/>
      <c r="EL48" s="497"/>
      <c r="EM48" s="497"/>
      <c r="EN48" s="9"/>
      <c r="EO48" s="499"/>
      <c r="EP48" s="500"/>
      <c r="EQ48" s="497"/>
      <c r="ER48" s="491"/>
      <c r="ES48" s="492"/>
      <c r="ET48" s="493"/>
      <c r="EU48" s="494"/>
      <c r="EV48" s="494"/>
      <c r="EW48" s="493"/>
      <c r="EX48" s="495"/>
      <c r="EY48" s="495"/>
      <c r="EZ48" s="495"/>
      <c r="FA48" s="496"/>
      <c r="FB48" s="497"/>
      <c r="FC48" s="497"/>
      <c r="FD48" s="497"/>
      <c r="FE48" s="498"/>
      <c r="FF48" s="497"/>
      <c r="FG48" s="497"/>
      <c r="FH48" s="497"/>
      <c r="FI48" s="9"/>
      <c r="FJ48" s="499"/>
      <c r="FK48" s="500"/>
      <c r="FL48" s="497"/>
      <c r="FM48" s="491"/>
      <c r="FN48" s="492"/>
      <c r="FO48" s="493"/>
      <c r="FP48" s="494"/>
      <c r="FQ48" s="494"/>
      <c r="FR48" s="493"/>
      <c r="FS48" s="495"/>
      <c r="FT48" s="495"/>
      <c r="FU48" s="495"/>
      <c r="FV48" s="496"/>
      <c r="FW48" s="497"/>
      <c r="FX48" s="497"/>
      <c r="FY48" s="497"/>
      <c r="FZ48" s="498"/>
      <c r="GA48" s="497"/>
      <c r="GB48" s="497"/>
      <c r="GC48" s="497"/>
      <c r="GD48" s="9"/>
      <c r="GE48" s="499"/>
      <c r="GF48" s="500"/>
      <c r="GG48" s="497"/>
      <c r="GH48" s="491"/>
      <c r="GI48" s="492"/>
      <c r="GJ48" s="493"/>
      <c r="GK48" s="494"/>
      <c r="GL48" s="494"/>
      <c r="GM48" s="493"/>
      <c r="GN48" s="495"/>
      <c r="GO48" s="495"/>
      <c r="GP48" s="495"/>
      <c r="GQ48" s="496"/>
      <c r="GR48" s="497"/>
      <c r="GS48" s="497"/>
      <c r="GT48" s="497"/>
      <c r="GU48" s="498"/>
      <c r="GV48" s="497"/>
      <c r="GW48" s="497"/>
      <c r="GX48" s="497"/>
      <c r="GY48" s="9"/>
      <c r="GZ48" s="499"/>
      <c r="HA48" s="500"/>
      <c r="HB48" s="497"/>
      <c r="HC48" s="491"/>
      <c r="HD48" s="492"/>
      <c r="HE48" s="493"/>
      <c r="HF48" s="494"/>
      <c r="HG48" s="494"/>
      <c r="HH48" s="493"/>
      <c r="HI48" s="495"/>
      <c r="HJ48" s="495"/>
      <c r="HK48" s="495"/>
      <c r="HL48" s="496"/>
      <c r="HM48" s="497"/>
      <c r="HN48" s="497"/>
      <c r="HO48" s="497"/>
      <c r="HP48" s="498"/>
      <c r="HQ48" s="497"/>
      <c r="HR48" s="497"/>
      <c r="HS48" s="497"/>
      <c r="HT48" s="9"/>
      <c r="HU48" s="499"/>
      <c r="HV48" s="500"/>
      <c r="HW48" s="497"/>
      <c r="HX48" s="491"/>
      <c r="HY48" s="492"/>
      <c r="HZ48" s="493"/>
      <c r="IA48" s="494"/>
      <c r="IB48" s="494"/>
      <c r="IC48" s="493"/>
      <c r="ID48" s="495"/>
      <c r="IE48" s="495"/>
      <c r="IF48" s="495"/>
      <c r="IG48" s="496"/>
      <c r="IH48" s="497"/>
      <c r="II48" s="497"/>
      <c r="IJ48" s="497"/>
      <c r="IK48" s="498"/>
      <c r="IL48" s="497"/>
      <c r="IM48" s="497"/>
      <c r="IN48" s="497"/>
      <c r="IO48" s="9"/>
      <c r="IP48" s="499"/>
      <c r="IQ48" s="500"/>
      <c r="IR48" s="497"/>
      <c r="IS48" s="491"/>
      <c r="IT48" s="492"/>
      <c r="IU48" s="493"/>
      <c r="IV48" s="494"/>
    </row>
    <row r="49" spans="1:256" s="804" customFormat="1" x14ac:dyDescent="0.2">
      <c r="A49" s="33">
        <f t="shared" si="25"/>
        <v>2036</v>
      </c>
      <c r="B49" s="787">
        <f t="shared" ref="B49:B54" si="42">B48</f>
        <v>1</v>
      </c>
      <c r="C49" s="565">
        <f t="shared" si="40"/>
        <v>3920</v>
      </c>
      <c r="D49" s="1053">
        <f t="shared" ref="D49:U49" si="43">D48</f>
        <v>0</v>
      </c>
      <c r="E49" s="1054">
        <f t="shared" si="43"/>
        <v>0</v>
      </c>
      <c r="F49" s="1055">
        <f t="shared" si="43"/>
        <v>0</v>
      </c>
      <c r="G49" s="473">
        <f t="shared" si="43"/>
        <v>0</v>
      </c>
      <c r="H49" s="474">
        <f t="shared" si="43"/>
        <v>0</v>
      </c>
      <c r="I49" s="474">
        <f t="shared" si="43"/>
        <v>0</v>
      </c>
      <c r="J49" s="61">
        <f t="shared" si="43"/>
        <v>1</v>
      </c>
      <c r="K49" s="967">
        <f t="shared" si="43"/>
        <v>0</v>
      </c>
      <c r="L49" s="967">
        <f t="shared" si="43"/>
        <v>0</v>
      </c>
      <c r="M49" s="967">
        <f t="shared" si="43"/>
        <v>0.97</v>
      </c>
      <c r="N49" s="54">
        <f t="shared" si="43"/>
        <v>1</v>
      </c>
      <c r="O49" s="968">
        <f t="shared" si="43"/>
        <v>0</v>
      </c>
      <c r="P49" s="968">
        <f t="shared" si="43"/>
        <v>0</v>
      </c>
      <c r="Q49" s="969">
        <f t="shared" si="43"/>
        <v>1.36</v>
      </c>
      <c r="R49" s="247">
        <f t="shared" si="43"/>
        <v>1</v>
      </c>
      <c r="S49" s="24">
        <f t="shared" si="43"/>
        <v>0</v>
      </c>
      <c r="T49" s="970">
        <f t="shared" si="43"/>
        <v>0</v>
      </c>
      <c r="U49" s="971">
        <f t="shared" si="43"/>
        <v>3.27</v>
      </c>
      <c r="V49" s="491"/>
      <c r="W49" s="492"/>
      <c r="X49" s="493"/>
      <c r="Y49" s="494"/>
      <c r="Z49" s="494"/>
      <c r="AA49" s="493"/>
      <c r="AB49" s="495"/>
      <c r="AC49" s="495"/>
      <c r="AD49" s="495"/>
      <c r="AE49" s="496"/>
      <c r="AF49" s="497"/>
      <c r="AG49" s="497"/>
      <c r="AH49" s="497"/>
      <c r="AI49" s="498"/>
      <c r="AJ49" s="497"/>
      <c r="AK49" s="497"/>
      <c r="AL49" s="497"/>
      <c r="AM49" s="9"/>
      <c r="AN49" s="499"/>
      <c r="AO49" s="500"/>
      <c r="AP49" s="497"/>
      <c r="AQ49" s="491"/>
      <c r="AR49" s="492"/>
      <c r="AS49" s="493"/>
      <c r="AT49" s="494"/>
      <c r="AU49" s="494"/>
      <c r="AV49" s="493"/>
      <c r="AW49" s="495"/>
      <c r="AX49" s="495"/>
      <c r="AY49" s="495"/>
      <c r="AZ49" s="496"/>
      <c r="BA49" s="497"/>
      <c r="BB49" s="497"/>
      <c r="BC49" s="497"/>
      <c r="BD49" s="498"/>
      <c r="BE49" s="497"/>
      <c r="BF49" s="497"/>
      <c r="BG49" s="497"/>
      <c r="BH49" s="9"/>
      <c r="BI49" s="499"/>
      <c r="BJ49" s="500"/>
      <c r="BK49" s="497"/>
      <c r="BL49" s="491"/>
      <c r="BM49" s="492"/>
      <c r="BN49" s="493"/>
      <c r="BO49" s="494"/>
      <c r="BP49" s="494"/>
      <c r="BQ49" s="493"/>
      <c r="BR49" s="495"/>
      <c r="BS49" s="495"/>
      <c r="BT49" s="495"/>
      <c r="BU49" s="496"/>
      <c r="BV49" s="497"/>
      <c r="BW49" s="497"/>
      <c r="BX49" s="497"/>
      <c r="BY49" s="498"/>
      <c r="BZ49" s="497"/>
      <c r="CA49" s="497"/>
      <c r="CB49" s="497"/>
      <c r="CC49" s="9"/>
      <c r="CD49" s="499"/>
      <c r="CE49" s="500"/>
      <c r="CF49" s="497"/>
      <c r="CG49" s="491"/>
      <c r="CH49" s="492"/>
      <c r="CI49" s="493"/>
      <c r="CJ49" s="494"/>
      <c r="CK49" s="494"/>
      <c r="CL49" s="493"/>
      <c r="CM49" s="495"/>
      <c r="CN49" s="495"/>
      <c r="CO49" s="495"/>
      <c r="CP49" s="496"/>
      <c r="CQ49" s="497"/>
      <c r="CR49" s="497"/>
      <c r="CS49" s="497"/>
      <c r="CT49" s="498"/>
      <c r="CU49" s="497"/>
      <c r="CV49" s="497"/>
      <c r="CW49" s="497"/>
      <c r="CX49" s="9"/>
      <c r="CY49" s="499"/>
      <c r="CZ49" s="500"/>
      <c r="DA49" s="497"/>
      <c r="DB49" s="491"/>
      <c r="DC49" s="492"/>
      <c r="DD49" s="493"/>
      <c r="DE49" s="494"/>
      <c r="DF49" s="494"/>
      <c r="DG49" s="493"/>
      <c r="DH49" s="495"/>
      <c r="DI49" s="495"/>
      <c r="DJ49" s="495"/>
      <c r="DK49" s="496"/>
      <c r="DL49" s="497"/>
      <c r="DM49" s="497"/>
      <c r="DN49" s="497"/>
      <c r="DO49" s="498"/>
      <c r="DP49" s="497"/>
      <c r="DQ49" s="497"/>
      <c r="DR49" s="497"/>
      <c r="DS49" s="9"/>
      <c r="DT49" s="499"/>
      <c r="DU49" s="500"/>
      <c r="DV49" s="497"/>
      <c r="DW49" s="491"/>
      <c r="DX49" s="492"/>
      <c r="DY49" s="493"/>
      <c r="DZ49" s="494"/>
      <c r="EA49" s="494"/>
      <c r="EB49" s="493"/>
      <c r="EC49" s="495"/>
      <c r="ED49" s="495"/>
      <c r="EE49" s="495"/>
      <c r="EF49" s="496"/>
      <c r="EG49" s="497"/>
      <c r="EH49" s="497"/>
      <c r="EI49" s="497"/>
      <c r="EJ49" s="498"/>
      <c r="EK49" s="497"/>
      <c r="EL49" s="497"/>
      <c r="EM49" s="497"/>
      <c r="EN49" s="9"/>
      <c r="EO49" s="499"/>
      <c r="EP49" s="500"/>
      <c r="EQ49" s="497"/>
      <c r="ER49" s="491"/>
      <c r="ES49" s="492"/>
      <c r="ET49" s="493"/>
      <c r="EU49" s="494"/>
      <c r="EV49" s="494"/>
      <c r="EW49" s="493"/>
      <c r="EX49" s="495"/>
      <c r="EY49" s="495"/>
      <c r="EZ49" s="495"/>
      <c r="FA49" s="496"/>
      <c r="FB49" s="497"/>
      <c r="FC49" s="497"/>
      <c r="FD49" s="497"/>
      <c r="FE49" s="498"/>
      <c r="FF49" s="497"/>
      <c r="FG49" s="497"/>
      <c r="FH49" s="497"/>
      <c r="FI49" s="9"/>
      <c r="FJ49" s="499"/>
      <c r="FK49" s="500"/>
      <c r="FL49" s="497"/>
      <c r="FM49" s="491"/>
      <c r="FN49" s="492"/>
      <c r="FO49" s="493"/>
      <c r="FP49" s="494"/>
      <c r="FQ49" s="494"/>
      <c r="FR49" s="493"/>
      <c r="FS49" s="495"/>
      <c r="FT49" s="495"/>
      <c r="FU49" s="495"/>
      <c r="FV49" s="496"/>
      <c r="FW49" s="497"/>
      <c r="FX49" s="497"/>
      <c r="FY49" s="497"/>
      <c r="FZ49" s="498"/>
      <c r="GA49" s="497"/>
      <c r="GB49" s="497"/>
      <c r="GC49" s="497"/>
      <c r="GD49" s="9"/>
      <c r="GE49" s="499"/>
      <c r="GF49" s="500"/>
      <c r="GG49" s="497"/>
      <c r="GH49" s="491"/>
      <c r="GI49" s="492"/>
      <c r="GJ49" s="493"/>
      <c r="GK49" s="494"/>
      <c r="GL49" s="494"/>
      <c r="GM49" s="493"/>
      <c r="GN49" s="495"/>
      <c r="GO49" s="495"/>
      <c r="GP49" s="495"/>
      <c r="GQ49" s="496"/>
      <c r="GR49" s="497"/>
      <c r="GS49" s="497"/>
      <c r="GT49" s="497"/>
      <c r="GU49" s="498"/>
      <c r="GV49" s="497"/>
      <c r="GW49" s="497"/>
      <c r="GX49" s="497"/>
      <c r="GY49" s="9"/>
      <c r="GZ49" s="499"/>
      <c r="HA49" s="500"/>
      <c r="HB49" s="497"/>
      <c r="HC49" s="491"/>
      <c r="HD49" s="492"/>
      <c r="HE49" s="493"/>
      <c r="HF49" s="494"/>
      <c r="HG49" s="494"/>
      <c r="HH49" s="493"/>
      <c r="HI49" s="495"/>
      <c r="HJ49" s="495"/>
      <c r="HK49" s="495"/>
      <c r="HL49" s="496"/>
      <c r="HM49" s="497"/>
      <c r="HN49" s="497"/>
      <c r="HO49" s="497"/>
      <c r="HP49" s="498"/>
      <c r="HQ49" s="497"/>
      <c r="HR49" s="497"/>
      <c r="HS49" s="497"/>
      <c r="HT49" s="9"/>
      <c r="HU49" s="499"/>
      <c r="HV49" s="500"/>
      <c r="HW49" s="497"/>
      <c r="HX49" s="491"/>
      <c r="HY49" s="492"/>
      <c r="HZ49" s="493"/>
      <c r="IA49" s="494"/>
      <c r="IB49" s="494"/>
      <c r="IC49" s="493"/>
      <c r="ID49" s="495"/>
      <c r="IE49" s="495"/>
      <c r="IF49" s="495"/>
      <c r="IG49" s="496"/>
      <c r="IH49" s="497"/>
      <c r="II49" s="497"/>
      <c r="IJ49" s="497"/>
      <c r="IK49" s="498"/>
      <c r="IL49" s="497"/>
      <c r="IM49" s="497"/>
      <c r="IN49" s="497"/>
      <c r="IO49" s="9"/>
      <c r="IP49" s="499"/>
      <c r="IQ49" s="500"/>
      <c r="IR49" s="497"/>
      <c r="IS49" s="491"/>
      <c r="IT49" s="492"/>
      <c r="IU49" s="493"/>
      <c r="IV49" s="494"/>
    </row>
    <row r="50" spans="1:256" s="804" customFormat="1" x14ac:dyDescent="0.2">
      <c r="A50" s="33">
        <f t="shared" si="25"/>
        <v>2037</v>
      </c>
      <c r="B50" s="787">
        <f t="shared" si="42"/>
        <v>1</v>
      </c>
      <c r="C50" s="565">
        <f t="shared" si="40"/>
        <v>3921</v>
      </c>
      <c r="D50" s="1053">
        <f t="shared" ref="D50:U50" si="44">D49</f>
        <v>0</v>
      </c>
      <c r="E50" s="1054">
        <f t="shared" si="44"/>
        <v>0</v>
      </c>
      <c r="F50" s="1055">
        <f t="shared" si="44"/>
        <v>0</v>
      </c>
      <c r="G50" s="473">
        <f t="shared" si="44"/>
        <v>0</v>
      </c>
      <c r="H50" s="474">
        <f t="shared" si="44"/>
        <v>0</v>
      </c>
      <c r="I50" s="474">
        <f t="shared" si="44"/>
        <v>0</v>
      </c>
      <c r="J50" s="61">
        <f t="shared" si="44"/>
        <v>1</v>
      </c>
      <c r="K50" s="967">
        <f t="shared" si="44"/>
        <v>0</v>
      </c>
      <c r="L50" s="967">
        <f t="shared" si="44"/>
        <v>0</v>
      </c>
      <c r="M50" s="967">
        <f t="shared" si="44"/>
        <v>0.97</v>
      </c>
      <c r="N50" s="54">
        <f t="shared" si="44"/>
        <v>1</v>
      </c>
      <c r="O50" s="968">
        <f t="shared" si="44"/>
        <v>0</v>
      </c>
      <c r="P50" s="968">
        <f t="shared" si="44"/>
        <v>0</v>
      </c>
      <c r="Q50" s="969">
        <f t="shared" si="44"/>
        <v>1.36</v>
      </c>
      <c r="R50" s="247">
        <f t="shared" si="44"/>
        <v>1</v>
      </c>
      <c r="S50" s="24">
        <f t="shared" si="44"/>
        <v>0</v>
      </c>
      <c r="T50" s="970">
        <f t="shared" si="44"/>
        <v>0</v>
      </c>
      <c r="U50" s="971">
        <f t="shared" si="44"/>
        <v>3.27</v>
      </c>
      <c r="V50" s="491"/>
      <c r="W50" s="492"/>
      <c r="X50" s="493"/>
      <c r="Y50" s="494"/>
      <c r="Z50" s="494"/>
      <c r="AA50" s="493"/>
      <c r="AB50" s="495"/>
      <c r="AC50" s="495"/>
      <c r="AD50" s="495"/>
      <c r="AE50" s="496"/>
      <c r="AF50" s="497"/>
      <c r="AG50" s="497"/>
      <c r="AH50" s="497"/>
      <c r="AI50" s="498"/>
      <c r="AJ50" s="497"/>
      <c r="AK50" s="497"/>
      <c r="AL50" s="497"/>
      <c r="AM50" s="9"/>
      <c r="AN50" s="499"/>
      <c r="AO50" s="500"/>
      <c r="AP50" s="497"/>
      <c r="AQ50" s="491"/>
      <c r="AR50" s="492"/>
      <c r="AS50" s="493"/>
      <c r="AT50" s="494"/>
      <c r="AU50" s="494"/>
      <c r="AV50" s="493"/>
      <c r="AW50" s="495"/>
      <c r="AX50" s="495"/>
      <c r="AY50" s="495"/>
      <c r="AZ50" s="496"/>
      <c r="BA50" s="497"/>
      <c r="BB50" s="497"/>
      <c r="BC50" s="497"/>
      <c r="BD50" s="498"/>
      <c r="BE50" s="497"/>
      <c r="BF50" s="497"/>
      <c r="BG50" s="497"/>
      <c r="BH50" s="9"/>
      <c r="BI50" s="499"/>
      <c r="BJ50" s="500"/>
      <c r="BK50" s="497"/>
      <c r="BL50" s="491"/>
      <c r="BM50" s="492"/>
      <c r="BN50" s="493"/>
      <c r="BO50" s="494"/>
      <c r="BP50" s="494"/>
      <c r="BQ50" s="493"/>
      <c r="BR50" s="495"/>
      <c r="BS50" s="495"/>
      <c r="BT50" s="495"/>
      <c r="BU50" s="496"/>
      <c r="BV50" s="497"/>
      <c r="BW50" s="497"/>
      <c r="BX50" s="497"/>
      <c r="BY50" s="498"/>
      <c r="BZ50" s="497"/>
      <c r="CA50" s="497"/>
      <c r="CB50" s="497"/>
      <c r="CC50" s="9"/>
      <c r="CD50" s="499"/>
      <c r="CE50" s="500"/>
      <c r="CF50" s="497"/>
      <c r="CG50" s="491"/>
      <c r="CH50" s="492"/>
      <c r="CI50" s="493"/>
      <c r="CJ50" s="494"/>
      <c r="CK50" s="494"/>
      <c r="CL50" s="493"/>
      <c r="CM50" s="495"/>
      <c r="CN50" s="495"/>
      <c r="CO50" s="495"/>
      <c r="CP50" s="496"/>
      <c r="CQ50" s="497"/>
      <c r="CR50" s="497"/>
      <c r="CS50" s="497"/>
      <c r="CT50" s="498"/>
      <c r="CU50" s="497"/>
      <c r="CV50" s="497"/>
      <c r="CW50" s="497"/>
      <c r="CX50" s="9"/>
      <c r="CY50" s="499"/>
      <c r="CZ50" s="500"/>
      <c r="DA50" s="497"/>
      <c r="DB50" s="491"/>
      <c r="DC50" s="492"/>
      <c r="DD50" s="493"/>
      <c r="DE50" s="494"/>
      <c r="DF50" s="494"/>
      <c r="DG50" s="493"/>
      <c r="DH50" s="495"/>
      <c r="DI50" s="495"/>
      <c r="DJ50" s="495"/>
      <c r="DK50" s="496"/>
      <c r="DL50" s="497"/>
      <c r="DM50" s="497"/>
      <c r="DN50" s="497"/>
      <c r="DO50" s="498"/>
      <c r="DP50" s="497"/>
      <c r="DQ50" s="497"/>
      <c r="DR50" s="497"/>
      <c r="DS50" s="9"/>
      <c r="DT50" s="499"/>
      <c r="DU50" s="500"/>
      <c r="DV50" s="497"/>
      <c r="DW50" s="491"/>
      <c r="DX50" s="492"/>
      <c r="DY50" s="493"/>
      <c r="DZ50" s="494"/>
      <c r="EA50" s="494"/>
      <c r="EB50" s="493"/>
      <c r="EC50" s="495"/>
      <c r="ED50" s="495"/>
      <c r="EE50" s="495"/>
      <c r="EF50" s="496"/>
      <c r="EG50" s="497"/>
      <c r="EH50" s="497"/>
      <c r="EI50" s="497"/>
      <c r="EJ50" s="498"/>
      <c r="EK50" s="497"/>
      <c r="EL50" s="497"/>
      <c r="EM50" s="497"/>
      <c r="EN50" s="9"/>
      <c r="EO50" s="499"/>
      <c r="EP50" s="500"/>
      <c r="EQ50" s="497"/>
      <c r="ER50" s="491"/>
      <c r="ES50" s="492"/>
      <c r="ET50" s="493"/>
      <c r="EU50" s="494"/>
      <c r="EV50" s="494"/>
      <c r="EW50" s="493"/>
      <c r="EX50" s="495"/>
      <c r="EY50" s="495"/>
      <c r="EZ50" s="495"/>
      <c r="FA50" s="496"/>
      <c r="FB50" s="497"/>
      <c r="FC50" s="497"/>
      <c r="FD50" s="497"/>
      <c r="FE50" s="498"/>
      <c r="FF50" s="497"/>
      <c r="FG50" s="497"/>
      <c r="FH50" s="497"/>
      <c r="FI50" s="9"/>
      <c r="FJ50" s="499"/>
      <c r="FK50" s="500"/>
      <c r="FL50" s="497"/>
      <c r="FM50" s="491"/>
      <c r="FN50" s="492"/>
      <c r="FO50" s="493"/>
      <c r="FP50" s="494"/>
      <c r="FQ50" s="494"/>
      <c r="FR50" s="493"/>
      <c r="FS50" s="495"/>
      <c r="FT50" s="495"/>
      <c r="FU50" s="495"/>
      <c r="FV50" s="496"/>
      <c r="FW50" s="497"/>
      <c r="FX50" s="497"/>
      <c r="FY50" s="497"/>
      <c r="FZ50" s="498"/>
      <c r="GA50" s="497"/>
      <c r="GB50" s="497"/>
      <c r="GC50" s="497"/>
      <c r="GD50" s="9"/>
      <c r="GE50" s="499"/>
      <c r="GF50" s="500"/>
      <c r="GG50" s="497"/>
      <c r="GH50" s="491"/>
      <c r="GI50" s="492"/>
      <c r="GJ50" s="493"/>
      <c r="GK50" s="494"/>
      <c r="GL50" s="494"/>
      <c r="GM50" s="493"/>
      <c r="GN50" s="495"/>
      <c r="GO50" s="495"/>
      <c r="GP50" s="495"/>
      <c r="GQ50" s="496"/>
      <c r="GR50" s="497"/>
      <c r="GS50" s="497"/>
      <c r="GT50" s="497"/>
      <c r="GU50" s="498"/>
      <c r="GV50" s="497"/>
      <c r="GW50" s="497"/>
      <c r="GX50" s="497"/>
      <c r="GY50" s="9"/>
      <c r="GZ50" s="499"/>
      <c r="HA50" s="500"/>
      <c r="HB50" s="497"/>
      <c r="HC50" s="491"/>
      <c r="HD50" s="492"/>
      <c r="HE50" s="493"/>
      <c r="HF50" s="494"/>
      <c r="HG50" s="494"/>
      <c r="HH50" s="493"/>
      <c r="HI50" s="495"/>
      <c r="HJ50" s="495"/>
      <c r="HK50" s="495"/>
      <c r="HL50" s="496"/>
      <c r="HM50" s="497"/>
      <c r="HN50" s="497"/>
      <c r="HO50" s="497"/>
      <c r="HP50" s="498"/>
      <c r="HQ50" s="497"/>
      <c r="HR50" s="497"/>
      <c r="HS50" s="497"/>
      <c r="HT50" s="9"/>
      <c r="HU50" s="499"/>
      <c r="HV50" s="500"/>
      <c r="HW50" s="497"/>
      <c r="HX50" s="491"/>
      <c r="HY50" s="492"/>
      <c r="HZ50" s="493"/>
      <c r="IA50" s="494"/>
      <c r="IB50" s="494"/>
      <c r="IC50" s="493"/>
      <c r="ID50" s="495"/>
      <c r="IE50" s="495"/>
      <c r="IF50" s="495"/>
      <c r="IG50" s="496"/>
      <c r="IH50" s="497"/>
      <c r="II50" s="497"/>
      <c r="IJ50" s="497"/>
      <c r="IK50" s="498"/>
      <c r="IL50" s="497"/>
      <c r="IM50" s="497"/>
      <c r="IN50" s="497"/>
      <c r="IO50" s="9"/>
      <c r="IP50" s="499"/>
      <c r="IQ50" s="500"/>
      <c r="IR50" s="497"/>
      <c r="IS50" s="491"/>
      <c r="IT50" s="492"/>
      <c r="IU50" s="493"/>
      <c r="IV50" s="494"/>
    </row>
    <row r="51" spans="1:256" s="804" customFormat="1" x14ac:dyDescent="0.2">
      <c r="A51" s="33">
        <f t="shared" si="25"/>
        <v>2038</v>
      </c>
      <c r="B51" s="787">
        <f t="shared" si="42"/>
        <v>1</v>
      </c>
      <c r="C51" s="565">
        <f t="shared" si="40"/>
        <v>3922</v>
      </c>
      <c r="D51" s="1053">
        <f t="shared" ref="D51:U51" si="45">D50</f>
        <v>0</v>
      </c>
      <c r="E51" s="1054">
        <f t="shared" si="45"/>
        <v>0</v>
      </c>
      <c r="F51" s="1055">
        <f t="shared" si="45"/>
        <v>0</v>
      </c>
      <c r="G51" s="473">
        <f t="shared" si="45"/>
        <v>0</v>
      </c>
      <c r="H51" s="474">
        <f t="shared" si="45"/>
        <v>0</v>
      </c>
      <c r="I51" s="474">
        <f t="shared" si="45"/>
        <v>0</v>
      </c>
      <c r="J51" s="61">
        <f t="shared" si="45"/>
        <v>1</v>
      </c>
      <c r="K51" s="967">
        <f t="shared" si="45"/>
        <v>0</v>
      </c>
      <c r="L51" s="967">
        <f t="shared" si="45"/>
        <v>0</v>
      </c>
      <c r="M51" s="967">
        <f t="shared" si="45"/>
        <v>0.97</v>
      </c>
      <c r="N51" s="54">
        <f t="shared" si="45"/>
        <v>1</v>
      </c>
      <c r="O51" s="968">
        <f t="shared" si="45"/>
        <v>0</v>
      </c>
      <c r="P51" s="968">
        <f t="shared" si="45"/>
        <v>0</v>
      </c>
      <c r="Q51" s="969">
        <f t="shared" si="45"/>
        <v>1.36</v>
      </c>
      <c r="R51" s="247">
        <f t="shared" si="45"/>
        <v>1</v>
      </c>
      <c r="S51" s="24">
        <f t="shared" si="45"/>
        <v>0</v>
      </c>
      <c r="T51" s="970">
        <f t="shared" si="45"/>
        <v>0</v>
      </c>
      <c r="U51" s="971">
        <f t="shared" si="45"/>
        <v>3.27</v>
      </c>
      <c r="V51" s="491"/>
      <c r="W51" s="492"/>
      <c r="X51" s="493"/>
      <c r="Y51" s="494"/>
      <c r="Z51" s="494"/>
      <c r="AA51" s="493"/>
      <c r="AB51" s="495"/>
      <c r="AC51" s="495"/>
      <c r="AD51" s="495"/>
      <c r="AE51" s="496"/>
      <c r="AF51" s="497"/>
      <c r="AG51" s="497"/>
      <c r="AH51" s="497"/>
      <c r="AI51" s="498"/>
      <c r="AJ51" s="497"/>
      <c r="AK51" s="497"/>
      <c r="AL51" s="497"/>
      <c r="AM51" s="9"/>
      <c r="AN51" s="499"/>
      <c r="AO51" s="500"/>
      <c r="AP51" s="497"/>
      <c r="AQ51" s="491"/>
      <c r="AR51" s="492"/>
      <c r="AS51" s="493"/>
      <c r="AT51" s="494"/>
      <c r="AU51" s="494"/>
      <c r="AV51" s="493"/>
      <c r="AW51" s="495"/>
      <c r="AX51" s="495"/>
      <c r="AY51" s="495"/>
      <c r="AZ51" s="496"/>
      <c r="BA51" s="497"/>
      <c r="BB51" s="497"/>
      <c r="BC51" s="497"/>
      <c r="BD51" s="498"/>
      <c r="BE51" s="497"/>
      <c r="BF51" s="497"/>
      <c r="BG51" s="497"/>
      <c r="BH51" s="9"/>
      <c r="BI51" s="499"/>
      <c r="BJ51" s="500"/>
      <c r="BK51" s="497"/>
      <c r="BL51" s="491"/>
      <c r="BM51" s="492"/>
      <c r="BN51" s="493"/>
      <c r="BO51" s="494"/>
      <c r="BP51" s="494"/>
      <c r="BQ51" s="493"/>
      <c r="BR51" s="495"/>
      <c r="BS51" s="495"/>
      <c r="BT51" s="495"/>
      <c r="BU51" s="496"/>
      <c r="BV51" s="497"/>
      <c r="BW51" s="497"/>
      <c r="BX51" s="497"/>
      <c r="BY51" s="498"/>
      <c r="BZ51" s="497"/>
      <c r="CA51" s="497"/>
      <c r="CB51" s="497"/>
      <c r="CC51" s="9"/>
      <c r="CD51" s="499"/>
      <c r="CE51" s="500"/>
      <c r="CF51" s="497"/>
      <c r="CG51" s="491"/>
      <c r="CH51" s="492"/>
      <c r="CI51" s="493"/>
      <c r="CJ51" s="494"/>
      <c r="CK51" s="494"/>
      <c r="CL51" s="493"/>
      <c r="CM51" s="495"/>
      <c r="CN51" s="495"/>
      <c r="CO51" s="495"/>
      <c r="CP51" s="496"/>
      <c r="CQ51" s="497"/>
      <c r="CR51" s="497"/>
      <c r="CS51" s="497"/>
      <c r="CT51" s="498"/>
      <c r="CU51" s="497"/>
      <c r="CV51" s="497"/>
      <c r="CW51" s="497"/>
      <c r="CX51" s="9"/>
      <c r="CY51" s="499"/>
      <c r="CZ51" s="500"/>
      <c r="DA51" s="497"/>
      <c r="DB51" s="491"/>
      <c r="DC51" s="492"/>
      <c r="DD51" s="493"/>
      <c r="DE51" s="494"/>
      <c r="DF51" s="494"/>
      <c r="DG51" s="493"/>
      <c r="DH51" s="495"/>
      <c r="DI51" s="495"/>
      <c r="DJ51" s="495"/>
      <c r="DK51" s="496"/>
      <c r="DL51" s="497"/>
      <c r="DM51" s="497"/>
      <c r="DN51" s="497"/>
      <c r="DO51" s="498"/>
      <c r="DP51" s="497"/>
      <c r="DQ51" s="497"/>
      <c r="DR51" s="497"/>
      <c r="DS51" s="9"/>
      <c r="DT51" s="499"/>
      <c r="DU51" s="500"/>
      <c r="DV51" s="497"/>
      <c r="DW51" s="491"/>
      <c r="DX51" s="492"/>
      <c r="DY51" s="493"/>
      <c r="DZ51" s="494"/>
      <c r="EA51" s="494"/>
      <c r="EB51" s="493"/>
      <c r="EC51" s="495"/>
      <c r="ED51" s="495"/>
      <c r="EE51" s="495"/>
      <c r="EF51" s="496"/>
      <c r="EG51" s="497"/>
      <c r="EH51" s="497"/>
      <c r="EI51" s="497"/>
      <c r="EJ51" s="498"/>
      <c r="EK51" s="497"/>
      <c r="EL51" s="497"/>
      <c r="EM51" s="497"/>
      <c r="EN51" s="9"/>
      <c r="EO51" s="499"/>
      <c r="EP51" s="500"/>
      <c r="EQ51" s="497"/>
      <c r="ER51" s="491"/>
      <c r="ES51" s="492"/>
      <c r="ET51" s="493"/>
      <c r="EU51" s="494"/>
      <c r="EV51" s="494"/>
      <c r="EW51" s="493"/>
      <c r="EX51" s="495"/>
      <c r="EY51" s="495"/>
      <c r="EZ51" s="495"/>
      <c r="FA51" s="496"/>
      <c r="FB51" s="497"/>
      <c r="FC51" s="497"/>
      <c r="FD51" s="497"/>
      <c r="FE51" s="498"/>
      <c r="FF51" s="497"/>
      <c r="FG51" s="497"/>
      <c r="FH51" s="497"/>
      <c r="FI51" s="9"/>
      <c r="FJ51" s="499"/>
      <c r="FK51" s="500"/>
      <c r="FL51" s="497"/>
      <c r="FM51" s="491"/>
      <c r="FN51" s="492"/>
      <c r="FO51" s="493"/>
      <c r="FP51" s="494"/>
      <c r="FQ51" s="494"/>
      <c r="FR51" s="493"/>
      <c r="FS51" s="495"/>
      <c r="FT51" s="495"/>
      <c r="FU51" s="495"/>
      <c r="FV51" s="496"/>
      <c r="FW51" s="497"/>
      <c r="FX51" s="497"/>
      <c r="FY51" s="497"/>
      <c r="FZ51" s="498"/>
      <c r="GA51" s="497"/>
      <c r="GB51" s="497"/>
      <c r="GC51" s="497"/>
      <c r="GD51" s="9"/>
      <c r="GE51" s="499"/>
      <c r="GF51" s="500"/>
      <c r="GG51" s="497"/>
      <c r="GH51" s="491"/>
      <c r="GI51" s="492"/>
      <c r="GJ51" s="493"/>
      <c r="GK51" s="494"/>
      <c r="GL51" s="494"/>
      <c r="GM51" s="493"/>
      <c r="GN51" s="495"/>
      <c r="GO51" s="495"/>
      <c r="GP51" s="495"/>
      <c r="GQ51" s="496"/>
      <c r="GR51" s="497"/>
      <c r="GS51" s="497"/>
      <c r="GT51" s="497"/>
      <c r="GU51" s="498"/>
      <c r="GV51" s="497"/>
      <c r="GW51" s="497"/>
      <c r="GX51" s="497"/>
      <c r="GY51" s="9"/>
      <c r="GZ51" s="499"/>
      <c r="HA51" s="500"/>
      <c r="HB51" s="497"/>
      <c r="HC51" s="491"/>
      <c r="HD51" s="492"/>
      <c r="HE51" s="493"/>
      <c r="HF51" s="494"/>
      <c r="HG51" s="494"/>
      <c r="HH51" s="493"/>
      <c r="HI51" s="495"/>
      <c r="HJ51" s="495"/>
      <c r="HK51" s="495"/>
      <c r="HL51" s="496"/>
      <c r="HM51" s="497"/>
      <c r="HN51" s="497"/>
      <c r="HO51" s="497"/>
      <c r="HP51" s="498"/>
      <c r="HQ51" s="497"/>
      <c r="HR51" s="497"/>
      <c r="HS51" s="497"/>
      <c r="HT51" s="9"/>
      <c r="HU51" s="499"/>
      <c r="HV51" s="500"/>
      <c r="HW51" s="497"/>
      <c r="HX51" s="491"/>
      <c r="HY51" s="492"/>
      <c r="HZ51" s="493"/>
      <c r="IA51" s="494"/>
      <c r="IB51" s="494"/>
      <c r="IC51" s="493"/>
      <c r="ID51" s="495"/>
      <c r="IE51" s="495"/>
      <c r="IF51" s="495"/>
      <c r="IG51" s="496"/>
      <c r="IH51" s="497"/>
      <c r="II51" s="497"/>
      <c r="IJ51" s="497"/>
      <c r="IK51" s="498"/>
      <c r="IL51" s="497"/>
      <c r="IM51" s="497"/>
      <c r="IN51" s="497"/>
      <c r="IO51" s="9"/>
      <c r="IP51" s="499"/>
      <c r="IQ51" s="500"/>
      <c r="IR51" s="497"/>
      <c r="IS51" s="491"/>
      <c r="IT51" s="492"/>
      <c r="IU51" s="493"/>
      <c r="IV51" s="494"/>
    </row>
    <row r="52" spans="1:256" s="804" customFormat="1" x14ac:dyDescent="0.2">
      <c r="A52" s="33">
        <f t="shared" si="25"/>
        <v>2039</v>
      </c>
      <c r="B52" s="787">
        <f t="shared" si="42"/>
        <v>1</v>
      </c>
      <c r="C52" s="565">
        <f t="shared" si="40"/>
        <v>3919</v>
      </c>
      <c r="D52" s="1053">
        <f t="shared" ref="D52:U52" si="46">D51</f>
        <v>0</v>
      </c>
      <c r="E52" s="1054">
        <f t="shared" si="46"/>
        <v>0</v>
      </c>
      <c r="F52" s="1055">
        <f t="shared" si="46"/>
        <v>0</v>
      </c>
      <c r="G52" s="473">
        <f t="shared" si="46"/>
        <v>0</v>
      </c>
      <c r="H52" s="474">
        <f t="shared" si="46"/>
        <v>0</v>
      </c>
      <c r="I52" s="474">
        <f t="shared" si="46"/>
        <v>0</v>
      </c>
      <c r="J52" s="61">
        <f t="shared" si="46"/>
        <v>1</v>
      </c>
      <c r="K52" s="967">
        <f t="shared" si="46"/>
        <v>0</v>
      </c>
      <c r="L52" s="967">
        <f t="shared" si="46"/>
        <v>0</v>
      </c>
      <c r="M52" s="967">
        <f t="shared" si="46"/>
        <v>0.97</v>
      </c>
      <c r="N52" s="54">
        <f t="shared" si="46"/>
        <v>1</v>
      </c>
      <c r="O52" s="968">
        <f t="shared" si="46"/>
        <v>0</v>
      </c>
      <c r="P52" s="968">
        <f t="shared" si="46"/>
        <v>0</v>
      </c>
      <c r="Q52" s="969">
        <f t="shared" si="46"/>
        <v>1.36</v>
      </c>
      <c r="R52" s="247">
        <f t="shared" si="46"/>
        <v>1</v>
      </c>
      <c r="S52" s="24">
        <f t="shared" si="46"/>
        <v>0</v>
      </c>
      <c r="T52" s="970">
        <f t="shared" si="46"/>
        <v>0</v>
      </c>
      <c r="U52" s="971">
        <f t="shared" si="46"/>
        <v>3.27</v>
      </c>
      <c r="V52" s="491"/>
      <c r="W52" s="492"/>
      <c r="X52" s="493"/>
      <c r="Y52" s="494"/>
      <c r="Z52" s="494"/>
      <c r="AA52" s="493"/>
      <c r="AB52" s="495"/>
      <c r="AC52" s="495"/>
      <c r="AD52" s="495"/>
      <c r="AE52" s="496"/>
      <c r="AF52" s="497"/>
      <c r="AG52" s="497"/>
      <c r="AH52" s="497"/>
      <c r="AI52" s="498"/>
      <c r="AJ52" s="497"/>
      <c r="AK52" s="497"/>
      <c r="AL52" s="497"/>
      <c r="AM52" s="9"/>
      <c r="AN52" s="499"/>
      <c r="AO52" s="500"/>
      <c r="AP52" s="497"/>
      <c r="AQ52" s="491"/>
      <c r="AR52" s="492"/>
      <c r="AS52" s="493"/>
      <c r="AT52" s="494"/>
      <c r="AU52" s="494"/>
      <c r="AV52" s="493"/>
      <c r="AW52" s="495"/>
      <c r="AX52" s="495"/>
      <c r="AY52" s="495"/>
      <c r="AZ52" s="496"/>
      <c r="BA52" s="497"/>
      <c r="BB52" s="497"/>
      <c r="BC52" s="497"/>
      <c r="BD52" s="498"/>
      <c r="BE52" s="497"/>
      <c r="BF52" s="497"/>
      <c r="BG52" s="497"/>
      <c r="BH52" s="9"/>
      <c r="BI52" s="499"/>
      <c r="BJ52" s="500"/>
      <c r="BK52" s="497"/>
      <c r="BL52" s="491"/>
      <c r="BM52" s="492"/>
      <c r="BN52" s="493"/>
      <c r="BO52" s="494"/>
      <c r="BP52" s="494"/>
      <c r="BQ52" s="493"/>
      <c r="BR52" s="495"/>
      <c r="BS52" s="495"/>
      <c r="BT52" s="495"/>
      <c r="BU52" s="496"/>
      <c r="BV52" s="497"/>
      <c r="BW52" s="497"/>
      <c r="BX52" s="497"/>
      <c r="BY52" s="498"/>
      <c r="BZ52" s="497"/>
      <c r="CA52" s="497"/>
      <c r="CB52" s="497"/>
      <c r="CC52" s="9"/>
      <c r="CD52" s="499"/>
      <c r="CE52" s="500"/>
      <c r="CF52" s="497"/>
      <c r="CG52" s="491"/>
      <c r="CH52" s="492"/>
      <c r="CI52" s="493"/>
      <c r="CJ52" s="494"/>
      <c r="CK52" s="494"/>
      <c r="CL52" s="493"/>
      <c r="CM52" s="495"/>
      <c r="CN52" s="495"/>
      <c r="CO52" s="495"/>
      <c r="CP52" s="496"/>
      <c r="CQ52" s="497"/>
      <c r="CR52" s="497"/>
      <c r="CS52" s="497"/>
      <c r="CT52" s="498"/>
      <c r="CU52" s="497"/>
      <c r="CV52" s="497"/>
      <c r="CW52" s="497"/>
      <c r="CX52" s="9"/>
      <c r="CY52" s="499"/>
      <c r="CZ52" s="500"/>
      <c r="DA52" s="497"/>
      <c r="DB52" s="491"/>
      <c r="DC52" s="492"/>
      <c r="DD52" s="493"/>
      <c r="DE52" s="494"/>
      <c r="DF52" s="494"/>
      <c r="DG52" s="493"/>
      <c r="DH52" s="495"/>
      <c r="DI52" s="495"/>
      <c r="DJ52" s="495"/>
      <c r="DK52" s="496"/>
      <c r="DL52" s="497"/>
      <c r="DM52" s="497"/>
      <c r="DN52" s="497"/>
      <c r="DO52" s="498"/>
      <c r="DP52" s="497"/>
      <c r="DQ52" s="497"/>
      <c r="DR52" s="497"/>
      <c r="DS52" s="9"/>
      <c r="DT52" s="499"/>
      <c r="DU52" s="500"/>
      <c r="DV52" s="497"/>
      <c r="DW52" s="491"/>
      <c r="DX52" s="492"/>
      <c r="DY52" s="493"/>
      <c r="DZ52" s="494"/>
      <c r="EA52" s="494"/>
      <c r="EB52" s="493"/>
      <c r="EC52" s="495"/>
      <c r="ED52" s="495"/>
      <c r="EE52" s="495"/>
      <c r="EF52" s="496"/>
      <c r="EG52" s="497"/>
      <c r="EH52" s="497"/>
      <c r="EI52" s="497"/>
      <c r="EJ52" s="498"/>
      <c r="EK52" s="497"/>
      <c r="EL52" s="497"/>
      <c r="EM52" s="497"/>
      <c r="EN52" s="9"/>
      <c r="EO52" s="499"/>
      <c r="EP52" s="500"/>
      <c r="EQ52" s="497"/>
      <c r="ER52" s="491"/>
      <c r="ES52" s="492"/>
      <c r="ET52" s="493"/>
      <c r="EU52" s="494"/>
      <c r="EV52" s="494"/>
      <c r="EW52" s="493"/>
      <c r="EX52" s="495"/>
      <c r="EY52" s="495"/>
      <c r="EZ52" s="495"/>
      <c r="FA52" s="496"/>
      <c r="FB52" s="497"/>
      <c r="FC52" s="497"/>
      <c r="FD52" s="497"/>
      <c r="FE52" s="498"/>
      <c r="FF52" s="497"/>
      <c r="FG52" s="497"/>
      <c r="FH52" s="497"/>
      <c r="FI52" s="9"/>
      <c r="FJ52" s="499"/>
      <c r="FK52" s="500"/>
      <c r="FL52" s="497"/>
      <c r="FM52" s="491"/>
      <c r="FN52" s="492"/>
      <c r="FO52" s="493"/>
      <c r="FP52" s="494"/>
      <c r="FQ52" s="494"/>
      <c r="FR52" s="493"/>
      <c r="FS52" s="495"/>
      <c r="FT52" s="495"/>
      <c r="FU52" s="495"/>
      <c r="FV52" s="496"/>
      <c r="FW52" s="497"/>
      <c r="FX52" s="497"/>
      <c r="FY52" s="497"/>
      <c r="FZ52" s="498"/>
      <c r="GA52" s="497"/>
      <c r="GB52" s="497"/>
      <c r="GC52" s="497"/>
      <c r="GD52" s="9"/>
      <c r="GE52" s="499"/>
      <c r="GF52" s="500"/>
      <c r="GG52" s="497"/>
      <c r="GH52" s="491"/>
      <c r="GI52" s="492"/>
      <c r="GJ52" s="493"/>
      <c r="GK52" s="494"/>
      <c r="GL52" s="494"/>
      <c r="GM52" s="493"/>
      <c r="GN52" s="495"/>
      <c r="GO52" s="495"/>
      <c r="GP52" s="495"/>
      <c r="GQ52" s="496"/>
      <c r="GR52" s="497"/>
      <c r="GS52" s="497"/>
      <c r="GT52" s="497"/>
      <c r="GU52" s="498"/>
      <c r="GV52" s="497"/>
      <c r="GW52" s="497"/>
      <c r="GX52" s="497"/>
      <c r="GY52" s="9"/>
      <c r="GZ52" s="499"/>
      <c r="HA52" s="500"/>
      <c r="HB52" s="497"/>
      <c r="HC52" s="491"/>
      <c r="HD52" s="492"/>
      <c r="HE52" s="493"/>
      <c r="HF52" s="494"/>
      <c r="HG52" s="494"/>
      <c r="HH52" s="493"/>
      <c r="HI52" s="495"/>
      <c r="HJ52" s="495"/>
      <c r="HK52" s="495"/>
      <c r="HL52" s="496"/>
      <c r="HM52" s="497"/>
      <c r="HN52" s="497"/>
      <c r="HO52" s="497"/>
      <c r="HP52" s="498"/>
      <c r="HQ52" s="497"/>
      <c r="HR52" s="497"/>
      <c r="HS52" s="497"/>
      <c r="HT52" s="9"/>
      <c r="HU52" s="499"/>
      <c r="HV52" s="500"/>
      <c r="HW52" s="497"/>
      <c r="HX52" s="491"/>
      <c r="HY52" s="492"/>
      <c r="HZ52" s="493"/>
      <c r="IA52" s="494"/>
      <c r="IB52" s="494"/>
      <c r="IC52" s="493"/>
      <c r="ID52" s="495"/>
      <c r="IE52" s="495"/>
      <c r="IF52" s="495"/>
      <c r="IG52" s="496"/>
      <c r="IH52" s="497"/>
      <c r="II52" s="497"/>
      <c r="IJ52" s="497"/>
      <c r="IK52" s="498"/>
      <c r="IL52" s="497"/>
      <c r="IM52" s="497"/>
      <c r="IN52" s="497"/>
      <c r="IO52" s="9"/>
      <c r="IP52" s="499"/>
      <c r="IQ52" s="500"/>
      <c r="IR52" s="497"/>
      <c r="IS52" s="491"/>
      <c r="IT52" s="492"/>
      <c r="IU52" s="493"/>
      <c r="IV52" s="494"/>
    </row>
    <row r="53" spans="1:256" s="804" customFormat="1" x14ac:dyDescent="0.2">
      <c r="A53" s="33">
        <f t="shared" si="25"/>
        <v>2040</v>
      </c>
      <c r="B53" s="787">
        <f t="shared" si="42"/>
        <v>1</v>
      </c>
      <c r="C53" s="565">
        <f t="shared" si="40"/>
        <v>3920</v>
      </c>
      <c r="D53" s="1053">
        <f t="shared" ref="D53:U53" si="47">D52</f>
        <v>0</v>
      </c>
      <c r="E53" s="1054">
        <f t="shared" si="47"/>
        <v>0</v>
      </c>
      <c r="F53" s="1055">
        <f t="shared" si="47"/>
        <v>0</v>
      </c>
      <c r="G53" s="473">
        <f t="shared" si="47"/>
        <v>0</v>
      </c>
      <c r="H53" s="474">
        <f t="shared" si="47"/>
        <v>0</v>
      </c>
      <c r="I53" s="474">
        <f t="shared" si="47"/>
        <v>0</v>
      </c>
      <c r="J53" s="61">
        <f t="shared" si="47"/>
        <v>1</v>
      </c>
      <c r="K53" s="967">
        <f t="shared" si="47"/>
        <v>0</v>
      </c>
      <c r="L53" s="967">
        <f t="shared" si="47"/>
        <v>0</v>
      </c>
      <c r="M53" s="967">
        <f t="shared" si="47"/>
        <v>0.97</v>
      </c>
      <c r="N53" s="54">
        <f t="shared" si="47"/>
        <v>1</v>
      </c>
      <c r="O53" s="968">
        <f t="shared" si="47"/>
        <v>0</v>
      </c>
      <c r="P53" s="968">
        <f t="shared" si="47"/>
        <v>0</v>
      </c>
      <c r="Q53" s="969">
        <f t="shared" si="47"/>
        <v>1.36</v>
      </c>
      <c r="R53" s="247">
        <f t="shared" si="47"/>
        <v>1</v>
      </c>
      <c r="S53" s="24">
        <f t="shared" si="47"/>
        <v>0</v>
      </c>
      <c r="T53" s="970">
        <f t="shared" si="47"/>
        <v>0</v>
      </c>
      <c r="U53" s="971">
        <f t="shared" si="47"/>
        <v>3.27</v>
      </c>
      <c r="V53" s="491"/>
      <c r="W53" s="492"/>
      <c r="X53" s="493"/>
      <c r="Y53" s="494"/>
      <c r="Z53" s="494"/>
      <c r="AA53" s="493"/>
      <c r="AB53" s="495"/>
      <c r="AC53" s="495"/>
      <c r="AD53" s="495"/>
      <c r="AE53" s="496"/>
      <c r="AF53" s="497"/>
      <c r="AG53" s="497"/>
      <c r="AH53" s="497"/>
      <c r="AI53" s="498"/>
      <c r="AJ53" s="497"/>
      <c r="AK53" s="497"/>
      <c r="AL53" s="497"/>
      <c r="AM53" s="9"/>
      <c r="AN53" s="499"/>
      <c r="AO53" s="500"/>
      <c r="AP53" s="497"/>
      <c r="AQ53" s="491"/>
      <c r="AR53" s="492"/>
      <c r="AS53" s="493"/>
      <c r="AT53" s="494"/>
      <c r="AU53" s="494"/>
      <c r="AV53" s="493"/>
      <c r="AW53" s="495"/>
      <c r="AX53" s="495"/>
      <c r="AY53" s="495"/>
      <c r="AZ53" s="496"/>
      <c r="BA53" s="497"/>
      <c r="BB53" s="497"/>
      <c r="BC53" s="497"/>
      <c r="BD53" s="498"/>
      <c r="BE53" s="497"/>
      <c r="BF53" s="497"/>
      <c r="BG53" s="497"/>
      <c r="BH53" s="9"/>
      <c r="BI53" s="499"/>
      <c r="BJ53" s="500"/>
      <c r="BK53" s="497"/>
      <c r="BL53" s="491"/>
      <c r="BM53" s="492"/>
      <c r="BN53" s="493"/>
      <c r="BO53" s="494"/>
      <c r="BP53" s="494"/>
      <c r="BQ53" s="493"/>
      <c r="BR53" s="495"/>
      <c r="BS53" s="495"/>
      <c r="BT53" s="495"/>
      <c r="BU53" s="496"/>
      <c r="BV53" s="497"/>
      <c r="BW53" s="497"/>
      <c r="BX53" s="497"/>
      <c r="BY53" s="498"/>
      <c r="BZ53" s="497"/>
      <c r="CA53" s="497"/>
      <c r="CB53" s="497"/>
      <c r="CC53" s="9"/>
      <c r="CD53" s="499"/>
      <c r="CE53" s="500"/>
      <c r="CF53" s="497"/>
      <c r="CG53" s="491"/>
      <c r="CH53" s="492"/>
      <c r="CI53" s="493"/>
      <c r="CJ53" s="494"/>
      <c r="CK53" s="494"/>
      <c r="CL53" s="493"/>
      <c r="CM53" s="495"/>
      <c r="CN53" s="495"/>
      <c r="CO53" s="495"/>
      <c r="CP53" s="496"/>
      <c r="CQ53" s="497"/>
      <c r="CR53" s="497"/>
      <c r="CS53" s="497"/>
      <c r="CT53" s="498"/>
      <c r="CU53" s="497"/>
      <c r="CV53" s="497"/>
      <c r="CW53" s="497"/>
      <c r="CX53" s="9"/>
      <c r="CY53" s="499"/>
      <c r="CZ53" s="500"/>
      <c r="DA53" s="497"/>
      <c r="DB53" s="491"/>
      <c r="DC53" s="492"/>
      <c r="DD53" s="493"/>
      <c r="DE53" s="494"/>
      <c r="DF53" s="494"/>
      <c r="DG53" s="493"/>
      <c r="DH53" s="495"/>
      <c r="DI53" s="495"/>
      <c r="DJ53" s="495"/>
      <c r="DK53" s="496"/>
      <c r="DL53" s="497"/>
      <c r="DM53" s="497"/>
      <c r="DN53" s="497"/>
      <c r="DO53" s="498"/>
      <c r="DP53" s="497"/>
      <c r="DQ53" s="497"/>
      <c r="DR53" s="497"/>
      <c r="DS53" s="9"/>
      <c r="DT53" s="499"/>
      <c r="DU53" s="500"/>
      <c r="DV53" s="497"/>
      <c r="DW53" s="491"/>
      <c r="DX53" s="492"/>
      <c r="DY53" s="493"/>
      <c r="DZ53" s="494"/>
      <c r="EA53" s="494"/>
      <c r="EB53" s="493"/>
      <c r="EC53" s="495"/>
      <c r="ED53" s="495"/>
      <c r="EE53" s="495"/>
      <c r="EF53" s="496"/>
      <c r="EG53" s="497"/>
      <c r="EH53" s="497"/>
      <c r="EI53" s="497"/>
      <c r="EJ53" s="498"/>
      <c r="EK53" s="497"/>
      <c r="EL53" s="497"/>
      <c r="EM53" s="497"/>
      <c r="EN53" s="9"/>
      <c r="EO53" s="499"/>
      <c r="EP53" s="500"/>
      <c r="EQ53" s="497"/>
      <c r="ER53" s="491"/>
      <c r="ES53" s="492"/>
      <c r="ET53" s="493"/>
      <c r="EU53" s="494"/>
      <c r="EV53" s="494"/>
      <c r="EW53" s="493"/>
      <c r="EX53" s="495"/>
      <c r="EY53" s="495"/>
      <c r="EZ53" s="495"/>
      <c r="FA53" s="496"/>
      <c r="FB53" s="497"/>
      <c r="FC53" s="497"/>
      <c r="FD53" s="497"/>
      <c r="FE53" s="498"/>
      <c r="FF53" s="497"/>
      <c r="FG53" s="497"/>
      <c r="FH53" s="497"/>
      <c r="FI53" s="9"/>
      <c r="FJ53" s="499"/>
      <c r="FK53" s="500"/>
      <c r="FL53" s="497"/>
      <c r="FM53" s="491"/>
      <c r="FN53" s="492"/>
      <c r="FO53" s="493"/>
      <c r="FP53" s="494"/>
      <c r="FQ53" s="494"/>
      <c r="FR53" s="493"/>
      <c r="FS53" s="495"/>
      <c r="FT53" s="495"/>
      <c r="FU53" s="495"/>
      <c r="FV53" s="496"/>
      <c r="FW53" s="497"/>
      <c r="FX53" s="497"/>
      <c r="FY53" s="497"/>
      <c r="FZ53" s="498"/>
      <c r="GA53" s="497"/>
      <c r="GB53" s="497"/>
      <c r="GC53" s="497"/>
      <c r="GD53" s="9"/>
      <c r="GE53" s="499"/>
      <c r="GF53" s="500"/>
      <c r="GG53" s="497"/>
      <c r="GH53" s="491"/>
      <c r="GI53" s="492"/>
      <c r="GJ53" s="493"/>
      <c r="GK53" s="494"/>
      <c r="GL53" s="494"/>
      <c r="GM53" s="493"/>
      <c r="GN53" s="495"/>
      <c r="GO53" s="495"/>
      <c r="GP53" s="495"/>
      <c r="GQ53" s="496"/>
      <c r="GR53" s="497"/>
      <c r="GS53" s="497"/>
      <c r="GT53" s="497"/>
      <c r="GU53" s="498"/>
      <c r="GV53" s="497"/>
      <c r="GW53" s="497"/>
      <c r="GX53" s="497"/>
      <c r="GY53" s="9"/>
      <c r="GZ53" s="499"/>
      <c r="HA53" s="500"/>
      <c r="HB53" s="497"/>
      <c r="HC53" s="491"/>
      <c r="HD53" s="492"/>
      <c r="HE53" s="493"/>
      <c r="HF53" s="494"/>
      <c r="HG53" s="494"/>
      <c r="HH53" s="493"/>
      <c r="HI53" s="495"/>
      <c r="HJ53" s="495"/>
      <c r="HK53" s="495"/>
      <c r="HL53" s="496"/>
      <c r="HM53" s="497"/>
      <c r="HN53" s="497"/>
      <c r="HO53" s="497"/>
      <c r="HP53" s="498"/>
      <c r="HQ53" s="497"/>
      <c r="HR53" s="497"/>
      <c r="HS53" s="497"/>
      <c r="HT53" s="9"/>
      <c r="HU53" s="499"/>
      <c r="HV53" s="500"/>
      <c r="HW53" s="497"/>
      <c r="HX53" s="491"/>
      <c r="HY53" s="492"/>
      <c r="HZ53" s="493"/>
      <c r="IA53" s="494"/>
      <c r="IB53" s="494"/>
      <c r="IC53" s="493"/>
      <c r="ID53" s="495"/>
      <c r="IE53" s="495"/>
      <c r="IF53" s="495"/>
      <c r="IG53" s="496"/>
      <c r="IH53" s="497"/>
      <c r="II53" s="497"/>
      <c r="IJ53" s="497"/>
      <c r="IK53" s="498"/>
      <c r="IL53" s="497"/>
      <c r="IM53" s="497"/>
      <c r="IN53" s="497"/>
      <c r="IO53" s="9"/>
      <c r="IP53" s="499"/>
      <c r="IQ53" s="500"/>
      <c r="IR53" s="497"/>
      <c r="IS53" s="491"/>
      <c r="IT53" s="492"/>
      <c r="IU53" s="493"/>
      <c r="IV53" s="494"/>
    </row>
    <row r="54" spans="1:256" s="804" customFormat="1" x14ac:dyDescent="0.2">
      <c r="A54" s="33">
        <f t="shared" si="25"/>
        <v>2041</v>
      </c>
      <c r="B54" s="787">
        <f t="shared" si="42"/>
        <v>1</v>
      </c>
      <c r="C54" s="565">
        <f t="shared" si="40"/>
        <v>3921</v>
      </c>
      <c r="D54" s="1053">
        <f t="shared" ref="D54:U54" si="48">D53</f>
        <v>0</v>
      </c>
      <c r="E54" s="1054">
        <f t="shared" si="48"/>
        <v>0</v>
      </c>
      <c r="F54" s="1055">
        <f t="shared" si="48"/>
        <v>0</v>
      </c>
      <c r="G54" s="473">
        <f t="shared" si="48"/>
        <v>0</v>
      </c>
      <c r="H54" s="474">
        <f t="shared" si="48"/>
        <v>0</v>
      </c>
      <c r="I54" s="474">
        <f t="shared" si="48"/>
        <v>0</v>
      </c>
      <c r="J54" s="61">
        <f t="shared" si="48"/>
        <v>1</v>
      </c>
      <c r="K54" s="967">
        <f t="shared" si="48"/>
        <v>0</v>
      </c>
      <c r="L54" s="967">
        <f t="shared" si="48"/>
        <v>0</v>
      </c>
      <c r="M54" s="967">
        <f t="shared" si="48"/>
        <v>0.97</v>
      </c>
      <c r="N54" s="54">
        <f t="shared" si="48"/>
        <v>1</v>
      </c>
      <c r="O54" s="968">
        <f t="shared" si="48"/>
        <v>0</v>
      </c>
      <c r="P54" s="968">
        <f t="shared" si="48"/>
        <v>0</v>
      </c>
      <c r="Q54" s="969">
        <f t="shared" si="48"/>
        <v>1.36</v>
      </c>
      <c r="R54" s="247">
        <f t="shared" si="48"/>
        <v>1</v>
      </c>
      <c r="S54" s="24">
        <f t="shared" si="48"/>
        <v>0</v>
      </c>
      <c r="T54" s="970">
        <f t="shared" si="48"/>
        <v>0</v>
      </c>
      <c r="U54" s="971">
        <f t="shared" si="48"/>
        <v>3.27</v>
      </c>
      <c r="V54" s="491"/>
      <c r="W54" s="492"/>
      <c r="X54" s="493"/>
      <c r="Y54" s="494"/>
      <c r="Z54" s="494"/>
      <c r="AA54" s="493"/>
      <c r="AB54" s="495"/>
      <c r="AC54" s="495"/>
      <c r="AD54" s="495"/>
      <c r="AE54" s="496"/>
      <c r="AF54" s="497"/>
      <c r="AG54" s="497"/>
      <c r="AH54" s="497"/>
      <c r="AI54" s="498"/>
      <c r="AJ54" s="497"/>
      <c r="AK54" s="497"/>
      <c r="AL54" s="497"/>
      <c r="AM54" s="9"/>
      <c r="AN54" s="499"/>
      <c r="AO54" s="500"/>
      <c r="AP54" s="497"/>
      <c r="AQ54" s="491"/>
      <c r="AR54" s="492"/>
      <c r="AS54" s="493"/>
      <c r="AT54" s="494"/>
      <c r="AU54" s="494"/>
      <c r="AV54" s="493"/>
      <c r="AW54" s="495"/>
      <c r="AX54" s="495"/>
      <c r="AY54" s="495"/>
      <c r="AZ54" s="496"/>
      <c r="BA54" s="497"/>
      <c r="BB54" s="497"/>
      <c r="BC54" s="497"/>
      <c r="BD54" s="498"/>
      <c r="BE54" s="497"/>
      <c r="BF54" s="497"/>
      <c r="BG54" s="497"/>
      <c r="BH54" s="9"/>
      <c r="BI54" s="499"/>
      <c r="BJ54" s="500"/>
      <c r="BK54" s="497"/>
      <c r="BL54" s="491"/>
      <c r="BM54" s="492"/>
      <c r="BN54" s="493"/>
      <c r="BO54" s="494"/>
      <c r="BP54" s="494"/>
      <c r="BQ54" s="493"/>
      <c r="BR54" s="495"/>
      <c r="BS54" s="495"/>
      <c r="BT54" s="495"/>
      <c r="BU54" s="496"/>
      <c r="BV54" s="497"/>
      <c r="BW54" s="497"/>
      <c r="BX54" s="497"/>
      <c r="BY54" s="498"/>
      <c r="BZ54" s="497"/>
      <c r="CA54" s="497"/>
      <c r="CB54" s="497"/>
      <c r="CC54" s="9"/>
      <c r="CD54" s="499"/>
      <c r="CE54" s="500"/>
      <c r="CF54" s="497"/>
      <c r="CG54" s="491"/>
      <c r="CH54" s="492"/>
      <c r="CI54" s="493"/>
      <c r="CJ54" s="494"/>
      <c r="CK54" s="494"/>
      <c r="CL54" s="493"/>
      <c r="CM54" s="495"/>
      <c r="CN54" s="495"/>
      <c r="CO54" s="495"/>
      <c r="CP54" s="496"/>
      <c r="CQ54" s="497"/>
      <c r="CR54" s="497"/>
      <c r="CS54" s="497"/>
      <c r="CT54" s="498"/>
      <c r="CU54" s="497"/>
      <c r="CV54" s="497"/>
      <c r="CW54" s="497"/>
      <c r="CX54" s="9"/>
      <c r="CY54" s="499"/>
      <c r="CZ54" s="500"/>
      <c r="DA54" s="497"/>
      <c r="DB54" s="491"/>
      <c r="DC54" s="492"/>
      <c r="DD54" s="493"/>
      <c r="DE54" s="494"/>
      <c r="DF54" s="494"/>
      <c r="DG54" s="493"/>
      <c r="DH54" s="495"/>
      <c r="DI54" s="495"/>
      <c r="DJ54" s="495"/>
      <c r="DK54" s="496"/>
      <c r="DL54" s="497"/>
      <c r="DM54" s="497"/>
      <c r="DN54" s="497"/>
      <c r="DO54" s="498"/>
      <c r="DP54" s="497"/>
      <c r="DQ54" s="497"/>
      <c r="DR54" s="497"/>
      <c r="DS54" s="9"/>
      <c r="DT54" s="499"/>
      <c r="DU54" s="500"/>
      <c r="DV54" s="497"/>
      <c r="DW54" s="491"/>
      <c r="DX54" s="492"/>
      <c r="DY54" s="493"/>
      <c r="DZ54" s="494"/>
      <c r="EA54" s="494"/>
      <c r="EB54" s="493"/>
      <c r="EC54" s="495"/>
      <c r="ED54" s="495"/>
      <c r="EE54" s="495"/>
      <c r="EF54" s="496"/>
      <c r="EG54" s="497"/>
      <c r="EH54" s="497"/>
      <c r="EI54" s="497"/>
      <c r="EJ54" s="498"/>
      <c r="EK54" s="497"/>
      <c r="EL54" s="497"/>
      <c r="EM54" s="497"/>
      <c r="EN54" s="9"/>
      <c r="EO54" s="499"/>
      <c r="EP54" s="500"/>
      <c r="EQ54" s="497"/>
      <c r="ER54" s="491"/>
      <c r="ES54" s="492"/>
      <c r="ET54" s="493"/>
      <c r="EU54" s="494"/>
      <c r="EV54" s="494"/>
      <c r="EW54" s="493"/>
      <c r="EX54" s="495"/>
      <c r="EY54" s="495"/>
      <c r="EZ54" s="495"/>
      <c r="FA54" s="496"/>
      <c r="FB54" s="497"/>
      <c r="FC54" s="497"/>
      <c r="FD54" s="497"/>
      <c r="FE54" s="498"/>
      <c r="FF54" s="497"/>
      <c r="FG54" s="497"/>
      <c r="FH54" s="497"/>
      <c r="FI54" s="9"/>
      <c r="FJ54" s="499"/>
      <c r="FK54" s="500"/>
      <c r="FL54" s="497"/>
      <c r="FM54" s="491"/>
      <c r="FN54" s="492"/>
      <c r="FO54" s="493"/>
      <c r="FP54" s="494"/>
      <c r="FQ54" s="494"/>
      <c r="FR54" s="493"/>
      <c r="FS54" s="495"/>
      <c r="FT54" s="495"/>
      <c r="FU54" s="495"/>
      <c r="FV54" s="496"/>
      <c r="FW54" s="497"/>
      <c r="FX54" s="497"/>
      <c r="FY54" s="497"/>
      <c r="FZ54" s="498"/>
      <c r="GA54" s="497"/>
      <c r="GB54" s="497"/>
      <c r="GC54" s="497"/>
      <c r="GD54" s="9"/>
      <c r="GE54" s="499"/>
      <c r="GF54" s="500"/>
      <c r="GG54" s="497"/>
      <c r="GH54" s="491"/>
      <c r="GI54" s="492"/>
      <c r="GJ54" s="493"/>
      <c r="GK54" s="494"/>
      <c r="GL54" s="494"/>
      <c r="GM54" s="493"/>
      <c r="GN54" s="495"/>
      <c r="GO54" s="495"/>
      <c r="GP54" s="495"/>
      <c r="GQ54" s="496"/>
      <c r="GR54" s="497"/>
      <c r="GS54" s="497"/>
      <c r="GT54" s="497"/>
      <c r="GU54" s="498"/>
      <c r="GV54" s="497"/>
      <c r="GW54" s="497"/>
      <c r="GX54" s="497"/>
      <c r="GY54" s="9"/>
      <c r="GZ54" s="499"/>
      <c r="HA54" s="500"/>
      <c r="HB54" s="497"/>
      <c r="HC54" s="491"/>
      <c r="HD54" s="492"/>
      <c r="HE54" s="493"/>
      <c r="HF54" s="494"/>
      <c r="HG54" s="494"/>
      <c r="HH54" s="493"/>
      <c r="HI54" s="495"/>
      <c r="HJ54" s="495"/>
      <c r="HK54" s="495"/>
      <c r="HL54" s="496"/>
      <c r="HM54" s="497"/>
      <c r="HN54" s="497"/>
      <c r="HO54" s="497"/>
      <c r="HP54" s="498"/>
      <c r="HQ54" s="497"/>
      <c r="HR54" s="497"/>
      <c r="HS54" s="497"/>
      <c r="HT54" s="9"/>
      <c r="HU54" s="499"/>
      <c r="HV54" s="500"/>
      <c r="HW54" s="497"/>
      <c r="HX54" s="491"/>
      <c r="HY54" s="492"/>
      <c r="HZ54" s="493"/>
      <c r="IA54" s="494"/>
      <c r="IB54" s="494"/>
      <c r="IC54" s="493"/>
      <c r="ID54" s="495"/>
      <c r="IE54" s="495"/>
      <c r="IF54" s="495"/>
      <c r="IG54" s="496"/>
      <c r="IH54" s="497"/>
      <c r="II54" s="497"/>
      <c r="IJ54" s="497"/>
      <c r="IK54" s="498"/>
      <c r="IL54" s="497"/>
      <c r="IM54" s="497"/>
      <c r="IN54" s="497"/>
      <c r="IO54" s="9"/>
      <c r="IP54" s="499"/>
      <c r="IQ54" s="500"/>
      <c r="IR54" s="497"/>
      <c r="IS54" s="491"/>
      <c r="IT54" s="492"/>
      <c r="IU54" s="493"/>
      <c r="IV54" s="494"/>
    </row>
    <row r="55" spans="1:256" s="8" customFormat="1" x14ac:dyDescent="0.2">
      <c r="A55"/>
      <c r="B55"/>
      <c r="C55"/>
      <c r="D55"/>
      <c r="E55"/>
      <c r="F55"/>
      <c r="G55"/>
      <c r="H55"/>
      <c r="I55"/>
      <c r="J55"/>
      <c r="K55"/>
      <c r="L55"/>
      <c r="M55"/>
      <c r="N55"/>
      <c r="O55"/>
      <c r="P55"/>
      <c r="Q55"/>
      <c r="R55"/>
      <c r="S55"/>
      <c r="T55"/>
      <c r="U55"/>
    </row>
    <row r="56" spans="1:256" x14ac:dyDescent="0.2">
      <c r="A56" s="69" t="s">
        <v>38</v>
      </c>
    </row>
    <row r="57" spans="1:256" x14ac:dyDescent="0.2">
      <c r="A57" s="69" t="s">
        <v>39</v>
      </c>
      <c r="M57" s="296"/>
    </row>
    <row r="58" spans="1:256" x14ac:dyDescent="0.2">
      <c r="A58" s="86" t="s">
        <v>57</v>
      </c>
    </row>
    <row r="59" spans="1:256" x14ac:dyDescent="0.2">
      <c r="A59" s="86" t="s">
        <v>58</v>
      </c>
    </row>
  </sheetData>
  <mergeCells count="5">
    <mergeCell ref="R4:U4"/>
    <mergeCell ref="G3:I3"/>
    <mergeCell ref="B4:I4"/>
    <mergeCell ref="J4:M4"/>
    <mergeCell ref="N4:Q4"/>
  </mergeCells>
  <phoneticPr fontId="0" type="noConversion"/>
  <pageMargins left="0.75" right="0.75" top="1" bottom="1" header="0.5" footer="0.5"/>
  <pageSetup scale="54" orientation="landscape" r:id="rId1"/>
  <headerFooter alignWithMargins="0"/>
  <ignoredErrors>
    <ignoredError sqref="C42"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X62"/>
  <sheetViews>
    <sheetView workbookViewId="0">
      <pane xSplit="1" ySplit="5" topLeftCell="B23" activePane="bottomRight" state="frozen"/>
      <selection activeCell="A3" sqref="A3:M4"/>
      <selection pane="topRight" activeCell="A3" sqref="A3:M4"/>
      <selection pane="bottomLeft" activeCell="A3" sqref="A3:M4"/>
      <selection pane="bottomRight" activeCell="B31" sqref="B31"/>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211</v>
      </c>
      <c r="C2" s="27" t="s">
        <v>319</v>
      </c>
      <c r="D2" s="27"/>
      <c r="E2" s="27"/>
      <c r="F2" s="23"/>
      <c r="G2" s="23"/>
      <c r="H2" s="23"/>
      <c r="I2" s="23"/>
      <c r="J2" s="23"/>
      <c r="K2" s="27"/>
      <c r="L2" s="27"/>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c r="D6" s="15"/>
      <c r="E6" s="15"/>
      <c r="F6" s="15"/>
      <c r="G6" s="15"/>
      <c r="H6" s="15"/>
      <c r="I6" s="31"/>
      <c r="J6" s="37"/>
      <c r="K6" s="59"/>
      <c r="L6" s="6"/>
      <c r="M6" s="46"/>
      <c r="N6" s="40"/>
      <c r="O6" s="55"/>
      <c r="P6" s="57"/>
      <c r="Q6" s="41"/>
      <c r="R6" s="43"/>
      <c r="S6" s="24"/>
      <c r="T6" s="21"/>
      <c r="U6" s="47"/>
      <c r="V6" s="3"/>
    </row>
    <row r="7" spans="1:24" s="1" customFormat="1" ht="15.75" customHeight="1" x14ac:dyDescent="0.2">
      <c r="A7" s="68" t="s">
        <v>63</v>
      </c>
      <c r="B7" s="30"/>
      <c r="C7" s="50"/>
      <c r="D7" s="15"/>
      <c r="E7" s="15"/>
      <c r="F7" s="15"/>
      <c r="G7" s="15"/>
      <c r="H7" s="15"/>
      <c r="I7" s="31"/>
      <c r="J7" s="37"/>
      <c r="K7" s="59"/>
      <c r="L7" s="6"/>
      <c r="M7" s="46"/>
      <c r="N7" s="40"/>
      <c r="O7" s="55"/>
      <c r="P7" s="57"/>
      <c r="Q7" s="41"/>
      <c r="R7" s="43"/>
      <c r="S7" s="24"/>
      <c r="T7" s="21"/>
      <c r="U7" s="47"/>
      <c r="V7" s="3"/>
    </row>
    <row r="8" spans="1:24" x14ac:dyDescent="0.2">
      <c r="A8" s="33">
        <v>1995</v>
      </c>
      <c r="B8" s="30"/>
      <c r="C8" s="64"/>
      <c r="D8" s="63"/>
      <c r="E8" s="63"/>
      <c r="F8" s="63"/>
      <c r="G8" s="87"/>
      <c r="H8" s="87"/>
      <c r="I8" s="88"/>
      <c r="J8" s="61"/>
      <c r="K8" s="59"/>
      <c r="L8" s="59"/>
      <c r="M8" s="60"/>
      <c r="N8" s="51"/>
      <c r="O8" s="55"/>
      <c r="P8" s="55"/>
      <c r="Q8" s="56"/>
      <c r="R8" s="247"/>
      <c r="S8" s="24"/>
      <c r="T8" s="25"/>
      <c r="U8" s="53"/>
      <c r="V8" s="248"/>
      <c r="X8" s="1"/>
    </row>
    <row r="9" spans="1:24" x14ac:dyDescent="0.2">
      <c r="A9" s="33">
        <v>1996</v>
      </c>
      <c r="B9" s="30"/>
      <c r="C9" s="64"/>
      <c r="D9" s="63"/>
      <c r="E9" s="63"/>
      <c r="F9" s="63"/>
      <c r="G9" s="62"/>
      <c r="H9" s="62"/>
      <c r="I9" s="67"/>
      <c r="J9" s="61"/>
      <c r="K9" s="59"/>
      <c r="L9" s="59"/>
      <c r="M9" s="60"/>
      <c r="N9" s="54"/>
      <c r="O9" s="55"/>
      <c r="P9" s="55"/>
      <c r="Q9" s="56"/>
      <c r="R9" s="247"/>
      <c r="S9" s="24"/>
      <c r="T9" s="25"/>
      <c r="U9" s="53"/>
      <c r="V9" s="10"/>
      <c r="X9" s="1"/>
    </row>
    <row r="10" spans="1:24" x14ac:dyDescent="0.2">
      <c r="A10" s="33">
        <v>1997</v>
      </c>
      <c r="B10" s="30"/>
      <c r="C10" s="64"/>
      <c r="D10" s="63"/>
      <c r="E10" s="63"/>
      <c r="F10" s="63"/>
      <c r="G10" s="62"/>
      <c r="H10" s="62"/>
      <c r="I10" s="67"/>
      <c r="J10" s="61"/>
      <c r="K10" s="59"/>
      <c r="L10" s="59"/>
      <c r="M10" s="60"/>
      <c r="N10" s="54"/>
      <c r="O10" s="55"/>
      <c r="P10" s="55"/>
      <c r="Q10" s="56"/>
      <c r="R10" s="247"/>
      <c r="S10" s="24"/>
      <c r="T10" s="25"/>
      <c r="U10" s="53"/>
      <c r="V10" s="10"/>
      <c r="X10" s="1"/>
    </row>
    <row r="11" spans="1:24" x14ac:dyDescent="0.2">
      <c r="A11" s="33">
        <v>1998</v>
      </c>
      <c r="B11" s="30"/>
      <c r="C11" s="64"/>
      <c r="D11" s="63"/>
      <c r="E11" s="63"/>
      <c r="F11" s="63"/>
      <c r="G11" s="62"/>
      <c r="H11" s="62"/>
      <c r="I11" s="67"/>
      <c r="J11" s="61"/>
      <c r="K11" s="59"/>
      <c r="L11" s="59"/>
      <c r="M11" s="60"/>
      <c r="N11" s="54"/>
      <c r="O11" s="55"/>
      <c r="P11" s="55"/>
      <c r="Q11" s="56"/>
      <c r="R11" s="247"/>
      <c r="S11" s="24"/>
      <c r="T11" s="25"/>
      <c r="U11" s="53"/>
      <c r="V11" s="10"/>
      <c r="X11" s="1"/>
    </row>
    <row r="12" spans="1:24" x14ac:dyDescent="0.2">
      <c r="A12" s="33">
        <v>1999</v>
      </c>
      <c r="B12" s="30"/>
      <c r="C12" s="64"/>
      <c r="D12" s="63"/>
      <c r="E12" s="63"/>
      <c r="F12" s="63"/>
      <c r="G12" s="62"/>
      <c r="H12" s="62"/>
      <c r="I12" s="67"/>
      <c r="J12" s="61"/>
      <c r="K12" s="59"/>
      <c r="L12" s="59"/>
      <c r="M12" s="60"/>
      <c r="N12" s="54"/>
      <c r="O12" s="55"/>
      <c r="P12" s="55"/>
      <c r="Q12" s="56"/>
      <c r="R12" s="247"/>
      <c r="S12" s="24"/>
      <c r="T12" s="25"/>
      <c r="U12" s="53"/>
      <c r="V12" s="10"/>
      <c r="X12" s="1"/>
    </row>
    <row r="13" spans="1:24" x14ac:dyDescent="0.2">
      <c r="A13" s="33">
        <v>2000</v>
      </c>
      <c r="B13" s="30"/>
      <c r="C13" s="64"/>
      <c r="D13" s="63"/>
      <c r="E13" s="63"/>
      <c r="F13" s="63"/>
      <c r="G13" s="62"/>
      <c r="H13" s="62"/>
      <c r="I13" s="67"/>
      <c r="J13" s="61"/>
      <c r="K13" s="59"/>
      <c r="L13" s="59"/>
      <c r="M13" s="60"/>
      <c r="N13" s="54"/>
      <c r="O13" s="55"/>
      <c r="P13" s="55"/>
      <c r="Q13" s="56"/>
      <c r="R13" s="247"/>
      <c r="S13" s="24"/>
      <c r="T13" s="25"/>
      <c r="U13" s="53"/>
      <c r="V13" s="248"/>
      <c r="X13" s="1"/>
    </row>
    <row r="14" spans="1:24" x14ac:dyDescent="0.2">
      <c r="A14" s="33">
        <v>2001</v>
      </c>
      <c r="B14" s="30"/>
      <c r="C14" s="64"/>
      <c r="D14" s="63"/>
      <c r="E14" s="63"/>
      <c r="F14" s="63"/>
      <c r="G14" s="62"/>
      <c r="H14" s="62"/>
      <c r="I14" s="67"/>
      <c r="J14" s="61"/>
      <c r="K14" s="59"/>
      <c r="L14" s="59"/>
      <c r="M14" s="60"/>
      <c r="N14" s="54"/>
      <c r="O14" s="55"/>
      <c r="P14" s="55"/>
      <c r="Q14" s="56"/>
      <c r="R14" s="247"/>
      <c r="S14" s="24"/>
      <c r="T14" s="25"/>
      <c r="U14" s="53"/>
      <c r="V14" s="248"/>
      <c r="X14" s="1"/>
    </row>
    <row r="15" spans="1:24" x14ac:dyDescent="0.2">
      <c r="A15" s="33">
        <v>2002</v>
      </c>
      <c r="B15" s="30"/>
      <c r="C15" s="64"/>
      <c r="D15" s="63"/>
      <c r="E15" s="63"/>
      <c r="F15" s="63"/>
      <c r="G15" s="62"/>
      <c r="H15" s="62"/>
      <c r="I15" s="67"/>
      <c r="J15" s="61"/>
      <c r="K15" s="59"/>
      <c r="L15" s="59"/>
      <c r="M15" s="60"/>
      <c r="N15" s="54"/>
      <c r="O15" s="55"/>
      <c r="P15" s="55"/>
      <c r="Q15" s="56"/>
      <c r="R15" s="247"/>
      <c r="S15" s="24"/>
      <c r="T15" s="25"/>
      <c r="U15" s="53"/>
      <c r="V15" s="248"/>
      <c r="X15" s="1"/>
    </row>
    <row r="16" spans="1:24" x14ac:dyDescent="0.2">
      <c r="A16" s="33">
        <v>2003</v>
      </c>
      <c r="B16" s="30"/>
      <c r="C16" s="64"/>
      <c r="D16" s="63"/>
      <c r="E16" s="63"/>
      <c r="F16" s="63"/>
      <c r="G16" s="62"/>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64"/>
      <c r="D17" s="63"/>
      <c r="E17" s="63"/>
      <c r="F17" s="63"/>
      <c r="G17" s="62"/>
      <c r="H17" s="62"/>
      <c r="I17" s="67"/>
      <c r="J17" s="61"/>
      <c r="K17" s="59"/>
      <c r="L17" s="59"/>
      <c r="M17" s="60"/>
      <c r="N17" s="54"/>
      <c r="O17" s="55"/>
      <c r="P17" s="55"/>
      <c r="Q17" s="56"/>
      <c r="R17" s="247"/>
      <c r="S17" s="24"/>
      <c r="T17" s="25"/>
      <c r="U17" s="53"/>
      <c r="V17" s="248"/>
      <c r="X17" s="1"/>
    </row>
    <row r="18" spans="1:24" x14ac:dyDescent="0.2">
      <c r="A18" s="33">
        <f t="shared" si="0"/>
        <v>2005</v>
      </c>
      <c r="B18" s="30"/>
      <c r="C18" s="64"/>
      <c r="D18" s="63"/>
      <c r="E18" s="63"/>
      <c r="F18" s="63"/>
      <c r="G18" s="62"/>
      <c r="H18" s="62"/>
      <c r="I18" s="67"/>
      <c r="J18" s="61"/>
      <c r="K18" s="59"/>
      <c r="L18" s="59"/>
      <c r="M18" s="60"/>
      <c r="N18" s="54"/>
      <c r="O18" s="55"/>
      <c r="P18" s="55"/>
      <c r="Q18" s="56"/>
      <c r="R18" s="247"/>
      <c r="S18" s="24"/>
      <c r="T18" s="25"/>
      <c r="U18" s="53"/>
      <c r="V18" s="248"/>
      <c r="X18" s="1"/>
    </row>
    <row r="19" spans="1:24" x14ac:dyDescent="0.2">
      <c r="A19" s="33">
        <f t="shared" si="0"/>
        <v>2006</v>
      </c>
      <c r="B19" s="30"/>
      <c r="C19" s="64"/>
      <c r="D19" s="63"/>
      <c r="E19" s="63"/>
      <c r="F19" s="63"/>
      <c r="G19" s="62"/>
      <c r="H19" s="62"/>
      <c r="I19" s="67"/>
      <c r="J19" s="61"/>
      <c r="K19" s="59"/>
      <c r="L19" s="59"/>
      <c r="M19" s="60"/>
      <c r="N19" s="54"/>
      <c r="O19" s="55"/>
      <c r="P19" s="55"/>
      <c r="Q19" s="56"/>
      <c r="R19" s="247"/>
      <c r="S19" s="24"/>
      <c r="T19" s="25"/>
      <c r="U19" s="53"/>
      <c r="V19" s="804"/>
      <c r="X19" s="1"/>
    </row>
    <row r="20" spans="1:24" x14ac:dyDescent="0.2">
      <c r="A20" s="33">
        <f t="shared" si="0"/>
        <v>2007</v>
      </c>
      <c r="B20" s="30"/>
      <c r="C20" s="64"/>
      <c r="D20" s="63"/>
      <c r="E20" s="63"/>
      <c r="F20" s="63"/>
      <c r="G20" s="62"/>
      <c r="H20" s="62"/>
      <c r="I20" s="62"/>
      <c r="J20" s="61"/>
      <c r="K20" s="59"/>
      <c r="L20" s="59"/>
      <c r="M20" s="60"/>
      <c r="N20" s="54"/>
      <c r="O20" s="55"/>
      <c r="P20" s="55"/>
      <c r="Q20" s="56"/>
      <c r="R20" s="247"/>
      <c r="S20" s="24"/>
      <c r="T20" s="25"/>
      <c r="U20" s="53"/>
    </row>
    <row r="21" spans="1:24" x14ac:dyDescent="0.2">
      <c r="A21" s="33">
        <f t="shared" si="0"/>
        <v>2008</v>
      </c>
      <c r="B21" s="30"/>
      <c r="C21" s="64"/>
      <c r="D21" s="63"/>
      <c r="E21" s="63"/>
      <c r="F21" s="63"/>
      <c r="G21" s="62"/>
      <c r="H21" s="62"/>
      <c r="I21" s="67"/>
      <c r="J21" s="61"/>
      <c r="K21" s="59"/>
      <c r="L21" s="59"/>
      <c r="M21" s="60"/>
      <c r="N21" s="54"/>
      <c r="O21" s="55"/>
      <c r="P21" s="55"/>
      <c r="Q21" s="56"/>
      <c r="R21" s="247"/>
      <c r="S21" s="24"/>
      <c r="T21" s="25"/>
      <c r="U21" s="53"/>
    </row>
    <row r="22" spans="1:24" x14ac:dyDescent="0.2">
      <c r="A22" s="33">
        <f t="shared" si="0"/>
        <v>2009</v>
      </c>
      <c r="B22" s="30"/>
      <c r="C22" s="660"/>
      <c r="D22" s="807">
        <v>0</v>
      </c>
      <c r="E22" s="808">
        <v>0</v>
      </c>
      <c r="F22" s="806">
        <v>0</v>
      </c>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39" si="1">+C22+B23</f>
        <v>0</v>
      </c>
      <c r="D23" s="807">
        <f t="shared" ref="D23:F38" si="2">+D22</f>
        <v>0</v>
      </c>
      <c r="E23" s="808">
        <f t="shared" si="2"/>
        <v>0</v>
      </c>
      <c r="F23" s="806">
        <f t="shared" si="2"/>
        <v>0</v>
      </c>
      <c r="G23" s="626">
        <f t="shared" ref="G23:H39" si="3">+$B23*D23/1000</f>
        <v>0</v>
      </c>
      <c r="H23" s="72">
        <f t="shared" si="3"/>
        <v>0</v>
      </c>
      <c r="I23" s="630">
        <f t="shared" ref="I23:I39" si="4">+$B23*F23/1000000</f>
        <v>0</v>
      </c>
      <c r="J23" s="61">
        <f t="shared" ref="J23:J39" si="5">+(B23+B22)/2</f>
        <v>0</v>
      </c>
      <c r="K23" s="188">
        <f t="shared" ref="K23:K39" si="6">+D23</f>
        <v>0</v>
      </c>
      <c r="L23" s="188">
        <f t="shared" ref="L23:L39" si="7">+J23*K23/1000</f>
        <v>0</v>
      </c>
      <c r="M23" s="188">
        <f t="shared" ref="M23:M39" si="8">+M22+L23</f>
        <v>0</v>
      </c>
      <c r="N23" s="54">
        <f t="shared" ref="N23:N39" si="9">+B22</f>
        <v>0</v>
      </c>
      <c r="O23" s="670">
        <f t="shared" ref="O23:O39" si="10">+E23</f>
        <v>0</v>
      </c>
      <c r="P23" s="670">
        <f t="shared" ref="P23:P39" si="11">+N23*O23/1000</f>
        <v>0</v>
      </c>
      <c r="Q23" s="670">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0</v>
      </c>
      <c r="C24" s="661">
        <f t="shared" si="1"/>
        <v>0</v>
      </c>
      <c r="D24" s="807">
        <f t="shared" si="2"/>
        <v>0</v>
      </c>
      <c r="E24" s="808">
        <f t="shared" si="2"/>
        <v>0</v>
      </c>
      <c r="F24" s="806">
        <f t="shared" si="2"/>
        <v>0</v>
      </c>
      <c r="G24" s="626">
        <f t="shared" si="3"/>
        <v>0</v>
      </c>
      <c r="H24" s="72">
        <f t="shared" si="3"/>
        <v>0</v>
      </c>
      <c r="I24" s="630">
        <f t="shared" si="4"/>
        <v>0</v>
      </c>
      <c r="J24" s="61">
        <f t="shared" si="5"/>
        <v>0</v>
      </c>
      <c r="K24" s="188">
        <f t="shared" si="6"/>
        <v>0</v>
      </c>
      <c r="L24" s="188">
        <f t="shared" si="7"/>
        <v>0</v>
      </c>
      <c r="M24" s="188">
        <f t="shared" si="8"/>
        <v>0</v>
      </c>
      <c r="N24" s="54">
        <f t="shared" si="9"/>
        <v>0</v>
      </c>
      <c r="O24" s="670">
        <f t="shared" si="10"/>
        <v>0</v>
      </c>
      <c r="P24" s="670">
        <f t="shared" si="11"/>
        <v>0</v>
      </c>
      <c r="Q24" s="670">
        <f t="shared" si="12"/>
        <v>0</v>
      </c>
      <c r="R24" s="247">
        <f t="shared" si="13"/>
        <v>0</v>
      </c>
      <c r="S24" s="24">
        <f t="shared" si="14"/>
        <v>0</v>
      </c>
      <c r="T24" s="25">
        <f t="shared" si="15"/>
        <v>0</v>
      </c>
      <c r="U24" s="654">
        <f t="shared" si="16"/>
        <v>0</v>
      </c>
    </row>
    <row r="25" spans="1:24" x14ac:dyDescent="0.2">
      <c r="A25" s="33">
        <f t="shared" si="0"/>
        <v>2012</v>
      </c>
      <c r="B25" s="30">
        <v>0</v>
      </c>
      <c r="C25" s="661">
        <f t="shared" si="1"/>
        <v>0</v>
      </c>
      <c r="D25" s="807">
        <f t="shared" si="2"/>
        <v>0</v>
      </c>
      <c r="E25" s="808">
        <f t="shared" si="2"/>
        <v>0</v>
      </c>
      <c r="F25" s="806">
        <f t="shared" si="2"/>
        <v>0</v>
      </c>
      <c r="G25" s="626">
        <f t="shared" si="3"/>
        <v>0</v>
      </c>
      <c r="H25" s="72">
        <f t="shared" si="3"/>
        <v>0</v>
      </c>
      <c r="I25" s="630">
        <f t="shared" si="4"/>
        <v>0</v>
      </c>
      <c r="J25" s="61">
        <f t="shared" si="5"/>
        <v>0</v>
      </c>
      <c r="K25" s="188">
        <f t="shared" si="6"/>
        <v>0</v>
      </c>
      <c r="L25" s="188">
        <f t="shared" si="7"/>
        <v>0</v>
      </c>
      <c r="M25" s="188">
        <f t="shared" si="8"/>
        <v>0</v>
      </c>
      <c r="N25" s="54">
        <f t="shared" si="9"/>
        <v>0</v>
      </c>
      <c r="O25" s="670">
        <f t="shared" si="10"/>
        <v>0</v>
      </c>
      <c r="P25" s="670">
        <f t="shared" si="11"/>
        <v>0</v>
      </c>
      <c r="Q25" s="670">
        <f t="shared" si="12"/>
        <v>0</v>
      </c>
      <c r="R25" s="247">
        <f t="shared" si="13"/>
        <v>0</v>
      </c>
      <c r="S25" s="24">
        <f t="shared" si="14"/>
        <v>0</v>
      </c>
      <c r="T25" s="25">
        <f t="shared" si="15"/>
        <v>0</v>
      </c>
      <c r="U25" s="654">
        <f t="shared" si="16"/>
        <v>0</v>
      </c>
    </row>
    <row r="26" spans="1:24" x14ac:dyDescent="0.2">
      <c r="A26" s="33">
        <f t="shared" si="0"/>
        <v>2013</v>
      </c>
      <c r="B26" s="30">
        <v>0</v>
      </c>
      <c r="C26" s="619">
        <f t="shared" si="1"/>
        <v>0</v>
      </c>
      <c r="D26" s="807">
        <f t="shared" si="2"/>
        <v>0</v>
      </c>
      <c r="E26" s="808">
        <f t="shared" si="2"/>
        <v>0</v>
      </c>
      <c r="F26" s="806">
        <f t="shared" si="2"/>
        <v>0</v>
      </c>
      <c r="G26" s="626">
        <f t="shared" si="3"/>
        <v>0</v>
      </c>
      <c r="H26" s="72">
        <f t="shared" si="3"/>
        <v>0</v>
      </c>
      <c r="I26" s="630">
        <f t="shared" si="4"/>
        <v>0</v>
      </c>
      <c r="J26" s="61">
        <f t="shared" si="5"/>
        <v>0</v>
      </c>
      <c r="K26" s="188">
        <f t="shared" si="6"/>
        <v>0</v>
      </c>
      <c r="L26" s="188">
        <f t="shared" si="7"/>
        <v>0</v>
      </c>
      <c r="M26" s="829">
        <f t="shared" si="8"/>
        <v>0</v>
      </c>
      <c r="N26" s="54">
        <f t="shared" si="9"/>
        <v>0</v>
      </c>
      <c r="O26" s="670">
        <f t="shared" si="10"/>
        <v>0</v>
      </c>
      <c r="P26" s="670">
        <f t="shared" si="11"/>
        <v>0</v>
      </c>
      <c r="Q26" s="671">
        <f t="shared" si="12"/>
        <v>0</v>
      </c>
      <c r="R26" s="247">
        <f t="shared" si="13"/>
        <v>0</v>
      </c>
      <c r="S26" s="24">
        <f t="shared" si="14"/>
        <v>0</v>
      </c>
      <c r="T26" s="25">
        <f t="shared" si="15"/>
        <v>0</v>
      </c>
      <c r="U26" s="654">
        <f t="shared" si="16"/>
        <v>0</v>
      </c>
    </row>
    <row r="27" spans="1:24" x14ac:dyDescent="0.2">
      <c r="A27" s="33">
        <f t="shared" si="0"/>
        <v>2014</v>
      </c>
      <c r="B27" s="30">
        <v>0</v>
      </c>
      <c r="C27" s="1248">
        <v>117473</v>
      </c>
      <c r="D27" s="807">
        <f t="shared" si="2"/>
        <v>0</v>
      </c>
      <c r="E27" s="808">
        <f t="shared" si="2"/>
        <v>0</v>
      </c>
      <c r="F27" s="806">
        <f t="shared" si="2"/>
        <v>0</v>
      </c>
      <c r="G27" s="626">
        <f t="shared" si="3"/>
        <v>0</v>
      </c>
      <c r="H27" s="72">
        <f t="shared" si="3"/>
        <v>0</v>
      </c>
      <c r="I27" s="630">
        <f t="shared" si="4"/>
        <v>0</v>
      </c>
      <c r="J27" s="61">
        <f t="shared" si="5"/>
        <v>0</v>
      </c>
      <c r="K27" s="188">
        <f t="shared" si="6"/>
        <v>0</v>
      </c>
      <c r="L27" s="188">
        <f t="shared" si="7"/>
        <v>0</v>
      </c>
      <c r="M27" s="829">
        <f t="shared" si="8"/>
        <v>0</v>
      </c>
      <c r="N27" s="54">
        <f t="shared" si="9"/>
        <v>0</v>
      </c>
      <c r="O27" s="670">
        <f t="shared" si="10"/>
        <v>0</v>
      </c>
      <c r="P27" s="670">
        <f t="shared" si="11"/>
        <v>0</v>
      </c>
      <c r="Q27" s="671">
        <f t="shared" si="12"/>
        <v>0</v>
      </c>
      <c r="R27" s="247">
        <f t="shared" si="13"/>
        <v>0</v>
      </c>
      <c r="S27" s="24">
        <f t="shared" si="14"/>
        <v>0</v>
      </c>
      <c r="T27" s="25">
        <f t="shared" si="15"/>
        <v>0</v>
      </c>
      <c r="U27" s="654">
        <f t="shared" si="16"/>
        <v>0</v>
      </c>
    </row>
    <row r="28" spans="1:24" x14ac:dyDescent="0.2">
      <c r="A28" s="33">
        <f t="shared" si="0"/>
        <v>2015</v>
      </c>
      <c r="B28" s="30">
        <v>3057</v>
      </c>
      <c r="C28" s="619">
        <f t="shared" si="1"/>
        <v>120530</v>
      </c>
      <c r="D28" s="807">
        <f>D62</f>
        <v>0.26893784756297023</v>
      </c>
      <c r="E28" s="808">
        <f>E62</f>
        <v>0.37922473012757607</v>
      </c>
      <c r="F28" s="806">
        <f>F62</f>
        <v>323.25646058227022</v>
      </c>
      <c r="G28" s="626">
        <f t="shared" si="3"/>
        <v>0.82214300000000007</v>
      </c>
      <c r="H28" s="72">
        <f t="shared" si="3"/>
        <v>1.1592899999999999</v>
      </c>
      <c r="I28" s="630">
        <f t="shared" si="4"/>
        <v>0.98819500000000016</v>
      </c>
      <c r="J28" s="61">
        <f t="shared" si="5"/>
        <v>1528.5</v>
      </c>
      <c r="K28" s="188">
        <f t="shared" si="6"/>
        <v>0.26893784756297023</v>
      </c>
      <c r="L28" s="188">
        <f t="shared" si="7"/>
        <v>0.41107150000000003</v>
      </c>
      <c r="M28" s="829">
        <f t="shared" si="8"/>
        <v>0.41107150000000003</v>
      </c>
      <c r="N28" s="54">
        <f t="shared" si="9"/>
        <v>0</v>
      </c>
      <c r="O28" s="670">
        <f t="shared" si="10"/>
        <v>0.37922473012757607</v>
      </c>
      <c r="P28" s="670">
        <f t="shared" si="11"/>
        <v>0</v>
      </c>
      <c r="Q28" s="671">
        <f t="shared" si="12"/>
        <v>0</v>
      </c>
      <c r="R28" s="247">
        <f t="shared" si="13"/>
        <v>1528.5</v>
      </c>
      <c r="S28" s="24">
        <f t="shared" si="14"/>
        <v>323.25646058227022</v>
      </c>
      <c r="T28" s="25">
        <f t="shared" si="15"/>
        <v>0.49409750000000008</v>
      </c>
      <c r="U28" s="654">
        <f t="shared" si="16"/>
        <v>0.49409750000000008</v>
      </c>
    </row>
    <row r="29" spans="1:24" ht="13.5" thickBot="1" x14ac:dyDescent="0.25">
      <c r="A29" s="701">
        <f t="shared" si="0"/>
        <v>2016</v>
      </c>
      <c r="B29" s="702">
        <v>1293</v>
      </c>
      <c r="C29" s="703">
        <f t="shared" si="1"/>
        <v>121823</v>
      </c>
      <c r="D29" s="835">
        <v>0.26</v>
      </c>
      <c r="E29" s="836">
        <v>0.37</v>
      </c>
      <c r="F29" s="705">
        <v>848</v>
      </c>
      <c r="G29" s="823">
        <f t="shared" si="3"/>
        <v>0.33618000000000003</v>
      </c>
      <c r="H29" s="707">
        <f t="shared" si="3"/>
        <v>0.47840999999999995</v>
      </c>
      <c r="I29" s="824">
        <f t="shared" si="4"/>
        <v>1.0964640000000001</v>
      </c>
      <c r="J29" s="708">
        <f t="shared" si="5"/>
        <v>2175</v>
      </c>
      <c r="K29" s="825">
        <f t="shared" si="6"/>
        <v>0.26</v>
      </c>
      <c r="L29" s="825">
        <f t="shared" si="7"/>
        <v>0.5655</v>
      </c>
      <c r="M29" s="826">
        <f t="shared" si="8"/>
        <v>0.97657150000000004</v>
      </c>
      <c r="N29" s="711">
        <f t="shared" si="9"/>
        <v>3057</v>
      </c>
      <c r="O29" s="827">
        <f t="shared" si="10"/>
        <v>0.37</v>
      </c>
      <c r="P29" s="827">
        <f t="shared" si="11"/>
        <v>1.1310899999999999</v>
      </c>
      <c r="Q29" s="828">
        <f t="shared" si="12"/>
        <v>1.1310899999999999</v>
      </c>
      <c r="R29" s="714">
        <f t="shared" si="13"/>
        <v>2175</v>
      </c>
      <c r="S29" s="715">
        <f t="shared" si="14"/>
        <v>848</v>
      </c>
      <c r="T29" s="716">
        <f t="shared" si="15"/>
        <v>1.8444</v>
      </c>
      <c r="U29" s="717">
        <f t="shared" si="16"/>
        <v>2.3384974999999999</v>
      </c>
    </row>
    <row r="30" spans="1:24" x14ac:dyDescent="0.2">
      <c r="A30" s="33">
        <f t="shared" si="0"/>
        <v>2017</v>
      </c>
      <c r="B30" s="403">
        <v>1000</v>
      </c>
      <c r="C30" s="64">
        <f t="shared" si="1"/>
        <v>122823</v>
      </c>
      <c r="D30" s="965">
        <f t="shared" si="2"/>
        <v>0.26</v>
      </c>
      <c r="E30" s="966">
        <f t="shared" si="2"/>
        <v>0.37</v>
      </c>
      <c r="F30" s="790">
        <f t="shared" si="2"/>
        <v>848</v>
      </c>
      <c r="G30" s="473">
        <f t="shared" si="3"/>
        <v>0.26</v>
      </c>
      <c r="H30" s="474">
        <f t="shared" si="3"/>
        <v>0.37</v>
      </c>
      <c r="I30" s="474">
        <f t="shared" si="4"/>
        <v>0.84799999999999998</v>
      </c>
      <c r="J30" s="61">
        <f t="shared" si="5"/>
        <v>1146.5</v>
      </c>
      <c r="K30" s="967">
        <f t="shared" si="6"/>
        <v>0.26</v>
      </c>
      <c r="L30" s="967">
        <f t="shared" si="7"/>
        <v>0.29809000000000002</v>
      </c>
      <c r="M30" s="967">
        <f t="shared" si="8"/>
        <v>1.2746615000000001</v>
      </c>
      <c r="N30" s="54">
        <f t="shared" si="9"/>
        <v>1293</v>
      </c>
      <c r="O30" s="968">
        <f t="shared" si="10"/>
        <v>0.37</v>
      </c>
      <c r="P30" s="968">
        <f t="shared" si="11"/>
        <v>0.47840999999999995</v>
      </c>
      <c r="Q30" s="969">
        <f t="shared" si="12"/>
        <v>1.6094999999999999</v>
      </c>
      <c r="R30" s="247">
        <f t="shared" si="13"/>
        <v>1146.5</v>
      </c>
      <c r="S30" s="24">
        <f t="shared" si="14"/>
        <v>848</v>
      </c>
      <c r="T30" s="970">
        <f t="shared" si="15"/>
        <v>0.97223199999999999</v>
      </c>
      <c r="U30" s="971">
        <f t="shared" si="16"/>
        <v>3.3107294999999999</v>
      </c>
    </row>
    <row r="31" spans="1:24" x14ac:dyDescent="0.2">
      <c r="A31" s="33">
        <f t="shared" si="0"/>
        <v>2018</v>
      </c>
      <c r="B31" s="403">
        <v>1000</v>
      </c>
      <c r="C31" s="64">
        <f t="shared" si="1"/>
        <v>123823</v>
      </c>
      <c r="D31" s="965">
        <f t="shared" si="2"/>
        <v>0.26</v>
      </c>
      <c r="E31" s="966">
        <f t="shared" si="2"/>
        <v>0.37</v>
      </c>
      <c r="F31" s="790">
        <f t="shared" si="2"/>
        <v>848</v>
      </c>
      <c r="G31" s="473">
        <f t="shared" si="3"/>
        <v>0.26</v>
      </c>
      <c r="H31" s="474">
        <f t="shared" si="3"/>
        <v>0.37</v>
      </c>
      <c r="I31" s="474">
        <f t="shared" si="4"/>
        <v>0.84799999999999998</v>
      </c>
      <c r="J31" s="61">
        <f t="shared" si="5"/>
        <v>1000</v>
      </c>
      <c r="K31" s="967">
        <f t="shared" si="6"/>
        <v>0.26</v>
      </c>
      <c r="L31" s="967">
        <f t="shared" si="7"/>
        <v>0.26</v>
      </c>
      <c r="M31" s="967">
        <f t="shared" si="8"/>
        <v>1.5346615000000001</v>
      </c>
      <c r="N31" s="54">
        <f t="shared" si="9"/>
        <v>1000</v>
      </c>
      <c r="O31" s="968">
        <f t="shared" si="10"/>
        <v>0.37</v>
      </c>
      <c r="P31" s="968">
        <f t="shared" si="11"/>
        <v>0.37</v>
      </c>
      <c r="Q31" s="969">
        <f t="shared" si="12"/>
        <v>1.9794999999999998</v>
      </c>
      <c r="R31" s="247">
        <f t="shared" si="13"/>
        <v>1000</v>
      </c>
      <c r="S31" s="24">
        <f t="shared" si="14"/>
        <v>848</v>
      </c>
      <c r="T31" s="970">
        <f t="shared" si="15"/>
        <v>0.84799999999999998</v>
      </c>
      <c r="U31" s="971">
        <f t="shared" si="16"/>
        <v>4.1587294999999997</v>
      </c>
    </row>
    <row r="32" spans="1:24" x14ac:dyDescent="0.2">
      <c r="A32" s="33">
        <f t="shared" si="0"/>
        <v>2019</v>
      </c>
      <c r="B32" s="403">
        <v>1500</v>
      </c>
      <c r="C32" s="64">
        <f t="shared" si="1"/>
        <v>125323</v>
      </c>
      <c r="D32" s="965">
        <f t="shared" si="2"/>
        <v>0.26</v>
      </c>
      <c r="E32" s="966">
        <f t="shared" si="2"/>
        <v>0.37</v>
      </c>
      <c r="F32" s="790">
        <f t="shared" si="2"/>
        <v>848</v>
      </c>
      <c r="G32" s="473">
        <f t="shared" si="3"/>
        <v>0.39</v>
      </c>
      <c r="H32" s="474">
        <f t="shared" si="3"/>
        <v>0.55500000000000005</v>
      </c>
      <c r="I32" s="474">
        <f t="shared" si="4"/>
        <v>1.272</v>
      </c>
      <c r="J32" s="61">
        <f t="shared" si="5"/>
        <v>1250</v>
      </c>
      <c r="K32" s="967">
        <f t="shared" si="6"/>
        <v>0.26</v>
      </c>
      <c r="L32" s="967">
        <f t="shared" si="7"/>
        <v>0.32500000000000001</v>
      </c>
      <c r="M32" s="967">
        <f t="shared" si="8"/>
        <v>1.8596615000000001</v>
      </c>
      <c r="N32" s="54">
        <f t="shared" si="9"/>
        <v>1000</v>
      </c>
      <c r="O32" s="968">
        <f t="shared" si="10"/>
        <v>0.37</v>
      </c>
      <c r="P32" s="968">
        <f t="shared" si="11"/>
        <v>0.37</v>
      </c>
      <c r="Q32" s="969">
        <f t="shared" si="12"/>
        <v>2.3494999999999999</v>
      </c>
      <c r="R32" s="247">
        <f t="shared" si="13"/>
        <v>1250</v>
      </c>
      <c r="S32" s="24">
        <f t="shared" si="14"/>
        <v>848</v>
      </c>
      <c r="T32" s="970">
        <f t="shared" si="15"/>
        <v>1.06</v>
      </c>
      <c r="U32" s="971">
        <f t="shared" si="16"/>
        <v>5.2187295000000002</v>
      </c>
    </row>
    <row r="33" spans="1:21" x14ac:dyDescent="0.2">
      <c r="A33" s="33">
        <f t="shared" si="0"/>
        <v>2020</v>
      </c>
      <c r="B33" s="403">
        <v>1500</v>
      </c>
      <c r="C33" s="64">
        <f t="shared" si="1"/>
        <v>126823</v>
      </c>
      <c r="D33" s="965">
        <f t="shared" si="2"/>
        <v>0.26</v>
      </c>
      <c r="E33" s="966">
        <f t="shared" si="2"/>
        <v>0.37</v>
      </c>
      <c r="F33" s="790">
        <f t="shared" si="2"/>
        <v>848</v>
      </c>
      <c r="G33" s="473">
        <f t="shared" si="3"/>
        <v>0.39</v>
      </c>
      <c r="H33" s="474">
        <f t="shared" si="3"/>
        <v>0.55500000000000005</v>
      </c>
      <c r="I33" s="474">
        <f t="shared" si="4"/>
        <v>1.272</v>
      </c>
      <c r="J33" s="61">
        <f t="shared" si="5"/>
        <v>1500</v>
      </c>
      <c r="K33" s="967">
        <f t="shared" si="6"/>
        <v>0.26</v>
      </c>
      <c r="L33" s="967">
        <f t="shared" si="7"/>
        <v>0.39</v>
      </c>
      <c r="M33" s="967">
        <f t="shared" si="8"/>
        <v>2.2496615000000002</v>
      </c>
      <c r="N33" s="54">
        <f t="shared" si="9"/>
        <v>1500</v>
      </c>
      <c r="O33" s="968">
        <f t="shared" si="10"/>
        <v>0.37</v>
      </c>
      <c r="P33" s="968">
        <f t="shared" si="11"/>
        <v>0.55500000000000005</v>
      </c>
      <c r="Q33" s="969">
        <f t="shared" si="12"/>
        <v>2.9045000000000001</v>
      </c>
      <c r="R33" s="247">
        <f t="shared" si="13"/>
        <v>1500</v>
      </c>
      <c r="S33" s="24">
        <f t="shared" si="14"/>
        <v>848</v>
      </c>
      <c r="T33" s="970">
        <f t="shared" si="15"/>
        <v>1.272</v>
      </c>
      <c r="U33" s="971">
        <f t="shared" si="16"/>
        <v>6.4907295000000005</v>
      </c>
    </row>
    <row r="34" spans="1:21" x14ac:dyDescent="0.2">
      <c r="A34" s="33">
        <f t="shared" si="0"/>
        <v>2021</v>
      </c>
      <c r="B34" s="403">
        <v>1500</v>
      </c>
      <c r="C34" s="64">
        <f t="shared" si="1"/>
        <v>128323</v>
      </c>
      <c r="D34" s="965">
        <f t="shared" si="2"/>
        <v>0.26</v>
      </c>
      <c r="E34" s="966">
        <f t="shared" si="2"/>
        <v>0.37</v>
      </c>
      <c r="F34" s="790">
        <f t="shared" si="2"/>
        <v>848</v>
      </c>
      <c r="G34" s="473">
        <f t="shared" si="3"/>
        <v>0.39</v>
      </c>
      <c r="H34" s="474">
        <f t="shared" si="3"/>
        <v>0.55500000000000005</v>
      </c>
      <c r="I34" s="474">
        <f t="shared" si="4"/>
        <v>1.272</v>
      </c>
      <c r="J34" s="61">
        <f t="shared" si="5"/>
        <v>1500</v>
      </c>
      <c r="K34" s="967">
        <f t="shared" si="6"/>
        <v>0.26</v>
      </c>
      <c r="L34" s="967">
        <f t="shared" si="7"/>
        <v>0.39</v>
      </c>
      <c r="M34" s="967">
        <f t="shared" si="8"/>
        <v>2.6396615000000003</v>
      </c>
      <c r="N34" s="54">
        <f t="shared" si="9"/>
        <v>1500</v>
      </c>
      <c r="O34" s="968">
        <f t="shared" si="10"/>
        <v>0.37</v>
      </c>
      <c r="P34" s="968">
        <f t="shared" si="11"/>
        <v>0.55500000000000005</v>
      </c>
      <c r="Q34" s="969">
        <f t="shared" si="12"/>
        <v>3.4595000000000002</v>
      </c>
      <c r="R34" s="247">
        <f t="shared" si="13"/>
        <v>1500</v>
      </c>
      <c r="S34" s="24">
        <f t="shared" si="14"/>
        <v>848</v>
      </c>
      <c r="T34" s="970">
        <f t="shared" si="15"/>
        <v>1.272</v>
      </c>
      <c r="U34" s="971">
        <f t="shared" si="16"/>
        <v>7.7627295000000007</v>
      </c>
    </row>
    <row r="35" spans="1:21" x14ac:dyDescent="0.2">
      <c r="A35" s="33">
        <f t="shared" si="0"/>
        <v>2022</v>
      </c>
      <c r="B35" s="403">
        <v>1500</v>
      </c>
      <c r="C35" s="64">
        <f t="shared" si="1"/>
        <v>129823</v>
      </c>
      <c r="D35" s="965">
        <f t="shared" si="2"/>
        <v>0.26</v>
      </c>
      <c r="E35" s="966">
        <f t="shared" si="2"/>
        <v>0.37</v>
      </c>
      <c r="F35" s="790">
        <f t="shared" si="2"/>
        <v>848</v>
      </c>
      <c r="G35" s="473">
        <f t="shared" si="3"/>
        <v>0.39</v>
      </c>
      <c r="H35" s="474">
        <f t="shared" si="3"/>
        <v>0.55500000000000005</v>
      </c>
      <c r="I35" s="474">
        <f t="shared" si="4"/>
        <v>1.272</v>
      </c>
      <c r="J35" s="61">
        <f t="shared" si="5"/>
        <v>1500</v>
      </c>
      <c r="K35" s="967">
        <f t="shared" si="6"/>
        <v>0.26</v>
      </c>
      <c r="L35" s="967">
        <f t="shared" si="7"/>
        <v>0.39</v>
      </c>
      <c r="M35" s="967">
        <f t="shared" si="8"/>
        <v>3.0296615000000005</v>
      </c>
      <c r="N35" s="54">
        <f t="shared" si="9"/>
        <v>1500</v>
      </c>
      <c r="O35" s="968">
        <f t="shared" si="10"/>
        <v>0.37</v>
      </c>
      <c r="P35" s="968">
        <f t="shared" si="11"/>
        <v>0.55500000000000005</v>
      </c>
      <c r="Q35" s="969">
        <f t="shared" si="12"/>
        <v>4.0145</v>
      </c>
      <c r="R35" s="247">
        <f t="shared" si="13"/>
        <v>1500</v>
      </c>
      <c r="S35" s="24">
        <f t="shared" si="14"/>
        <v>848</v>
      </c>
      <c r="T35" s="970">
        <f t="shared" si="15"/>
        <v>1.272</v>
      </c>
      <c r="U35" s="971">
        <f t="shared" si="16"/>
        <v>9.034729500000001</v>
      </c>
    </row>
    <row r="36" spans="1:21" x14ac:dyDescent="0.2">
      <c r="A36" s="33">
        <f t="shared" si="0"/>
        <v>2023</v>
      </c>
      <c r="B36" s="403">
        <v>1500</v>
      </c>
      <c r="C36" s="64">
        <f t="shared" si="1"/>
        <v>131323</v>
      </c>
      <c r="D36" s="965">
        <f t="shared" si="2"/>
        <v>0.26</v>
      </c>
      <c r="E36" s="966">
        <f t="shared" si="2"/>
        <v>0.37</v>
      </c>
      <c r="F36" s="790">
        <f t="shared" si="2"/>
        <v>848</v>
      </c>
      <c r="G36" s="473">
        <f t="shared" si="3"/>
        <v>0.39</v>
      </c>
      <c r="H36" s="474">
        <f t="shared" si="3"/>
        <v>0.55500000000000005</v>
      </c>
      <c r="I36" s="474">
        <f t="shared" si="4"/>
        <v>1.272</v>
      </c>
      <c r="J36" s="61">
        <f t="shared" si="5"/>
        <v>1500</v>
      </c>
      <c r="K36" s="967">
        <f t="shared" si="6"/>
        <v>0.26</v>
      </c>
      <c r="L36" s="967">
        <f t="shared" si="7"/>
        <v>0.39</v>
      </c>
      <c r="M36" s="967">
        <f t="shared" si="8"/>
        <v>3.4196615000000006</v>
      </c>
      <c r="N36" s="54">
        <f t="shared" si="9"/>
        <v>1500</v>
      </c>
      <c r="O36" s="968">
        <f t="shared" si="10"/>
        <v>0.37</v>
      </c>
      <c r="P36" s="968">
        <f t="shared" si="11"/>
        <v>0.55500000000000005</v>
      </c>
      <c r="Q36" s="969">
        <f t="shared" si="12"/>
        <v>4.5694999999999997</v>
      </c>
      <c r="R36" s="247">
        <f t="shared" si="13"/>
        <v>1500</v>
      </c>
      <c r="S36" s="24">
        <f t="shared" si="14"/>
        <v>848</v>
      </c>
      <c r="T36" s="970">
        <f t="shared" si="15"/>
        <v>1.272</v>
      </c>
      <c r="U36" s="971">
        <f t="shared" si="16"/>
        <v>10.306729500000001</v>
      </c>
    </row>
    <row r="37" spans="1:21" x14ac:dyDescent="0.2">
      <c r="A37" s="447">
        <f t="shared" si="0"/>
        <v>2024</v>
      </c>
      <c r="B37" s="403">
        <v>1500</v>
      </c>
      <c r="C37" s="64">
        <f t="shared" si="1"/>
        <v>132823</v>
      </c>
      <c r="D37" s="965">
        <f t="shared" si="2"/>
        <v>0.26</v>
      </c>
      <c r="E37" s="966">
        <f t="shared" si="2"/>
        <v>0.37</v>
      </c>
      <c r="F37" s="790">
        <f t="shared" si="2"/>
        <v>848</v>
      </c>
      <c r="G37" s="473">
        <f t="shared" si="3"/>
        <v>0.39</v>
      </c>
      <c r="H37" s="474">
        <f t="shared" si="3"/>
        <v>0.55500000000000005</v>
      </c>
      <c r="I37" s="474">
        <f t="shared" si="4"/>
        <v>1.272</v>
      </c>
      <c r="J37" s="61">
        <f t="shared" si="5"/>
        <v>1500</v>
      </c>
      <c r="K37" s="967">
        <f t="shared" si="6"/>
        <v>0.26</v>
      </c>
      <c r="L37" s="967">
        <f t="shared" si="7"/>
        <v>0.39</v>
      </c>
      <c r="M37" s="967">
        <f t="shared" si="8"/>
        <v>3.8096615000000007</v>
      </c>
      <c r="N37" s="54">
        <f t="shared" si="9"/>
        <v>1500</v>
      </c>
      <c r="O37" s="968">
        <f t="shared" si="10"/>
        <v>0.37</v>
      </c>
      <c r="P37" s="968">
        <f t="shared" si="11"/>
        <v>0.55500000000000005</v>
      </c>
      <c r="Q37" s="969">
        <f t="shared" si="12"/>
        <v>5.1244999999999994</v>
      </c>
      <c r="R37" s="247">
        <f t="shared" si="13"/>
        <v>1500</v>
      </c>
      <c r="S37" s="24">
        <f t="shared" si="14"/>
        <v>848</v>
      </c>
      <c r="T37" s="970">
        <f t="shared" si="15"/>
        <v>1.272</v>
      </c>
      <c r="U37" s="971">
        <f t="shared" si="16"/>
        <v>11.578729500000001</v>
      </c>
    </row>
    <row r="38" spans="1:21" x14ac:dyDescent="0.2">
      <c r="A38" s="447">
        <f t="shared" si="0"/>
        <v>2025</v>
      </c>
      <c r="B38" s="403">
        <f>B37</f>
        <v>1500</v>
      </c>
      <c r="C38" s="64">
        <f t="shared" si="1"/>
        <v>134323</v>
      </c>
      <c r="D38" s="965">
        <f t="shared" si="2"/>
        <v>0.26</v>
      </c>
      <c r="E38" s="966">
        <f t="shared" si="2"/>
        <v>0.37</v>
      </c>
      <c r="F38" s="790">
        <f t="shared" si="2"/>
        <v>848</v>
      </c>
      <c r="G38" s="473">
        <f t="shared" si="3"/>
        <v>0.39</v>
      </c>
      <c r="H38" s="474">
        <f t="shared" si="3"/>
        <v>0.55500000000000005</v>
      </c>
      <c r="I38" s="474">
        <f t="shared" si="4"/>
        <v>1.272</v>
      </c>
      <c r="J38" s="61">
        <f t="shared" si="5"/>
        <v>1500</v>
      </c>
      <c r="K38" s="967">
        <f t="shared" si="6"/>
        <v>0.26</v>
      </c>
      <c r="L38" s="967">
        <f t="shared" si="7"/>
        <v>0.39</v>
      </c>
      <c r="M38" s="967">
        <f t="shared" si="8"/>
        <v>4.1996615000000004</v>
      </c>
      <c r="N38" s="54">
        <f t="shared" si="9"/>
        <v>1500</v>
      </c>
      <c r="O38" s="968">
        <f t="shared" si="10"/>
        <v>0.37</v>
      </c>
      <c r="P38" s="968">
        <f t="shared" si="11"/>
        <v>0.55500000000000005</v>
      </c>
      <c r="Q38" s="969">
        <f t="shared" si="12"/>
        <v>5.6794999999999991</v>
      </c>
      <c r="R38" s="247">
        <f t="shared" si="13"/>
        <v>1500</v>
      </c>
      <c r="S38" s="24">
        <f t="shared" si="14"/>
        <v>848</v>
      </c>
      <c r="T38" s="970">
        <f t="shared" si="15"/>
        <v>1.272</v>
      </c>
      <c r="U38" s="971">
        <f t="shared" si="16"/>
        <v>12.850729500000002</v>
      </c>
    </row>
    <row r="39" spans="1:21" x14ac:dyDescent="0.2">
      <c r="A39" s="447">
        <f t="shared" si="0"/>
        <v>2026</v>
      </c>
      <c r="B39" s="403">
        <f t="shared" ref="B39:B47" si="17">B38</f>
        <v>1500</v>
      </c>
      <c r="C39" s="64">
        <f t="shared" si="1"/>
        <v>135823</v>
      </c>
      <c r="D39" s="965">
        <f t="shared" ref="D39:F42" si="18">+D38</f>
        <v>0.26</v>
      </c>
      <c r="E39" s="966">
        <f t="shared" si="18"/>
        <v>0.37</v>
      </c>
      <c r="F39" s="790">
        <f t="shared" si="18"/>
        <v>848</v>
      </c>
      <c r="G39" s="473">
        <f t="shared" si="3"/>
        <v>0.39</v>
      </c>
      <c r="H39" s="474">
        <f t="shared" si="3"/>
        <v>0.55500000000000005</v>
      </c>
      <c r="I39" s="474">
        <f t="shared" si="4"/>
        <v>1.272</v>
      </c>
      <c r="J39" s="61">
        <f t="shared" si="5"/>
        <v>1500</v>
      </c>
      <c r="K39" s="967">
        <f t="shared" si="6"/>
        <v>0.26</v>
      </c>
      <c r="L39" s="967">
        <f t="shared" si="7"/>
        <v>0.39</v>
      </c>
      <c r="M39" s="967">
        <f t="shared" si="8"/>
        <v>4.5896615000000001</v>
      </c>
      <c r="N39" s="54">
        <f t="shared" si="9"/>
        <v>1500</v>
      </c>
      <c r="O39" s="968">
        <f t="shared" si="10"/>
        <v>0.37</v>
      </c>
      <c r="P39" s="968">
        <f t="shared" si="11"/>
        <v>0.55500000000000005</v>
      </c>
      <c r="Q39" s="969">
        <f t="shared" si="12"/>
        <v>6.2344999999999988</v>
      </c>
      <c r="R39" s="247">
        <f>+(B39+B38)/2</f>
        <v>1500</v>
      </c>
      <c r="S39" s="24">
        <f>+F39</f>
        <v>848</v>
      </c>
      <c r="T39" s="970">
        <f>+R39*S39/1000000</f>
        <v>1.272</v>
      </c>
      <c r="U39" s="971">
        <f t="shared" si="16"/>
        <v>14.122729500000002</v>
      </c>
    </row>
    <row r="40" spans="1:21" x14ac:dyDescent="0.2">
      <c r="A40" s="447">
        <f>+A39+1</f>
        <v>2027</v>
      </c>
      <c r="B40" s="403">
        <f t="shared" si="17"/>
        <v>1500</v>
      </c>
      <c r="C40" s="64">
        <f>+C39+B40</f>
        <v>137323</v>
      </c>
      <c r="D40" s="965">
        <f t="shared" si="18"/>
        <v>0.26</v>
      </c>
      <c r="E40" s="966">
        <f t="shared" si="18"/>
        <v>0.37</v>
      </c>
      <c r="F40" s="790">
        <f t="shared" si="18"/>
        <v>848</v>
      </c>
      <c r="G40" s="473">
        <f t="shared" ref="G40:H42" si="19">+$B40*D40/1000</f>
        <v>0.39</v>
      </c>
      <c r="H40" s="474">
        <f t="shared" si="19"/>
        <v>0.55500000000000005</v>
      </c>
      <c r="I40" s="474">
        <f>+$B40*F40/1000000</f>
        <v>1.272</v>
      </c>
      <c r="J40" s="61">
        <f>+(B40+B39)/2</f>
        <v>1500</v>
      </c>
      <c r="K40" s="967">
        <f>+D40</f>
        <v>0.26</v>
      </c>
      <c r="L40" s="967">
        <f>+J40*K40/1000</f>
        <v>0.39</v>
      </c>
      <c r="M40" s="967">
        <f>+M39+L40</f>
        <v>4.9796614999999997</v>
      </c>
      <c r="N40" s="54">
        <f>+B39</f>
        <v>1500</v>
      </c>
      <c r="O40" s="968">
        <f>+E40</f>
        <v>0.37</v>
      </c>
      <c r="P40" s="968">
        <f>+N40*O40/1000</f>
        <v>0.55500000000000005</v>
      </c>
      <c r="Q40" s="969">
        <f>+Q39+P40</f>
        <v>6.7894999999999985</v>
      </c>
      <c r="R40" s="247">
        <f>+(B40+B39)/2</f>
        <v>1500</v>
      </c>
      <c r="S40" s="24">
        <f>+F40</f>
        <v>848</v>
      </c>
      <c r="T40" s="970">
        <f>+R40*S40/1000000</f>
        <v>1.272</v>
      </c>
      <c r="U40" s="971">
        <f>+U39+T40</f>
        <v>15.394729500000002</v>
      </c>
    </row>
    <row r="41" spans="1:21" x14ac:dyDescent="0.2">
      <c r="A41" s="447">
        <f t="shared" si="0"/>
        <v>2028</v>
      </c>
      <c r="B41" s="403">
        <f t="shared" si="17"/>
        <v>1500</v>
      </c>
      <c r="C41" s="64">
        <f>+C40+B41</f>
        <v>138823</v>
      </c>
      <c r="D41" s="965">
        <f>+D40</f>
        <v>0.26</v>
      </c>
      <c r="E41" s="966">
        <f>+E40</f>
        <v>0.37</v>
      </c>
      <c r="F41" s="790">
        <f>+F40</f>
        <v>848</v>
      </c>
      <c r="G41" s="473">
        <f t="shared" si="19"/>
        <v>0.39</v>
      </c>
      <c r="H41" s="474">
        <f t="shared" si="19"/>
        <v>0.55500000000000005</v>
      </c>
      <c r="I41" s="474">
        <f>+$B41*F41/1000000</f>
        <v>1.272</v>
      </c>
      <c r="J41" s="61">
        <f>+(B41+B40)/2</f>
        <v>1500</v>
      </c>
      <c r="K41" s="967">
        <f>+D41</f>
        <v>0.26</v>
      </c>
      <c r="L41" s="967">
        <f>+J41*K41/1000</f>
        <v>0.39</v>
      </c>
      <c r="M41" s="967">
        <f>+M40+L41</f>
        <v>5.3696614999999994</v>
      </c>
      <c r="N41" s="54">
        <f>+B40</f>
        <v>1500</v>
      </c>
      <c r="O41" s="968">
        <f>+E41</f>
        <v>0.37</v>
      </c>
      <c r="P41" s="968">
        <f>+N41*O41/1000</f>
        <v>0.55500000000000005</v>
      </c>
      <c r="Q41" s="969">
        <f>+Q40+P41</f>
        <v>7.3444999999999983</v>
      </c>
      <c r="R41" s="247">
        <f>+(B41+B40)/2</f>
        <v>1500</v>
      </c>
      <c r="S41" s="24">
        <f>+F41</f>
        <v>848</v>
      </c>
      <c r="T41" s="970">
        <f>+R41*S41/1000000</f>
        <v>1.272</v>
      </c>
      <c r="U41" s="971">
        <f>+U40+T41</f>
        <v>16.666729500000002</v>
      </c>
    </row>
    <row r="42" spans="1:21" x14ac:dyDescent="0.2">
      <c r="A42" s="447">
        <f t="shared" si="0"/>
        <v>2029</v>
      </c>
      <c r="B42" s="403">
        <f t="shared" si="17"/>
        <v>1500</v>
      </c>
      <c r="C42" s="64">
        <f>+C41+B42</f>
        <v>140323</v>
      </c>
      <c r="D42" s="965">
        <f t="shared" si="18"/>
        <v>0.26</v>
      </c>
      <c r="E42" s="966">
        <f t="shared" si="18"/>
        <v>0.37</v>
      </c>
      <c r="F42" s="790">
        <f t="shared" si="18"/>
        <v>848</v>
      </c>
      <c r="G42" s="473">
        <f t="shared" si="19"/>
        <v>0.39</v>
      </c>
      <c r="H42" s="474">
        <f t="shared" si="19"/>
        <v>0.55500000000000005</v>
      </c>
      <c r="I42" s="474">
        <f>+$B42*F42/1000000</f>
        <v>1.272</v>
      </c>
      <c r="J42" s="61">
        <f>+(B42+B41)/2</f>
        <v>1500</v>
      </c>
      <c r="K42" s="967">
        <f>+D42</f>
        <v>0.26</v>
      </c>
      <c r="L42" s="967">
        <f>+J42*K42/1000</f>
        <v>0.39</v>
      </c>
      <c r="M42" s="967">
        <f>+M41+L42</f>
        <v>5.7596614999999991</v>
      </c>
      <c r="N42" s="54">
        <f>+B41</f>
        <v>1500</v>
      </c>
      <c r="O42" s="968">
        <f>+E42</f>
        <v>0.37</v>
      </c>
      <c r="P42" s="968">
        <f>+N42*O42/1000</f>
        <v>0.55500000000000005</v>
      </c>
      <c r="Q42" s="969">
        <f>+Q41+P42</f>
        <v>7.899499999999998</v>
      </c>
      <c r="R42" s="247">
        <f>+(B42+B41)/2</f>
        <v>1500</v>
      </c>
      <c r="S42" s="24">
        <f>+F42</f>
        <v>848</v>
      </c>
      <c r="T42" s="970">
        <f>+R42*S42/1000000</f>
        <v>1.272</v>
      </c>
      <c r="U42" s="971">
        <f>+U41+T42</f>
        <v>17.938729500000001</v>
      </c>
    </row>
    <row r="43" spans="1:21" x14ac:dyDescent="0.2">
      <c r="A43" s="447">
        <f t="shared" si="0"/>
        <v>2030</v>
      </c>
      <c r="B43" s="403">
        <f t="shared" si="17"/>
        <v>1500</v>
      </c>
      <c r="C43" s="64">
        <f t="shared" ref="C43:C47" si="20">+C42+B43</f>
        <v>141823</v>
      </c>
      <c r="D43" s="965">
        <f t="shared" ref="D43:F43" si="21">+D42</f>
        <v>0.26</v>
      </c>
      <c r="E43" s="966">
        <f t="shared" si="21"/>
        <v>0.37</v>
      </c>
      <c r="F43" s="790">
        <f t="shared" si="21"/>
        <v>848</v>
      </c>
      <c r="G43" s="473">
        <f t="shared" ref="G43:G47" si="22">+$B43*D43/1000</f>
        <v>0.39</v>
      </c>
      <c r="H43" s="474">
        <f t="shared" ref="H43:H47" si="23">+$B43*E43/1000</f>
        <v>0.55500000000000005</v>
      </c>
      <c r="I43" s="474">
        <f t="shared" ref="I43:I47" si="24">+$B43*F43/1000000</f>
        <v>1.272</v>
      </c>
      <c r="J43" s="61">
        <f t="shared" ref="J43:J47" si="25">+(B43+B42)/2</f>
        <v>1500</v>
      </c>
      <c r="K43" s="967">
        <f t="shared" ref="K43:K47" si="26">+D43</f>
        <v>0.26</v>
      </c>
      <c r="L43" s="967">
        <f t="shared" ref="L43:L47" si="27">+J43*K43/1000</f>
        <v>0.39</v>
      </c>
      <c r="M43" s="967">
        <f t="shared" ref="M43:M47" si="28">+M42+L43</f>
        <v>6.1496614999999988</v>
      </c>
      <c r="N43" s="54">
        <f t="shared" ref="N43:N47" si="29">+B42</f>
        <v>1500</v>
      </c>
      <c r="O43" s="968">
        <f t="shared" ref="O43:O47" si="30">+E43</f>
        <v>0.37</v>
      </c>
      <c r="P43" s="968">
        <f t="shared" ref="P43:P47" si="31">+N43*O43/1000</f>
        <v>0.55500000000000005</v>
      </c>
      <c r="Q43" s="969">
        <f t="shared" ref="Q43:Q47" si="32">+Q42+P43</f>
        <v>8.4544999999999977</v>
      </c>
      <c r="R43" s="247">
        <f t="shared" ref="R43:R47" si="33">+(B43+B42)/2</f>
        <v>1500</v>
      </c>
      <c r="S43" s="24">
        <f t="shared" ref="S43:S47" si="34">+F43</f>
        <v>848</v>
      </c>
      <c r="T43" s="970">
        <f t="shared" ref="T43:T47" si="35">+R43*S43/1000000</f>
        <v>1.272</v>
      </c>
      <c r="U43" s="971">
        <f t="shared" ref="U43:U47" si="36">+U42+T43</f>
        <v>19.210729499999999</v>
      </c>
    </row>
    <row r="44" spans="1:21" x14ac:dyDescent="0.2">
      <c r="A44" s="447">
        <f t="shared" si="0"/>
        <v>2031</v>
      </c>
      <c r="B44" s="403">
        <f t="shared" si="17"/>
        <v>1500</v>
      </c>
      <c r="C44" s="64">
        <f t="shared" si="20"/>
        <v>143323</v>
      </c>
      <c r="D44" s="965">
        <f t="shared" ref="D44:F44" si="37">+D43</f>
        <v>0.26</v>
      </c>
      <c r="E44" s="966">
        <f t="shared" si="37"/>
        <v>0.37</v>
      </c>
      <c r="F44" s="790">
        <f t="shared" si="37"/>
        <v>848</v>
      </c>
      <c r="G44" s="473">
        <f t="shared" si="22"/>
        <v>0.39</v>
      </c>
      <c r="H44" s="474">
        <f t="shared" si="23"/>
        <v>0.55500000000000005</v>
      </c>
      <c r="I44" s="474">
        <f t="shared" si="24"/>
        <v>1.272</v>
      </c>
      <c r="J44" s="61">
        <f t="shared" si="25"/>
        <v>1500</v>
      </c>
      <c r="K44" s="967">
        <f t="shared" si="26"/>
        <v>0.26</v>
      </c>
      <c r="L44" s="967">
        <f t="shared" si="27"/>
        <v>0.39</v>
      </c>
      <c r="M44" s="967">
        <f t="shared" si="28"/>
        <v>6.5396614999999985</v>
      </c>
      <c r="N44" s="54">
        <f t="shared" si="29"/>
        <v>1500</v>
      </c>
      <c r="O44" s="968">
        <f t="shared" si="30"/>
        <v>0.37</v>
      </c>
      <c r="P44" s="968">
        <f t="shared" si="31"/>
        <v>0.55500000000000005</v>
      </c>
      <c r="Q44" s="969">
        <f t="shared" si="32"/>
        <v>9.0094999999999974</v>
      </c>
      <c r="R44" s="247">
        <f t="shared" si="33"/>
        <v>1500</v>
      </c>
      <c r="S44" s="24">
        <f t="shared" si="34"/>
        <v>848</v>
      </c>
      <c r="T44" s="970">
        <f t="shared" si="35"/>
        <v>1.272</v>
      </c>
      <c r="U44" s="971">
        <f t="shared" si="36"/>
        <v>20.482729499999998</v>
      </c>
    </row>
    <row r="45" spans="1:21" x14ac:dyDescent="0.2">
      <c r="A45" s="447">
        <f t="shared" si="0"/>
        <v>2032</v>
      </c>
      <c r="B45" s="403">
        <f t="shared" si="17"/>
        <v>1500</v>
      </c>
      <c r="C45" s="64">
        <f t="shared" si="20"/>
        <v>144823</v>
      </c>
      <c r="D45" s="965">
        <f t="shared" ref="D45:F45" si="38">+D44</f>
        <v>0.26</v>
      </c>
      <c r="E45" s="966">
        <f t="shared" si="38"/>
        <v>0.37</v>
      </c>
      <c r="F45" s="790">
        <f t="shared" si="38"/>
        <v>848</v>
      </c>
      <c r="G45" s="473">
        <f t="shared" si="22"/>
        <v>0.39</v>
      </c>
      <c r="H45" s="474">
        <f t="shared" si="23"/>
        <v>0.55500000000000005</v>
      </c>
      <c r="I45" s="474">
        <f t="shared" si="24"/>
        <v>1.272</v>
      </c>
      <c r="J45" s="61">
        <f t="shared" si="25"/>
        <v>1500</v>
      </c>
      <c r="K45" s="967">
        <f t="shared" si="26"/>
        <v>0.26</v>
      </c>
      <c r="L45" s="967">
        <f t="shared" si="27"/>
        <v>0.39</v>
      </c>
      <c r="M45" s="967">
        <f t="shared" si="28"/>
        <v>6.9296614999999981</v>
      </c>
      <c r="N45" s="54">
        <f t="shared" si="29"/>
        <v>1500</v>
      </c>
      <c r="O45" s="968">
        <f t="shared" si="30"/>
        <v>0.37</v>
      </c>
      <c r="P45" s="968">
        <f t="shared" si="31"/>
        <v>0.55500000000000005</v>
      </c>
      <c r="Q45" s="969">
        <f t="shared" si="32"/>
        <v>9.5644999999999971</v>
      </c>
      <c r="R45" s="247">
        <f t="shared" si="33"/>
        <v>1500</v>
      </c>
      <c r="S45" s="24">
        <f t="shared" si="34"/>
        <v>848</v>
      </c>
      <c r="T45" s="970">
        <f t="shared" si="35"/>
        <v>1.272</v>
      </c>
      <c r="U45" s="971">
        <f t="shared" si="36"/>
        <v>21.754729499999996</v>
      </c>
    </row>
    <row r="46" spans="1:21" x14ac:dyDescent="0.2">
      <c r="A46" s="447">
        <f t="shared" si="0"/>
        <v>2033</v>
      </c>
      <c r="B46" s="403">
        <f t="shared" si="17"/>
        <v>1500</v>
      </c>
      <c r="C46" s="64">
        <f t="shared" si="20"/>
        <v>146323</v>
      </c>
      <c r="D46" s="965">
        <f t="shared" ref="D46:F46" si="39">+D45</f>
        <v>0.26</v>
      </c>
      <c r="E46" s="966">
        <f t="shared" si="39"/>
        <v>0.37</v>
      </c>
      <c r="F46" s="790">
        <f t="shared" si="39"/>
        <v>848</v>
      </c>
      <c r="G46" s="473">
        <f t="shared" si="22"/>
        <v>0.39</v>
      </c>
      <c r="H46" s="474">
        <f t="shared" si="23"/>
        <v>0.55500000000000005</v>
      </c>
      <c r="I46" s="474">
        <f t="shared" si="24"/>
        <v>1.272</v>
      </c>
      <c r="J46" s="61">
        <f t="shared" si="25"/>
        <v>1500</v>
      </c>
      <c r="K46" s="967">
        <f t="shared" si="26"/>
        <v>0.26</v>
      </c>
      <c r="L46" s="967">
        <f t="shared" si="27"/>
        <v>0.39</v>
      </c>
      <c r="M46" s="967">
        <f t="shared" si="28"/>
        <v>7.3196614999999978</v>
      </c>
      <c r="N46" s="54">
        <f t="shared" si="29"/>
        <v>1500</v>
      </c>
      <c r="O46" s="968">
        <f t="shared" si="30"/>
        <v>0.37</v>
      </c>
      <c r="P46" s="968">
        <f t="shared" si="31"/>
        <v>0.55500000000000005</v>
      </c>
      <c r="Q46" s="969">
        <f t="shared" si="32"/>
        <v>10.119499999999997</v>
      </c>
      <c r="R46" s="247">
        <f t="shared" si="33"/>
        <v>1500</v>
      </c>
      <c r="S46" s="24">
        <f t="shared" si="34"/>
        <v>848</v>
      </c>
      <c r="T46" s="970">
        <f t="shared" si="35"/>
        <v>1.272</v>
      </c>
      <c r="U46" s="971">
        <f t="shared" si="36"/>
        <v>23.026729499999995</v>
      </c>
    </row>
    <row r="47" spans="1:21" x14ac:dyDescent="0.2">
      <c r="A47" s="447">
        <f t="shared" si="0"/>
        <v>2034</v>
      </c>
      <c r="B47" s="403">
        <f t="shared" si="17"/>
        <v>1500</v>
      </c>
      <c r="C47" s="64">
        <f t="shared" si="20"/>
        <v>147823</v>
      </c>
      <c r="D47" s="965">
        <f t="shared" ref="D47:F47" si="40">+D46</f>
        <v>0.26</v>
      </c>
      <c r="E47" s="966">
        <f t="shared" si="40"/>
        <v>0.37</v>
      </c>
      <c r="F47" s="790">
        <f t="shared" si="40"/>
        <v>848</v>
      </c>
      <c r="G47" s="473">
        <f t="shared" si="22"/>
        <v>0.39</v>
      </c>
      <c r="H47" s="474">
        <f t="shared" si="23"/>
        <v>0.55500000000000005</v>
      </c>
      <c r="I47" s="474">
        <f t="shared" si="24"/>
        <v>1.272</v>
      </c>
      <c r="J47" s="61">
        <f t="shared" si="25"/>
        <v>1500</v>
      </c>
      <c r="K47" s="967">
        <f t="shared" si="26"/>
        <v>0.26</v>
      </c>
      <c r="L47" s="967">
        <f t="shared" si="27"/>
        <v>0.39</v>
      </c>
      <c r="M47" s="967">
        <f t="shared" si="28"/>
        <v>7.7096614999999975</v>
      </c>
      <c r="N47" s="54">
        <f t="shared" si="29"/>
        <v>1500</v>
      </c>
      <c r="O47" s="968">
        <f t="shared" si="30"/>
        <v>0.37</v>
      </c>
      <c r="P47" s="968">
        <f t="shared" si="31"/>
        <v>0.55500000000000005</v>
      </c>
      <c r="Q47" s="969">
        <f t="shared" si="32"/>
        <v>10.674499999999997</v>
      </c>
      <c r="R47" s="247">
        <f t="shared" si="33"/>
        <v>1500</v>
      </c>
      <c r="S47" s="24">
        <f t="shared" si="34"/>
        <v>848</v>
      </c>
      <c r="T47" s="970">
        <f t="shared" si="35"/>
        <v>1.272</v>
      </c>
      <c r="U47" s="971">
        <f t="shared" si="36"/>
        <v>24.298729499999993</v>
      </c>
    </row>
    <row r="48" spans="1:21" x14ac:dyDescent="0.2">
      <c r="A48" s="447">
        <f t="shared" si="0"/>
        <v>2035</v>
      </c>
      <c r="B48" s="403">
        <f>B47</f>
        <v>1500</v>
      </c>
      <c r="C48" s="64">
        <f t="shared" ref="C48:C54" si="41">+C47+B48</f>
        <v>149323</v>
      </c>
      <c r="D48" s="965">
        <f t="shared" ref="D48:F48" si="42">+D47</f>
        <v>0.26</v>
      </c>
      <c r="E48" s="966">
        <f t="shared" si="42"/>
        <v>0.37</v>
      </c>
      <c r="F48" s="790">
        <f t="shared" si="42"/>
        <v>848</v>
      </c>
      <c r="G48" s="473">
        <f t="shared" ref="G48:G54" si="43">+$B48*D48/1000</f>
        <v>0.39</v>
      </c>
      <c r="H48" s="474">
        <f t="shared" ref="H48:H54" si="44">+$B48*E48/1000</f>
        <v>0.55500000000000005</v>
      </c>
      <c r="I48" s="474">
        <f t="shared" ref="I48:I54" si="45">+$B48*F48/1000000</f>
        <v>1.272</v>
      </c>
      <c r="J48" s="61">
        <f t="shared" ref="J48:J54" si="46">+(B48+B47)/2</f>
        <v>1500</v>
      </c>
      <c r="K48" s="967">
        <f t="shared" ref="K48:K54" si="47">+D48</f>
        <v>0.26</v>
      </c>
      <c r="L48" s="967">
        <f t="shared" ref="L48:L54" si="48">+J48*K48/1000</f>
        <v>0.39</v>
      </c>
      <c r="M48" s="967">
        <f t="shared" ref="M48:M54" si="49">+M47+L48</f>
        <v>8.0996614999999981</v>
      </c>
      <c r="N48" s="54">
        <f t="shared" ref="N48:N54" si="50">+B47</f>
        <v>1500</v>
      </c>
      <c r="O48" s="968">
        <f t="shared" ref="O48:O54" si="51">+E48</f>
        <v>0.37</v>
      </c>
      <c r="P48" s="968">
        <f t="shared" ref="P48:P54" si="52">+N48*O48/1000</f>
        <v>0.55500000000000005</v>
      </c>
      <c r="Q48" s="969">
        <f t="shared" ref="Q48:Q54" si="53">+Q47+P48</f>
        <v>11.229499999999996</v>
      </c>
      <c r="R48" s="247">
        <f t="shared" ref="R48:R54" si="54">+(B48+B47)/2</f>
        <v>1500</v>
      </c>
      <c r="S48" s="24">
        <f t="shared" ref="S48:S54" si="55">+F48</f>
        <v>848</v>
      </c>
      <c r="T48" s="970">
        <f t="shared" ref="T48:T54" si="56">+R48*S48/1000000</f>
        <v>1.272</v>
      </c>
      <c r="U48" s="971">
        <f t="shared" ref="U48:U54" si="57">+U47+T48</f>
        <v>25.570729499999992</v>
      </c>
    </row>
    <row r="49" spans="1:21" x14ac:dyDescent="0.2">
      <c r="A49" s="447">
        <f t="shared" si="0"/>
        <v>2036</v>
      </c>
      <c r="B49" s="403">
        <f t="shared" ref="B49:B54" si="58">B48</f>
        <v>1500</v>
      </c>
      <c r="C49" s="64">
        <f t="shared" si="41"/>
        <v>150823</v>
      </c>
      <c r="D49" s="965">
        <f t="shared" ref="D49:F49" si="59">+D48</f>
        <v>0.26</v>
      </c>
      <c r="E49" s="966">
        <f t="shared" si="59"/>
        <v>0.37</v>
      </c>
      <c r="F49" s="790">
        <f t="shared" si="59"/>
        <v>848</v>
      </c>
      <c r="G49" s="473">
        <f t="shared" si="43"/>
        <v>0.39</v>
      </c>
      <c r="H49" s="474">
        <f t="shared" si="44"/>
        <v>0.55500000000000005</v>
      </c>
      <c r="I49" s="474">
        <f t="shared" si="45"/>
        <v>1.272</v>
      </c>
      <c r="J49" s="61">
        <f t="shared" si="46"/>
        <v>1500</v>
      </c>
      <c r="K49" s="967">
        <f t="shared" si="47"/>
        <v>0.26</v>
      </c>
      <c r="L49" s="967">
        <f t="shared" si="48"/>
        <v>0.39</v>
      </c>
      <c r="M49" s="967">
        <f t="shared" si="49"/>
        <v>8.4896614999999986</v>
      </c>
      <c r="N49" s="54">
        <f t="shared" si="50"/>
        <v>1500</v>
      </c>
      <c r="O49" s="968">
        <f t="shared" si="51"/>
        <v>0.37</v>
      </c>
      <c r="P49" s="968">
        <f t="shared" si="52"/>
        <v>0.55500000000000005</v>
      </c>
      <c r="Q49" s="969">
        <f t="shared" si="53"/>
        <v>11.784499999999996</v>
      </c>
      <c r="R49" s="247">
        <f t="shared" si="54"/>
        <v>1500</v>
      </c>
      <c r="S49" s="24">
        <f t="shared" si="55"/>
        <v>848</v>
      </c>
      <c r="T49" s="970">
        <f t="shared" si="56"/>
        <v>1.272</v>
      </c>
      <c r="U49" s="971">
        <f t="shared" si="57"/>
        <v>26.84272949999999</v>
      </c>
    </row>
    <row r="50" spans="1:21" x14ac:dyDescent="0.2">
      <c r="A50" s="447">
        <f t="shared" si="0"/>
        <v>2037</v>
      </c>
      <c r="B50" s="403">
        <f t="shared" si="58"/>
        <v>1500</v>
      </c>
      <c r="C50" s="64">
        <f t="shared" si="41"/>
        <v>152323</v>
      </c>
      <c r="D50" s="965">
        <f t="shared" ref="D50:F50" si="60">+D49</f>
        <v>0.26</v>
      </c>
      <c r="E50" s="966">
        <f t="shared" si="60"/>
        <v>0.37</v>
      </c>
      <c r="F50" s="790">
        <f t="shared" si="60"/>
        <v>848</v>
      </c>
      <c r="G50" s="473">
        <f t="shared" si="43"/>
        <v>0.39</v>
      </c>
      <c r="H50" s="474">
        <f t="shared" si="44"/>
        <v>0.55500000000000005</v>
      </c>
      <c r="I50" s="474">
        <f t="shared" si="45"/>
        <v>1.272</v>
      </c>
      <c r="J50" s="61">
        <f t="shared" si="46"/>
        <v>1500</v>
      </c>
      <c r="K50" s="967">
        <f t="shared" si="47"/>
        <v>0.26</v>
      </c>
      <c r="L50" s="967">
        <f t="shared" si="48"/>
        <v>0.39</v>
      </c>
      <c r="M50" s="967">
        <f t="shared" si="49"/>
        <v>8.8796614999999992</v>
      </c>
      <c r="N50" s="54">
        <f t="shared" si="50"/>
        <v>1500</v>
      </c>
      <c r="O50" s="968">
        <f t="shared" si="51"/>
        <v>0.37</v>
      </c>
      <c r="P50" s="968">
        <f t="shared" si="52"/>
        <v>0.55500000000000005</v>
      </c>
      <c r="Q50" s="969">
        <f t="shared" si="53"/>
        <v>12.339499999999996</v>
      </c>
      <c r="R50" s="247">
        <f t="shared" si="54"/>
        <v>1500</v>
      </c>
      <c r="S50" s="24">
        <f t="shared" si="55"/>
        <v>848</v>
      </c>
      <c r="T50" s="970">
        <f t="shared" si="56"/>
        <v>1.272</v>
      </c>
      <c r="U50" s="971">
        <f t="shared" si="57"/>
        <v>28.114729499999989</v>
      </c>
    </row>
    <row r="51" spans="1:21" x14ac:dyDescent="0.2">
      <c r="A51" s="447">
        <f t="shared" si="0"/>
        <v>2038</v>
      </c>
      <c r="B51" s="403">
        <f t="shared" si="58"/>
        <v>1500</v>
      </c>
      <c r="C51" s="64">
        <f t="shared" si="41"/>
        <v>153823</v>
      </c>
      <c r="D51" s="965">
        <f t="shared" ref="D51:F51" si="61">+D50</f>
        <v>0.26</v>
      </c>
      <c r="E51" s="966">
        <f t="shared" si="61"/>
        <v>0.37</v>
      </c>
      <c r="F51" s="790">
        <f t="shared" si="61"/>
        <v>848</v>
      </c>
      <c r="G51" s="473">
        <f t="shared" si="43"/>
        <v>0.39</v>
      </c>
      <c r="H51" s="474">
        <f t="shared" si="44"/>
        <v>0.55500000000000005</v>
      </c>
      <c r="I51" s="474">
        <f t="shared" si="45"/>
        <v>1.272</v>
      </c>
      <c r="J51" s="61">
        <f t="shared" si="46"/>
        <v>1500</v>
      </c>
      <c r="K51" s="967">
        <f t="shared" si="47"/>
        <v>0.26</v>
      </c>
      <c r="L51" s="967">
        <f t="shared" si="48"/>
        <v>0.39</v>
      </c>
      <c r="M51" s="967">
        <f t="shared" si="49"/>
        <v>9.2696614999999998</v>
      </c>
      <c r="N51" s="54">
        <f t="shared" si="50"/>
        <v>1500</v>
      </c>
      <c r="O51" s="968">
        <f t="shared" si="51"/>
        <v>0.37</v>
      </c>
      <c r="P51" s="968">
        <f t="shared" si="52"/>
        <v>0.55500000000000005</v>
      </c>
      <c r="Q51" s="969">
        <f t="shared" si="53"/>
        <v>12.894499999999995</v>
      </c>
      <c r="R51" s="247">
        <f t="shared" si="54"/>
        <v>1500</v>
      </c>
      <c r="S51" s="24">
        <f t="shared" si="55"/>
        <v>848</v>
      </c>
      <c r="T51" s="970">
        <f t="shared" si="56"/>
        <v>1.272</v>
      </c>
      <c r="U51" s="971">
        <f t="shared" si="57"/>
        <v>29.386729499999987</v>
      </c>
    </row>
    <row r="52" spans="1:21" x14ac:dyDescent="0.2">
      <c r="A52" s="447">
        <f t="shared" si="0"/>
        <v>2039</v>
      </c>
      <c r="B52" s="403">
        <f t="shared" si="58"/>
        <v>1500</v>
      </c>
      <c r="C52" s="64">
        <f t="shared" si="41"/>
        <v>155323</v>
      </c>
      <c r="D52" s="965">
        <f t="shared" ref="D52:F52" si="62">+D51</f>
        <v>0.26</v>
      </c>
      <c r="E52" s="966">
        <f t="shared" si="62"/>
        <v>0.37</v>
      </c>
      <c r="F52" s="790">
        <f t="shared" si="62"/>
        <v>848</v>
      </c>
      <c r="G52" s="473">
        <f t="shared" si="43"/>
        <v>0.39</v>
      </c>
      <c r="H52" s="474">
        <f t="shared" si="44"/>
        <v>0.55500000000000005</v>
      </c>
      <c r="I52" s="474">
        <f t="shared" si="45"/>
        <v>1.272</v>
      </c>
      <c r="J52" s="61">
        <f t="shared" si="46"/>
        <v>1500</v>
      </c>
      <c r="K52" s="967">
        <f t="shared" si="47"/>
        <v>0.26</v>
      </c>
      <c r="L52" s="967">
        <f t="shared" si="48"/>
        <v>0.39</v>
      </c>
      <c r="M52" s="967">
        <f t="shared" si="49"/>
        <v>9.6596615000000003</v>
      </c>
      <c r="N52" s="54">
        <f t="shared" si="50"/>
        <v>1500</v>
      </c>
      <c r="O52" s="968">
        <f t="shared" si="51"/>
        <v>0.37</v>
      </c>
      <c r="P52" s="968">
        <f t="shared" si="52"/>
        <v>0.55500000000000005</v>
      </c>
      <c r="Q52" s="969">
        <f t="shared" si="53"/>
        <v>13.449499999999995</v>
      </c>
      <c r="R52" s="247">
        <f t="shared" si="54"/>
        <v>1500</v>
      </c>
      <c r="S52" s="24">
        <f t="shared" si="55"/>
        <v>848</v>
      </c>
      <c r="T52" s="970">
        <f t="shared" si="56"/>
        <v>1.272</v>
      </c>
      <c r="U52" s="971">
        <f t="shared" si="57"/>
        <v>30.658729499999986</v>
      </c>
    </row>
    <row r="53" spans="1:21" x14ac:dyDescent="0.2">
      <c r="A53" s="447">
        <f t="shared" si="0"/>
        <v>2040</v>
      </c>
      <c r="B53" s="403">
        <f t="shared" si="58"/>
        <v>1500</v>
      </c>
      <c r="C53" s="64">
        <f t="shared" si="41"/>
        <v>156823</v>
      </c>
      <c r="D53" s="965">
        <f t="shared" ref="D53:F53" si="63">+D52</f>
        <v>0.26</v>
      </c>
      <c r="E53" s="966">
        <f t="shared" si="63"/>
        <v>0.37</v>
      </c>
      <c r="F53" s="790">
        <f t="shared" si="63"/>
        <v>848</v>
      </c>
      <c r="G53" s="473">
        <f t="shared" si="43"/>
        <v>0.39</v>
      </c>
      <c r="H53" s="474">
        <f t="shared" si="44"/>
        <v>0.55500000000000005</v>
      </c>
      <c r="I53" s="474">
        <f t="shared" si="45"/>
        <v>1.272</v>
      </c>
      <c r="J53" s="61">
        <f t="shared" si="46"/>
        <v>1500</v>
      </c>
      <c r="K53" s="967">
        <f t="shared" si="47"/>
        <v>0.26</v>
      </c>
      <c r="L53" s="967">
        <f t="shared" si="48"/>
        <v>0.39</v>
      </c>
      <c r="M53" s="967">
        <f t="shared" si="49"/>
        <v>10.049661500000001</v>
      </c>
      <c r="N53" s="54">
        <f t="shared" si="50"/>
        <v>1500</v>
      </c>
      <c r="O53" s="968">
        <f t="shared" si="51"/>
        <v>0.37</v>
      </c>
      <c r="P53" s="968">
        <f t="shared" si="52"/>
        <v>0.55500000000000005</v>
      </c>
      <c r="Q53" s="969">
        <f t="shared" si="53"/>
        <v>14.004499999999995</v>
      </c>
      <c r="R53" s="247">
        <f t="shared" si="54"/>
        <v>1500</v>
      </c>
      <c r="S53" s="24">
        <f t="shared" si="55"/>
        <v>848</v>
      </c>
      <c r="T53" s="970">
        <f t="shared" si="56"/>
        <v>1.272</v>
      </c>
      <c r="U53" s="971">
        <f t="shared" si="57"/>
        <v>31.930729499999984</v>
      </c>
    </row>
    <row r="54" spans="1:21" x14ac:dyDescent="0.2">
      <c r="A54" s="447">
        <f t="shared" si="0"/>
        <v>2041</v>
      </c>
      <c r="B54" s="403">
        <f t="shared" si="58"/>
        <v>1500</v>
      </c>
      <c r="C54" s="64">
        <f t="shared" si="41"/>
        <v>158323</v>
      </c>
      <c r="D54" s="965">
        <f t="shared" ref="D54:F54" si="64">+D53</f>
        <v>0.26</v>
      </c>
      <c r="E54" s="966">
        <f t="shared" si="64"/>
        <v>0.37</v>
      </c>
      <c r="F54" s="790">
        <f t="shared" si="64"/>
        <v>848</v>
      </c>
      <c r="G54" s="473">
        <f t="shared" si="43"/>
        <v>0.39</v>
      </c>
      <c r="H54" s="474">
        <f t="shared" si="44"/>
        <v>0.55500000000000005</v>
      </c>
      <c r="I54" s="474">
        <f t="shared" si="45"/>
        <v>1.272</v>
      </c>
      <c r="J54" s="61">
        <f t="shared" si="46"/>
        <v>1500</v>
      </c>
      <c r="K54" s="967">
        <f t="shared" si="47"/>
        <v>0.26</v>
      </c>
      <c r="L54" s="967">
        <f t="shared" si="48"/>
        <v>0.39</v>
      </c>
      <c r="M54" s="967">
        <f t="shared" si="49"/>
        <v>10.439661500000001</v>
      </c>
      <c r="N54" s="54">
        <f t="shared" si="50"/>
        <v>1500</v>
      </c>
      <c r="O54" s="968">
        <f t="shared" si="51"/>
        <v>0.37</v>
      </c>
      <c r="P54" s="968">
        <f t="shared" si="52"/>
        <v>0.55500000000000005</v>
      </c>
      <c r="Q54" s="969">
        <f t="shared" si="53"/>
        <v>14.559499999999995</v>
      </c>
      <c r="R54" s="247">
        <f t="shared" si="54"/>
        <v>1500</v>
      </c>
      <c r="S54" s="24">
        <f t="shared" si="55"/>
        <v>848</v>
      </c>
      <c r="T54" s="970">
        <f t="shared" si="56"/>
        <v>1.272</v>
      </c>
      <c r="U54" s="971">
        <f t="shared" si="57"/>
        <v>33.202729499999982</v>
      </c>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s="45" t="s">
        <v>385</v>
      </c>
    </row>
    <row r="62" spans="1:21" x14ac:dyDescent="0.2">
      <c r="A62">
        <v>2015</v>
      </c>
      <c r="D62" s="1013">
        <f>822.143/B28</f>
        <v>0.26893784756297023</v>
      </c>
      <c r="E62" s="161">
        <f>1159.29/B28</f>
        <v>0.37922473012757607</v>
      </c>
      <c r="F62" s="161">
        <f>988195/B28</f>
        <v>323.25646058227022</v>
      </c>
    </row>
  </sheetData>
  <mergeCells count="5">
    <mergeCell ref="G3:I3"/>
    <mergeCell ref="B4:I4"/>
    <mergeCell ref="J4:M4"/>
    <mergeCell ref="N4:Q4"/>
    <mergeCell ref="R4:U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00FFFF"/>
    <pageSetUpPr fitToPage="1"/>
  </sheetPr>
  <dimension ref="A1:Y77"/>
  <sheetViews>
    <sheetView workbookViewId="0">
      <pane xSplit="1" ySplit="5" topLeftCell="B14" activePane="bottomRight" state="frozen"/>
      <selection activeCell="B36" sqref="B36"/>
      <selection pane="topRight" activeCell="B36" sqref="B36"/>
      <selection pane="bottomLeft" activeCell="B36" sqref="B36"/>
      <selection pane="bottomRight" activeCell="B30" sqref="B30"/>
    </sheetView>
  </sheetViews>
  <sheetFormatPr defaultRowHeight="12.75" x14ac:dyDescent="0.2"/>
  <cols>
    <col min="1" max="1" width="11.28515625" customWidth="1"/>
    <col min="2" max="4" width="10.7109375" customWidth="1"/>
    <col min="5" max="5" width="11" customWidth="1"/>
    <col min="6" max="6" width="10.5703125" customWidth="1"/>
    <col min="7" max="7" width="10.28515625" customWidth="1"/>
    <col min="8" max="10" width="10.7109375" customWidth="1"/>
    <col min="11" max="13" width="10.42578125" customWidth="1"/>
    <col min="14" max="14" width="11.28515625" customWidth="1"/>
    <col min="15" max="17" width="10.42578125" customWidth="1"/>
    <col min="18" max="18" width="11.42578125" customWidth="1"/>
    <col min="19" max="21" width="10.42578125" customWidth="1"/>
  </cols>
  <sheetData>
    <row r="1" spans="1:25" ht="15.75" x14ac:dyDescent="0.25">
      <c r="A1" s="4" t="str">
        <f>'RES Audit Alt'!A1</f>
        <v>Conservation Savings @ Meter</v>
      </c>
      <c r="B1" s="4"/>
      <c r="C1" s="4"/>
      <c r="D1" s="4"/>
      <c r="E1" s="4"/>
      <c r="F1" s="4"/>
      <c r="G1" s="249"/>
      <c r="H1" s="249"/>
      <c r="I1" s="249"/>
      <c r="J1" s="4"/>
      <c r="K1" s="4"/>
      <c r="L1" s="4"/>
      <c r="M1" s="4"/>
      <c r="N1" s="4"/>
    </row>
    <row r="2" spans="1:25" ht="16.5" thickBot="1" x14ac:dyDescent="0.3">
      <c r="A2" s="5" t="str">
        <f>'RES Audit Alt'!A2</f>
        <v>PROGRAM:</v>
      </c>
      <c r="B2" s="27" t="s">
        <v>322</v>
      </c>
      <c r="C2" s="27"/>
      <c r="D2" s="27"/>
      <c r="E2" s="27"/>
      <c r="F2" s="23"/>
      <c r="G2" s="23"/>
      <c r="J2" s="4"/>
      <c r="K2" s="4"/>
      <c r="L2" s="4"/>
      <c r="M2" s="4"/>
      <c r="N2" s="4"/>
      <c r="T2" s="168"/>
    </row>
    <row r="3" spans="1:25" ht="16.5" thickBot="1" x14ac:dyDescent="0.3">
      <c r="A3" s="4"/>
      <c r="B3" s="4"/>
      <c r="C3" s="4"/>
      <c r="D3" s="4"/>
      <c r="E3" s="4"/>
      <c r="F3" s="4"/>
      <c r="G3" s="1463" t="s">
        <v>20</v>
      </c>
      <c r="H3" s="1464"/>
      <c r="I3" s="1465"/>
      <c r="J3" s="4"/>
      <c r="K3" s="4"/>
      <c r="L3" s="4"/>
      <c r="M3" s="4"/>
      <c r="N3" s="4"/>
    </row>
    <row r="4" spans="1:25"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5" s="1" customFormat="1" ht="54.75" customHeight="1" x14ac:dyDescent="0.2">
      <c r="A5" s="32" t="s">
        <v>0</v>
      </c>
      <c r="B5" s="28" t="s">
        <v>35</v>
      </c>
      <c r="C5" s="658" t="s">
        <v>36</v>
      </c>
      <c r="D5" s="627" t="s">
        <v>32</v>
      </c>
      <c r="E5" s="17" t="s">
        <v>31</v>
      </c>
      <c r="F5" s="29" t="s">
        <v>30</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c r="W5"/>
      <c r="X5"/>
      <c r="Y5"/>
    </row>
    <row r="6" spans="1:25" s="1" customFormat="1" ht="13.5" customHeight="1" x14ac:dyDescent="0.2">
      <c r="A6" s="68" t="s">
        <v>37</v>
      </c>
      <c r="B6" s="48"/>
      <c r="C6" s="659">
        <v>0</v>
      </c>
      <c r="D6" s="628"/>
      <c r="E6" s="15"/>
      <c r="F6" s="31"/>
      <c r="G6" s="208"/>
      <c r="H6" s="15"/>
      <c r="I6" s="31"/>
      <c r="J6" s="37"/>
      <c r="K6" s="59"/>
      <c r="L6" s="6"/>
      <c r="M6" s="46"/>
      <c r="N6" s="40"/>
      <c r="O6" s="670"/>
      <c r="P6" s="57"/>
      <c r="Q6" s="41"/>
      <c r="R6" s="43"/>
      <c r="S6" s="24"/>
      <c r="T6" s="21"/>
      <c r="U6" s="47"/>
      <c r="V6"/>
      <c r="W6"/>
      <c r="X6"/>
      <c r="Y6"/>
    </row>
    <row r="7" spans="1:25" s="1" customFormat="1" ht="13.5" customHeight="1" x14ac:dyDescent="0.2">
      <c r="A7" s="68" t="s">
        <v>63</v>
      </c>
      <c r="B7" s="30"/>
      <c r="C7" s="659">
        <f>1126+522</f>
        <v>1648</v>
      </c>
      <c r="D7" s="628"/>
      <c r="E7" s="15"/>
      <c r="F7" s="31"/>
      <c r="G7" s="208"/>
      <c r="H7" s="15"/>
      <c r="I7" s="31"/>
      <c r="J7" s="37"/>
      <c r="K7" s="59">
        <f>+(M7-M6)/($C7-$C6)*1000</f>
        <v>0.32160194174757284</v>
      </c>
      <c r="L7" s="6"/>
      <c r="M7" s="46">
        <f>0.45+0.08</f>
        <v>0.53</v>
      </c>
      <c r="N7" s="40"/>
      <c r="O7" s="670">
        <f>+(Q7-Q6)/($C7-$C6)*1000</f>
        <v>1.1407766990291264</v>
      </c>
      <c r="P7" s="57"/>
      <c r="Q7" s="41">
        <f>1.59+0.29</f>
        <v>1.8800000000000001</v>
      </c>
      <c r="R7" s="43"/>
      <c r="S7" s="24">
        <f>(+(U7-U6)/($C7-$C6)*1000000)/1000</f>
        <v>1.2463592233009708</v>
      </c>
      <c r="T7" s="21"/>
      <c r="U7" s="47">
        <f>1.7408+0.3132</f>
        <v>2.0539999999999998</v>
      </c>
      <c r="V7"/>
      <c r="W7"/>
      <c r="X7"/>
      <c r="Y7"/>
    </row>
    <row r="8" spans="1:25" ht="14.25" x14ac:dyDescent="0.2">
      <c r="A8" s="33" t="s">
        <v>40</v>
      </c>
      <c r="B8" s="30">
        <f>5449+951</f>
        <v>6400</v>
      </c>
      <c r="C8" s="660">
        <f>+C7+B8</f>
        <v>8048</v>
      </c>
      <c r="D8" s="662">
        <v>0.1875</v>
      </c>
      <c r="E8" s="663">
        <v>0.67812499999999998</v>
      </c>
      <c r="F8" s="617">
        <v>750</v>
      </c>
      <c r="G8" s="626">
        <f t="shared" ref="G8:G23" si="0">+$B8*D8/1000</f>
        <v>1.2</v>
      </c>
      <c r="H8" s="72">
        <f t="shared" ref="H8:H23" si="1">+$B8*E8/1000</f>
        <v>4.34</v>
      </c>
      <c r="I8" s="630">
        <f t="shared" ref="I8:I23" si="2">+$B8*F8/1000000</f>
        <v>4.8</v>
      </c>
      <c r="J8" s="61">
        <f>+(B8+N8)/2</f>
        <v>3656</v>
      </c>
      <c r="K8" s="188">
        <f>+D8</f>
        <v>0.1875</v>
      </c>
      <c r="L8" s="188">
        <f>+J8*K8/1000</f>
        <v>0.6855</v>
      </c>
      <c r="M8" s="188">
        <f>+M7+L8</f>
        <v>1.2155</v>
      </c>
      <c r="N8" s="51">
        <v>912</v>
      </c>
      <c r="O8" s="670">
        <f>+E8</f>
        <v>0.67812499999999998</v>
      </c>
      <c r="P8" s="670">
        <f>+N8*O8/1000</f>
        <v>0.61844999999999994</v>
      </c>
      <c r="Q8" s="670">
        <f>+Q7+P8</f>
        <v>2.4984500000000001</v>
      </c>
      <c r="R8" s="247">
        <f>J8</f>
        <v>3656</v>
      </c>
      <c r="S8" s="24">
        <f>+F8</f>
        <v>750</v>
      </c>
      <c r="T8" s="25">
        <f>+R8*S8/1000000</f>
        <v>2.742</v>
      </c>
      <c r="U8" s="654">
        <f>+U7+T8</f>
        <v>4.7959999999999994</v>
      </c>
    </row>
    <row r="9" spans="1:25" ht="14.25" x14ac:dyDescent="0.2">
      <c r="A9" s="33" t="s">
        <v>41</v>
      </c>
      <c r="B9" s="30">
        <f>7169+1041</f>
        <v>8210</v>
      </c>
      <c r="C9" s="660">
        <f t="shared" ref="C9:C37" si="3">+C8+B9</f>
        <v>16258</v>
      </c>
      <c r="D9" s="662">
        <v>0.1816991473812424</v>
      </c>
      <c r="E9" s="663">
        <v>0.6590450669914738</v>
      </c>
      <c r="F9" s="617">
        <v>719.94957369062115</v>
      </c>
      <c r="G9" s="626">
        <f t="shared" si="0"/>
        <v>1.4917500000000001</v>
      </c>
      <c r="H9" s="72">
        <f t="shared" si="1"/>
        <v>5.4107599999999998</v>
      </c>
      <c r="I9" s="630">
        <f t="shared" si="2"/>
        <v>5.9107859999999999</v>
      </c>
      <c r="J9" s="61">
        <f t="shared" ref="J9:J17" si="4">+(B9+B8)/2</f>
        <v>7305</v>
      </c>
      <c r="K9" s="188">
        <f t="shared" ref="K9:K17" si="5">+D9</f>
        <v>0.1816991473812424</v>
      </c>
      <c r="L9" s="188">
        <f t="shared" ref="L9:L17" si="6">+J9*K9/1000</f>
        <v>1.3273122716199757</v>
      </c>
      <c r="M9" s="188">
        <f>+M8+L9</f>
        <v>2.5428122716199759</v>
      </c>
      <c r="N9" s="54">
        <f t="shared" ref="N9:N17" si="7">+B8</f>
        <v>6400</v>
      </c>
      <c r="O9" s="670">
        <f t="shared" ref="O9:O17" si="8">+E9</f>
        <v>0.6590450669914738</v>
      </c>
      <c r="P9" s="670">
        <f t="shared" ref="P9:P17" si="9">+N9*O9/1000</f>
        <v>4.2178884287454323</v>
      </c>
      <c r="Q9" s="670">
        <f t="shared" ref="Q9:Q17" si="10">+Q8+P9</f>
        <v>6.7163384287454324</v>
      </c>
      <c r="R9" s="247">
        <f t="shared" ref="R9:R17" si="11">+(B9+B8)/2</f>
        <v>7305</v>
      </c>
      <c r="S9" s="24">
        <f t="shared" ref="S9:S17" si="12">+F9</f>
        <v>719.94957369062115</v>
      </c>
      <c r="T9" s="25">
        <f t="shared" ref="T9:T17" si="13">+R9*S9/1000000</f>
        <v>5.2592316358099875</v>
      </c>
      <c r="U9" s="654">
        <f>+U8+T9</f>
        <v>10.055231635809987</v>
      </c>
    </row>
    <row r="10" spans="1:25" x14ac:dyDescent="0.2">
      <c r="A10" s="33">
        <v>1997</v>
      </c>
      <c r="B10" s="30">
        <v>4594</v>
      </c>
      <c r="C10" s="660">
        <f t="shared" si="3"/>
        <v>20852</v>
      </c>
      <c r="D10" s="662">
        <v>0.23716804527644753</v>
      </c>
      <c r="E10" s="663">
        <v>0.51816282107096212</v>
      </c>
      <c r="F10" s="617">
        <v>720.01262516325642</v>
      </c>
      <c r="G10" s="626">
        <f t="shared" si="0"/>
        <v>1.08955</v>
      </c>
      <c r="H10" s="72">
        <f t="shared" si="1"/>
        <v>2.3804400000000001</v>
      </c>
      <c r="I10" s="630">
        <f t="shared" si="2"/>
        <v>3.3077380000000001</v>
      </c>
      <c r="J10" s="61">
        <f t="shared" si="4"/>
        <v>6402</v>
      </c>
      <c r="K10" s="188">
        <f t="shared" si="5"/>
        <v>0.23716804527644753</v>
      </c>
      <c r="L10" s="188">
        <f t="shared" si="6"/>
        <v>1.5183498258598169</v>
      </c>
      <c r="M10" s="188">
        <f t="shared" ref="M10:M17" si="14">+M9+L10</f>
        <v>4.0611620974797926</v>
      </c>
      <c r="N10" s="54">
        <f t="shared" si="7"/>
        <v>8210</v>
      </c>
      <c r="O10" s="670">
        <f t="shared" si="8"/>
        <v>0.51816282107096212</v>
      </c>
      <c r="P10" s="670">
        <f t="shared" si="9"/>
        <v>4.2541167609925985</v>
      </c>
      <c r="Q10" s="670">
        <f t="shared" si="10"/>
        <v>10.970455189738031</v>
      </c>
      <c r="R10" s="247">
        <f t="shared" si="11"/>
        <v>6402</v>
      </c>
      <c r="S10" s="24">
        <f t="shared" si="12"/>
        <v>720.01262516325642</v>
      </c>
      <c r="T10" s="25">
        <f t="shared" si="13"/>
        <v>4.6095208262951672</v>
      </c>
      <c r="U10" s="654">
        <f t="shared" ref="U10:U17" si="15">+U9+T10</f>
        <v>14.664752462105154</v>
      </c>
    </row>
    <row r="11" spans="1:25" x14ac:dyDescent="0.2">
      <c r="A11" s="33">
        <v>1998</v>
      </c>
      <c r="B11" s="30">
        <v>2488</v>
      </c>
      <c r="C11" s="660">
        <f t="shared" si="3"/>
        <v>23340</v>
      </c>
      <c r="D11" s="662">
        <v>0.36905144694533765</v>
      </c>
      <c r="E11" s="663">
        <v>0.44856109324758842</v>
      </c>
      <c r="F11" s="617">
        <v>888.91358520900326</v>
      </c>
      <c r="G11" s="626">
        <f t="shared" si="0"/>
        <v>0.91820000000000002</v>
      </c>
      <c r="H11" s="72">
        <f t="shared" si="1"/>
        <v>1.11602</v>
      </c>
      <c r="I11" s="630">
        <f t="shared" si="2"/>
        <v>2.2116169999999999</v>
      </c>
      <c r="J11" s="61">
        <f t="shared" si="4"/>
        <v>3541</v>
      </c>
      <c r="K11" s="188">
        <f t="shared" si="5"/>
        <v>0.36905144694533765</v>
      </c>
      <c r="L11" s="188">
        <f t="shared" si="6"/>
        <v>1.3068111736334407</v>
      </c>
      <c r="M11" s="188">
        <f t="shared" si="14"/>
        <v>5.3679732711132333</v>
      </c>
      <c r="N11" s="54">
        <f t="shared" si="7"/>
        <v>4594</v>
      </c>
      <c r="O11" s="670">
        <f t="shared" si="8"/>
        <v>0.44856109324758842</v>
      </c>
      <c r="P11" s="670">
        <f t="shared" si="9"/>
        <v>2.0606896623794215</v>
      </c>
      <c r="Q11" s="670">
        <f t="shared" si="10"/>
        <v>13.031144852117453</v>
      </c>
      <c r="R11" s="247">
        <f t="shared" si="11"/>
        <v>3541</v>
      </c>
      <c r="S11" s="24">
        <f t="shared" si="12"/>
        <v>888.91358520900326</v>
      </c>
      <c r="T11" s="25">
        <f t="shared" si="13"/>
        <v>3.1476430052250803</v>
      </c>
      <c r="U11" s="654">
        <f t="shared" si="15"/>
        <v>17.812395467330234</v>
      </c>
    </row>
    <row r="12" spans="1:25" x14ac:dyDescent="0.2">
      <c r="A12" s="33">
        <v>1999</v>
      </c>
      <c r="B12" s="30">
        <v>2099</v>
      </c>
      <c r="C12" s="660">
        <f t="shared" si="3"/>
        <v>25439</v>
      </c>
      <c r="D12" s="662">
        <v>0.35824202000952837</v>
      </c>
      <c r="E12" s="663">
        <v>0.45282039066222013</v>
      </c>
      <c r="F12" s="617">
        <v>874.18532634587893</v>
      </c>
      <c r="G12" s="626">
        <f t="shared" si="0"/>
        <v>0.75195000000000001</v>
      </c>
      <c r="H12" s="72">
        <f t="shared" si="1"/>
        <v>0.95047000000000004</v>
      </c>
      <c r="I12" s="630">
        <f t="shared" si="2"/>
        <v>1.8349149999999999</v>
      </c>
      <c r="J12" s="61">
        <f t="shared" si="4"/>
        <v>2293.5</v>
      </c>
      <c r="K12" s="188">
        <f t="shared" si="5"/>
        <v>0.35824202000952837</v>
      </c>
      <c r="L12" s="188">
        <f t="shared" si="6"/>
        <v>0.82162807289185336</v>
      </c>
      <c r="M12" s="188">
        <f t="shared" si="14"/>
        <v>6.1896013440050863</v>
      </c>
      <c r="N12" s="54">
        <f t="shared" si="7"/>
        <v>2488</v>
      </c>
      <c r="O12" s="670">
        <f t="shared" si="8"/>
        <v>0.45282039066222013</v>
      </c>
      <c r="P12" s="670">
        <f t="shared" si="9"/>
        <v>1.1266171319676037</v>
      </c>
      <c r="Q12" s="670">
        <f t="shared" si="10"/>
        <v>14.157761984085058</v>
      </c>
      <c r="R12" s="247">
        <f t="shared" si="11"/>
        <v>2293.5</v>
      </c>
      <c r="S12" s="24">
        <f t="shared" si="12"/>
        <v>874.18532634587893</v>
      </c>
      <c r="T12" s="25">
        <f t="shared" si="13"/>
        <v>2.0049440459742733</v>
      </c>
      <c r="U12" s="654">
        <f t="shared" si="15"/>
        <v>19.817339513304507</v>
      </c>
    </row>
    <row r="13" spans="1:25" x14ac:dyDescent="0.2">
      <c r="A13" s="33">
        <v>2000</v>
      </c>
      <c r="B13" s="30">
        <v>1617</v>
      </c>
      <c r="C13" s="660">
        <f t="shared" si="3"/>
        <v>27056</v>
      </c>
      <c r="D13" s="662">
        <v>0.45299938157081016</v>
      </c>
      <c r="E13" s="663">
        <v>0.39700061842918988</v>
      </c>
      <c r="F13" s="617">
        <v>995</v>
      </c>
      <c r="G13" s="626">
        <f t="shared" si="0"/>
        <v>0.73250000000000004</v>
      </c>
      <c r="H13" s="72">
        <f t="shared" si="1"/>
        <v>0.64195000000000002</v>
      </c>
      <c r="I13" s="630">
        <f t="shared" si="2"/>
        <v>1.6089150000000001</v>
      </c>
      <c r="J13" s="61">
        <f t="shared" si="4"/>
        <v>1858</v>
      </c>
      <c r="K13" s="188">
        <f t="shared" si="5"/>
        <v>0.45299938157081016</v>
      </c>
      <c r="L13" s="188">
        <f t="shared" si="6"/>
        <v>0.84167285095856526</v>
      </c>
      <c r="M13" s="188">
        <f t="shared" si="14"/>
        <v>7.0312741949636512</v>
      </c>
      <c r="N13" s="54">
        <f t="shared" si="7"/>
        <v>2099</v>
      </c>
      <c r="O13" s="670">
        <f t="shared" si="8"/>
        <v>0.39700061842918988</v>
      </c>
      <c r="P13" s="670">
        <f t="shared" si="9"/>
        <v>0.83330429808286954</v>
      </c>
      <c r="Q13" s="670">
        <f t="shared" si="10"/>
        <v>14.991066282167928</v>
      </c>
      <c r="R13" s="247">
        <f t="shared" si="11"/>
        <v>1858</v>
      </c>
      <c r="S13" s="24">
        <f t="shared" si="12"/>
        <v>995</v>
      </c>
      <c r="T13" s="25">
        <f t="shared" si="13"/>
        <v>1.8487100000000001</v>
      </c>
      <c r="U13" s="654">
        <f t="shared" si="15"/>
        <v>21.666049513304507</v>
      </c>
    </row>
    <row r="14" spans="1:25" x14ac:dyDescent="0.2">
      <c r="A14" s="33">
        <v>2001</v>
      </c>
      <c r="B14" s="30">
        <v>2516</v>
      </c>
      <c r="C14" s="660">
        <f t="shared" si="3"/>
        <v>29572</v>
      </c>
      <c r="D14" s="662">
        <v>0.41726947535771064</v>
      </c>
      <c r="E14" s="663">
        <v>0.36841812400635926</v>
      </c>
      <c r="F14" s="617">
        <v>916.76192368839429</v>
      </c>
      <c r="G14" s="626">
        <f t="shared" si="0"/>
        <v>1.0498499999999999</v>
      </c>
      <c r="H14" s="72">
        <f t="shared" si="1"/>
        <v>0.92693999999999999</v>
      </c>
      <c r="I14" s="630">
        <f t="shared" si="2"/>
        <v>2.3065730000000002</v>
      </c>
      <c r="J14" s="61">
        <f t="shared" si="4"/>
        <v>2066.5</v>
      </c>
      <c r="K14" s="188">
        <f t="shared" si="5"/>
        <v>0.41726947535771064</v>
      </c>
      <c r="L14" s="188">
        <f t="shared" si="6"/>
        <v>0.86228737082670914</v>
      </c>
      <c r="M14" s="188">
        <f t="shared" si="14"/>
        <v>7.8935615657903604</v>
      </c>
      <c r="N14" s="54">
        <f t="shared" si="7"/>
        <v>1617</v>
      </c>
      <c r="O14" s="670">
        <f t="shared" si="8"/>
        <v>0.36841812400635926</v>
      </c>
      <c r="P14" s="670">
        <f t="shared" si="9"/>
        <v>0.5957321065182829</v>
      </c>
      <c r="Q14" s="670">
        <f t="shared" si="10"/>
        <v>15.58679838868621</v>
      </c>
      <c r="R14" s="247">
        <f t="shared" si="11"/>
        <v>2066.5</v>
      </c>
      <c r="S14" s="24">
        <f t="shared" si="12"/>
        <v>916.76192368839429</v>
      </c>
      <c r="T14" s="25">
        <f t="shared" si="13"/>
        <v>1.8944885153020667</v>
      </c>
      <c r="U14" s="654">
        <f t="shared" si="15"/>
        <v>23.560538028606572</v>
      </c>
    </row>
    <row r="15" spans="1:25" x14ac:dyDescent="0.2">
      <c r="A15" s="33">
        <v>2002</v>
      </c>
      <c r="B15" s="30">
        <v>4274</v>
      </c>
      <c r="C15" s="660">
        <f t="shared" si="3"/>
        <v>33846</v>
      </c>
      <c r="D15" s="662">
        <v>0.4070566214319139</v>
      </c>
      <c r="E15" s="663">
        <v>0.36024567150210579</v>
      </c>
      <c r="F15" s="617">
        <v>894.39424426766493</v>
      </c>
      <c r="G15" s="626">
        <f t="shared" si="0"/>
        <v>1.73976</v>
      </c>
      <c r="H15" s="72">
        <f t="shared" si="1"/>
        <v>1.53969</v>
      </c>
      <c r="I15" s="630">
        <f t="shared" si="2"/>
        <v>3.822641</v>
      </c>
      <c r="J15" s="61">
        <f t="shared" si="4"/>
        <v>3395</v>
      </c>
      <c r="K15" s="188">
        <f t="shared" si="5"/>
        <v>0.4070566214319139</v>
      </c>
      <c r="L15" s="188">
        <f t="shared" si="6"/>
        <v>1.3819572297613476</v>
      </c>
      <c r="M15" s="188">
        <f t="shared" si="14"/>
        <v>9.275518795551708</v>
      </c>
      <c r="N15" s="54">
        <f t="shared" si="7"/>
        <v>2516</v>
      </c>
      <c r="O15" s="670">
        <f t="shared" si="8"/>
        <v>0.36024567150210579</v>
      </c>
      <c r="P15" s="670">
        <f t="shared" si="9"/>
        <v>0.9063781094992982</v>
      </c>
      <c r="Q15" s="670">
        <f t="shared" si="10"/>
        <v>16.493176498185509</v>
      </c>
      <c r="R15" s="247">
        <f t="shared" si="11"/>
        <v>3395</v>
      </c>
      <c r="S15" s="24">
        <f t="shared" si="12"/>
        <v>894.39424426766493</v>
      </c>
      <c r="T15" s="25">
        <f t="shared" si="13"/>
        <v>3.0364684592887223</v>
      </c>
      <c r="U15" s="654">
        <f t="shared" si="15"/>
        <v>26.597006487895296</v>
      </c>
    </row>
    <row r="16" spans="1:25" x14ac:dyDescent="0.2">
      <c r="A16" s="33">
        <v>2003</v>
      </c>
      <c r="B16" s="30">
        <v>5203</v>
      </c>
      <c r="C16" s="660">
        <f t="shared" si="3"/>
        <v>39049</v>
      </c>
      <c r="D16" s="662">
        <v>0.43437247741687485</v>
      </c>
      <c r="E16" s="663">
        <v>0.38209878916009993</v>
      </c>
      <c r="F16" s="617">
        <v>954.21218527772442</v>
      </c>
      <c r="G16" s="626">
        <f t="shared" si="0"/>
        <v>2.26004</v>
      </c>
      <c r="H16" s="72">
        <f t="shared" si="1"/>
        <v>1.9880599999999999</v>
      </c>
      <c r="I16" s="630">
        <f t="shared" si="2"/>
        <v>4.964766</v>
      </c>
      <c r="J16" s="61">
        <f t="shared" si="4"/>
        <v>4738.5</v>
      </c>
      <c r="K16" s="188">
        <f t="shared" si="5"/>
        <v>0.43437247741687485</v>
      </c>
      <c r="L16" s="188">
        <f t="shared" si="6"/>
        <v>2.0582739842398614</v>
      </c>
      <c r="M16" s="188">
        <f t="shared" si="14"/>
        <v>11.333792779791569</v>
      </c>
      <c r="N16" s="54">
        <f t="shared" si="7"/>
        <v>4274</v>
      </c>
      <c r="O16" s="670">
        <f t="shared" si="8"/>
        <v>0.38209878916009993</v>
      </c>
      <c r="P16" s="670">
        <f t="shared" si="9"/>
        <v>1.633090224870267</v>
      </c>
      <c r="Q16" s="670">
        <f t="shared" si="10"/>
        <v>18.126266723055775</v>
      </c>
      <c r="R16" s="247">
        <f t="shared" si="11"/>
        <v>4738.5</v>
      </c>
      <c r="S16" s="24">
        <f t="shared" si="12"/>
        <v>954.21218527772442</v>
      </c>
      <c r="T16" s="25">
        <f t="shared" si="13"/>
        <v>4.5215344399384971</v>
      </c>
      <c r="U16" s="654">
        <f t="shared" si="15"/>
        <v>31.118540927833791</v>
      </c>
    </row>
    <row r="17" spans="1:25" x14ac:dyDescent="0.2">
      <c r="A17" s="33">
        <v>2004</v>
      </c>
      <c r="B17" s="30">
        <v>3315</v>
      </c>
      <c r="C17" s="660">
        <f t="shared" si="3"/>
        <v>42364</v>
      </c>
      <c r="D17" s="662">
        <v>0.45</v>
      </c>
      <c r="E17" s="663">
        <v>0.39000000000000007</v>
      </c>
      <c r="F17" s="617">
        <v>988</v>
      </c>
      <c r="G17" s="626">
        <f t="shared" si="0"/>
        <v>1.4917499999999999</v>
      </c>
      <c r="H17" s="72">
        <f t="shared" si="1"/>
        <v>1.2928500000000001</v>
      </c>
      <c r="I17" s="630">
        <f t="shared" si="2"/>
        <v>3.27522</v>
      </c>
      <c r="J17" s="61">
        <f t="shared" si="4"/>
        <v>4259</v>
      </c>
      <c r="K17" s="188">
        <f t="shared" si="5"/>
        <v>0.45</v>
      </c>
      <c r="L17" s="188">
        <f t="shared" si="6"/>
        <v>1.91655</v>
      </c>
      <c r="M17" s="188">
        <f t="shared" si="14"/>
        <v>13.25034277979157</v>
      </c>
      <c r="N17" s="54">
        <f t="shared" si="7"/>
        <v>5203</v>
      </c>
      <c r="O17" s="670">
        <f t="shared" si="8"/>
        <v>0.39000000000000007</v>
      </c>
      <c r="P17" s="670">
        <f t="shared" si="9"/>
        <v>2.0291700000000001</v>
      </c>
      <c r="Q17" s="670">
        <f t="shared" si="10"/>
        <v>20.155436723055775</v>
      </c>
      <c r="R17" s="247">
        <f t="shared" si="11"/>
        <v>4259</v>
      </c>
      <c r="S17" s="24">
        <f t="shared" si="12"/>
        <v>988</v>
      </c>
      <c r="T17" s="25">
        <f t="shared" si="13"/>
        <v>4.2078920000000002</v>
      </c>
      <c r="U17" s="654">
        <f t="shared" si="15"/>
        <v>35.326432927833793</v>
      </c>
    </row>
    <row r="18" spans="1:25" x14ac:dyDescent="0.2">
      <c r="A18" s="33">
        <f>+A17+1</f>
        <v>2005</v>
      </c>
      <c r="B18" s="30">
        <v>3086</v>
      </c>
      <c r="C18" s="660">
        <f t="shared" si="3"/>
        <v>45450</v>
      </c>
      <c r="D18" s="662">
        <v>0.45255670771224882</v>
      </c>
      <c r="E18" s="663">
        <v>0.39664614387556713</v>
      </c>
      <c r="F18" s="617">
        <v>994.03143227478938</v>
      </c>
      <c r="G18" s="626">
        <f t="shared" si="0"/>
        <v>1.39659</v>
      </c>
      <c r="H18" s="72">
        <f t="shared" si="1"/>
        <v>1.2240500000000001</v>
      </c>
      <c r="I18" s="630">
        <f t="shared" si="2"/>
        <v>3.0675810000000001</v>
      </c>
      <c r="J18" s="61">
        <f t="shared" ref="J18:J37" si="16">+(B18+B17)/2</f>
        <v>3200.5</v>
      </c>
      <c r="K18" s="188">
        <f t="shared" ref="K18:K37" si="17">+D18</f>
        <v>0.45255670771224882</v>
      </c>
      <c r="L18" s="188">
        <f t="shared" ref="L18:L37" si="18">+J18*K18/1000</f>
        <v>1.4484077430330524</v>
      </c>
      <c r="M18" s="188">
        <f t="shared" ref="M18:M37" si="19">+M17+L18</f>
        <v>14.698750522824621</v>
      </c>
      <c r="N18" s="54">
        <f t="shared" ref="N18:N37" si="20">+B17</f>
        <v>3315</v>
      </c>
      <c r="O18" s="670">
        <f t="shared" ref="O18:O37" si="21">+E18</f>
        <v>0.39664614387556713</v>
      </c>
      <c r="P18" s="670">
        <f t="shared" ref="P18:P37" si="22">+N18*O18/1000</f>
        <v>1.3148819669475051</v>
      </c>
      <c r="Q18" s="670">
        <f t="shared" ref="Q18:Q37" si="23">+Q17+P18</f>
        <v>21.470318690003282</v>
      </c>
      <c r="R18" s="247">
        <f t="shared" ref="R18:R37" si="24">+(B18+B17)/2</f>
        <v>3200.5</v>
      </c>
      <c r="S18" s="24">
        <f t="shared" ref="S18:S37" si="25">+F18</f>
        <v>994.03143227478938</v>
      </c>
      <c r="T18" s="25">
        <f t="shared" ref="T18:T37" si="26">+R18*S18/1000000</f>
        <v>3.1813975989954635</v>
      </c>
      <c r="U18" s="654">
        <f t="shared" ref="U18:U37" si="27">+U17+T18</f>
        <v>38.507830526829252</v>
      </c>
    </row>
    <row r="19" spans="1:25" x14ac:dyDescent="0.2">
      <c r="A19" s="33">
        <f t="shared" ref="A19:A54" si="28">+A18+1</f>
        <v>2006</v>
      </c>
      <c r="B19" s="30">
        <v>6630</v>
      </c>
      <c r="C19" s="660">
        <f t="shared" si="3"/>
        <v>52080</v>
      </c>
      <c r="D19" s="662">
        <v>0.34558823529411764</v>
      </c>
      <c r="E19" s="663">
        <v>0.31107088989441928</v>
      </c>
      <c r="F19" s="617">
        <v>759.79577677224734</v>
      </c>
      <c r="G19" s="626">
        <f t="shared" si="0"/>
        <v>2.2912499999999998</v>
      </c>
      <c r="H19" s="72">
        <f t="shared" si="1"/>
        <v>2.0623999999999998</v>
      </c>
      <c r="I19" s="630">
        <f t="shared" si="2"/>
        <v>5.0374460000000001</v>
      </c>
      <c r="J19" s="61">
        <f t="shared" si="16"/>
        <v>4858</v>
      </c>
      <c r="K19" s="188">
        <f t="shared" si="17"/>
        <v>0.34558823529411764</v>
      </c>
      <c r="L19" s="188">
        <f t="shared" si="18"/>
        <v>1.6788676470588235</v>
      </c>
      <c r="M19" s="188">
        <f t="shared" si="19"/>
        <v>16.377618169883444</v>
      </c>
      <c r="N19" s="54">
        <f t="shared" si="20"/>
        <v>3086</v>
      </c>
      <c r="O19" s="670">
        <f t="shared" si="21"/>
        <v>0.31107088989441928</v>
      </c>
      <c r="P19" s="670">
        <f t="shared" si="22"/>
        <v>0.95996476621417792</v>
      </c>
      <c r="Q19" s="670">
        <f t="shared" si="23"/>
        <v>22.43028345621746</v>
      </c>
      <c r="R19" s="247">
        <f t="shared" si="24"/>
        <v>4858</v>
      </c>
      <c r="S19" s="24">
        <f t="shared" si="25"/>
        <v>759.79577677224734</v>
      </c>
      <c r="T19" s="25">
        <f t="shared" si="26"/>
        <v>3.6910878835595775</v>
      </c>
      <c r="U19" s="654">
        <f t="shared" si="27"/>
        <v>42.198918410388828</v>
      </c>
    </row>
    <row r="20" spans="1:25" x14ac:dyDescent="0.2">
      <c r="A20" s="33">
        <f t="shared" si="28"/>
        <v>2007</v>
      </c>
      <c r="B20" s="30">
        <v>7758</v>
      </c>
      <c r="C20" s="660">
        <f t="shared" si="3"/>
        <v>59838</v>
      </c>
      <c r="D20" s="662">
        <v>0.34</v>
      </c>
      <c r="E20" s="663">
        <v>0.31</v>
      </c>
      <c r="F20" s="617">
        <v>758</v>
      </c>
      <c r="G20" s="626">
        <f t="shared" si="0"/>
        <v>2.6377200000000003</v>
      </c>
      <c r="H20" s="72">
        <f t="shared" si="1"/>
        <v>2.4049800000000001</v>
      </c>
      <c r="I20" s="630">
        <f t="shared" si="2"/>
        <v>5.8805639999999997</v>
      </c>
      <c r="J20" s="61">
        <f t="shared" si="16"/>
        <v>7194</v>
      </c>
      <c r="K20" s="188">
        <f t="shared" si="17"/>
        <v>0.34</v>
      </c>
      <c r="L20" s="188">
        <f t="shared" si="18"/>
        <v>2.4459599999999999</v>
      </c>
      <c r="M20" s="188">
        <f t="shared" si="19"/>
        <v>18.823578169883444</v>
      </c>
      <c r="N20" s="54">
        <f t="shared" si="20"/>
        <v>6630</v>
      </c>
      <c r="O20" s="670">
        <f t="shared" si="21"/>
        <v>0.31</v>
      </c>
      <c r="P20" s="670">
        <f t="shared" si="22"/>
        <v>2.0553000000000003</v>
      </c>
      <c r="Q20" s="670">
        <f t="shared" si="23"/>
        <v>24.485583456217459</v>
      </c>
      <c r="R20" s="247">
        <f t="shared" si="24"/>
        <v>7194</v>
      </c>
      <c r="S20" s="24">
        <f t="shared" si="25"/>
        <v>758</v>
      </c>
      <c r="T20" s="25">
        <f t="shared" si="26"/>
        <v>5.4530519999999996</v>
      </c>
      <c r="U20" s="654">
        <f t="shared" si="27"/>
        <v>47.651970410388827</v>
      </c>
    </row>
    <row r="21" spans="1:25" s="2" customFormat="1" x14ac:dyDescent="0.2">
      <c r="A21" s="33">
        <f t="shared" si="28"/>
        <v>2008</v>
      </c>
      <c r="B21" s="30">
        <v>9056</v>
      </c>
      <c r="C21" s="660">
        <f t="shared" si="3"/>
        <v>68894</v>
      </c>
      <c r="D21" s="662">
        <v>0.35</v>
      </c>
      <c r="E21" s="663">
        <v>0.32</v>
      </c>
      <c r="F21" s="617">
        <v>773</v>
      </c>
      <c r="G21" s="626">
        <f t="shared" si="0"/>
        <v>3.1696</v>
      </c>
      <c r="H21" s="72">
        <f t="shared" si="1"/>
        <v>2.8979200000000001</v>
      </c>
      <c r="I21" s="630">
        <f t="shared" si="2"/>
        <v>7.0002880000000003</v>
      </c>
      <c r="J21" s="61">
        <f t="shared" si="16"/>
        <v>8407</v>
      </c>
      <c r="K21" s="188">
        <f t="shared" si="17"/>
        <v>0.35</v>
      </c>
      <c r="L21" s="188">
        <f t="shared" si="18"/>
        <v>2.94245</v>
      </c>
      <c r="M21" s="188">
        <f t="shared" si="19"/>
        <v>21.766028169883445</v>
      </c>
      <c r="N21" s="54">
        <f t="shared" si="20"/>
        <v>7758</v>
      </c>
      <c r="O21" s="670">
        <f t="shared" si="21"/>
        <v>0.32</v>
      </c>
      <c r="P21" s="670">
        <f t="shared" si="22"/>
        <v>2.4825599999999999</v>
      </c>
      <c r="Q21" s="670">
        <f t="shared" si="23"/>
        <v>26.968143456217458</v>
      </c>
      <c r="R21" s="247">
        <f t="shared" si="24"/>
        <v>8407</v>
      </c>
      <c r="S21" s="24">
        <f t="shared" si="25"/>
        <v>773</v>
      </c>
      <c r="T21" s="25">
        <f t="shared" si="26"/>
        <v>6.4986110000000004</v>
      </c>
      <c r="U21" s="654">
        <f t="shared" si="27"/>
        <v>54.150581410388824</v>
      </c>
      <c r="V21"/>
      <c r="W21"/>
      <c r="X21"/>
      <c r="Y21"/>
    </row>
    <row r="22" spans="1:25" s="2" customFormat="1" x14ac:dyDescent="0.2">
      <c r="A22" s="33">
        <f t="shared" si="28"/>
        <v>2009</v>
      </c>
      <c r="B22" s="30">
        <v>9772</v>
      </c>
      <c r="C22" s="660">
        <f t="shared" si="3"/>
        <v>78666</v>
      </c>
      <c r="D22" s="662">
        <v>0.35</v>
      </c>
      <c r="E22" s="663">
        <v>0.31</v>
      </c>
      <c r="F22" s="617">
        <v>766</v>
      </c>
      <c r="G22" s="626">
        <f t="shared" si="0"/>
        <v>3.4201999999999999</v>
      </c>
      <c r="H22" s="72">
        <f t="shared" si="1"/>
        <v>3.0293200000000002</v>
      </c>
      <c r="I22" s="630">
        <f t="shared" si="2"/>
        <v>7.4853519999999998</v>
      </c>
      <c r="J22" s="61">
        <f t="shared" si="16"/>
        <v>9414</v>
      </c>
      <c r="K22" s="188">
        <f t="shared" si="17"/>
        <v>0.35</v>
      </c>
      <c r="L22" s="188">
        <f t="shared" si="18"/>
        <v>3.2948999999999997</v>
      </c>
      <c r="M22" s="188">
        <f t="shared" si="19"/>
        <v>25.060928169883443</v>
      </c>
      <c r="N22" s="54">
        <f t="shared" si="20"/>
        <v>9056</v>
      </c>
      <c r="O22" s="670">
        <f t="shared" si="21"/>
        <v>0.31</v>
      </c>
      <c r="P22" s="670">
        <f t="shared" si="22"/>
        <v>2.8073600000000001</v>
      </c>
      <c r="Q22" s="670">
        <f t="shared" si="23"/>
        <v>29.775503456217457</v>
      </c>
      <c r="R22" s="247">
        <f t="shared" si="24"/>
        <v>9414</v>
      </c>
      <c r="S22" s="24">
        <f t="shared" si="25"/>
        <v>766</v>
      </c>
      <c r="T22" s="25">
        <f t="shared" si="26"/>
        <v>7.2111239999999999</v>
      </c>
      <c r="U22" s="654">
        <f t="shared" si="27"/>
        <v>61.361705410388822</v>
      </c>
      <c r="V22"/>
      <c r="W22"/>
      <c r="X22"/>
      <c r="Y22"/>
    </row>
    <row r="23" spans="1:25" s="2" customFormat="1" x14ac:dyDescent="0.2">
      <c r="A23" s="33">
        <f t="shared" si="28"/>
        <v>2010</v>
      </c>
      <c r="B23" s="30">
        <v>7467</v>
      </c>
      <c r="C23" s="661">
        <f t="shared" si="3"/>
        <v>86133</v>
      </c>
      <c r="D23" s="662">
        <v>0.37</v>
      </c>
      <c r="E23" s="663">
        <v>0.33</v>
      </c>
      <c r="F23" s="617">
        <v>823</v>
      </c>
      <c r="G23" s="626">
        <f t="shared" si="0"/>
        <v>2.7627899999999999</v>
      </c>
      <c r="H23" s="72">
        <f t="shared" si="1"/>
        <v>2.4641100000000002</v>
      </c>
      <c r="I23" s="630">
        <f t="shared" si="2"/>
        <v>6.1453410000000002</v>
      </c>
      <c r="J23" s="61">
        <f t="shared" si="16"/>
        <v>8619.5</v>
      </c>
      <c r="K23" s="188">
        <f t="shared" si="17"/>
        <v>0.37</v>
      </c>
      <c r="L23" s="188">
        <f t="shared" si="18"/>
        <v>3.1892150000000004</v>
      </c>
      <c r="M23" s="188">
        <f t="shared" si="19"/>
        <v>28.250143169883444</v>
      </c>
      <c r="N23" s="54">
        <f t="shared" si="20"/>
        <v>9772</v>
      </c>
      <c r="O23" s="670">
        <f t="shared" si="21"/>
        <v>0.33</v>
      </c>
      <c r="P23" s="670">
        <f t="shared" si="22"/>
        <v>3.2247600000000003</v>
      </c>
      <c r="Q23" s="670">
        <f t="shared" si="23"/>
        <v>33.000263456217461</v>
      </c>
      <c r="R23" s="247">
        <f t="shared" si="24"/>
        <v>8619.5</v>
      </c>
      <c r="S23" s="24">
        <f t="shared" si="25"/>
        <v>823</v>
      </c>
      <c r="T23" s="25">
        <f t="shared" si="26"/>
        <v>7.0938485</v>
      </c>
      <c r="U23" s="654">
        <f t="shared" si="27"/>
        <v>68.455553910388829</v>
      </c>
      <c r="V23"/>
      <c r="W23"/>
      <c r="X23"/>
      <c r="Y23"/>
    </row>
    <row r="24" spans="1:25" s="2" customFormat="1" x14ac:dyDescent="0.2">
      <c r="A24" s="33">
        <f t="shared" si="28"/>
        <v>2011</v>
      </c>
      <c r="B24" s="30">
        <v>4215</v>
      </c>
      <c r="C24" s="661">
        <f t="shared" si="3"/>
        <v>90348</v>
      </c>
      <c r="D24" s="662">
        <v>0.27</v>
      </c>
      <c r="E24" s="663">
        <v>0.27</v>
      </c>
      <c r="F24" s="617">
        <v>548</v>
      </c>
      <c r="G24" s="626">
        <f t="shared" ref="G24:G42" si="29">+$B24*D24/1000</f>
        <v>1.1380500000000002</v>
      </c>
      <c r="H24" s="72">
        <f t="shared" ref="H24:H42" si="30">+$B24*E24/1000</f>
        <v>1.1380500000000002</v>
      </c>
      <c r="I24" s="630">
        <f t="shared" ref="I24:I42" si="31">+$B24*F24/1000000</f>
        <v>2.3098200000000002</v>
      </c>
      <c r="J24" s="61">
        <f t="shared" si="16"/>
        <v>5841</v>
      </c>
      <c r="K24" s="188">
        <f t="shared" si="17"/>
        <v>0.27</v>
      </c>
      <c r="L24" s="188">
        <f t="shared" si="18"/>
        <v>1.5770700000000002</v>
      </c>
      <c r="M24" s="188">
        <f t="shared" si="19"/>
        <v>29.827213169883443</v>
      </c>
      <c r="N24" s="54">
        <f t="shared" si="20"/>
        <v>7467</v>
      </c>
      <c r="O24" s="670">
        <f t="shared" si="21"/>
        <v>0.27</v>
      </c>
      <c r="P24" s="670">
        <f t="shared" si="22"/>
        <v>2.0160900000000002</v>
      </c>
      <c r="Q24" s="670">
        <f t="shared" si="23"/>
        <v>35.016353456217459</v>
      </c>
      <c r="R24" s="247">
        <f t="shared" si="24"/>
        <v>5841</v>
      </c>
      <c r="S24" s="24">
        <f t="shared" si="25"/>
        <v>548</v>
      </c>
      <c r="T24" s="25">
        <f t="shared" si="26"/>
        <v>3.2008679999999998</v>
      </c>
      <c r="U24" s="654">
        <f t="shared" si="27"/>
        <v>71.656421910388829</v>
      </c>
      <c r="V24"/>
      <c r="W24"/>
      <c r="X24"/>
      <c r="Y24"/>
    </row>
    <row r="25" spans="1:25" s="2" customFormat="1" x14ac:dyDescent="0.2">
      <c r="A25" s="33">
        <f t="shared" si="28"/>
        <v>2012</v>
      </c>
      <c r="B25" s="30">
        <v>2272</v>
      </c>
      <c r="C25" s="661">
        <f t="shared" si="3"/>
        <v>92620</v>
      </c>
      <c r="D25" s="662">
        <v>0.16</v>
      </c>
      <c r="E25" s="663">
        <v>0.2</v>
      </c>
      <c r="F25" s="617">
        <v>271</v>
      </c>
      <c r="G25" s="626">
        <f t="shared" si="29"/>
        <v>0.36351999999999995</v>
      </c>
      <c r="H25" s="72">
        <f t="shared" si="30"/>
        <v>0.45440000000000003</v>
      </c>
      <c r="I25" s="630">
        <f t="shared" si="31"/>
        <v>0.61571200000000004</v>
      </c>
      <c r="J25" s="61">
        <f t="shared" si="16"/>
        <v>3243.5</v>
      </c>
      <c r="K25" s="188">
        <f t="shared" si="17"/>
        <v>0.16</v>
      </c>
      <c r="L25" s="188">
        <f t="shared" si="18"/>
        <v>0.51896000000000009</v>
      </c>
      <c r="M25" s="188">
        <f t="shared" si="19"/>
        <v>30.346173169883443</v>
      </c>
      <c r="N25" s="54">
        <f t="shared" si="20"/>
        <v>4215</v>
      </c>
      <c r="O25" s="670">
        <f t="shared" si="21"/>
        <v>0.2</v>
      </c>
      <c r="P25" s="670">
        <f t="shared" si="22"/>
        <v>0.84299999999999997</v>
      </c>
      <c r="Q25" s="670">
        <f t="shared" si="23"/>
        <v>35.859353456217463</v>
      </c>
      <c r="R25" s="247">
        <f t="shared" si="24"/>
        <v>3243.5</v>
      </c>
      <c r="S25" s="24">
        <f t="shared" si="25"/>
        <v>271</v>
      </c>
      <c r="T25" s="25">
        <f t="shared" si="26"/>
        <v>0.87898849999999995</v>
      </c>
      <c r="U25" s="654">
        <f t="shared" si="27"/>
        <v>72.535410410388835</v>
      </c>
      <c r="V25"/>
      <c r="W25"/>
      <c r="X25"/>
      <c r="Y25"/>
    </row>
    <row r="26" spans="1:25" s="830" customFormat="1" x14ac:dyDescent="0.2">
      <c r="A26" s="33">
        <f t="shared" si="28"/>
        <v>2013</v>
      </c>
      <c r="B26" s="30">
        <v>1708</v>
      </c>
      <c r="C26" s="619">
        <f t="shared" si="3"/>
        <v>94328</v>
      </c>
      <c r="D26" s="807">
        <f t="shared" ref="D26:D47" si="32">D25</f>
        <v>0.16</v>
      </c>
      <c r="E26" s="808">
        <f t="shared" ref="E26:E47" si="33">E25</f>
        <v>0.2</v>
      </c>
      <c r="F26" s="806">
        <f t="shared" ref="F26:F47" si="34">F25</f>
        <v>271</v>
      </c>
      <c r="G26" s="626">
        <f t="shared" si="29"/>
        <v>0.27328000000000002</v>
      </c>
      <c r="H26" s="72">
        <f t="shared" si="30"/>
        <v>0.34160000000000001</v>
      </c>
      <c r="I26" s="630">
        <f t="shared" si="31"/>
        <v>0.462868</v>
      </c>
      <c r="J26" s="61">
        <f t="shared" si="16"/>
        <v>1990</v>
      </c>
      <c r="K26" s="188">
        <f t="shared" si="17"/>
        <v>0.16</v>
      </c>
      <c r="L26" s="188">
        <f t="shared" si="18"/>
        <v>0.31840000000000002</v>
      </c>
      <c r="M26" s="829">
        <f t="shared" si="19"/>
        <v>30.664573169883443</v>
      </c>
      <c r="N26" s="54">
        <f t="shared" si="20"/>
        <v>2272</v>
      </c>
      <c r="O26" s="670">
        <f t="shared" si="21"/>
        <v>0.2</v>
      </c>
      <c r="P26" s="670">
        <f t="shared" si="22"/>
        <v>0.45440000000000003</v>
      </c>
      <c r="Q26" s="671">
        <f t="shared" si="23"/>
        <v>36.313753456217462</v>
      </c>
      <c r="R26" s="247">
        <f t="shared" si="24"/>
        <v>1990</v>
      </c>
      <c r="S26" s="24">
        <f t="shared" si="25"/>
        <v>271</v>
      </c>
      <c r="T26" s="25">
        <f t="shared" si="26"/>
        <v>0.53929000000000005</v>
      </c>
      <c r="U26" s="654">
        <f t="shared" si="27"/>
        <v>73.074700410388829</v>
      </c>
      <c r="V26"/>
      <c r="W26"/>
      <c r="X26"/>
      <c r="Y26"/>
    </row>
    <row r="27" spans="1:25" s="830" customFormat="1" x14ac:dyDescent="0.2">
      <c r="A27" s="33">
        <f t="shared" si="28"/>
        <v>2014</v>
      </c>
      <c r="B27" s="30">
        <v>1706</v>
      </c>
      <c r="C27" s="619">
        <f t="shared" si="3"/>
        <v>96034</v>
      </c>
      <c r="D27" s="807">
        <v>0.17</v>
      </c>
      <c r="E27" s="808">
        <v>0.22</v>
      </c>
      <c r="F27" s="806">
        <v>298</v>
      </c>
      <c r="G27" s="626">
        <f t="shared" si="29"/>
        <v>0.29002000000000006</v>
      </c>
      <c r="H27" s="72">
        <f t="shared" si="30"/>
        <v>0.37531999999999999</v>
      </c>
      <c r="I27" s="630">
        <f t="shared" si="31"/>
        <v>0.50838799999999995</v>
      </c>
      <c r="J27" s="61">
        <f t="shared" si="16"/>
        <v>1707</v>
      </c>
      <c r="K27" s="188">
        <f t="shared" si="17"/>
        <v>0.17</v>
      </c>
      <c r="L27" s="188">
        <f t="shared" si="18"/>
        <v>0.29019</v>
      </c>
      <c r="M27" s="829">
        <f t="shared" si="19"/>
        <v>30.954763169883442</v>
      </c>
      <c r="N27" s="54">
        <f t="shared" si="20"/>
        <v>1708</v>
      </c>
      <c r="O27" s="670">
        <f t="shared" si="21"/>
        <v>0.22</v>
      </c>
      <c r="P27" s="670">
        <f t="shared" si="22"/>
        <v>0.37575999999999998</v>
      </c>
      <c r="Q27" s="671">
        <f t="shared" si="23"/>
        <v>36.689513456217462</v>
      </c>
      <c r="R27" s="247">
        <f t="shared" si="24"/>
        <v>1707</v>
      </c>
      <c r="S27" s="24">
        <f t="shared" si="25"/>
        <v>298</v>
      </c>
      <c r="T27" s="25">
        <f t="shared" si="26"/>
        <v>0.50868599999999997</v>
      </c>
      <c r="U27" s="654">
        <f t="shared" si="27"/>
        <v>73.583386410388826</v>
      </c>
      <c r="V27"/>
      <c r="W27"/>
      <c r="X27"/>
      <c r="Y27"/>
    </row>
    <row r="28" spans="1:25" s="830" customFormat="1" x14ac:dyDescent="0.2">
      <c r="A28" s="33">
        <f t="shared" si="28"/>
        <v>2015</v>
      </c>
      <c r="B28" s="30">
        <v>1895</v>
      </c>
      <c r="C28" s="619">
        <f t="shared" si="3"/>
        <v>97929</v>
      </c>
      <c r="D28" s="807">
        <f>D67</f>
        <v>0.16085488126649075</v>
      </c>
      <c r="E28" s="808">
        <f>E67</f>
        <v>0.20131926121372032</v>
      </c>
      <c r="F28" s="806">
        <f>F67</f>
        <v>273.09445910290236</v>
      </c>
      <c r="G28" s="626">
        <f t="shared" si="29"/>
        <v>0.30481999999999998</v>
      </c>
      <c r="H28" s="72">
        <f t="shared" si="30"/>
        <v>0.38150000000000001</v>
      </c>
      <c r="I28" s="630">
        <f t="shared" si="31"/>
        <v>0.51751400000000003</v>
      </c>
      <c r="J28" s="61">
        <f t="shared" si="16"/>
        <v>1800.5</v>
      </c>
      <c r="K28" s="188">
        <f t="shared" si="17"/>
        <v>0.16085488126649075</v>
      </c>
      <c r="L28" s="188">
        <f t="shared" si="18"/>
        <v>0.28961921372031663</v>
      </c>
      <c r="M28" s="829">
        <f t="shared" si="19"/>
        <v>31.24438238360376</v>
      </c>
      <c r="N28" s="54">
        <f t="shared" si="20"/>
        <v>1706</v>
      </c>
      <c r="O28" s="670">
        <f t="shared" si="21"/>
        <v>0.20131926121372032</v>
      </c>
      <c r="P28" s="670">
        <f t="shared" si="22"/>
        <v>0.34345065963060689</v>
      </c>
      <c r="Q28" s="671">
        <f t="shared" si="23"/>
        <v>37.032964115848067</v>
      </c>
      <c r="R28" s="247">
        <f t="shared" si="24"/>
        <v>1800.5</v>
      </c>
      <c r="S28" s="24">
        <f t="shared" si="25"/>
        <v>273.09445910290236</v>
      </c>
      <c r="T28" s="25">
        <f t="shared" si="26"/>
        <v>0.49170657361477571</v>
      </c>
      <c r="U28" s="654">
        <f t="shared" si="27"/>
        <v>74.075092984003604</v>
      </c>
      <c r="V28"/>
      <c r="W28"/>
      <c r="X28"/>
      <c r="Y28"/>
    </row>
    <row r="29" spans="1:25" s="2" customFormat="1" ht="13.5" thickBot="1" x14ac:dyDescent="0.25">
      <c r="A29" s="701">
        <f t="shared" si="28"/>
        <v>2016</v>
      </c>
      <c r="B29" s="702">
        <v>1293</v>
      </c>
      <c r="C29" s="703">
        <f t="shared" si="3"/>
        <v>99222</v>
      </c>
      <c r="D29" s="835">
        <v>0.17100000000000001</v>
      </c>
      <c r="E29" s="836">
        <v>0.217</v>
      </c>
      <c r="F29" s="705">
        <v>298</v>
      </c>
      <c r="G29" s="823">
        <f t="shared" si="29"/>
        <v>0.22110300000000002</v>
      </c>
      <c r="H29" s="707">
        <f t="shared" si="30"/>
        <v>0.28058100000000002</v>
      </c>
      <c r="I29" s="824">
        <f t="shared" si="31"/>
        <v>0.38531399999999999</v>
      </c>
      <c r="J29" s="708">
        <f t="shared" si="16"/>
        <v>1594</v>
      </c>
      <c r="K29" s="1124">
        <f t="shared" si="17"/>
        <v>0.17100000000000001</v>
      </c>
      <c r="L29" s="825">
        <f t="shared" si="18"/>
        <v>0.27257400000000004</v>
      </c>
      <c r="M29" s="826">
        <f t="shared" si="19"/>
        <v>31.516956383603759</v>
      </c>
      <c r="N29" s="711">
        <f t="shared" si="20"/>
        <v>1895</v>
      </c>
      <c r="O29" s="827">
        <f t="shared" si="21"/>
        <v>0.217</v>
      </c>
      <c r="P29" s="827">
        <f t="shared" si="22"/>
        <v>0.411215</v>
      </c>
      <c r="Q29" s="828">
        <f t="shared" si="23"/>
        <v>37.444179115848065</v>
      </c>
      <c r="R29" s="714">
        <f t="shared" si="24"/>
        <v>1594</v>
      </c>
      <c r="S29" s="715">
        <f t="shared" si="25"/>
        <v>298</v>
      </c>
      <c r="T29" s="716">
        <f t="shared" si="26"/>
        <v>0.47501199999999999</v>
      </c>
      <c r="U29" s="717">
        <f t="shared" si="27"/>
        <v>74.55010498400361</v>
      </c>
      <c r="V29"/>
      <c r="W29"/>
      <c r="X29"/>
      <c r="Y29"/>
    </row>
    <row r="30" spans="1:25" x14ac:dyDescent="0.2">
      <c r="A30" s="33">
        <f t="shared" si="28"/>
        <v>2017</v>
      </c>
      <c r="B30" s="787">
        <v>750</v>
      </c>
      <c r="C30" s="565">
        <f t="shared" si="3"/>
        <v>99972</v>
      </c>
      <c r="D30" s="965">
        <f t="shared" si="32"/>
        <v>0.17100000000000001</v>
      </c>
      <c r="E30" s="966">
        <f t="shared" si="33"/>
        <v>0.217</v>
      </c>
      <c r="F30" s="790">
        <f t="shared" si="34"/>
        <v>298</v>
      </c>
      <c r="G30" s="473">
        <f t="shared" si="29"/>
        <v>0.12825</v>
      </c>
      <c r="H30" s="474">
        <f t="shared" si="30"/>
        <v>0.16275000000000001</v>
      </c>
      <c r="I30" s="474">
        <f t="shared" si="31"/>
        <v>0.2235</v>
      </c>
      <c r="J30" s="61">
        <f t="shared" si="16"/>
        <v>1021.5</v>
      </c>
      <c r="K30" s="967">
        <f t="shared" si="17"/>
        <v>0.17100000000000001</v>
      </c>
      <c r="L30" s="967">
        <f t="shared" si="18"/>
        <v>0.17467650000000001</v>
      </c>
      <c r="M30" s="967">
        <f t="shared" si="19"/>
        <v>31.691632883603759</v>
      </c>
      <c r="N30" s="54">
        <f t="shared" si="20"/>
        <v>1293</v>
      </c>
      <c r="O30" s="968">
        <f t="shared" si="21"/>
        <v>0.217</v>
      </c>
      <c r="P30" s="968">
        <f t="shared" si="22"/>
        <v>0.28058100000000002</v>
      </c>
      <c r="Q30" s="969">
        <f t="shared" si="23"/>
        <v>37.724760115848063</v>
      </c>
      <c r="R30" s="247">
        <f t="shared" si="24"/>
        <v>1021.5</v>
      </c>
      <c r="S30" s="24">
        <f t="shared" si="25"/>
        <v>298</v>
      </c>
      <c r="T30" s="970">
        <f t="shared" si="26"/>
        <v>0.30440699999999998</v>
      </c>
      <c r="U30" s="971">
        <f t="shared" si="27"/>
        <v>74.854511984003608</v>
      </c>
    </row>
    <row r="31" spans="1:25" x14ac:dyDescent="0.2">
      <c r="A31" s="33">
        <f t="shared" si="28"/>
        <v>2018</v>
      </c>
      <c r="B31" s="787">
        <v>750</v>
      </c>
      <c r="C31" s="565">
        <f t="shared" si="3"/>
        <v>100722</v>
      </c>
      <c r="D31" s="965">
        <f t="shared" si="32"/>
        <v>0.17100000000000001</v>
      </c>
      <c r="E31" s="966">
        <f t="shared" si="33"/>
        <v>0.217</v>
      </c>
      <c r="F31" s="790">
        <f t="shared" si="34"/>
        <v>298</v>
      </c>
      <c r="G31" s="473">
        <f t="shared" si="29"/>
        <v>0.12825</v>
      </c>
      <c r="H31" s="474">
        <f t="shared" si="30"/>
        <v>0.16275000000000001</v>
      </c>
      <c r="I31" s="474">
        <f t="shared" si="31"/>
        <v>0.2235</v>
      </c>
      <c r="J31" s="61">
        <f t="shared" si="16"/>
        <v>750</v>
      </c>
      <c r="K31" s="967">
        <f t="shared" si="17"/>
        <v>0.17100000000000001</v>
      </c>
      <c r="L31" s="967">
        <f t="shared" si="18"/>
        <v>0.12825</v>
      </c>
      <c r="M31" s="967">
        <f t="shared" si="19"/>
        <v>31.819882883603761</v>
      </c>
      <c r="N31" s="54">
        <f t="shared" si="20"/>
        <v>750</v>
      </c>
      <c r="O31" s="968">
        <f t="shared" si="21"/>
        <v>0.217</v>
      </c>
      <c r="P31" s="968">
        <f t="shared" si="22"/>
        <v>0.16275000000000001</v>
      </c>
      <c r="Q31" s="969">
        <f t="shared" si="23"/>
        <v>37.887510115848066</v>
      </c>
      <c r="R31" s="247">
        <f t="shared" si="24"/>
        <v>750</v>
      </c>
      <c r="S31" s="24">
        <f t="shared" si="25"/>
        <v>298</v>
      </c>
      <c r="T31" s="970">
        <f t="shared" si="26"/>
        <v>0.2235</v>
      </c>
      <c r="U31" s="971">
        <f t="shared" si="27"/>
        <v>75.078011984003609</v>
      </c>
    </row>
    <row r="32" spans="1:25" x14ac:dyDescent="0.2">
      <c r="A32" s="33">
        <f t="shared" si="28"/>
        <v>2019</v>
      </c>
      <c r="B32" s="787">
        <v>500</v>
      </c>
      <c r="C32" s="565">
        <f t="shared" si="3"/>
        <v>101222</v>
      </c>
      <c r="D32" s="965">
        <f t="shared" si="32"/>
        <v>0.17100000000000001</v>
      </c>
      <c r="E32" s="966">
        <f t="shared" si="33"/>
        <v>0.217</v>
      </c>
      <c r="F32" s="790">
        <f t="shared" si="34"/>
        <v>298</v>
      </c>
      <c r="G32" s="473">
        <f t="shared" si="29"/>
        <v>8.5500000000000007E-2</v>
      </c>
      <c r="H32" s="474">
        <f t="shared" si="30"/>
        <v>0.1085</v>
      </c>
      <c r="I32" s="474">
        <f t="shared" si="31"/>
        <v>0.14899999999999999</v>
      </c>
      <c r="J32" s="61">
        <f t="shared" si="16"/>
        <v>625</v>
      </c>
      <c r="K32" s="967">
        <f t="shared" si="17"/>
        <v>0.17100000000000001</v>
      </c>
      <c r="L32" s="967">
        <f t="shared" si="18"/>
        <v>0.10687500000000001</v>
      </c>
      <c r="M32" s="967">
        <f t="shared" si="19"/>
        <v>31.926757883603759</v>
      </c>
      <c r="N32" s="54">
        <f t="shared" si="20"/>
        <v>750</v>
      </c>
      <c r="O32" s="968">
        <f t="shared" si="21"/>
        <v>0.217</v>
      </c>
      <c r="P32" s="968">
        <f t="shared" si="22"/>
        <v>0.16275000000000001</v>
      </c>
      <c r="Q32" s="969">
        <f t="shared" si="23"/>
        <v>38.050260115848069</v>
      </c>
      <c r="R32" s="247">
        <f t="shared" si="24"/>
        <v>625</v>
      </c>
      <c r="S32" s="24">
        <f t="shared" si="25"/>
        <v>298</v>
      </c>
      <c r="T32" s="970">
        <f t="shared" si="26"/>
        <v>0.18625</v>
      </c>
      <c r="U32" s="971">
        <f t="shared" si="27"/>
        <v>75.26426198400361</v>
      </c>
    </row>
    <row r="33" spans="1:21" x14ac:dyDescent="0.2">
      <c r="A33" s="33">
        <f t="shared" si="28"/>
        <v>2020</v>
      </c>
      <c r="B33" s="787">
        <v>500</v>
      </c>
      <c r="C33" s="565">
        <f t="shared" si="3"/>
        <v>101722</v>
      </c>
      <c r="D33" s="965">
        <f t="shared" si="32"/>
        <v>0.17100000000000001</v>
      </c>
      <c r="E33" s="966">
        <f t="shared" si="33"/>
        <v>0.217</v>
      </c>
      <c r="F33" s="790">
        <f t="shared" si="34"/>
        <v>298</v>
      </c>
      <c r="G33" s="473">
        <f t="shared" si="29"/>
        <v>8.5500000000000007E-2</v>
      </c>
      <c r="H33" s="474">
        <f t="shared" si="30"/>
        <v>0.1085</v>
      </c>
      <c r="I33" s="474">
        <f t="shared" si="31"/>
        <v>0.14899999999999999</v>
      </c>
      <c r="J33" s="61">
        <f t="shared" si="16"/>
        <v>500</v>
      </c>
      <c r="K33" s="967">
        <f t="shared" si="17"/>
        <v>0.17100000000000001</v>
      </c>
      <c r="L33" s="967">
        <f t="shared" si="18"/>
        <v>8.5500000000000007E-2</v>
      </c>
      <c r="M33" s="967">
        <f t="shared" si="19"/>
        <v>32.012257883603759</v>
      </c>
      <c r="N33" s="54">
        <f t="shared" si="20"/>
        <v>500</v>
      </c>
      <c r="O33" s="968">
        <f t="shared" si="21"/>
        <v>0.217</v>
      </c>
      <c r="P33" s="968">
        <f t="shared" si="22"/>
        <v>0.1085</v>
      </c>
      <c r="Q33" s="969">
        <f t="shared" si="23"/>
        <v>38.158760115848068</v>
      </c>
      <c r="R33" s="247">
        <f t="shared" si="24"/>
        <v>500</v>
      </c>
      <c r="S33" s="24">
        <f t="shared" si="25"/>
        <v>298</v>
      </c>
      <c r="T33" s="970">
        <f t="shared" si="26"/>
        <v>0.14899999999999999</v>
      </c>
      <c r="U33" s="971">
        <f t="shared" si="27"/>
        <v>75.413261984003611</v>
      </c>
    </row>
    <row r="34" spans="1:21" x14ac:dyDescent="0.2">
      <c r="A34" s="33">
        <f t="shared" si="28"/>
        <v>2021</v>
      </c>
      <c r="B34" s="787">
        <v>500</v>
      </c>
      <c r="C34" s="565">
        <f t="shared" si="3"/>
        <v>102222</v>
      </c>
      <c r="D34" s="965">
        <f t="shared" si="32"/>
        <v>0.17100000000000001</v>
      </c>
      <c r="E34" s="966">
        <f t="shared" si="33"/>
        <v>0.217</v>
      </c>
      <c r="F34" s="790">
        <f t="shared" si="34"/>
        <v>298</v>
      </c>
      <c r="G34" s="473">
        <f t="shared" si="29"/>
        <v>8.5500000000000007E-2</v>
      </c>
      <c r="H34" s="474">
        <f t="shared" si="30"/>
        <v>0.1085</v>
      </c>
      <c r="I34" s="474">
        <f t="shared" si="31"/>
        <v>0.14899999999999999</v>
      </c>
      <c r="J34" s="61">
        <f t="shared" si="16"/>
        <v>500</v>
      </c>
      <c r="K34" s="967">
        <f t="shared" si="17"/>
        <v>0.17100000000000001</v>
      </c>
      <c r="L34" s="967">
        <f t="shared" si="18"/>
        <v>8.5500000000000007E-2</v>
      </c>
      <c r="M34" s="967">
        <f t="shared" si="19"/>
        <v>32.097757883603762</v>
      </c>
      <c r="N34" s="54">
        <f t="shared" si="20"/>
        <v>500</v>
      </c>
      <c r="O34" s="968">
        <f t="shared" si="21"/>
        <v>0.217</v>
      </c>
      <c r="P34" s="968">
        <f t="shared" si="22"/>
        <v>0.1085</v>
      </c>
      <c r="Q34" s="969">
        <f t="shared" si="23"/>
        <v>38.267260115848067</v>
      </c>
      <c r="R34" s="247">
        <f t="shared" si="24"/>
        <v>500</v>
      </c>
      <c r="S34" s="24">
        <f t="shared" si="25"/>
        <v>298</v>
      </c>
      <c r="T34" s="970">
        <f t="shared" si="26"/>
        <v>0.14899999999999999</v>
      </c>
      <c r="U34" s="971">
        <f t="shared" si="27"/>
        <v>75.562261984003612</v>
      </c>
    </row>
    <row r="35" spans="1:21" x14ac:dyDescent="0.2">
      <c r="A35" s="33">
        <f t="shared" si="28"/>
        <v>2022</v>
      </c>
      <c r="B35" s="787">
        <f t="shared" ref="B35:B47" si="35">B34</f>
        <v>500</v>
      </c>
      <c r="C35" s="565">
        <f t="shared" si="3"/>
        <v>102722</v>
      </c>
      <c r="D35" s="965">
        <f t="shared" si="32"/>
        <v>0.17100000000000001</v>
      </c>
      <c r="E35" s="966">
        <f t="shared" si="33"/>
        <v>0.217</v>
      </c>
      <c r="F35" s="790">
        <f t="shared" si="34"/>
        <v>298</v>
      </c>
      <c r="G35" s="473">
        <f t="shared" si="29"/>
        <v>8.5500000000000007E-2</v>
      </c>
      <c r="H35" s="474">
        <f t="shared" si="30"/>
        <v>0.1085</v>
      </c>
      <c r="I35" s="474">
        <f t="shared" si="31"/>
        <v>0.14899999999999999</v>
      </c>
      <c r="J35" s="61">
        <f t="shared" si="16"/>
        <v>500</v>
      </c>
      <c r="K35" s="967">
        <f t="shared" si="17"/>
        <v>0.17100000000000001</v>
      </c>
      <c r="L35" s="967">
        <f t="shared" si="18"/>
        <v>8.5500000000000007E-2</v>
      </c>
      <c r="M35" s="967">
        <f t="shared" si="19"/>
        <v>32.183257883603765</v>
      </c>
      <c r="N35" s="54">
        <f t="shared" si="20"/>
        <v>500</v>
      </c>
      <c r="O35" s="968">
        <f t="shared" si="21"/>
        <v>0.217</v>
      </c>
      <c r="P35" s="968">
        <f t="shared" si="22"/>
        <v>0.1085</v>
      </c>
      <c r="Q35" s="969">
        <f t="shared" si="23"/>
        <v>38.375760115848067</v>
      </c>
      <c r="R35" s="247">
        <f t="shared" si="24"/>
        <v>500</v>
      </c>
      <c r="S35" s="24">
        <f t="shared" si="25"/>
        <v>298</v>
      </c>
      <c r="T35" s="970">
        <f t="shared" si="26"/>
        <v>0.14899999999999999</v>
      </c>
      <c r="U35" s="971">
        <f t="shared" si="27"/>
        <v>75.711261984003613</v>
      </c>
    </row>
    <row r="36" spans="1:21" x14ac:dyDescent="0.2">
      <c r="A36" s="33">
        <f t="shared" si="28"/>
        <v>2023</v>
      </c>
      <c r="B36" s="787">
        <f t="shared" si="35"/>
        <v>500</v>
      </c>
      <c r="C36" s="565">
        <f t="shared" si="3"/>
        <v>103222</v>
      </c>
      <c r="D36" s="965">
        <f t="shared" si="32"/>
        <v>0.17100000000000001</v>
      </c>
      <c r="E36" s="966">
        <f t="shared" si="33"/>
        <v>0.217</v>
      </c>
      <c r="F36" s="790">
        <f t="shared" si="34"/>
        <v>298</v>
      </c>
      <c r="G36" s="473">
        <f t="shared" si="29"/>
        <v>8.5500000000000007E-2</v>
      </c>
      <c r="H36" s="474">
        <f t="shared" si="30"/>
        <v>0.1085</v>
      </c>
      <c r="I36" s="474">
        <f t="shared" si="31"/>
        <v>0.14899999999999999</v>
      </c>
      <c r="J36" s="61">
        <f t="shared" si="16"/>
        <v>500</v>
      </c>
      <c r="K36" s="967">
        <f t="shared" si="17"/>
        <v>0.17100000000000001</v>
      </c>
      <c r="L36" s="967">
        <f t="shared" si="18"/>
        <v>8.5500000000000007E-2</v>
      </c>
      <c r="M36" s="967">
        <f t="shared" si="19"/>
        <v>32.268757883603769</v>
      </c>
      <c r="N36" s="54">
        <f t="shared" si="20"/>
        <v>500</v>
      </c>
      <c r="O36" s="968">
        <f t="shared" si="21"/>
        <v>0.217</v>
      </c>
      <c r="P36" s="968">
        <f t="shared" si="22"/>
        <v>0.1085</v>
      </c>
      <c r="Q36" s="969">
        <f t="shared" si="23"/>
        <v>38.484260115848066</v>
      </c>
      <c r="R36" s="247">
        <f t="shared" si="24"/>
        <v>500</v>
      </c>
      <c r="S36" s="24">
        <f t="shared" si="25"/>
        <v>298</v>
      </c>
      <c r="T36" s="970">
        <f t="shared" si="26"/>
        <v>0.14899999999999999</v>
      </c>
      <c r="U36" s="971">
        <f t="shared" si="27"/>
        <v>75.860261984003614</v>
      </c>
    </row>
    <row r="37" spans="1:21" x14ac:dyDescent="0.2">
      <c r="A37" s="33">
        <f t="shared" si="28"/>
        <v>2024</v>
      </c>
      <c r="B37" s="787">
        <f t="shared" si="35"/>
        <v>500</v>
      </c>
      <c r="C37" s="565">
        <f t="shared" si="3"/>
        <v>103722</v>
      </c>
      <c r="D37" s="965">
        <f t="shared" si="32"/>
        <v>0.17100000000000001</v>
      </c>
      <c r="E37" s="966">
        <f t="shared" si="33"/>
        <v>0.217</v>
      </c>
      <c r="F37" s="790">
        <f t="shared" si="34"/>
        <v>298</v>
      </c>
      <c r="G37" s="473">
        <f t="shared" si="29"/>
        <v>8.5500000000000007E-2</v>
      </c>
      <c r="H37" s="474">
        <f t="shared" si="30"/>
        <v>0.1085</v>
      </c>
      <c r="I37" s="474">
        <f t="shared" si="31"/>
        <v>0.14899999999999999</v>
      </c>
      <c r="J37" s="61">
        <f t="shared" si="16"/>
        <v>500</v>
      </c>
      <c r="K37" s="967">
        <f t="shared" si="17"/>
        <v>0.17100000000000001</v>
      </c>
      <c r="L37" s="967">
        <f t="shared" si="18"/>
        <v>8.5500000000000007E-2</v>
      </c>
      <c r="M37" s="967">
        <f t="shared" si="19"/>
        <v>32.354257883603772</v>
      </c>
      <c r="N37" s="54">
        <f t="shared" si="20"/>
        <v>500</v>
      </c>
      <c r="O37" s="968">
        <f t="shared" si="21"/>
        <v>0.217</v>
      </c>
      <c r="P37" s="968">
        <f t="shared" si="22"/>
        <v>0.1085</v>
      </c>
      <c r="Q37" s="969">
        <f t="shared" si="23"/>
        <v>38.592760115848066</v>
      </c>
      <c r="R37" s="247">
        <f t="shared" si="24"/>
        <v>500</v>
      </c>
      <c r="S37" s="24">
        <f t="shared" si="25"/>
        <v>298</v>
      </c>
      <c r="T37" s="970">
        <f t="shared" si="26"/>
        <v>0.14899999999999999</v>
      </c>
      <c r="U37" s="971">
        <f t="shared" si="27"/>
        <v>76.009261984003615</v>
      </c>
    </row>
    <row r="38" spans="1:21" x14ac:dyDescent="0.2">
      <c r="A38" s="33">
        <f t="shared" si="28"/>
        <v>2025</v>
      </c>
      <c r="B38" s="787">
        <f t="shared" si="35"/>
        <v>500</v>
      </c>
      <c r="C38" s="565">
        <f t="shared" ref="C38:C42" si="36">+C37+B38</f>
        <v>104222</v>
      </c>
      <c r="D38" s="965">
        <f t="shared" si="32"/>
        <v>0.17100000000000001</v>
      </c>
      <c r="E38" s="966">
        <f t="shared" si="33"/>
        <v>0.217</v>
      </c>
      <c r="F38" s="790">
        <f t="shared" si="34"/>
        <v>298</v>
      </c>
      <c r="G38" s="473">
        <f t="shared" si="29"/>
        <v>8.5500000000000007E-2</v>
      </c>
      <c r="H38" s="474">
        <f t="shared" si="30"/>
        <v>0.1085</v>
      </c>
      <c r="I38" s="474">
        <f t="shared" si="31"/>
        <v>0.14899999999999999</v>
      </c>
      <c r="J38" s="61">
        <f t="shared" ref="J38:J42" si="37">+(B38+B37)/2</f>
        <v>500</v>
      </c>
      <c r="K38" s="967">
        <f t="shared" ref="K38:K42" si="38">+D38</f>
        <v>0.17100000000000001</v>
      </c>
      <c r="L38" s="967">
        <f t="shared" ref="L38:L42" si="39">+J38*K38/1000</f>
        <v>8.5500000000000007E-2</v>
      </c>
      <c r="M38" s="967">
        <f t="shared" ref="M38:M42" si="40">+M37+L38</f>
        <v>32.439757883603775</v>
      </c>
      <c r="N38" s="54">
        <f t="shared" ref="N38:N42" si="41">+B37</f>
        <v>500</v>
      </c>
      <c r="O38" s="968">
        <f t="shared" ref="O38:O42" si="42">+E38</f>
        <v>0.217</v>
      </c>
      <c r="P38" s="968">
        <f t="shared" ref="P38:P42" si="43">+N38*O38/1000</f>
        <v>0.1085</v>
      </c>
      <c r="Q38" s="969">
        <f t="shared" ref="Q38:Q42" si="44">+Q37+P38</f>
        <v>38.701260115848065</v>
      </c>
      <c r="R38" s="247">
        <f t="shared" ref="R38:R42" si="45">+(B38+B37)/2</f>
        <v>500</v>
      </c>
      <c r="S38" s="24">
        <f t="shared" ref="S38:S42" si="46">+F38</f>
        <v>298</v>
      </c>
      <c r="T38" s="970">
        <f t="shared" ref="T38:T42" si="47">+R38*S38/1000000</f>
        <v>0.14899999999999999</v>
      </c>
      <c r="U38" s="971">
        <f t="shared" ref="U38:U42" si="48">+U37+T38</f>
        <v>76.158261984003616</v>
      </c>
    </row>
    <row r="39" spans="1:21" x14ac:dyDescent="0.2">
      <c r="A39" s="33">
        <f>+A38+1</f>
        <v>2026</v>
      </c>
      <c r="B39" s="787">
        <f t="shared" si="35"/>
        <v>500</v>
      </c>
      <c r="C39" s="565">
        <f t="shared" si="36"/>
        <v>104722</v>
      </c>
      <c r="D39" s="965">
        <f t="shared" si="32"/>
        <v>0.17100000000000001</v>
      </c>
      <c r="E39" s="966">
        <f t="shared" si="33"/>
        <v>0.217</v>
      </c>
      <c r="F39" s="790">
        <f t="shared" si="34"/>
        <v>298</v>
      </c>
      <c r="G39" s="473">
        <f t="shared" si="29"/>
        <v>8.5500000000000007E-2</v>
      </c>
      <c r="H39" s="474">
        <f t="shared" si="30"/>
        <v>0.1085</v>
      </c>
      <c r="I39" s="474">
        <f t="shared" si="31"/>
        <v>0.14899999999999999</v>
      </c>
      <c r="J39" s="61">
        <f t="shared" si="37"/>
        <v>500</v>
      </c>
      <c r="K39" s="967">
        <f t="shared" si="38"/>
        <v>0.17100000000000001</v>
      </c>
      <c r="L39" s="967">
        <f t="shared" si="39"/>
        <v>8.5500000000000007E-2</v>
      </c>
      <c r="M39" s="967">
        <f t="shared" si="40"/>
        <v>32.525257883603778</v>
      </c>
      <c r="N39" s="54">
        <f t="shared" si="41"/>
        <v>500</v>
      </c>
      <c r="O39" s="968">
        <f t="shared" si="42"/>
        <v>0.217</v>
      </c>
      <c r="P39" s="968">
        <f t="shared" si="43"/>
        <v>0.1085</v>
      </c>
      <c r="Q39" s="969">
        <f t="shared" si="44"/>
        <v>38.809760115848064</v>
      </c>
      <c r="R39" s="247">
        <f t="shared" si="45"/>
        <v>500</v>
      </c>
      <c r="S39" s="24">
        <f t="shared" si="46"/>
        <v>298</v>
      </c>
      <c r="T39" s="970">
        <f t="shared" si="47"/>
        <v>0.14899999999999999</v>
      </c>
      <c r="U39" s="971">
        <f t="shared" si="48"/>
        <v>76.307261984003617</v>
      </c>
    </row>
    <row r="40" spans="1:21" x14ac:dyDescent="0.2">
      <c r="A40" s="33">
        <f t="shared" si="28"/>
        <v>2027</v>
      </c>
      <c r="B40" s="787">
        <f t="shared" si="35"/>
        <v>500</v>
      </c>
      <c r="C40" s="565">
        <f t="shared" si="36"/>
        <v>105222</v>
      </c>
      <c r="D40" s="965">
        <f t="shared" si="32"/>
        <v>0.17100000000000001</v>
      </c>
      <c r="E40" s="966">
        <f t="shared" si="33"/>
        <v>0.217</v>
      </c>
      <c r="F40" s="790">
        <f t="shared" si="34"/>
        <v>298</v>
      </c>
      <c r="G40" s="473">
        <f t="shared" si="29"/>
        <v>8.5500000000000007E-2</v>
      </c>
      <c r="H40" s="474">
        <f t="shared" si="30"/>
        <v>0.1085</v>
      </c>
      <c r="I40" s="474">
        <f t="shared" si="31"/>
        <v>0.14899999999999999</v>
      </c>
      <c r="J40" s="61">
        <f t="shared" si="37"/>
        <v>500</v>
      </c>
      <c r="K40" s="967">
        <f t="shared" si="38"/>
        <v>0.17100000000000001</v>
      </c>
      <c r="L40" s="967">
        <f t="shared" si="39"/>
        <v>8.5500000000000007E-2</v>
      </c>
      <c r="M40" s="967">
        <f t="shared" si="40"/>
        <v>32.610757883603782</v>
      </c>
      <c r="N40" s="54">
        <f t="shared" si="41"/>
        <v>500</v>
      </c>
      <c r="O40" s="968">
        <f t="shared" si="42"/>
        <v>0.217</v>
      </c>
      <c r="P40" s="968">
        <f t="shared" si="43"/>
        <v>0.1085</v>
      </c>
      <c r="Q40" s="969">
        <f t="shared" si="44"/>
        <v>38.918260115848064</v>
      </c>
      <c r="R40" s="247">
        <f t="shared" si="45"/>
        <v>500</v>
      </c>
      <c r="S40" s="24">
        <f t="shared" si="46"/>
        <v>298</v>
      </c>
      <c r="T40" s="970">
        <f t="shared" si="47"/>
        <v>0.14899999999999999</v>
      </c>
      <c r="U40" s="971">
        <f t="shared" si="48"/>
        <v>76.456261984003618</v>
      </c>
    </row>
    <row r="41" spans="1:21" x14ac:dyDescent="0.2">
      <c r="A41" s="33">
        <f t="shared" si="28"/>
        <v>2028</v>
      </c>
      <c r="B41" s="787">
        <f t="shared" si="35"/>
        <v>500</v>
      </c>
      <c r="C41" s="565">
        <f t="shared" si="36"/>
        <v>105722</v>
      </c>
      <c r="D41" s="965">
        <f t="shared" si="32"/>
        <v>0.17100000000000001</v>
      </c>
      <c r="E41" s="966">
        <f t="shared" si="33"/>
        <v>0.217</v>
      </c>
      <c r="F41" s="790">
        <f t="shared" si="34"/>
        <v>298</v>
      </c>
      <c r="G41" s="473">
        <f t="shared" si="29"/>
        <v>8.5500000000000007E-2</v>
      </c>
      <c r="H41" s="474">
        <f t="shared" si="30"/>
        <v>0.1085</v>
      </c>
      <c r="I41" s="474">
        <f t="shared" si="31"/>
        <v>0.14899999999999999</v>
      </c>
      <c r="J41" s="61">
        <f t="shared" si="37"/>
        <v>500</v>
      </c>
      <c r="K41" s="967">
        <f t="shared" si="38"/>
        <v>0.17100000000000001</v>
      </c>
      <c r="L41" s="967">
        <f t="shared" si="39"/>
        <v>8.5500000000000007E-2</v>
      </c>
      <c r="M41" s="967">
        <f t="shared" si="40"/>
        <v>32.696257883603785</v>
      </c>
      <c r="N41" s="54">
        <f t="shared" si="41"/>
        <v>500</v>
      </c>
      <c r="O41" s="968">
        <f t="shared" si="42"/>
        <v>0.217</v>
      </c>
      <c r="P41" s="968">
        <f t="shared" si="43"/>
        <v>0.1085</v>
      </c>
      <c r="Q41" s="969">
        <f t="shared" si="44"/>
        <v>39.026760115848063</v>
      </c>
      <c r="R41" s="247">
        <f t="shared" si="45"/>
        <v>500</v>
      </c>
      <c r="S41" s="24">
        <f t="shared" si="46"/>
        <v>298</v>
      </c>
      <c r="T41" s="970">
        <f t="shared" si="47"/>
        <v>0.14899999999999999</v>
      </c>
      <c r="U41" s="971">
        <f t="shared" si="48"/>
        <v>76.605261984003619</v>
      </c>
    </row>
    <row r="42" spans="1:21" x14ac:dyDescent="0.2">
      <c r="A42" s="33">
        <f t="shared" si="28"/>
        <v>2029</v>
      </c>
      <c r="B42" s="787">
        <f t="shared" si="35"/>
        <v>500</v>
      </c>
      <c r="C42" s="565">
        <f t="shared" si="36"/>
        <v>106222</v>
      </c>
      <c r="D42" s="965">
        <f t="shared" si="32"/>
        <v>0.17100000000000001</v>
      </c>
      <c r="E42" s="966">
        <f t="shared" si="33"/>
        <v>0.217</v>
      </c>
      <c r="F42" s="790">
        <f t="shared" si="34"/>
        <v>298</v>
      </c>
      <c r="G42" s="473">
        <f t="shared" si="29"/>
        <v>8.5500000000000007E-2</v>
      </c>
      <c r="H42" s="474">
        <f t="shared" si="30"/>
        <v>0.1085</v>
      </c>
      <c r="I42" s="474">
        <f t="shared" si="31"/>
        <v>0.14899999999999999</v>
      </c>
      <c r="J42" s="61">
        <f t="shared" si="37"/>
        <v>500</v>
      </c>
      <c r="K42" s="967">
        <f t="shared" si="38"/>
        <v>0.17100000000000001</v>
      </c>
      <c r="L42" s="967">
        <f t="shared" si="39"/>
        <v>8.5500000000000007E-2</v>
      </c>
      <c r="M42" s="967">
        <f t="shared" si="40"/>
        <v>32.781757883603788</v>
      </c>
      <c r="N42" s="54">
        <f t="shared" si="41"/>
        <v>500</v>
      </c>
      <c r="O42" s="968">
        <f t="shared" si="42"/>
        <v>0.217</v>
      </c>
      <c r="P42" s="968">
        <f t="shared" si="43"/>
        <v>0.1085</v>
      </c>
      <c r="Q42" s="969">
        <f t="shared" si="44"/>
        <v>39.135260115848062</v>
      </c>
      <c r="R42" s="247">
        <f t="shared" si="45"/>
        <v>500</v>
      </c>
      <c r="S42" s="24">
        <f t="shared" si="46"/>
        <v>298</v>
      </c>
      <c r="T42" s="970">
        <f t="shared" si="47"/>
        <v>0.14899999999999999</v>
      </c>
      <c r="U42" s="971">
        <f t="shared" si="48"/>
        <v>76.75426198400362</v>
      </c>
    </row>
    <row r="43" spans="1:21" x14ac:dyDescent="0.2">
      <c r="A43" s="33">
        <f t="shared" si="28"/>
        <v>2030</v>
      </c>
      <c r="B43" s="787">
        <f t="shared" si="35"/>
        <v>500</v>
      </c>
      <c r="C43" s="565">
        <f t="shared" ref="C43:C47" si="49">+C42+B43</f>
        <v>106722</v>
      </c>
      <c r="D43" s="965">
        <f t="shared" si="32"/>
        <v>0.17100000000000001</v>
      </c>
      <c r="E43" s="966">
        <f t="shared" si="33"/>
        <v>0.217</v>
      </c>
      <c r="F43" s="790">
        <f t="shared" si="34"/>
        <v>298</v>
      </c>
      <c r="G43" s="473">
        <f t="shared" ref="G43:G47" si="50">+$B43*D43/1000</f>
        <v>8.5500000000000007E-2</v>
      </c>
      <c r="H43" s="474">
        <f t="shared" ref="H43:H47" si="51">+$B43*E43/1000</f>
        <v>0.1085</v>
      </c>
      <c r="I43" s="474">
        <f t="shared" ref="I43:I47" si="52">+$B43*F43/1000000</f>
        <v>0.14899999999999999</v>
      </c>
      <c r="J43" s="61">
        <f t="shared" ref="J43:J47" si="53">+(B43+B42)/2</f>
        <v>500</v>
      </c>
      <c r="K43" s="967">
        <f t="shared" ref="K43:K47" si="54">+D43</f>
        <v>0.17100000000000001</v>
      </c>
      <c r="L43" s="967">
        <f t="shared" ref="L43:L47" si="55">+J43*K43/1000</f>
        <v>8.5500000000000007E-2</v>
      </c>
      <c r="M43" s="967">
        <f t="shared" ref="M43:M47" si="56">+M42+L43</f>
        <v>32.867257883603791</v>
      </c>
      <c r="N43" s="54">
        <f t="shared" ref="N43:N47" si="57">+B42</f>
        <v>500</v>
      </c>
      <c r="O43" s="968">
        <f t="shared" ref="O43:O47" si="58">+E43</f>
        <v>0.217</v>
      </c>
      <c r="P43" s="968">
        <f t="shared" ref="P43:P47" si="59">+N43*O43/1000</f>
        <v>0.1085</v>
      </c>
      <c r="Q43" s="969">
        <f t="shared" ref="Q43:Q47" si="60">+Q42+P43</f>
        <v>39.243760115848062</v>
      </c>
      <c r="R43" s="247">
        <f t="shared" ref="R43:R47" si="61">+(B43+B42)/2</f>
        <v>500</v>
      </c>
      <c r="S43" s="24">
        <f t="shared" ref="S43:S47" si="62">+F43</f>
        <v>298</v>
      </c>
      <c r="T43" s="970">
        <f t="shared" ref="T43:T47" si="63">+R43*S43/1000000</f>
        <v>0.14899999999999999</v>
      </c>
      <c r="U43" s="971">
        <f t="shared" ref="U43:U47" si="64">+U42+T43</f>
        <v>76.90326198400362</v>
      </c>
    </row>
    <row r="44" spans="1:21" x14ac:dyDescent="0.2">
      <c r="A44" s="33">
        <f t="shared" si="28"/>
        <v>2031</v>
      </c>
      <c r="B44" s="787">
        <f t="shared" si="35"/>
        <v>500</v>
      </c>
      <c r="C44" s="565">
        <f t="shared" si="49"/>
        <v>107222</v>
      </c>
      <c r="D44" s="965">
        <f t="shared" si="32"/>
        <v>0.17100000000000001</v>
      </c>
      <c r="E44" s="966">
        <f t="shared" si="33"/>
        <v>0.217</v>
      </c>
      <c r="F44" s="790">
        <f t="shared" si="34"/>
        <v>298</v>
      </c>
      <c r="G44" s="473">
        <f t="shared" si="50"/>
        <v>8.5500000000000007E-2</v>
      </c>
      <c r="H44" s="474">
        <f t="shared" si="51"/>
        <v>0.1085</v>
      </c>
      <c r="I44" s="474">
        <f t="shared" si="52"/>
        <v>0.14899999999999999</v>
      </c>
      <c r="J44" s="61">
        <f t="shared" si="53"/>
        <v>500</v>
      </c>
      <c r="K44" s="967">
        <f t="shared" si="54"/>
        <v>0.17100000000000001</v>
      </c>
      <c r="L44" s="967">
        <f t="shared" si="55"/>
        <v>8.5500000000000007E-2</v>
      </c>
      <c r="M44" s="967">
        <f t="shared" si="56"/>
        <v>32.952757883603795</v>
      </c>
      <c r="N44" s="54">
        <f t="shared" si="57"/>
        <v>500</v>
      </c>
      <c r="O44" s="968">
        <f t="shared" si="58"/>
        <v>0.217</v>
      </c>
      <c r="P44" s="968">
        <f t="shared" si="59"/>
        <v>0.1085</v>
      </c>
      <c r="Q44" s="969">
        <f t="shared" si="60"/>
        <v>39.352260115848061</v>
      </c>
      <c r="R44" s="247">
        <f t="shared" si="61"/>
        <v>500</v>
      </c>
      <c r="S44" s="24">
        <f t="shared" si="62"/>
        <v>298</v>
      </c>
      <c r="T44" s="970">
        <f t="shared" si="63"/>
        <v>0.14899999999999999</v>
      </c>
      <c r="U44" s="971">
        <f t="shared" si="64"/>
        <v>77.052261984003621</v>
      </c>
    </row>
    <row r="45" spans="1:21" x14ac:dyDescent="0.2">
      <c r="A45" s="33">
        <f t="shared" si="28"/>
        <v>2032</v>
      </c>
      <c r="B45" s="787">
        <f t="shared" si="35"/>
        <v>500</v>
      </c>
      <c r="C45" s="565">
        <f t="shared" si="49"/>
        <v>107722</v>
      </c>
      <c r="D45" s="965">
        <f t="shared" si="32"/>
        <v>0.17100000000000001</v>
      </c>
      <c r="E45" s="966">
        <f t="shared" si="33"/>
        <v>0.217</v>
      </c>
      <c r="F45" s="790">
        <f t="shared" si="34"/>
        <v>298</v>
      </c>
      <c r="G45" s="473">
        <f t="shared" si="50"/>
        <v>8.5500000000000007E-2</v>
      </c>
      <c r="H45" s="474">
        <f t="shared" si="51"/>
        <v>0.1085</v>
      </c>
      <c r="I45" s="474">
        <f t="shared" si="52"/>
        <v>0.14899999999999999</v>
      </c>
      <c r="J45" s="61">
        <f t="shared" si="53"/>
        <v>500</v>
      </c>
      <c r="K45" s="967">
        <f t="shared" si="54"/>
        <v>0.17100000000000001</v>
      </c>
      <c r="L45" s="967">
        <f t="shared" si="55"/>
        <v>8.5500000000000007E-2</v>
      </c>
      <c r="M45" s="967">
        <f t="shared" si="56"/>
        <v>33.038257883603798</v>
      </c>
      <c r="N45" s="54">
        <f t="shared" si="57"/>
        <v>500</v>
      </c>
      <c r="O45" s="968">
        <f t="shared" si="58"/>
        <v>0.217</v>
      </c>
      <c r="P45" s="968">
        <f t="shared" si="59"/>
        <v>0.1085</v>
      </c>
      <c r="Q45" s="969">
        <f t="shared" si="60"/>
        <v>39.460760115848061</v>
      </c>
      <c r="R45" s="247">
        <f t="shared" si="61"/>
        <v>500</v>
      </c>
      <c r="S45" s="24">
        <f t="shared" si="62"/>
        <v>298</v>
      </c>
      <c r="T45" s="970">
        <f t="shared" si="63"/>
        <v>0.14899999999999999</v>
      </c>
      <c r="U45" s="971">
        <f t="shared" si="64"/>
        <v>77.201261984003622</v>
      </c>
    </row>
    <row r="46" spans="1:21" x14ac:dyDescent="0.2">
      <c r="A46" s="33">
        <f t="shared" si="28"/>
        <v>2033</v>
      </c>
      <c r="B46" s="787">
        <f t="shared" si="35"/>
        <v>500</v>
      </c>
      <c r="C46" s="565">
        <f t="shared" si="49"/>
        <v>108222</v>
      </c>
      <c r="D46" s="965">
        <f t="shared" si="32"/>
        <v>0.17100000000000001</v>
      </c>
      <c r="E46" s="966">
        <f t="shared" si="33"/>
        <v>0.217</v>
      </c>
      <c r="F46" s="790">
        <f t="shared" si="34"/>
        <v>298</v>
      </c>
      <c r="G46" s="473">
        <f t="shared" si="50"/>
        <v>8.5500000000000007E-2</v>
      </c>
      <c r="H46" s="474">
        <f t="shared" si="51"/>
        <v>0.1085</v>
      </c>
      <c r="I46" s="474">
        <f t="shared" si="52"/>
        <v>0.14899999999999999</v>
      </c>
      <c r="J46" s="61">
        <f t="shared" si="53"/>
        <v>500</v>
      </c>
      <c r="K46" s="967">
        <f t="shared" si="54"/>
        <v>0.17100000000000001</v>
      </c>
      <c r="L46" s="967">
        <f t="shared" si="55"/>
        <v>8.5500000000000007E-2</v>
      </c>
      <c r="M46" s="967">
        <f t="shared" si="56"/>
        <v>33.123757883603801</v>
      </c>
      <c r="N46" s="54">
        <f t="shared" si="57"/>
        <v>500</v>
      </c>
      <c r="O46" s="968">
        <f t="shared" si="58"/>
        <v>0.217</v>
      </c>
      <c r="P46" s="968">
        <f t="shared" si="59"/>
        <v>0.1085</v>
      </c>
      <c r="Q46" s="969">
        <f t="shared" si="60"/>
        <v>39.56926011584806</v>
      </c>
      <c r="R46" s="247">
        <f t="shared" si="61"/>
        <v>500</v>
      </c>
      <c r="S46" s="24">
        <f t="shared" si="62"/>
        <v>298</v>
      </c>
      <c r="T46" s="970">
        <f t="shared" si="63"/>
        <v>0.14899999999999999</v>
      </c>
      <c r="U46" s="971">
        <f t="shared" si="64"/>
        <v>77.350261984003623</v>
      </c>
    </row>
    <row r="47" spans="1:21" x14ac:dyDescent="0.2">
      <c r="A47" s="33">
        <f t="shared" si="28"/>
        <v>2034</v>
      </c>
      <c r="B47" s="787">
        <f t="shared" si="35"/>
        <v>500</v>
      </c>
      <c r="C47" s="565">
        <f t="shared" si="49"/>
        <v>108722</v>
      </c>
      <c r="D47" s="965">
        <f t="shared" si="32"/>
        <v>0.17100000000000001</v>
      </c>
      <c r="E47" s="966">
        <f t="shared" si="33"/>
        <v>0.217</v>
      </c>
      <c r="F47" s="790">
        <f t="shared" si="34"/>
        <v>298</v>
      </c>
      <c r="G47" s="473">
        <f t="shared" si="50"/>
        <v>8.5500000000000007E-2</v>
      </c>
      <c r="H47" s="474">
        <f t="shared" si="51"/>
        <v>0.1085</v>
      </c>
      <c r="I47" s="474">
        <f t="shared" si="52"/>
        <v>0.14899999999999999</v>
      </c>
      <c r="J47" s="61">
        <f t="shared" si="53"/>
        <v>500</v>
      </c>
      <c r="K47" s="967">
        <f t="shared" si="54"/>
        <v>0.17100000000000001</v>
      </c>
      <c r="L47" s="967">
        <f t="shared" si="55"/>
        <v>8.5500000000000007E-2</v>
      </c>
      <c r="M47" s="967">
        <f t="shared" si="56"/>
        <v>33.209257883603804</v>
      </c>
      <c r="N47" s="54">
        <f t="shared" si="57"/>
        <v>500</v>
      </c>
      <c r="O47" s="968">
        <f t="shared" si="58"/>
        <v>0.217</v>
      </c>
      <c r="P47" s="968">
        <f t="shared" si="59"/>
        <v>0.1085</v>
      </c>
      <c r="Q47" s="969">
        <f t="shared" si="60"/>
        <v>39.677760115848059</v>
      </c>
      <c r="R47" s="247">
        <f t="shared" si="61"/>
        <v>500</v>
      </c>
      <c r="S47" s="24">
        <f t="shared" si="62"/>
        <v>298</v>
      </c>
      <c r="T47" s="970">
        <f t="shared" si="63"/>
        <v>0.14899999999999999</v>
      </c>
      <c r="U47" s="971">
        <f t="shared" si="64"/>
        <v>77.499261984003624</v>
      </c>
    </row>
    <row r="48" spans="1:21" x14ac:dyDescent="0.2">
      <c r="A48" s="33">
        <f t="shared" si="28"/>
        <v>2035</v>
      </c>
      <c r="B48" s="787">
        <f>B47</f>
        <v>500</v>
      </c>
      <c r="C48" s="565">
        <f t="shared" ref="C48:C54" si="65">+C47+B48</f>
        <v>109222</v>
      </c>
      <c r="D48" s="965">
        <f t="shared" ref="D48:F48" si="66">D47</f>
        <v>0.17100000000000001</v>
      </c>
      <c r="E48" s="966">
        <f t="shared" si="66"/>
        <v>0.217</v>
      </c>
      <c r="F48" s="790">
        <f t="shared" si="66"/>
        <v>298</v>
      </c>
      <c r="G48" s="473">
        <f t="shared" ref="G48:G54" si="67">+$B48*D48/1000</f>
        <v>8.5500000000000007E-2</v>
      </c>
      <c r="H48" s="474">
        <f t="shared" ref="H48:H54" si="68">+$B48*E48/1000</f>
        <v>0.1085</v>
      </c>
      <c r="I48" s="474">
        <f t="shared" ref="I48:I54" si="69">+$B48*F48/1000000</f>
        <v>0.14899999999999999</v>
      </c>
      <c r="J48" s="61">
        <f t="shared" ref="J48:J54" si="70">+(B48+B47)/2</f>
        <v>500</v>
      </c>
      <c r="K48" s="967">
        <f t="shared" ref="K48:K54" si="71">+D48</f>
        <v>0.17100000000000001</v>
      </c>
      <c r="L48" s="967">
        <f t="shared" ref="L48:L54" si="72">+J48*K48/1000</f>
        <v>8.5500000000000007E-2</v>
      </c>
      <c r="M48" s="967">
        <f t="shared" ref="M48:M54" si="73">+M47+L48</f>
        <v>33.294757883603808</v>
      </c>
      <c r="N48" s="54">
        <f t="shared" ref="N48:N54" si="74">+B47</f>
        <v>500</v>
      </c>
      <c r="O48" s="968">
        <f t="shared" ref="O48:O54" si="75">+E48</f>
        <v>0.217</v>
      </c>
      <c r="P48" s="968">
        <f t="shared" ref="P48:P54" si="76">+N48*O48/1000</f>
        <v>0.1085</v>
      </c>
      <c r="Q48" s="969">
        <f t="shared" ref="Q48:Q54" si="77">+Q47+P48</f>
        <v>39.786260115848059</v>
      </c>
      <c r="R48" s="247">
        <f t="shared" ref="R48:R54" si="78">+(B48+B47)/2</f>
        <v>500</v>
      </c>
      <c r="S48" s="24">
        <f t="shared" ref="S48:S54" si="79">+F48</f>
        <v>298</v>
      </c>
      <c r="T48" s="970">
        <f t="shared" ref="T48:T54" si="80">+R48*S48/1000000</f>
        <v>0.14899999999999999</v>
      </c>
      <c r="U48" s="971">
        <f t="shared" ref="U48:U54" si="81">+U47+T48</f>
        <v>77.648261984003625</v>
      </c>
    </row>
    <row r="49" spans="1:22" x14ac:dyDescent="0.2">
      <c r="A49" s="33">
        <f t="shared" si="28"/>
        <v>2036</v>
      </c>
      <c r="B49" s="787">
        <f t="shared" ref="B49:B54" si="82">B48</f>
        <v>500</v>
      </c>
      <c r="C49" s="565">
        <f t="shared" si="65"/>
        <v>109722</v>
      </c>
      <c r="D49" s="965">
        <f t="shared" ref="D49:F49" si="83">D48</f>
        <v>0.17100000000000001</v>
      </c>
      <c r="E49" s="966">
        <f t="shared" si="83"/>
        <v>0.217</v>
      </c>
      <c r="F49" s="790">
        <f t="shared" si="83"/>
        <v>298</v>
      </c>
      <c r="G49" s="473">
        <f t="shared" si="67"/>
        <v>8.5500000000000007E-2</v>
      </c>
      <c r="H49" s="474">
        <f t="shared" si="68"/>
        <v>0.1085</v>
      </c>
      <c r="I49" s="474">
        <f t="shared" si="69"/>
        <v>0.14899999999999999</v>
      </c>
      <c r="J49" s="61">
        <f t="shared" si="70"/>
        <v>500</v>
      </c>
      <c r="K49" s="967">
        <f t="shared" si="71"/>
        <v>0.17100000000000001</v>
      </c>
      <c r="L49" s="967">
        <f t="shared" si="72"/>
        <v>8.5500000000000007E-2</v>
      </c>
      <c r="M49" s="967">
        <f t="shared" si="73"/>
        <v>33.380257883603811</v>
      </c>
      <c r="N49" s="54">
        <f t="shared" si="74"/>
        <v>500</v>
      </c>
      <c r="O49" s="968">
        <f t="shared" si="75"/>
        <v>0.217</v>
      </c>
      <c r="P49" s="968">
        <f t="shared" si="76"/>
        <v>0.1085</v>
      </c>
      <c r="Q49" s="969">
        <f t="shared" si="77"/>
        <v>39.894760115848058</v>
      </c>
      <c r="R49" s="247">
        <f t="shared" si="78"/>
        <v>500</v>
      </c>
      <c r="S49" s="24">
        <f t="shared" si="79"/>
        <v>298</v>
      </c>
      <c r="T49" s="970">
        <f t="shared" si="80"/>
        <v>0.14899999999999999</v>
      </c>
      <c r="U49" s="971">
        <f t="shared" si="81"/>
        <v>77.797261984003626</v>
      </c>
    </row>
    <row r="50" spans="1:22" x14ac:dyDescent="0.2">
      <c r="A50" s="33">
        <f t="shared" si="28"/>
        <v>2037</v>
      </c>
      <c r="B50" s="787">
        <f t="shared" si="82"/>
        <v>500</v>
      </c>
      <c r="C50" s="565">
        <f t="shared" si="65"/>
        <v>110222</v>
      </c>
      <c r="D50" s="965">
        <f t="shared" ref="D50:F50" si="84">D49</f>
        <v>0.17100000000000001</v>
      </c>
      <c r="E50" s="966">
        <f t="shared" si="84"/>
        <v>0.217</v>
      </c>
      <c r="F50" s="790">
        <f t="shared" si="84"/>
        <v>298</v>
      </c>
      <c r="G50" s="473">
        <f t="shared" si="67"/>
        <v>8.5500000000000007E-2</v>
      </c>
      <c r="H50" s="474">
        <f t="shared" si="68"/>
        <v>0.1085</v>
      </c>
      <c r="I50" s="474">
        <f t="shared" si="69"/>
        <v>0.14899999999999999</v>
      </c>
      <c r="J50" s="61">
        <f t="shared" si="70"/>
        <v>500</v>
      </c>
      <c r="K50" s="967">
        <f t="shared" si="71"/>
        <v>0.17100000000000001</v>
      </c>
      <c r="L50" s="967">
        <f t="shared" si="72"/>
        <v>8.5500000000000007E-2</v>
      </c>
      <c r="M50" s="967">
        <f t="shared" si="73"/>
        <v>33.465757883603814</v>
      </c>
      <c r="N50" s="54">
        <f t="shared" si="74"/>
        <v>500</v>
      </c>
      <c r="O50" s="968">
        <f t="shared" si="75"/>
        <v>0.217</v>
      </c>
      <c r="P50" s="968">
        <f t="shared" si="76"/>
        <v>0.1085</v>
      </c>
      <c r="Q50" s="969">
        <f t="shared" si="77"/>
        <v>40.003260115848057</v>
      </c>
      <c r="R50" s="247">
        <f t="shared" si="78"/>
        <v>500</v>
      </c>
      <c r="S50" s="24">
        <f t="shared" si="79"/>
        <v>298</v>
      </c>
      <c r="T50" s="970">
        <f t="shared" si="80"/>
        <v>0.14899999999999999</v>
      </c>
      <c r="U50" s="971">
        <f t="shared" si="81"/>
        <v>77.946261984003627</v>
      </c>
    </row>
    <row r="51" spans="1:22" x14ac:dyDescent="0.2">
      <c r="A51" s="33">
        <f t="shared" si="28"/>
        <v>2038</v>
      </c>
      <c r="B51" s="787">
        <f t="shared" si="82"/>
        <v>500</v>
      </c>
      <c r="C51" s="565">
        <f t="shared" si="65"/>
        <v>110722</v>
      </c>
      <c r="D51" s="965">
        <f t="shared" ref="D51:F51" si="85">D50</f>
        <v>0.17100000000000001</v>
      </c>
      <c r="E51" s="966">
        <f t="shared" si="85"/>
        <v>0.217</v>
      </c>
      <c r="F51" s="790">
        <f t="shared" si="85"/>
        <v>298</v>
      </c>
      <c r="G51" s="473">
        <f t="shared" si="67"/>
        <v>8.5500000000000007E-2</v>
      </c>
      <c r="H51" s="474">
        <f t="shared" si="68"/>
        <v>0.1085</v>
      </c>
      <c r="I51" s="474">
        <f t="shared" si="69"/>
        <v>0.14899999999999999</v>
      </c>
      <c r="J51" s="61">
        <f t="shared" si="70"/>
        <v>500</v>
      </c>
      <c r="K51" s="967">
        <f t="shared" si="71"/>
        <v>0.17100000000000001</v>
      </c>
      <c r="L51" s="967">
        <f t="shared" si="72"/>
        <v>8.5500000000000007E-2</v>
      </c>
      <c r="M51" s="967">
        <f t="shared" si="73"/>
        <v>33.551257883603817</v>
      </c>
      <c r="N51" s="54">
        <f t="shared" si="74"/>
        <v>500</v>
      </c>
      <c r="O51" s="968">
        <f t="shared" si="75"/>
        <v>0.217</v>
      </c>
      <c r="P51" s="968">
        <f t="shared" si="76"/>
        <v>0.1085</v>
      </c>
      <c r="Q51" s="969">
        <f t="shared" si="77"/>
        <v>40.111760115848057</v>
      </c>
      <c r="R51" s="247">
        <f t="shared" si="78"/>
        <v>500</v>
      </c>
      <c r="S51" s="24">
        <f t="shared" si="79"/>
        <v>298</v>
      </c>
      <c r="T51" s="970">
        <f t="shared" si="80"/>
        <v>0.14899999999999999</v>
      </c>
      <c r="U51" s="971">
        <f t="shared" si="81"/>
        <v>78.095261984003628</v>
      </c>
    </row>
    <row r="52" spans="1:22" x14ac:dyDescent="0.2">
      <c r="A52" s="33">
        <f t="shared" si="28"/>
        <v>2039</v>
      </c>
      <c r="B52" s="787">
        <f t="shared" si="82"/>
        <v>500</v>
      </c>
      <c r="C52" s="565">
        <f t="shared" si="65"/>
        <v>111222</v>
      </c>
      <c r="D52" s="965">
        <f t="shared" ref="D52:F52" si="86">D51</f>
        <v>0.17100000000000001</v>
      </c>
      <c r="E52" s="966">
        <f t="shared" si="86"/>
        <v>0.217</v>
      </c>
      <c r="F52" s="790">
        <f t="shared" si="86"/>
        <v>298</v>
      </c>
      <c r="G52" s="473">
        <f t="shared" si="67"/>
        <v>8.5500000000000007E-2</v>
      </c>
      <c r="H52" s="474">
        <f t="shared" si="68"/>
        <v>0.1085</v>
      </c>
      <c r="I52" s="474">
        <f t="shared" si="69"/>
        <v>0.14899999999999999</v>
      </c>
      <c r="J52" s="61">
        <f t="shared" si="70"/>
        <v>500</v>
      </c>
      <c r="K52" s="967">
        <f t="shared" si="71"/>
        <v>0.17100000000000001</v>
      </c>
      <c r="L52" s="967">
        <f t="shared" si="72"/>
        <v>8.5500000000000007E-2</v>
      </c>
      <c r="M52" s="967">
        <f t="shared" si="73"/>
        <v>33.636757883603821</v>
      </c>
      <c r="N52" s="54">
        <f t="shared" si="74"/>
        <v>500</v>
      </c>
      <c r="O52" s="968">
        <f t="shared" si="75"/>
        <v>0.217</v>
      </c>
      <c r="P52" s="968">
        <f t="shared" si="76"/>
        <v>0.1085</v>
      </c>
      <c r="Q52" s="969">
        <f t="shared" si="77"/>
        <v>40.220260115848056</v>
      </c>
      <c r="R52" s="247">
        <f t="shared" si="78"/>
        <v>500</v>
      </c>
      <c r="S52" s="24">
        <f t="shared" si="79"/>
        <v>298</v>
      </c>
      <c r="T52" s="970">
        <f t="shared" si="80"/>
        <v>0.14899999999999999</v>
      </c>
      <c r="U52" s="971">
        <f t="shared" si="81"/>
        <v>78.244261984003629</v>
      </c>
    </row>
    <row r="53" spans="1:22" x14ac:dyDescent="0.2">
      <c r="A53" s="33">
        <f t="shared" si="28"/>
        <v>2040</v>
      </c>
      <c r="B53" s="787">
        <f t="shared" si="82"/>
        <v>500</v>
      </c>
      <c r="C53" s="565">
        <f t="shared" si="65"/>
        <v>111722</v>
      </c>
      <c r="D53" s="965">
        <f t="shared" ref="D53:F53" si="87">D52</f>
        <v>0.17100000000000001</v>
      </c>
      <c r="E53" s="966">
        <f t="shared" si="87"/>
        <v>0.217</v>
      </c>
      <c r="F53" s="790">
        <f t="shared" si="87"/>
        <v>298</v>
      </c>
      <c r="G53" s="473">
        <f t="shared" si="67"/>
        <v>8.5500000000000007E-2</v>
      </c>
      <c r="H53" s="474">
        <f t="shared" si="68"/>
        <v>0.1085</v>
      </c>
      <c r="I53" s="474">
        <f t="shared" si="69"/>
        <v>0.14899999999999999</v>
      </c>
      <c r="J53" s="61">
        <f t="shared" si="70"/>
        <v>500</v>
      </c>
      <c r="K53" s="967">
        <f t="shared" si="71"/>
        <v>0.17100000000000001</v>
      </c>
      <c r="L53" s="967">
        <f t="shared" si="72"/>
        <v>8.5500000000000007E-2</v>
      </c>
      <c r="M53" s="967">
        <f t="shared" si="73"/>
        <v>33.722257883603824</v>
      </c>
      <c r="N53" s="54">
        <f t="shared" si="74"/>
        <v>500</v>
      </c>
      <c r="O53" s="968">
        <f t="shared" si="75"/>
        <v>0.217</v>
      </c>
      <c r="P53" s="968">
        <f t="shared" si="76"/>
        <v>0.1085</v>
      </c>
      <c r="Q53" s="969">
        <f t="shared" si="77"/>
        <v>40.328760115848056</v>
      </c>
      <c r="R53" s="247">
        <f t="shared" si="78"/>
        <v>500</v>
      </c>
      <c r="S53" s="24">
        <f t="shared" si="79"/>
        <v>298</v>
      </c>
      <c r="T53" s="970">
        <f t="shared" si="80"/>
        <v>0.14899999999999999</v>
      </c>
      <c r="U53" s="971">
        <f t="shared" si="81"/>
        <v>78.39326198400363</v>
      </c>
    </row>
    <row r="54" spans="1:22" x14ac:dyDescent="0.2">
      <c r="A54" s="33">
        <f t="shared" si="28"/>
        <v>2041</v>
      </c>
      <c r="B54" s="787">
        <f t="shared" si="82"/>
        <v>500</v>
      </c>
      <c r="C54" s="565">
        <f t="shared" si="65"/>
        <v>112222</v>
      </c>
      <c r="D54" s="965">
        <f t="shared" ref="D54:F54" si="88">D53</f>
        <v>0.17100000000000001</v>
      </c>
      <c r="E54" s="966">
        <f t="shared" si="88"/>
        <v>0.217</v>
      </c>
      <c r="F54" s="790">
        <f t="shared" si="88"/>
        <v>298</v>
      </c>
      <c r="G54" s="473">
        <f t="shared" si="67"/>
        <v>8.5500000000000007E-2</v>
      </c>
      <c r="H54" s="474">
        <f t="shared" si="68"/>
        <v>0.1085</v>
      </c>
      <c r="I54" s="474">
        <f t="shared" si="69"/>
        <v>0.14899999999999999</v>
      </c>
      <c r="J54" s="61">
        <f t="shared" si="70"/>
        <v>500</v>
      </c>
      <c r="K54" s="967">
        <f t="shared" si="71"/>
        <v>0.17100000000000001</v>
      </c>
      <c r="L54" s="967">
        <f t="shared" si="72"/>
        <v>8.5500000000000007E-2</v>
      </c>
      <c r="M54" s="967">
        <f t="shared" si="73"/>
        <v>33.807757883603827</v>
      </c>
      <c r="N54" s="54">
        <f t="shared" si="74"/>
        <v>500</v>
      </c>
      <c r="O54" s="968">
        <f t="shared" si="75"/>
        <v>0.217</v>
      </c>
      <c r="P54" s="968">
        <f t="shared" si="76"/>
        <v>0.1085</v>
      </c>
      <c r="Q54" s="969">
        <f t="shared" si="77"/>
        <v>40.437260115848055</v>
      </c>
      <c r="R54" s="247">
        <f t="shared" si="78"/>
        <v>500</v>
      </c>
      <c r="S54" s="24">
        <f t="shared" si="79"/>
        <v>298</v>
      </c>
      <c r="T54" s="970">
        <f t="shared" si="80"/>
        <v>0.14899999999999999</v>
      </c>
      <c r="U54" s="971">
        <f t="shared" si="81"/>
        <v>78.54226198400363</v>
      </c>
    </row>
    <row r="55" spans="1:22" x14ac:dyDescent="0.2">
      <c r="B55" s="2"/>
      <c r="M55" s="2"/>
    </row>
    <row r="56" spans="1:22" x14ac:dyDescent="0.2">
      <c r="A56" s="69" t="s">
        <v>38</v>
      </c>
    </row>
    <row r="57" spans="1:22" x14ac:dyDescent="0.2">
      <c r="A57" s="69" t="s">
        <v>39</v>
      </c>
    </row>
    <row r="58" spans="1:22" ht="13.5" thickBot="1" x14ac:dyDescent="0.25">
      <c r="A58" s="45" t="s">
        <v>42</v>
      </c>
    </row>
    <row r="59" spans="1:22" ht="13.5" thickBot="1" x14ac:dyDescent="0.25">
      <c r="B59" s="1469" t="s">
        <v>48</v>
      </c>
      <c r="C59" s="1470"/>
      <c r="D59" s="1470"/>
      <c r="E59" s="1471"/>
      <c r="F59" s="1469" t="s">
        <v>47</v>
      </c>
      <c r="G59" s="1470"/>
      <c r="H59" s="1470"/>
      <c r="I59" s="1471"/>
      <c r="J59" s="1469" t="s">
        <v>49</v>
      </c>
      <c r="K59" s="1470"/>
      <c r="L59" s="1470"/>
      <c r="M59" s="1471"/>
    </row>
    <row r="60" spans="1:22" x14ac:dyDescent="0.2">
      <c r="B60" s="77" t="s">
        <v>46</v>
      </c>
      <c r="C60" s="78" t="s">
        <v>44</v>
      </c>
      <c r="D60" s="78" t="s">
        <v>43</v>
      </c>
      <c r="E60" s="79" t="s">
        <v>45</v>
      </c>
      <c r="F60" s="77" t="s">
        <v>46</v>
      </c>
      <c r="G60" s="74" t="s">
        <v>44</v>
      </c>
      <c r="H60" s="74" t="s">
        <v>43</v>
      </c>
      <c r="I60" s="75" t="s">
        <v>45</v>
      </c>
      <c r="J60" s="77" t="s">
        <v>46</v>
      </c>
      <c r="K60" s="74" t="s">
        <v>44</v>
      </c>
      <c r="L60" s="74" t="s">
        <v>43</v>
      </c>
      <c r="M60" s="75" t="s">
        <v>45</v>
      </c>
    </row>
    <row r="61" spans="1:22" x14ac:dyDescent="0.2">
      <c r="A61">
        <v>1995</v>
      </c>
      <c r="B61" s="80">
        <v>5449</v>
      </c>
      <c r="C61" s="73">
        <v>0.15048632776656268</v>
      </c>
      <c r="D61" s="73">
        <v>0.55055973573132677</v>
      </c>
      <c r="E61" s="84">
        <f>0.605615709304459*1000</f>
        <v>605.61570930445896</v>
      </c>
      <c r="F61" s="82">
        <v>951</v>
      </c>
      <c r="G61" s="73">
        <v>0.39957939011566773</v>
      </c>
      <c r="H61" s="73">
        <v>1.4090431125131442</v>
      </c>
      <c r="I61" s="84">
        <f>1.57728706624606*1000</f>
        <v>1577.28706624606</v>
      </c>
      <c r="J61" s="80">
        <f>+B61+F61</f>
        <v>6400</v>
      </c>
      <c r="K61" s="73">
        <f t="shared" ref="K61:M62" si="89">+(($B61/$J61)*C61)+(($F61/$J61)*G61)</f>
        <v>0.18750000000000003</v>
      </c>
      <c r="L61" s="73">
        <f t="shared" si="89"/>
        <v>0.67812499999999998</v>
      </c>
      <c r="M61" s="84">
        <f t="shared" si="89"/>
        <v>750</v>
      </c>
    </row>
    <row r="62" spans="1:22" ht="13.5" thickBot="1" x14ac:dyDescent="0.25">
      <c r="A62">
        <v>1996</v>
      </c>
      <c r="B62" s="81">
        <v>7169</v>
      </c>
      <c r="C62" s="76">
        <v>0.15</v>
      </c>
      <c r="D62" s="76">
        <v>0.55000000000000004</v>
      </c>
      <c r="E62" s="85">
        <f>0.6*1000</f>
        <v>600</v>
      </c>
      <c r="F62" s="83">
        <v>1041</v>
      </c>
      <c r="G62" s="76">
        <v>0.4</v>
      </c>
      <c r="H62" s="76">
        <v>1.41</v>
      </c>
      <c r="I62" s="85">
        <f>1.546*1000</f>
        <v>1546</v>
      </c>
      <c r="J62" s="81">
        <f>+B62+F62</f>
        <v>8210</v>
      </c>
      <c r="K62" s="76">
        <f t="shared" si="89"/>
        <v>0.18169914738124238</v>
      </c>
      <c r="L62" s="76">
        <f t="shared" si="89"/>
        <v>0.6590450669914738</v>
      </c>
      <c r="M62" s="85">
        <f t="shared" si="89"/>
        <v>719.94957369062126</v>
      </c>
    </row>
    <row r="63" spans="1:22" x14ac:dyDescent="0.2">
      <c r="A63" s="86" t="s">
        <v>57</v>
      </c>
      <c r="V63" s="2"/>
    </row>
    <row r="64" spans="1:22" x14ac:dyDescent="0.2">
      <c r="A64" s="86" t="s">
        <v>58</v>
      </c>
      <c r="V64" s="2"/>
    </row>
    <row r="66" spans="1:6" x14ac:dyDescent="0.2">
      <c r="A66" s="956" t="s">
        <v>386</v>
      </c>
      <c r="B66" s="176"/>
    </row>
    <row r="67" spans="1:6" ht="15" x14ac:dyDescent="0.2">
      <c r="A67">
        <v>2015</v>
      </c>
      <c r="B67" s="258"/>
      <c r="D67">
        <f>304.82/B28</f>
        <v>0.16085488126649075</v>
      </c>
      <c r="E67" s="161">
        <f>381.5/B28</f>
        <v>0.20131926121372032</v>
      </c>
      <c r="F67" s="161">
        <f>517514/B28</f>
        <v>273.09445910290236</v>
      </c>
    </row>
    <row r="68" spans="1:6" ht="15" x14ac:dyDescent="0.2">
      <c r="B68" s="258"/>
    </row>
    <row r="69" spans="1:6" ht="15" x14ac:dyDescent="0.2">
      <c r="B69" s="258"/>
    </row>
    <row r="70" spans="1:6" ht="15" x14ac:dyDescent="0.2">
      <c r="B70" s="258"/>
    </row>
    <row r="71" spans="1:6" ht="15" x14ac:dyDescent="0.2">
      <c r="B71" s="258"/>
    </row>
    <row r="72" spans="1:6" ht="15" x14ac:dyDescent="0.2">
      <c r="B72" s="258"/>
    </row>
    <row r="73" spans="1:6" ht="15" x14ac:dyDescent="0.2">
      <c r="B73" s="258"/>
    </row>
    <row r="74" spans="1:6" ht="15" x14ac:dyDescent="0.2">
      <c r="B74" s="258"/>
    </row>
    <row r="75" spans="1:6" ht="15" x14ac:dyDescent="0.2">
      <c r="B75" s="258"/>
    </row>
    <row r="76" spans="1:6" ht="15" x14ac:dyDescent="0.2">
      <c r="B76" s="258"/>
    </row>
    <row r="77" spans="1:6" x14ac:dyDescent="0.2">
      <c r="B77" s="176"/>
    </row>
  </sheetData>
  <mergeCells count="8">
    <mergeCell ref="G3:I3"/>
    <mergeCell ref="N4:Q4"/>
    <mergeCell ref="R4:U4"/>
    <mergeCell ref="B59:E59"/>
    <mergeCell ref="F59:I59"/>
    <mergeCell ref="J59:M59"/>
    <mergeCell ref="B4:I4"/>
    <mergeCell ref="J4:M4"/>
  </mergeCells>
  <phoneticPr fontId="0" type="noConversion"/>
  <pageMargins left="0.37" right="0.2" top="0.74" bottom="1" header="0.5" footer="0.5"/>
  <pageSetup scale="50" orientation="landscape" cellComments="asDisplaye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A1:X59"/>
  <sheetViews>
    <sheetView zoomScale="90" zoomScaleNormal="90" workbookViewId="0">
      <pane xSplit="1" ySplit="5" topLeftCell="B15"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176</v>
      </c>
      <c r="C2" s="27" t="s">
        <v>213</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62"/>
      <c r="E8" s="663"/>
      <c r="F8" s="617"/>
      <c r="G8" s="626"/>
      <c r="H8" s="72"/>
      <c r="I8" s="630"/>
      <c r="J8" s="61"/>
      <c r="K8" s="188"/>
      <c r="L8" s="188"/>
      <c r="M8" s="188"/>
      <c r="N8" s="51"/>
      <c r="O8" s="670"/>
      <c r="P8" s="670"/>
      <c r="Q8" s="670"/>
      <c r="R8" s="247"/>
      <c r="S8" s="24"/>
      <c r="T8" s="25"/>
      <c r="U8" s="654"/>
      <c r="V8" s="248"/>
      <c r="X8" s="1"/>
    </row>
    <row r="9" spans="1:24" x14ac:dyDescent="0.2">
      <c r="A9" s="33">
        <v>1996</v>
      </c>
      <c r="B9" s="30"/>
      <c r="C9" s="660"/>
      <c r="D9" s="662"/>
      <c r="E9" s="663"/>
      <c r="F9" s="617"/>
      <c r="G9" s="626"/>
      <c r="H9" s="72"/>
      <c r="I9" s="630"/>
      <c r="J9" s="61"/>
      <c r="K9" s="188"/>
      <c r="L9" s="188"/>
      <c r="M9" s="188"/>
      <c r="N9" s="54"/>
      <c r="O9" s="670"/>
      <c r="P9" s="670"/>
      <c r="Q9" s="670"/>
      <c r="R9" s="247"/>
      <c r="S9" s="24"/>
      <c r="T9" s="25"/>
      <c r="U9" s="654"/>
      <c r="V9" s="10"/>
      <c r="X9" s="1"/>
    </row>
    <row r="10" spans="1:24" x14ac:dyDescent="0.2">
      <c r="A10" s="33">
        <v>1997</v>
      </c>
      <c r="B10" s="30"/>
      <c r="C10" s="660"/>
      <c r="D10" s="662"/>
      <c r="E10" s="663"/>
      <c r="F10" s="617"/>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662"/>
      <c r="E11" s="663"/>
      <c r="F11" s="617"/>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662"/>
      <c r="E12" s="663"/>
      <c r="F12" s="617"/>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662"/>
      <c r="E13" s="663"/>
      <c r="F13" s="617"/>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662"/>
      <c r="E14" s="663"/>
      <c r="F14" s="617"/>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662"/>
      <c r="E15" s="663"/>
      <c r="F15" s="617"/>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662"/>
      <c r="E16" s="663"/>
      <c r="F16" s="617"/>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662"/>
      <c r="E17" s="663"/>
      <c r="F17" s="617"/>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662"/>
      <c r="E18" s="663"/>
      <c r="F18" s="617"/>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662"/>
      <c r="E19" s="663"/>
      <c r="F19" s="617"/>
      <c r="G19" s="626"/>
      <c r="H19" s="72"/>
      <c r="I19" s="630"/>
      <c r="J19" s="61"/>
      <c r="K19" s="188"/>
      <c r="L19" s="188"/>
      <c r="M19" s="188"/>
      <c r="N19" s="54"/>
      <c r="O19" s="670"/>
      <c r="P19" s="670"/>
      <c r="Q19" s="670"/>
      <c r="R19" s="247"/>
      <c r="S19" s="24"/>
      <c r="T19" s="25"/>
      <c r="U19" s="654"/>
      <c r="V19" s="8"/>
      <c r="X19" s="1"/>
    </row>
    <row r="20" spans="1:24" x14ac:dyDescent="0.2">
      <c r="A20" s="33">
        <f t="shared" si="0"/>
        <v>2007</v>
      </c>
      <c r="B20" s="30"/>
      <c r="C20" s="660"/>
      <c r="D20" s="662"/>
      <c r="E20" s="663"/>
      <c r="F20" s="617"/>
      <c r="G20" s="626"/>
      <c r="H20" s="72"/>
      <c r="I20" s="630"/>
      <c r="J20" s="61"/>
      <c r="K20" s="188"/>
      <c r="L20" s="188"/>
      <c r="M20" s="188"/>
      <c r="N20" s="54"/>
      <c r="O20" s="670"/>
      <c r="P20" s="670"/>
      <c r="Q20" s="670"/>
      <c r="R20" s="247"/>
      <c r="S20" s="24"/>
      <c r="T20" s="25"/>
      <c r="U20" s="654"/>
    </row>
    <row r="21" spans="1:24" x14ac:dyDescent="0.2">
      <c r="A21" s="33">
        <f t="shared" si="0"/>
        <v>2008</v>
      </c>
      <c r="B21" s="30"/>
      <c r="C21" s="660"/>
      <c r="D21" s="662"/>
      <c r="E21" s="663"/>
      <c r="F21" s="617"/>
      <c r="G21" s="626"/>
      <c r="H21" s="72"/>
      <c r="I21" s="630"/>
      <c r="J21" s="61"/>
      <c r="K21" s="188"/>
      <c r="L21" s="188"/>
      <c r="M21" s="188"/>
      <c r="N21" s="54"/>
      <c r="O21" s="670"/>
      <c r="P21" s="670"/>
      <c r="Q21" s="670"/>
      <c r="R21" s="247"/>
      <c r="S21" s="24"/>
      <c r="T21" s="25"/>
      <c r="U21" s="654"/>
    </row>
    <row r="22" spans="1:24" x14ac:dyDescent="0.2">
      <c r="A22" s="33">
        <f t="shared" si="0"/>
        <v>2009</v>
      </c>
      <c r="B22" s="30"/>
      <c r="C22" s="660"/>
      <c r="D22" s="662"/>
      <c r="E22" s="663"/>
      <c r="F22" s="617"/>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41" si="1">+C22+B23</f>
        <v>0</v>
      </c>
      <c r="D23" s="662">
        <v>0.14000000000000001</v>
      </c>
      <c r="E23" s="663">
        <v>0.13</v>
      </c>
      <c r="F23" s="617">
        <v>352</v>
      </c>
      <c r="G23" s="626">
        <f t="shared" ref="G23:H39" si="2">+$B23*D23/1000</f>
        <v>0</v>
      </c>
      <c r="H23" s="72">
        <f t="shared" si="2"/>
        <v>0</v>
      </c>
      <c r="I23" s="630">
        <f t="shared" ref="I23:I39" si="3">+$B23*F23/1000000</f>
        <v>0</v>
      </c>
      <c r="J23" s="61">
        <f t="shared" ref="J23:J39" si="4">+(B23+B22)/2</f>
        <v>0</v>
      </c>
      <c r="K23" s="188">
        <f t="shared" ref="K23:K39" si="5">+D23</f>
        <v>0.14000000000000001</v>
      </c>
      <c r="L23" s="188">
        <f t="shared" ref="L23:L39" si="6">+J23*K23/1000</f>
        <v>0</v>
      </c>
      <c r="M23" s="188">
        <f t="shared" ref="M23:M39" si="7">+M22+L23</f>
        <v>0</v>
      </c>
      <c r="N23" s="54">
        <f t="shared" ref="N23:N39" si="8">+B22</f>
        <v>0</v>
      </c>
      <c r="O23" s="670">
        <f t="shared" ref="O23:O39" si="9">+E23</f>
        <v>0.13</v>
      </c>
      <c r="P23" s="670">
        <f t="shared" ref="P23:P39" si="10">+N23*O23/1000</f>
        <v>0</v>
      </c>
      <c r="Q23" s="670">
        <f t="shared" ref="Q23:Q39" si="11">+Q22+P23</f>
        <v>0</v>
      </c>
      <c r="R23" s="247">
        <f t="shared" ref="R23:R38" si="12">+(B23+B22)/2</f>
        <v>0</v>
      </c>
      <c r="S23" s="24">
        <f t="shared" ref="S23:S38" si="13">+F23</f>
        <v>352</v>
      </c>
      <c r="T23" s="25">
        <f t="shared" ref="T23:T38" si="14">+R23*S23/1000000</f>
        <v>0</v>
      </c>
      <c r="U23" s="654">
        <f t="shared" ref="U23:U39" si="15">+U22+T23</f>
        <v>0</v>
      </c>
    </row>
    <row r="24" spans="1:24" x14ac:dyDescent="0.2">
      <c r="A24" s="33">
        <f t="shared" si="0"/>
        <v>2011</v>
      </c>
      <c r="B24" s="30">
        <v>0</v>
      </c>
      <c r="C24" s="661">
        <f t="shared" si="1"/>
        <v>0</v>
      </c>
      <c r="D24" s="662">
        <v>0.14000000000000001</v>
      </c>
      <c r="E24" s="663">
        <v>0.13</v>
      </c>
      <c r="F24" s="617">
        <v>352</v>
      </c>
      <c r="G24" s="626">
        <f t="shared" si="2"/>
        <v>0</v>
      </c>
      <c r="H24" s="72">
        <f t="shared" si="2"/>
        <v>0</v>
      </c>
      <c r="I24" s="630">
        <f t="shared" si="3"/>
        <v>0</v>
      </c>
      <c r="J24" s="61">
        <f t="shared" si="4"/>
        <v>0</v>
      </c>
      <c r="K24" s="188">
        <f t="shared" si="5"/>
        <v>0.14000000000000001</v>
      </c>
      <c r="L24" s="188">
        <f t="shared" si="6"/>
        <v>0</v>
      </c>
      <c r="M24" s="188">
        <f t="shared" si="7"/>
        <v>0</v>
      </c>
      <c r="N24" s="54">
        <f t="shared" si="8"/>
        <v>0</v>
      </c>
      <c r="O24" s="670">
        <f t="shared" si="9"/>
        <v>0.13</v>
      </c>
      <c r="P24" s="670">
        <f t="shared" si="10"/>
        <v>0</v>
      </c>
      <c r="Q24" s="670">
        <f t="shared" si="11"/>
        <v>0</v>
      </c>
      <c r="R24" s="247">
        <f t="shared" si="12"/>
        <v>0</v>
      </c>
      <c r="S24" s="24">
        <f t="shared" si="13"/>
        <v>352</v>
      </c>
      <c r="T24" s="25">
        <f t="shared" si="14"/>
        <v>0</v>
      </c>
      <c r="U24" s="654">
        <f t="shared" si="15"/>
        <v>0</v>
      </c>
    </row>
    <row r="25" spans="1:24" x14ac:dyDescent="0.2">
      <c r="A25" s="33">
        <f t="shared" si="0"/>
        <v>2012</v>
      </c>
      <c r="B25" s="30">
        <v>0</v>
      </c>
      <c r="C25" s="661">
        <f t="shared" si="1"/>
        <v>0</v>
      </c>
      <c r="D25" s="662">
        <v>0.14000000000000001</v>
      </c>
      <c r="E25" s="663">
        <v>0.13</v>
      </c>
      <c r="F25" s="617">
        <v>352</v>
      </c>
      <c r="G25" s="626">
        <f t="shared" si="2"/>
        <v>0</v>
      </c>
      <c r="H25" s="72">
        <f t="shared" si="2"/>
        <v>0</v>
      </c>
      <c r="I25" s="630">
        <f t="shared" si="3"/>
        <v>0</v>
      </c>
      <c r="J25" s="61">
        <f t="shared" si="4"/>
        <v>0</v>
      </c>
      <c r="K25" s="188">
        <f t="shared" si="5"/>
        <v>0.14000000000000001</v>
      </c>
      <c r="L25" s="188">
        <f t="shared" si="6"/>
        <v>0</v>
      </c>
      <c r="M25" s="188">
        <f t="shared" si="7"/>
        <v>0</v>
      </c>
      <c r="N25" s="54">
        <f t="shared" si="8"/>
        <v>0</v>
      </c>
      <c r="O25" s="670">
        <f t="shared" si="9"/>
        <v>0.13</v>
      </c>
      <c r="P25" s="670">
        <f t="shared" si="10"/>
        <v>0</v>
      </c>
      <c r="Q25" s="670">
        <f t="shared" si="11"/>
        <v>0</v>
      </c>
      <c r="R25" s="247">
        <f t="shared" si="12"/>
        <v>0</v>
      </c>
      <c r="S25" s="24">
        <f t="shared" si="13"/>
        <v>352</v>
      </c>
      <c r="T25" s="25">
        <f t="shared" si="14"/>
        <v>0</v>
      </c>
      <c r="U25" s="654">
        <f t="shared" si="15"/>
        <v>0</v>
      </c>
    </row>
    <row r="26" spans="1:24" s="831" customFormat="1" x14ac:dyDescent="0.2">
      <c r="A26" s="33">
        <f t="shared" si="0"/>
        <v>2013</v>
      </c>
      <c r="B26" s="30">
        <v>1</v>
      </c>
      <c r="C26" s="619">
        <f t="shared" si="1"/>
        <v>1</v>
      </c>
      <c r="D26" s="807">
        <f t="shared" ref="D26:F38" si="16">+D25</f>
        <v>0.14000000000000001</v>
      </c>
      <c r="E26" s="808">
        <f t="shared" si="16"/>
        <v>0.13</v>
      </c>
      <c r="F26" s="806">
        <f t="shared" si="16"/>
        <v>352</v>
      </c>
      <c r="G26" s="626">
        <f t="shared" si="2"/>
        <v>1.4000000000000001E-4</v>
      </c>
      <c r="H26" s="72">
        <f t="shared" si="2"/>
        <v>1.3000000000000002E-4</v>
      </c>
      <c r="I26" s="630">
        <f t="shared" si="3"/>
        <v>3.5199999999999999E-4</v>
      </c>
      <c r="J26" s="61">
        <f t="shared" si="4"/>
        <v>0.5</v>
      </c>
      <c r="K26" s="188">
        <f t="shared" si="5"/>
        <v>0.14000000000000001</v>
      </c>
      <c r="L26" s="188">
        <f t="shared" si="6"/>
        <v>7.0000000000000007E-5</v>
      </c>
      <c r="M26" s="829">
        <f t="shared" si="7"/>
        <v>7.0000000000000007E-5</v>
      </c>
      <c r="N26" s="54">
        <f t="shared" si="8"/>
        <v>0</v>
      </c>
      <c r="O26" s="670">
        <f t="shared" si="9"/>
        <v>0.13</v>
      </c>
      <c r="P26" s="670">
        <f t="shared" si="10"/>
        <v>0</v>
      </c>
      <c r="Q26" s="671">
        <f t="shared" si="11"/>
        <v>0</v>
      </c>
      <c r="R26" s="247">
        <f t="shared" si="12"/>
        <v>0.5</v>
      </c>
      <c r="S26" s="24">
        <f t="shared" si="13"/>
        <v>352</v>
      </c>
      <c r="T26" s="25">
        <f t="shared" si="14"/>
        <v>1.76E-4</v>
      </c>
      <c r="U26" s="654">
        <f t="shared" si="15"/>
        <v>1.76E-4</v>
      </c>
      <c r="V26" s="830"/>
    </row>
    <row r="27" spans="1:24" s="831" customFormat="1" x14ac:dyDescent="0.2">
      <c r="A27" s="33">
        <f t="shared" si="0"/>
        <v>2014</v>
      </c>
      <c r="B27" s="30">
        <v>0</v>
      </c>
      <c r="C27" s="619">
        <f t="shared" si="1"/>
        <v>1</v>
      </c>
      <c r="D27" s="807">
        <f t="shared" si="16"/>
        <v>0.14000000000000001</v>
      </c>
      <c r="E27" s="808">
        <f t="shared" si="16"/>
        <v>0.13</v>
      </c>
      <c r="F27" s="806">
        <f t="shared" si="16"/>
        <v>352</v>
      </c>
      <c r="G27" s="626">
        <f t="shared" si="2"/>
        <v>0</v>
      </c>
      <c r="H27" s="72">
        <f t="shared" si="2"/>
        <v>0</v>
      </c>
      <c r="I27" s="630">
        <f t="shared" si="3"/>
        <v>0</v>
      </c>
      <c r="J27" s="61">
        <f t="shared" si="4"/>
        <v>0.5</v>
      </c>
      <c r="K27" s="188">
        <f t="shared" si="5"/>
        <v>0.14000000000000001</v>
      </c>
      <c r="L27" s="188">
        <f t="shared" si="6"/>
        <v>7.0000000000000007E-5</v>
      </c>
      <c r="M27" s="829">
        <f t="shared" si="7"/>
        <v>1.4000000000000001E-4</v>
      </c>
      <c r="N27" s="54">
        <f t="shared" si="8"/>
        <v>1</v>
      </c>
      <c r="O27" s="670">
        <f t="shared" si="9"/>
        <v>0.13</v>
      </c>
      <c r="P27" s="670">
        <f t="shared" si="10"/>
        <v>1.3000000000000002E-4</v>
      </c>
      <c r="Q27" s="671">
        <f t="shared" si="11"/>
        <v>1.3000000000000002E-4</v>
      </c>
      <c r="R27" s="247">
        <f t="shared" si="12"/>
        <v>0.5</v>
      </c>
      <c r="S27" s="24">
        <f t="shared" si="13"/>
        <v>352</v>
      </c>
      <c r="T27" s="25">
        <f t="shared" si="14"/>
        <v>1.76E-4</v>
      </c>
      <c r="U27" s="654">
        <f t="shared" si="15"/>
        <v>3.5199999999999999E-4</v>
      </c>
      <c r="V27" s="830"/>
    </row>
    <row r="28" spans="1:24" s="831" customFormat="1" x14ac:dyDescent="0.2">
      <c r="A28" s="33">
        <f t="shared" si="0"/>
        <v>2015</v>
      </c>
      <c r="B28" s="30">
        <v>4</v>
      </c>
      <c r="C28" s="619">
        <f t="shared" si="1"/>
        <v>5</v>
      </c>
      <c r="D28" s="807">
        <f t="shared" si="16"/>
        <v>0.14000000000000001</v>
      </c>
      <c r="E28" s="808">
        <f t="shared" si="16"/>
        <v>0.13</v>
      </c>
      <c r="F28" s="806">
        <f t="shared" si="16"/>
        <v>352</v>
      </c>
      <c r="G28" s="626">
        <f t="shared" si="2"/>
        <v>5.6000000000000006E-4</v>
      </c>
      <c r="H28" s="72">
        <f t="shared" si="2"/>
        <v>5.2000000000000006E-4</v>
      </c>
      <c r="I28" s="630">
        <f t="shared" si="3"/>
        <v>1.408E-3</v>
      </c>
      <c r="J28" s="61">
        <f t="shared" si="4"/>
        <v>2</v>
      </c>
      <c r="K28" s="188">
        <f t="shared" si="5"/>
        <v>0.14000000000000001</v>
      </c>
      <c r="L28" s="188">
        <f t="shared" si="6"/>
        <v>2.8000000000000003E-4</v>
      </c>
      <c r="M28" s="829">
        <f t="shared" si="7"/>
        <v>4.2000000000000002E-4</v>
      </c>
      <c r="N28" s="54">
        <f t="shared" si="8"/>
        <v>0</v>
      </c>
      <c r="O28" s="670">
        <f t="shared" si="9"/>
        <v>0.13</v>
      </c>
      <c r="P28" s="670">
        <f t="shared" si="10"/>
        <v>0</v>
      </c>
      <c r="Q28" s="671">
        <f t="shared" si="11"/>
        <v>1.3000000000000002E-4</v>
      </c>
      <c r="R28" s="247">
        <f t="shared" si="12"/>
        <v>2</v>
      </c>
      <c r="S28" s="24">
        <f t="shared" si="13"/>
        <v>352</v>
      </c>
      <c r="T28" s="25">
        <f t="shared" si="14"/>
        <v>7.0399999999999998E-4</v>
      </c>
      <c r="U28" s="654">
        <f t="shared" si="15"/>
        <v>1.0560000000000001E-3</v>
      </c>
      <c r="V28" s="830"/>
    </row>
    <row r="29" spans="1:24" ht="13.5" thickBot="1" x14ac:dyDescent="0.25">
      <c r="A29" s="33">
        <f t="shared" si="0"/>
        <v>2016</v>
      </c>
      <c r="B29" s="400">
        <v>0</v>
      </c>
      <c r="C29" s="624">
        <f t="shared" si="1"/>
        <v>5</v>
      </c>
      <c r="D29" s="664">
        <v>0.15</v>
      </c>
      <c r="E29" s="665">
        <v>0.14199999999999999</v>
      </c>
      <c r="F29" s="640">
        <v>388</v>
      </c>
      <c r="G29" s="1024">
        <f t="shared" si="2"/>
        <v>0</v>
      </c>
      <c r="H29" s="1025">
        <f t="shared" si="2"/>
        <v>0</v>
      </c>
      <c r="I29" s="1025">
        <f t="shared" si="3"/>
        <v>0</v>
      </c>
      <c r="J29" s="149">
        <f t="shared" si="4"/>
        <v>2</v>
      </c>
      <c r="K29" s="1026">
        <f t="shared" si="5"/>
        <v>0.15</v>
      </c>
      <c r="L29" s="1026">
        <f t="shared" si="6"/>
        <v>2.9999999999999997E-4</v>
      </c>
      <c r="M29" s="1026">
        <f t="shared" si="7"/>
        <v>7.1999999999999994E-4</v>
      </c>
      <c r="N29" s="152">
        <f t="shared" si="8"/>
        <v>4</v>
      </c>
      <c r="O29" s="1027">
        <f t="shared" si="9"/>
        <v>0.14199999999999999</v>
      </c>
      <c r="P29" s="1027">
        <f t="shared" si="10"/>
        <v>5.6799999999999993E-4</v>
      </c>
      <c r="Q29" s="1028">
        <f t="shared" si="11"/>
        <v>6.9799999999999994E-4</v>
      </c>
      <c r="R29" s="401">
        <f t="shared" si="12"/>
        <v>2</v>
      </c>
      <c r="S29" s="156">
        <f t="shared" si="13"/>
        <v>388</v>
      </c>
      <c r="T29" s="1029">
        <f t="shared" si="14"/>
        <v>7.76E-4</v>
      </c>
      <c r="U29" s="1030">
        <f t="shared" si="15"/>
        <v>1.8320000000000001E-3</v>
      </c>
    </row>
    <row r="30" spans="1:24" x14ac:dyDescent="0.2">
      <c r="A30" s="33">
        <f t="shared" si="0"/>
        <v>2017</v>
      </c>
      <c r="B30" s="793">
        <v>20</v>
      </c>
      <c r="C30" s="647">
        <f t="shared" si="1"/>
        <v>25</v>
      </c>
      <c r="D30" s="1014">
        <f t="shared" si="16"/>
        <v>0.15</v>
      </c>
      <c r="E30" s="1015">
        <f t="shared" si="16"/>
        <v>0.14199999999999999</v>
      </c>
      <c r="F30" s="1016">
        <f t="shared" si="16"/>
        <v>388</v>
      </c>
      <c r="G30" s="1017">
        <f t="shared" si="2"/>
        <v>3.0000000000000001E-3</v>
      </c>
      <c r="H30" s="1018">
        <f t="shared" si="2"/>
        <v>2.8399999999999996E-3</v>
      </c>
      <c r="I30" s="1018">
        <f t="shared" si="3"/>
        <v>7.7600000000000004E-3</v>
      </c>
      <c r="J30" s="138">
        <f t="shared" si="4"/>
        <v>10</v>
      </c>
      <c r="K30" s="1019">
        <f t="shared" si="5"/>
        <v>0.15</v>
      </c>
      <c r="L30" s="1019">
        <f t="shared" si="6"/>
        <v>1.5E-3</v>
      </c>
      <c r="M30" s="1019">
        <f t="shared" si="7"/>
        <v>2.2199999999999998E-3</v>
      </c>
      <c r="N30" s="141">
        <f t="shared" si="8"/>
        <v>0</v>
      </c>
      <c r="O30" s="1020">
        <f t="shared" si="9"/>
        <v>0.14199999999999999</v>
      </c>
      <c r="P30" s="1020">
        <f t="shared" si="10"/>
        <v>0</v>
      </c>
      <c r="Q30" s="1021">
        <f t="shared" si="11"/>
        <v>6.9799999999999994E-4</v>
      </c>
      <c r="R30" s="891">
        <f t="shared" si="12"/>
        <v>10</v>
      </c>
      <c r="S30" s="145">
        <f t="shared" si="13"/>
        <v>388</v>
      </c>
      <c r="T30" s="1022">
        <f t="shared" si="14"/>
        <v>3.8800000000000002E-3</v>
      </c>
      <c r="U30" s="1023">
        <f t="shared" si="15"/>
        <v>5.7120000000000001E-3</v>
      </c>
    </row>
    <row r="31" spans="1:24" x14ac:dyDescent="0.2">
      <c r="A31" s="33">
        <f t="shared" si="0"/>
        <v>2018</v>
      </c>
      <c r="B31" s="787">
        <v>35</v>
      </c>
      <c r="C31" s="565">
        <f t="shared" si="1"/>
        <v>60</v>
      </c>
      <c r="D31" s="965">
        <f t="shared" si="16"/>
        <v>0.15</v>
      </c>
      <c r="E31" s="966">
        <f t="shared" si="16"/>
        <v>0.14199999999999999</v>
      </c>
      <c r="F31" s="790">
        <f t="shared" si="16"/>
        <v>388</v>
      </c>
      <c r="G31" s="473">
        <f t="shared" si="2"/>
        <v>5.2500000000000003E-3</v>
      </c>
      <c r="H31" s="474">
        <f t="shared" si="2"/>
        <v>4.9699999999999996E-3</v>
      </c>
      <c r="I31" s="474">
        <f t="shared" si="3"/>
        <v>1.358E-2</v>
      </c>
      <c r="J31" s="61">
        <f t="shared" si="4"/>
        <v>27.5</v>
      </c>
      <c r="K31" s="967">
        <f t="shared" si="5"/>
        <v>0.15</v>
      </c>
      <c r="L31" s="967">
        <f t="shared" si="6"/>
        <v>4.1250000000000002E-3</v>
      </c>
      <c r="M31" s="967">
        <f t="shared" si="7"/>
        <v>6.3449999999999999E-3</v>
      </c>
      <c r="N31" s="54">
        <f t="shared" si="8"/>
        <v>20</v>
      </c>
      <c r="O31" s="968">
        <f t="shared" si="9"/>
        <v>0.14199999999999999</v>
      </c>
      <c r="P31" s="968">
        <f t="shared" si="10"/>
        <v>2.8399999999999996E-3</v>
      </c>
      <c r="Q31" s="969">
        <f t="shared" si="11"/>
        <v>3.5379999999999995E-3</v>
      </c>
      <c r="R31" s="247">
        <f t="shared" si="12"/>
        <v>27.5</v>
      </c>
      <c r="S31" s="24">
        <f t="shared" si="13"/>
        <v>388</v>
      </c>
      <c r="T31" s="970">
        <f t="shared" si="14"/>
        <v>1.0670000000000001E-2</v>
      </c>
      <c r="U31" s="971">
        <f t="shared" si="15"/>
        <v>1.6382000000000001E-2</v>
      </c>
    </row>
    <row r="32" spans="1:24" x14ac:dyDescent="0.2">
      <c r="A32" s="33">
        <f t="shared" si="0"/>
        <v>2019</v>
      </c>
      <c r="B32" s="787">
        <v>40</v>
      </c>
      <c r="C32" s="565">
        <f t="shared" si="1"/>
        <v>100</v>
      </c>
      <c r="D32" s="965">
        <f t="shared" si="16"/>
        <v>0.15</v>
      </c>
      <c r="E32" s="966">
        <f t="shared" si="16"/>
        <v>0.14199999999999999</v>
      </c>
      <c r="F32" s="790">
        <f t="shared" si="16"/>
        <v>388</v>
      </c>
      <c r="G32" s="473">
        <f t="shared" si="2"/>
        <v>6.0000000000000001E-3</v>
      </c>
      <c r="H32" s="474">
        <f t="shared" si="2"/>
        <v>5.6799999999999993E-3</v>
      </c>
      <c r="I32" s="474">
        <f t="shared" si="3"/>
        <v>1.5520000000000001E-2</v>
      </c>
      <c r="J32" s="61">
        <f t="shared" si="4"/>
        <v>37.5</v>
      </c>
      <c r="K32" s="967">
        <f t="shared" si="5"/>
        <v>0.15</v>
      </c>
      <c r="L32" s="967">
        <f t="shared" si="6"/>
        <v>5.6249999999999998E-3</v>
      </c>
      <c r="M32" s="967">
        <f t="shared" si="7"/>
        <v>1.197E-2</v>
      </c>
      <c r="N32" s="54">
        <f t="shared" si="8"/>
        <v>35</v>
      </c>
      <c r="O32" s="968">
        <f t="shared" si="9"/>
        <v>0.14199999999999999</v>
      </c>
      <c r="P32" s="968">
        <f t="shared" si="10"/>
        <v>4.9699999999999996E-3</v>
      </c>
      <c r="Q32" s="969">
        <f t="shared" si="11"/>
        <v>8.5079999999999982E-3</v>
      </c>
      <c r="R32" s="247">
        <f t="shared" si="12"/>
        <v>37.5</v>
      </c>
      <c r="S32" s="24">
        <f t="shared" si="13"/>
        <v>388</v>
      </c>
      <c r="T32" s="970">
        <f t="shared" si="14"/>
        <v>1.455E-2</v>
      </c>
      <c r="U32" s="971">
        <f t="shared" si="15"/>
        <v>3.0932000000000001E-2</v>
      </c>
    </row>
    <row r="33" spans="1:21" x14ac:dyDescent="0.2">
      <c r="A33" s="33">
        <f t="shared" si="0"/>
        <v>2020</v>
      </c>
      <c r="B33" s="787">
        <f>B32</f>
        <v>40</v>
      </c>
      <c r="C33" s="565">
        <f t="shared" si="1"/>
        <v>140</v>
      </c>
      <c r="D33" s="965">
        <f t="shared" si="16"/>
        <v>0.15</v>
      </c>
      <c r="E33" s="966">
        <f t="shared" si="16"/>
        <v>0.14199999999999999</v>
      </c>
      <c r="F33" s="790">
        <f t="shared" si="16"/>
        <v>388</v>
      </c>
      <c r="G33" s="473">
        <f t="shared" si="2"/>
        <v>6.0000000000000001E-3</v>
      </c>
      <c r="H33" s="474">
        <f t="shared" si="2"/>
        <v>5.6799999999999993E-3</v>
      </c>
      <c r="I33" s="474">
        <f t="shared" si="3"/>
        <v>1.5520000000000001E-2</v>
      </c>
      <c r="J33" s="61">
        <f t="shared" si="4"/>
        <v>40</v>
      </c>
      <c r="K33" s="967">
        <f t="shared" si="5"/>
        <v>0.15</v>
      </c>
      <c r="L33" s="967">
        <f t="shared" si="6"/>
        <v>6.0000000000000001E-3</v>
      </c>
      <c r="M33" s="967">
        <f t="shared" si="7"/>
        <v>1.797E-2</v>
      </c>
      <c r="N33" s="54">
        <f t="shared" si="8"/>
        <v>40</v>
      </c>
      <c r="O33" s="968">
        <f t="shared" si="9"/>
        <v>0.14199999999999999</v>
      </c>
      <c r="P33" s="968">
        <f t="shared" si="10"/>
        <v>5.6799999999999993E-3</v>
      </c>
      <c r="Q33" s="969">
        <f t="shared" si="11"/>
        <v>1.4187999999999997E-2</v>
      </c>
      <c r="R33" s="247">
        <f t="shared" si="12"/>
        <v>40</v>
      </c>
      <c r="S33" s="24">
        <f t="shared" si="13"/>
        <v>388</v>
      </c>
      <c r="T33" s="970">
        <f t="shared" si="14"/>
        <v>1.5520000000000001E-2</v>
      </c>
      <c r="U33" s="971">
        <f t="shared" si="15"/>
        <v>4.6452E-2</v>
      </c>
    </row>
    <row r="34" spans="1:21" x14ac:dyDescent="0.2">
      <c r="A34" s="33">
        <f t="shared" si="0"/>
        <v>2021</v>
      </c>
      <c r="B34" s="787">
        <f t="shared" ref="B34:B47" si="17">B33</f>
        <v>40</v>
      </c>
      <c r="C34" s="565">
        <f t="shared" si="1"/>
        <v>180</v>
      </c>
      <c r="D34" s="965">
        <f t="shared" si="16"/>
        <v>0.15</v>
      </c>
      <c r="E34" s="966">
        <f t="shared" si="16"/>
        <v>0.14199999999999999</v>
      </c>
      <c r="F34" s="790">
        <f t="shared" si="16"/>
        <v>388</v>
      </c>
      <c r="G34" s="473">
        <f t="shared" si="2"/>
        <v>6.0000000000000001E-3</v>
      </c>
      <c r="H34" s="474">
        <f t="shared" si="2"/>
        <v>5.6799999999999993E-3</v>
      </c>
      <c r="I34" s="474">
        <f t="shared" si="3"/>
        <v>1.5520000000000001E-2</v>
      </c>
      <c r="J34" s="61">
        <f t="shared" si="4"/>
        <v>40</v>
      </c>
      <c r="K34" s="967">
        <f t="shared" si="5"/>
        <v>0.15</v>
      </c>
      <c r="L34" s="967">
        <f t="shared" si="6"/>
        <v>6.0000000000000001E-3</v>
      </c>
      <c r="M34" s="967">
        <f t="shared" si="7"/>
        <v>2.3969999999999998E-2</v>
      </c>
      <c r="N34" s="54">
        <f t="shared" si="8"/>
        <v>40</v>
      </c>
      <c r="O34" s="968">
        <f t="shared" si="9"/>
        <v>0.14199999999999999</v>
      </c>
      <c r="P34" s="968">
        <f t="shared" si="10"/>
        <v>5.6799999999999993E-3</v>
      </c>
      <c r="Q34" s="969">
        <f t="shared" si="11"/>
        <v>1.9867999999999997E-2</v>
      </c>
      <c r="R34" s="247">
        <f t="shared" si="12"/>
        <v>40</v>
      </c>
      <c r="S34" s="24">
        <f t="shared" si="13"/>
        <v>388</v>
      </c>
      <c r="T34" s="970">
        <f t="shared" si="14"/>
        <v>1.5520000000000001E-2</v>
      </c>
      <c r="U34" s="971">
        <f t="shared" si="15"/>
        <v>6.1971999999999999E-2</v>
      </c>
    </row>
    <row r="35" spans="1:21" x14ac:dyDescent="0.2">
      <c r="A35" s="33">
        <f t="shared" si="0"/>
        <v>2022</v>
      </c>
      <c r="B35" s="787">
        <f t="shared" si="17"/>
        <v>40</v>
      </c>
      <c r="C35" s="565">
        <f t="shared" si="1"/>
        <v>220</v>
      </c>
      <c r="D35" s="965">
        <f t="shared" si="16"/>
        <v>0.15</v>
      </c>
      <c r="E35" s="966">
        <f t="shared" si="16"/>
        <v>0.14199999999999999</v>
      </c>
      <c r="F35" s="790">
        <f t="shared" si="16"/>
        <v>388</v>
      </c>
      <c r="G35" s="473">
        <f t="shared" si="2"/>
        <v>6.0000000000000001E-3</v>
      </c>
      <c r="H35" s="474">
        <f t="shared" si="2"/>
        <v>5.6799999999999993E-3</v>
      </c>
      <c r="I35" s="474">
        <f t="shared" si="3"/>
        <v>1.5520000000000001E-2</v>
      </c>
      <c r="J35" s="61">
        <f t="shared" si="4"/>
        <v>40</v>
      </c>
      <c r="K35" s="967">
        <f t="shared" si="5"/>
        <v>0.15</v>
      </c>
      <c r="L35" s="967">
        <f t="shared" si="6"/>
        <v>6.0000000000000001E-3</v>
      </c>
      <c r="M35" s="967">
        <f t="shared" si="7"/>
        <v>2.9969999999999997E-2</v>
      </c>
      <c r="N35" s="54">
        <f t="shared" si="8"/>
        <v>40</v>
      </c>
      <c r="O35" s="968">
        <f t="shared" si="9"/>
        <v>0.14199999999999999</v>
      </c>
      <c r="P35" s="968">
        <f t="shared" si="10"/>
        <v>5.6799999999999993E-3</v>
      </c>
      <c r="Q35" s="969">
        <f t="shared" si="11"/>
        <v>2.5547999999999994E-2</v>
      </c>
      <c r="R35" s="247">
        <f t="shared" si="12"/>
        <v>40</v>
      </c>
      <c r="S35" s="24">
        <f t="shared" si="13"/>
        <v>388</v>
      </c>
      <c r="T35" s="970">
        <f t="shared" si="14"/>
        <v>1.5520000000000001E-2</v>
      </c>
      <c r="U35" s="971">
        <f t="shared" si="15"/>
        <v>7.7492000000000005E-2</v>
      </c>
    </row>
    <row r="36" spans="1:21" x14ac:dyDescent="0.2">
      <c r="A36" s="33">
        <f t="shared" si="0"/>
        <v>2023</v>
      </c>
      <c r="B36" s="787">
        <f t="shared" si="17"/>
        <v>40</v>
      </c>
      <c r="C36" s="565">
        <f t="shared" si="1"/>
        <v>260</v>
      </c>
      <c r="D36" s="965">
        <f t="shared" si="16"/>
        <v>0.15</v>
      </c>
      <c r="E36" s="966">
        <f t="shared" si="16"/>
        <v>0.14199999999999999</v>
      </c>
      <c r="F36" s="790">
        <f t="shared" si="16"/>
        <v>388</v>
      </c>
      <c r="G36" s="473">
        <f t="shared" si="2"/>
        <v>6.0000000000000001E-3</v>
      </c>
      <c r="H36" s="474">
        <f t="shared" si="2"/>
        <v>5.6799999999999993E-3</v>
      </c>
      <c r="I36" s="474">
        <f t="shared" si="3"/>
        <v>1.5520000000000001E-2</v>
      </c>
      <c r="J36" s="61">
        <f t="shared" si="4"/>
        <v>40</v>
      </c>
      <c r="K36" s="967">
        <f t="shared" si="5"/>
        <v>0.15</v>
      </c>
      <c r="L36" s="967">
        <f t="shared" si="6"/>
        <v>6.0000000000000001E-3</v>
      </c>
      <c r="M36" s="967">
        <f t="shared" si="7"/>
        <v>3.5969999999999995E-2</v>
      </c>
      <c r="N36" s="54">
        <f t="shared" si="8"/>
        <v>40</v>
      </c>
      <c r="O36" s="968">
        <f t="shared" si="9"/>
        <v>0.14199999999999999</v>
      </c>
      <c r="P36" s="968">
        <f t="shared" si="10"/>
        <v>5.6799999999999993E-3</v>
      </c>
      <c r="Q36" s="969">
        <f t="shared" si="11"/>
        <v>3.1227999999999992E-2</v>
      </c>
      <c r="R36" s="247">
        <f t="shared" si="12"/>
        <v>40</v>
      </c>
      <c r="S36" s="24">
        <f t="shared" si="13"/>
        <v>388</v>
      </c>
      <c r="T36" s="970">
        <f t="shared" si="14"/>
        <v>1.5520000000000001E-2</v>
      </c>
      <c r="U36" s="971">
        <f t="shared" si="15"/>
        <v>9.3012000000000011E-2</v>
      </c>
    </row>
    <row r="37" spans="1:21" x14ac:dyDescent="0.2">
      <c r="A37" s="33">
        <f t="shared" si="0"/>
        <v>2024</v>
      </c>
      <c r="B37" s="787">
        <f t="shared" si="17"/>
        <v>40</v>
      </c>
      <c r="C37" s="565">
        <f t="shared" si="1"/>
        <v>300</v>
      </c>
      <c r="D37" s="965">
        <f t="shared" si="16"/>
        <v>0.15</v>
      </c>
      <c r="E37" s="966">
        <f t="shared" si="16"/>
        <v>0.14199999999999999</v>
      </c>
      <c r="F37" s="790">
        <f t="shared" si="16"/>
        <v>388</v>
      </c>
      <c r="G37" s="473">
        <f t="shared" si="2"/>
        <v>6.0000000000000001E-3</v>
      </c>
      <c r="H37" s="474">
        <f t="shared" si="2"/>
        <v>5.6799999999999993E-3</v>
      </c>
      <c r="I37" s="474">
        <f t="shared" si="3"/>
        <v>1.5520000000000001E-2</v>
      </c>
      <c r="J37" s="61">
        <f t="shared" si="4"/>
        <v>40</v>
      </c>
      <c r="K37" s="967">
        <f t="shared" si="5"/>
        <v>0.15</v>
      </c>
      <c r="L37" s="967">
        <f t="shared" si="6"/>
        <v>6.0000000000000001E-3</v>
      </c>
      <c r="M37" s="967">
        <f t="shared" si="7"/>
        <v>4.1969999999999993E-2</v>
      </c>
      <c r="N37" s="54">
        <f t="shared" si="8"/>
        <v>40</v>
      </c>
      <c r="O37" s="968">
        <f t="shared" si="9"/>
        <v>0.14199999999999999</v>
      </c>
      <c r="P37" s="968">
        <f t="shared" si="10"/>
        <v>5.6799999999999993E-3</v>
      </c>
      <c r="Q37" s="969">
        <f t="shared" si="11"/>
        <v>3.6907999999999989E-2</v>
      </c>
      <c r="R37" s="247">
        <f t="shared" si="12"/>
        <v>40</v>
      </c>
      <c r="S37" s="24">
        <f t="shared" si="13"/>
        <v>388</v>
      </c>
      <c r="T37" s="970">
        <f t="shared" si="14"/>
        <v>1.5520000000000001E-2</v>
      </c>
      <c r="U37" s="971">
        <f t="shared" si="15"/>
        <v>0.10853200000000002</v>
      </c>
    </row>
    <row r="38" spans="1:21" x14ac:dyDescent="0.2">
      <c r="A38" s="33">
        <f t="shared" si="0"/>
        <v>2025</v>
      </c>
      <c r="B38" s="787">
        <f t="shared" si="17"/>
        <v>40</v>
      </c>
      <c r="C38" s="565">
        <f t="shared" si="1"/>
        <v>340</v>
      </c>
      <c r="D38" s="965">
        <f t="shared" si="16"/>
        <v>0.15</v>
      </c>
      <c r="E38" s="966">
        <f t="shared" si="16"/>
        <v>0.14199999999999999</v>
      </c>
      <c r="F38" s="790">
        <f t="shared" si="16"/>
        <v>388</v>
      </c>
      <c r="G38" s="473">
        <f t="shared" si="2"/>
        <v>6.0000000000000001E-3</v>
      </c>
      <c r="H38" s="474">
        <f t="shared" si="2"/>
        <v>5.6799999999999993E-3</v>
      </c>
      <c r="I38" s="474">
        <f t="shared" si="3"/>
        <v>1.5520000000000001E-2</v>
      </c>
      <c r="J38" s="61">
        <f t="shared" si="4"/>
        <v>40</v>
      </c>
      <c r="K38" s="967">
        <f t="shared" si="5"/>
        <v>0.15</v>
      </c>
      <c r="L38" s="967">
        <f t="shared" si="6"/>
        <v>6.0000000000000001E-3</v>
      </c>
      <c r="M38" s="967">
        <f t="shared" si="7"/>
        <v>4.7969999999999992E-2</v>
      </c>
      <c r="N38" s="54">
        <f t="shared" si="8"/>
        <v>40</v>
      </c>
      <c r="O38" s="968">
        <f t="shared" si="9"/>
        <v>0.14199999999999999</v>
      </c>
      <c r="P38" s="968">
        <f t="shared" si="10"/>
        <v>5.6799999999999993E-3</v>
      </c>
      <c r="Q38" s="969">
        <f t="shared" si="11"/>
        <v>4.2587999999999987E-2</v>
      </c>
      <c r="R38" s="247">
        <f t="shared" si="12"/>
        <v>40</v>
      </c>
      <c r="S38" s="24">
        <f t="shared" si="13"/>
        <v>388</v>
      </c>
      <c r="T38" s="970">
        <f t="shared" si="14"/>
        <v>1.5520000000000001E-2</v>
      </c>
      <c r="U38" s="971">
        <f t="shared" si="15"/>
        <v>0.12405200000000002</v>
      </c>
    </row>
    <row r="39" spans="1:21" x14ac:dyDescent="0.2">
      <c r="A39" s="33">
        <f t="shared" si="0"/>
        <v>2026</v>
      </c>
      <c r="B39" s="787">
        <f t="shared" si="17"/>
        <v>40</v>
      </c>
      <c r="C39" s="565">
        <f t="shared" si="1"/>
        <v>380</v>
      </c>
      <c r="D39" s="965">
        <f t="shared" ref="D39:F42" si="18">+D38</f>
        <v>0.15</v>
      </c>
      <c r="E39" s="966">
        <f t="shared" si="18"/>
        <v>0.14199999999999999</v>
      </c>
      <c r="F39" s="790">
        <f t="shared" si="18"/>
        <v>388</v>
      </c>
      <c r="G39" s="473">
        <f t="shared" si="2"/>
        <v>6.0000000000000001E-3</v>
      </c>
      <c r="H39" s="474">
        <f t="shared" si="2"/>
        <v>5.6799999999999993E-3</v>
      </c>
      <c r="I39" s="474">
        <f t="shared" si="3"/>
        <v>1.5520000000000001E-2</v>
      </c>
      <c r="J39" s="61">
        <f t="shared" si="4"/>
        <v>40</v>
      </c>
      <c r="K39" s="967">
        <f t="shared" si="5"/>
        <v>0.15</v>
      </c>
      <c r="L39" s="967">
        <f t="shared" si="6"/>
        <v>6.0000000000000001E-3</v>
      </c>
      <c r="M39" s="967">
        <f t="shared" si="7"/>
        <v>5.396999999999999E-2</v>
      </c>
      <c r="N39" s="54">
        <f t="shared" si="8"/>
        <v>40</v>
      </c>
      <c r="O39" s="968">
        <f t="shared" si="9"/>
        <v>0.14199999999999999</v>
      </c>
      <c r="P39" s="968">
        <f t="shared" si="10"/>
        <v>5.6799999999999993E-3</v>
      </c>
      <c r="Q39" s="969">
        <f t="shared" si="11"/>
        <v>4.8267999999999985E-2</v>
      </c>
      <c r="R39" s="247">
        <f>+(B39+B38)/2</f>
        <v>40</v>
      </c>
      <c r="S39" s="24">
        <f>+F39</f>
        <v>388</v>
      </c>
      <c r="T39" s="970">
        <f>+R39*S39/1000000</f>
        <v>1.5520000000000001E-2</v>
      </c>
      <c r="U39" s="971">
        <f t="shared" si="15"/>
        <v>0.13957200000000003</v>
      </c>
    </row>
    <row r="40" spans="1:21" x14ac:dyDescent="0.2">
      <c r="A40" s="33">
        <f>+A39+1</f>
        <v>2027</v>
      </c>
      <c r="B40" s="787">
        <f t="shared" si="17"/>
        <v>40</v>
      </c>
      <c r="C40" s="565">
        <f t="shared" si="1"/>
        <v>420</v>
      </c>
      <c r="D40" s="965">
        <f t="shared" si="18"/>
        <v>0.15</v>
      </c>
      <c r="E40" s="966">
        <f t="shared" si="18"/>
        <v>0.14199999999999999</v>
      </c>
      <c r="F40" s="790">
        <f t="shared" si="18"/>
        <v>388</v>
      </c>
      <c r="G40" s="473">
        <f t="shared" ref="G40:H42" si="19">+$B40*D40/1000</f>
        <v>6.0000000000000001E-3</v>
      </c>
      <c r="H40" s="474">
        <f t="shared" si="19"/>
        <v>5.6799999999999993E-3</v>
      </c>
      <c r="I40" s="474">
        <f>+$B40*F40/1000000</f>
        <v>1.5520000000000001E-2</v>
      </c>
      <c r="J40" s="61">
        <f>+(B40+B39)/2</f>
        <v>40</v>
      </c>
      <c r="K40" s="967">
        <f>+D40</f>
        <v>0.15</v>
      </c>
      <c r="L40" s="967">
        <f>+J40*K40/1000</f>
        <v>6.0000000000000001E-3</v>
      </c>
      <c r="M40" s="967">
        <f>+M39+L40</f>
        <v>5.9969999999999989E-2</v>
      </c>
      <c r="N40" s="54">
        <f>+B39</f>
        <v>40</v>
      </c>
      <c r="O40" s="968">
        <f>+E40</f>
        <v>0.14199999999999999</v>
      </c>
      <c r="P40" s="968">
        <f>+N40*O40/1000</f>
        <v>5.6799999999999993E-3</v>
      </c>
      <c r="Q40" s="969">
        <f>+Q39+P40</f>
        <v>5.3947999999999982E-2</v>
      </c>
      <c r="R40" s="247">
        <f>+(B40+B39)/2</f>
        <v>40</v>
      </c>
      <c r="S40" s="24">
        <f>+F40</f>
        <v>388</v>
      </c>
      <c r="T40" s="970">
        <f>+R40*S40/1000000</f>
        <v>1.5520000000000001E-2</v>
      </c>
      <c r="U40" s="971">
        <f>+U39+T40</f>
        <v>0.15509200000000004</v>
      </c>
    </row>
    <row r="41" spans="1:21" x14ac:dyDescent="0.2">
      <c r="A41" s="33">
        <f t="shared" si="0"/>
        <v>2028</v>
      </c>
      <c r="B41" s="787">
        <f t="shared" si="17"/>
        <v>40</v>
      </c>
      <c r="C41" s="565">
        <f t="shared" si="1"/>
        <v>460</v>
      </c>
      <c r="D41" s="965">
        <f>+D40</f>
        <v>0.15</v>
      </c>
      <c r="E41" s="966">
        <f>+E40</f>
        <v>0.14199999999999999</v>
      </c>
      <c r="F41" s="790">
        <f>+F40</f>
        <v>388</v>
      </c>
      <c r="G41" s="473">
        <f t="shared" si="19"/>
        <v>6.0000000000000001E-3</v>
      </c>
      <c r="H41" s="474">
        <f t="shared" si="19"/>
        <v>5.6799999999999993E-3</v>
      </c>
      <c r="I41" s="474">
        <f>+$B41*F41/1000000</f>
        <v>1.5520000000000001E-2</v>
      </c>
      <c r="J41" s="61">
        <f>+(B41+B40)/2</f>
        <v>40</v>
      </c>
      <c r="K41" s="967">
        <f>+D41</f>
        <v>0.15</v>
      </c>
      <c r="L41" s="967">
        <f>+J41*K41/1000</f>
        <v>6.0000000000000001E-3</v>
      </c>
      <c r="M41" s="967">
        <f>+M40+L41</f>
        <v>6.5969999999999987E-2</v>
      </c>
      <c r="N41" s="54">
        <f>+B40</f>
        <v>40</v>
      </c>
      <c r="O41" s="968">
        <f>+E41</f>
        <v>0.14199999999999999</v>
      </c>
      <c r="P41" s="968">
        <f>+N41*O41/1000</f>
        <v>5.6799999999999993E-3</v>
      </c>
      <c r="Q41" s="969">
        <f>+Q40+P41</f>
        <v>5.962799999999998E-2</v>
      </c>
      <c r="R41" s="247">
        <f>+(B41+B40)/2</f>
        <v>40</v>
      </c>
      <c r="S41" s="24">
        <f>+F41</f>
        <v>388</v>
      </c>
      <c r="T41" s="970">
        <f>+R41*S41/1000000</f>
        <v>1.5520000000000001E-2</v>
      </c>
      <c r="U41" s="971">
        <f>+U40+T41</f>
        <v>0.17061200000000004</v>
      </c>
    </row>
    <row r="42" spans="1:21" x14ac:dyDescent="0.2">
      <c r="A42" s="33">
        <f t="shared" si="0"/>
        <v>2029</v>
      </c>
      <c r="B42" s="787">
        <f t="shared" si="17"/>
        <v>40</v>
      </c>
      <c r="C42" s="565">
        <f>+C41+B42</f>
        <v>500</v>
      </c>
      <c r="D42" s="965">
        <f t="shared" si="18"/>
        <v>0.15</v>
      </c>
      <c r="E42" s="966">
        <f t="shared" si="18"/>
        <v>0.14199999999999999</v>
      </c>
      <c r="F42" s="790">
        <f t="shared" si="18"/>
        <v>388</v>
      </c>
      <c r="G42" s="473">
        <f t="shared" si="19"/>
        <v>6.0000000000000001E-3</v>
      </c>
      <c r="H42" s="474">
        <f t="shared" si="19"/>
        <v>5.6799999999999993E-3</v>
      </c>
      <c r="I42" s="474">
        <f>+$B42*F42/1000000</f>
        <v>1.5520000000000001E-2</v>
      </c>
      <c r="J42" s="61">
        <f>+(B42+B41)/2</f>
        <v>40</v>
      </c>
      <c r="K42" s="967">
        <f>+D42</f>
        <v>0.15</v>
      </c>
      <c r="L42" s="967">
        <f>+J42*K42/1000</f>
        <v>6.0000000000000001E-3</v>
      </c>
      <c r="M42" s="967">
        <f>+M41+L42</f>
        <v>7.1969999999999992E-2</v>
      </c>
      <c r="N42" s="54">
        <f>+B41</f>
        <v>40</v>
      </c>
      <c r="O42" s="968">
        <f>+E42</f>
        <v>0.14199999999999999</v>
      </c>
      <c r="P42" s="968">
        <f>+N42*O42/1000</f>
        <v>5.6799999999999993E-3</v>
      </c>
      <c r="Q42" s="969">
        <f>+Q41+P42</f>
        <v>6.5307999999999977E-2</v>
      </c>
      <c r="R42" s="247">
        <f>+(B42+B41)/2</f>
        <v>40</v>
      </c>
      <c r="S42" s="24">
        <f>+F42</f>
        <v>388</v>
      </c>
      <c r="T42" s="970">
        <f>+R42*S42/1000000</f>
        <v>1.5520000000000001E-2</v>
      </c>
      <c r="U42" s="971">
        <f>+U41+T42</f>
        <v>0.18613200000000005</v>
      </c>
    </row>
    <row r="43" spans="1:21" x14ac:dyDescent="0.2">
      <c r="A43" s="33">
        <f t="shared" si="0"/>
        <v>2030</v>
      </c>
      <c r="B43" s="787">
        <f t="shared" si="17"/>
        <v>40</v>
      </c>
      <c r="C43" s="565">
        <f t="shared" ref="C43:C47" si="20">+C42+B43</f>
        <v>540</v>
      </c>
      <c r="D43" s="965">
        <f t="shared" ref="D43:F43" si="21">+D42</f>
        <v>0.15</v>
      </c>
      <c r="E43" s="966">
        <f t="shared" si="21"/>
        <v>0.14199999999999999</v>
      </c>
      <c r="F43" s="790">
        <f t="shared" si="21"/>
        <v>388</v>
      </c>
      <c r="G43" s="473">
        <f t="shared" ref="G43:G47" si="22">+$B43*D43/1000</f>
        <v>6.0000000000000001E-3</v>
      </c>
      <c r="H43" s="474">
        <f t="shared" ref="H43:H47" si="23">+$B43*E43/1000</f>
        <v>5.6799999999999993E-3</v>
      </c>
      <c r="I43" s="474">
        <f t="shared" ref="I43:I47" si="24">+$B43*F43/1000000</f>
        <v>1.5520000000000001E-2</v>
      </c>
      <c r="J43" s="61">
        <f t="shared" ref="J43:J47" si="25">+(B43+B42)/2</f>
        <v>40</v>
      </c>
      <c r="K43" s="967">
        <f t="shared" ref="K43:K47" si="26">+D43</f>
        <v>0.15</v>
      </c>
      <c r="L43" s="967">
        <f t="shared" ref="L43:L47" si="27">+J43*K43/1000</f>
        <v>6.0000000000000001E-3</v>
      </c>
      <c r="M43" s="967">
        <f t="shared" ref="M43:M47" si="28">+M42+L43</f>
        <v>7.7969999999999998E-2</v>
      </c>
      <c r="N43" s="54">
        <f t="shared" ref="N43:N47" si="29">+B42</f>
        <v>40</v>
      </c>
      <c r="O43" s="968">
        <f t="shared" ref="O43:O47" si="30">+E43</f>
        <v>0.14199999999999999</v>
      </c>
      <c r="P43" s="968">
        <f t="shared" ref="P43:P47" si="31">+N43*O43/1000</f>
        <v>5.6799999999999993E-3</v>
      </c>
      <c r="Q43" s="969">
        <f t="shared" ref="Q43:Q47" si="32">+Q42+P43</f>
        <v>7.0987999999999982E-2</v>
      </c>
      <c r="R43" s="247">
        <f t="shared" ref="R43:R47" si="33">+(B43+B42)/2</f>
        <v>40</v>
      </c>
      <c r="S43" s="24">
        <f t="shared" ref="S43:S47" si="34">+F43</f>
        <v>388</v>
      </c>
      <c r="T43" s="970">
        <f t="shared" ref="T43:T47" si="35">+R43*S43/1000000</f>
        <v>1.5520000000000001E-2</v>
      </c>
      <c r="U43" s="971">
        <f t="shared" ref="U43:U47" si="36">+U42+T43</f>
        <v>0.20165200000000005</v>
      </c>
    </row>
    <row r="44" spans="1:21" x14ac:dyDescent="0.2">
      <c r="A44" s="33">
        <f t="shared" si="0"/>
        <v>2031</v>
      </c>
      <c r="B44" s="787">
        <f t="shared" si="17"/>
        <v>40</v>
      </c>
      <c r="C44" s="565">
        <f t="shared" si="20"/>
        <v>580</v>
      </c>
      <c r="D44" s="965">
        <f t="shared" ref="D44:F44" si="37">+D43</f>
        <v>0.15</v>
      </c>
      <c r="E44" s="966">
        <f t="shared" si="37"/>
        <v>0.14199999999999999</v>
      </c>
      <c r="F44" s="790">
        <f t="shared" si="37"/>
        <v>388</v>
      </c>
      <c r="G44" s="473">
        <f t="shared" si="22"/>
        <v>6.0000000000000001E-3</v>
      </c>
      <c r="H44" s="474">
        <f t="shared" si="23"/>
        <v>5.6799999999999993E-3</v>
      </c>
      <c r="I44" s="474">
        <f t="shared" si="24"/>
        <v>1.5520000000000001E-2</v>
      </c>
      <c r="J44" s="61">
        <f t="shared" si="25"/>
        <v>40</v>
      </c>
      <c r="K44" s="967">
        <f t="shared" si="26"/>
        <v>0.15</v>
      </c>
      <c r="L44" s="967">
        <f t="shared" si="27"/>
        <v>6.0000000000000001E-3</v>
      </c>
      <c r="M44" s="967">
        <f t="shared" si="28"/>
        <v>8.3970000000000003E-2</v>
      </c>
      <c r="N44" s="54">
        <f t="shared" si="29"/>
        <v>40</v>
      </c>
      <c r="O44" s="968">
        <f t="shared" si="30"/>
        <v>0.14199999999999999</v>
      </c>
      <c r="P44" s="968">
        <f t="shared" si="31"/>
        <v>5.6799999999999993E-3</v>
      </c>
      <c r="Q44" s="969">
        <f t="shared" si="32"/>
        <v>7.6667999999999986E-2</v>
      </c>
      <c r="R44" s="247">
        <f t="shared" si="33"/>
        <v>40</v>
      </c>
      <c r="S44" s="24">
        <f t="shared" si="34"/>
        <v>388</v>
      </c>
      <c r="T44" s="970">
        <f t="shared" si="35"/>
        <v>1.5520000000000001E-2</v>
      </c>
      <c r="U44" s="971">
        <f t="shared" si="36"/>
        <v>0.21717200000000006</v>
      </c>
    </row>
    <row r="45" spans="1:21" x14ac:dyDescent="0.2">
      <c r="A45" s="33">
        <f t="shared" si="0"/>
        <v>2032</v>
      </c>
      <c r="B45" s="787">
        <f t="shared" si="17"/>
        <v>40</v>
      </c>
      <c r="C45" s="565">
        <f t="shared" si="20"/>
        <v>620</v>
      </c>
      <c r="D45" s="965">
        <f t="shared" ref="D45:F45" si="38">+D44</f>
        <v>0.15</v>
      </c>
      <c r="E45" s="966">
        <f t="shared" si="38"/>
        <v>0.14199999999999999</v>
      </c>
      <c r="F45" s="790">
        <f t="shared" si="38"/>
        <v>388</v>
      </c>
      <c r="G45" s="473">
        <f t="shared" si="22"/>
        <v>6.0000000000000001E-3</v>
      </c>
      <c r="H45" s="474">
        <f t="shared" si="23"/>
        <v>5.6799999999999993E-3</v>
      </c>
      <c r="I45" s="474">
        <f t="shared" si="24"/>
        <v>1.5520000000000001E-2</v>
      </c>
      <c r="J45" s="61">
        <f t="shared" si="25"/>
        <v>40</v>
      </c>
      <c r="K45" s="967">
        <f t="shared" si="26"/>
        <v>0.15</v>
      </c>
      <c r="L45" s="967">
        <f t="shared" si="27"/>
        <v>6.0000000000000001E-3</v>
      </c>
      <c r="M45" s="967">
        <f t="shared" si="28"/>
        <v>8.9970000000000008E-2</v>
      </c>
      <c r="N45" s="54">
        <f t="shared" si="29"/>
        <v>40</v>
      </c>
      <c r="O45" s="968">
        <f t="shared" si="30"/>
        <v>0.14199999999999999</v>
      </c>
      <c r="P45" s="968">
        <f t="shared" si="31"/>
        <v>5.6799999999999993E-3</v>
      </c>
      <c r="Q45" s="969">
        <f t="shared" si="32"/>
        <v>8.2347999999999991E-2</v>
      </c>
      <c r="R45" s="247">
        <f t="shared" si="33"/>
        <v>40</v>
      </c>
      <c r="S45" s="24">
        <f t="shared" si="34"/>
        <v>388</v>
      </c>
      <c r="T45" s="970">
        <f t="shared" si="35"/>
        <v>1.5520000000000001E-2</v>
      </c>
      <c r="U45" s="971">
        <f t="shared" si="36"/>
        <v>0.23269200000000007</v>
      </c>
    </row>
    <row r="46" spans="1:21" x14ac:dyDescent="0.2">
      <c r="A46" s="33">
        <f t="shared" si="0"/>
        <v>2033</v>
      </c>
      <c r="B46" s="787">
        <f t="shared" si="17"/>
        <v>40</v>
      </c>
      <c r="C46" s="565">
        <f t="shared" si="20"/>
        <v>660</v>
      </c>
      <c r="D46" s="965">
        <f t="shared" ref="D46:F46" si="39">+D45</f>
        <v>0.15</v>
      </c>
      <c r="E46" s="966">
        <f t="shared" si="39"/>
        <v>0.14199999999999999</v>
      </c>
      <c r="F46" s="790">
        <f t="shared" si="39"/>
        <v>388</v>
      </c>
      <c r="G46" s="473">
        <f t="shared" si="22"/>
        <v>6.0000000000000001E-3</v>
      </c>
      <c r="H46" s="474">
        <f t="shared" si="23"/>
        <v>5.6799999999999993E-3</v>
      </c>
      <c r="I46" s="474">
        <f t="shared" si="24"/>
        <v>1.5520000000000001E-2</v>
      </c>
      <c r="J46" s="61">
        <f t="shared" si="25"/>
        <v>40</v>
      </c>
      <c r="K46" s="967">
        <f t="shared" si="26"/>
        <v>0.15</v>
      </c>
      <c r="L46" s="967">
        <f t="shared" si="27"/>
        <v>6.0000000000000001E-3</v>
      </c>
      <c r="M46" s="967">
        <f t="shared" si="28"/>
        <v>9.5970000000000014E-2</v>
      </c>
      <c r="N46" s="54">
        <f t="shared" si="29"/>
        <v>40</v>
      </c>
      <c r="O46" s="968">
        <f t="shared" si="30"/>
        <v>0.14199999999999999</v>
      </c>
      <c r="P46" s="968">
        <f t="shared" si="31"/>
        <v>5.6799999999999993E-3</v>
      </c>
      <c r="Q46" s="969">
        <f t="shared" si="32"/>
        <v>8.8027999999999995E-2</v>
      </c>
      <c r="R46" s="247">
        <f t="shared" si="33"/>
        <v>40</v>
      </c>
      <c r="S46" s="24">
        <f t="shared" si="34"/>
        <v>388</v>
      </c>
      <c r="T46" s="970">
        <f t="shared" si="35"/>
        <v>1.5520000000000001E-2</v>
      </c>
      <c r="U46" s="971">
        <f t="shared" si="36"/>
        <v>0.24821200000000007</v>
      </c>
    </row>
    <row r="47" spans="1:21" x14ac:dyDescent="0.2">
      <c r="A47" s="33">
        <f t="shared" si="0"/>
        <v>2034</v>
      </c>
      <c r="B47" s="787">
        <f t="shared" si="17"/>
        <v>40</v>
      </c>
      <c r="C47" s="565">
        <f t="shared" si="20"/>
        <v>700</v>
      </c>
      <c r="D47" s="965">
        <f t="shared" ref="D47:F47" si="40">+D46</f>
        <v>0.15</v>
      </c>
      <c r="E47" s="966">
        <f t="shared" si="40"/>
        <v>0.14199999999999999</v>
      </c>
      <c r="F47" s="790">
        <f t="shared" si="40"/>
        <v>388</v>
      </c>
      <c r="G47" s="473">
        <f t="shared" si="22"/>
        <v>6.0000000000000001E-3</v>
      </c>
      <c r="H47" s="474">
        <f t="shared" si="23"/>
        <v>5.6799999999999993E-3</v>
      </c>
      <c r="I47" s="474">
        <f t="shared" si="24"/>
        <v>1.5520000000000001E-2</v>
      </c>
      <c r="J47" s="61">
        <f t="shared" si="25"/>
        <v>40</v>
      </c>
      <c r="K47" s="967">
        <f t="shared" si="26"/>
        <v>0.15</v>
      </c>
      <c r="L47" s="967">
        <f t="shared" si="27"/>
        <v>6.0000000000000001E-3</v>
      </c>
      <c r="M47" s="967">
        <f t="shared" si="28"/>
        <v>0.10197000000000002</v>
      </c>
      <c r="N47" s="54">
        <f t="shared" si="29"/>
        <v>40</v>
      </c>
      <c r="O47" s="968">
        <f t="shared" si="30"/>
        <v>0.14199999999999999</v>
      </c>
      <c r="P47" s="968">
        <f t="shared" si="31"/>
        <v>5.6799999999999993E-3</v>
      </c>
      <c r="Q47" s="969">
        <f t="shared" si="32"/>
        <v>9.3708E-2</v>
      </c>
      <c r="R47" s="247">
        <f t="shared" si="33"/>
        <v>40</v>
      </c>
      <c r="S47" s="24">
        <f t="shared" si="34"/>
        <v>388</v>
      </c>
      <c r="T47" s="970">
        <f t="shared" si="35"/>
        <v>1.5520000000000001E-2</v>
      </c>
      <c r="U47" s="971">
        <f t="shared" si="36"/>
        <v>0.26373200000000008</v>
      </c>
    </row>
    <row r="48" spans="1:21" x14ac:dyDescent="0.2">
      <c r="A48" s="33">
        <f t="shared" si="0"/>
        <v>2035</v>
      </c>
      <c r="B48" s="787">
        <f>B47</f>
        <v>40</v>
      </c>
      <c r="C48" s="565">
        <f t="shared" ref="C48:C54" si="41">+C47+B48</f>
        <v>740</v>
      </c>
      <c r="D48" s="965">
        <f t="shared" ref="D48:F48" si="42">+D47</f>
        <v>0.15</v>
      </c>
      <c r="E48" s="966">
        <f t="shared" si="42"/>
        <v>0.14199999999999999</v>
      </c>
      <c r="F48" s="790">
        <f t="shared" si="42"/>
        <v>388</v>
      </c>
      <c r="G48" s="473">
        <f t="shared" ref="G48:G54" si="43">+$B48*D48/1000</f>
        <v>6.0000000000000001E-3</v>
      </c>
      <c r="H48" s="474">
        <f t="shared" ref="H48:H54" si="44">+$B48*E48/1000</f>
        <v>5.6799999999999993E-3</v>
      </c>
      <c r="I48" s="474">
        <f t="shared" ref="I48:I54" si="45">+$B48*F48/1000000</f>
        <v>1.5520000000000001E-2</v>
      </c>
      <c r="J48" s="61">
        <f t="shared" ref="J48:J54" si="46">+(B48+B47)/2</f>
        <v>40</v>
      </c>
      <c r="K48" s="967">
        <f t="shared" ref="K48:K54" si="47">+D48</f>
        <v>0.15</v>
      </c>
      <c r="L48" s="967">
        <f t="shared" ref="L48:L54" si="48">+J48*K48/1000</f>
        <v>6.0000000000000001E-3</v>
      </c>
      <c r="M48" s="967">
        <f t="shared" ref="M48:M54" si="49">+M47+L48</f>
        <v>0.10797000000000002</v>
      </c>
      <c r="N48" s="54">
        <f t="shared" ref="N48:N54" si="50">+B47</f>
        <v>40</v>
      </c>
      <c r="O48" s="968">
        <f t="shared" ref="O48:O54" si="51">+E48</f>
        <v>0.14199999999999999</v>
      </c>
      <c r="P48" s="968">
        <f t="shared" ref="P48:P54" si="52">+N48*O48/1000</f>
        <v>5.6799999999999993E-3</v>
      </c>
      <c r="Q48" s="969">
        <f t="shared" ref="Q48:Q54" si="53">+Q47+P48</f>
        <v>9.9388000000000004E-2</v>
      </c>
      <c r="R48" s="247">
        <f t="shared" ref="R48:R54" si="54">+(B48+B47)/2</f>
        <v>40</v>
      </c>
      <c r="S48" s="24">
        <f t="shared" ref="S48:S54" si="55">+F48</f>
        <v>388</v>
      </c>
      <c r="T48" s="970">
        <f t="shared" ref="T48:T54" si="56">+R48*S48/1000000</f>
        <v>1.5520000000000001E-2</v>
      </c>
      <c r="U48" s="971">
        <f t="shared" ref="U48:U54" si="57">+U47+T48</f>
        <v>0.27925200000000006</v>
      </c>
    </row>
    <row r="49" spans="1:21" x14ac:dyDescent="0.2">
      <c r="A49" s="33">
        <f t="shared" si="0"/>
        <v>2036</v>
      </c>
      <c r="B49" s="787">
        <f t="shared" ref="B49:B54" si="58">B48</f>
        <v>40</v>
      </c>
      <c r="C49" s="565">
        <f t="shared" si="41"/>
        <v>780</v>
      </c>
      <c r="D49" s="965">
        <f t="shared" ref="D49:F49" si="59">+D48</f>
        <v>0.15</v>
      </c>
      <c r="E49" s="966">
        <f t="shared" si="59"/>
        <v>0.14199999999999999</v>
      </c>
      <c r="F49" s="790">
        <f t="shared" si="59"/>
        <v>388</v>
      </c>
      <c r="G49" s="473">
        <f t="shared" si="43"/>
        <v>6.0000000000000001E-3</v>
      </c>
      <c r="H49" s="474">
        <f t="shared" si="44"/>
        <v>5.6799999999999993E-3</v>
      </c>
      <c r="I49" s="474">
        <f t="shared" si="45"/>
        <v>1.5520000000000001E-2</v>
      </c>
      <c r="J49" s="61">
        <f t="shared" si="46"/>
        <v>40</v>
      </c>
      <c r="K49" s="967">
        <f t="shared" si="47"/>
        <v>0.15</v>
      </c>
      <c r="L49" s="967">
        <f t="shared" si="48"/>
        <v>6.0000000000000001E-3</v>
      </c>
      <c r="M49" s="967">
        <f t="shared" si="49"/>
        <v>0.11397000000000003</v>
      </c>
      <c r="N49" s="54">
        <f t="shared" si="50"/>
        <v>40</v>
      </c>
      <c r="O49" s="968">
        <f t="shared" si="51"/>
        <v>0.14199999999999999</v>
      </c>
      <c r="P49" s="968">
        <f t="shared" si="52"/>
        <v>5.6799999999999993E-3</v>
      </c>
      <c r="Q49" s="969">
        <f t="shared" si="53"/>
        <v>0.10506800000000001</v>
      </c>
      <c r="R49" s="247">
        <f t="shared" si="54"/>
        <v>40</v>
      </c>
      <c r="S49" s="24">
        <f t="shared" si="55"/>
        <v>388</v>
      </c>
      <c r="T49" s="970">
        <f t="shared" si="56"/>
        <v>1.5520000000000001E-2</v>
      </c>
      <c r="U49" s="971">
        <f t="shared" si="57"/>
        <v>0.29477200000000003</v>
      </c>
    </row>
    <row r="50" spans="1:21" x14ac:dyDescent="0.2">
      <c r="A50" s="33">
        <f t="shared" si="0"/>
        <v>2037</v>
      </c>
      <c r="B50" s="787">
        <f t="shared" si="58"/>
        <v>40</v>
      </c>
      <c r="C50" s="565">
        <f t="shared" si="41"/>
        <v>820</v>
      </c>
      <c r="D50" s="965">
        <f t="shared" ref="D50:F50" si="60">+D49</f>
        <v>0.15</v>
      </c>
      <c r="E50" s="966">
        <f t="shared" si="60"/>
        <v>0.14199999999999999</v>
      </c>
      <c r="F50" s="790">
        <f t="shared" si="60"/>
        <v>388</v>
      </c>
      <c r="G50" s="473">
        <f t="shared" si="43"/>
        <v>6.0000000000000001E-3</v>
      </c>
      <c r="H50" s="474">
        <f t="shared" si="44"/>
        <v>5.6799999999999993E-3</v>
      </c>
      <c r="I50" s="474">
        <f t="shared" si="45"/>
        <v>1.5520000000000001E-2</v>
      </c>
      <c r="J50" s="61">
        <f t="shared" si="46"/>
        <v>40</v>
      </c>
      <c r="K50" s="967">
        <f t="shared" si="47"/>
        <v>0.15</v>
      </c>
      <c r="L50" s="967">
        <f t="shared" si="48"/>
        <v>6.0000000000000001E-3</v>
      </c>
      <c r="M50" s="967">
        <f t="shared" si="49"/>
        <v>0.11997000000000003</v>
      </c>
      <c r="N50" s="54">
        <f t="shared" si="50"/>
        <v>40</v>
      </c>
      <c r="O50" s="968">
        <f t="shared" si="51"/>
        <v>0.14199999999999999</v>
      </c>
      <c r="P50" s="968">
        <f t="shared" si="52"/>
        <v>5.6799999999999993E-3</v>
      </c>
      <c r="Q50" s="969">
        <f t="shared" si="53"/>
        <v>0.11074800000000001</v>
      </c>
      <c r="R50" s="247">
        <f t="shared" si="54"/>
        <v>40</v>
      </c>
      <c r="S50" s="24">
        <f t="shared" si="55"/>
        <v>388</v>
      </c>
      <c r="T50" s="970">
        <f t="shared" si="56"/>
        <v>1.5520000000000001E-2</v>
      </c>
      <c r="U50" s="971">
        <f t="shared" si="57"/>
        <v>0.31029200000000001</v>
      </c>
    </row>
    <row r="51" spans="1:21" x14ac:dyDescent="0.2">
      <c r="A51" s="33">
        <f t="shared" si="0"/>
        <v>2038</v>
      </c>
      <c r="B51" s="787">
        <f t="shared" si="58"/>
        <v>40</v>
      </c>
      <c r="C51" s="565">
        <f t="shared" si="41"/>
        <v>860</v>
      </c>
      <c r="D51" s="965">
        <f t="shared" ref="D51:F51" si="61">+D50</f>
        <v>0.15</v>
      </c>
      <c r="E51" s="966">
        <f t="shared" si="61"/>
        <v>0.14199999999999999</v>
      </c>
      <c r="F51" s="790">
        <f t="shared" si="61"/>
        <v>388</v>
      </c>
      <c r="G51" s="473">
        <f t="shared" si="43"/>
        <v>6.0000000000000001E-3</v>
      </c>
      <c r="H51" s="474">
        <f t="shared" si="44"/>
        <v>5.6799999999999993E-3</v>
      </c>
      <c r="I51" s="474">
        <f t="shared" si="45"/>
        <v>1.5520000000000001E-2</v>
      </c>
      <c r="J51" s="61">
        <f t="shared" si="46"/>
        <v>40</v>
      </c>
      <c r="K51" s="967">
        <f t="shared" si="47"/>
        <v>0.15</v>
      </c>
      <c r="L51" s="967">
        <f t="shared" si="48"/>
        <v>6.0000000000000001E-3</v>
      </c>
      <c r="M51" s="967">
        <f t="shared" si="49"/>
        <v>0.12597000000000003</v>
      </c>
      <c r="N51" s="54">
        <f t="shared" si="50"/>
        <v>40</v>
      </c>
      <c r="O51" s="968">
        <f t="shared" si="51"/>
        <v>0.14199999999999999</v>
      </c>
      <c r="P51" s="968">
        <f t="shared" si="52"/>
        <v>5.6799999999999993E-3</v>
      </c>
      <c r="Q51" s="969">
        <f t="shared" si="53"/>
        <v>0.11642800000000002</v>
      </c>
      <c r="R51" s="247">
        <f t="shared" si="54"/>
        <v>40</v>
      </c>
      <c r="S51" s="24">
        <f t="shared" si="55"/>
        <v>388</v>
      </c>
      <c r="T51" s="970">
        <f t="shared" si="56"/>
        <v>1.5520000000000001E-2</v>
      </c>
      <c r="U51" s="971">
        <f t="shared" si="57"/>
        <v>0.32581199999999999</v>
      </c>
    </row>
    <row r="52" spans="1:21" x14ac:dyDescent="0.2">
      <c r="A52" s="33">
        <f t="shared" si="0"/>
        <v>2039</v>
      </c>
      <c r="B52" s="787">
        <f t="shared" si="58"/>
        <v>40</v>
      </c>
      <c r="C52" s="565">
        <f t="shared" si="41"/>
        <v>900</v>
      </c>
      <c r="D52" s="965">
        <f t="shared" ref="D52:F52" si="62">+D51</f>
        <v>0.15</v>
      </c>
      <c r="E52" s="966">
        <f t="shared" si="62"/>
        <v>0.14199999999999999</v>
      </c>
      <c r="F52" s="790">
        <f t="shared" si="62"/>
        <v>388</v>
      </c>
      <c r="G52" s="473">
        <f t="shared" si="43"/>
        <v>6.0000000000000001E-3</v>
      </c>
      <c r="H52" s="474">
        <f t="shared" si="44"/>
        <v>5.6799999999999993E-3</v>
      </c>
      <c r="I52" s="474">
        <f t="shared" si="45"/>
        <v>1.5520000000000001E-2</v>
      </c>
      <c r="J52" s="61">
        <f t="shared" si="46"/>
        <v>40</v>
      </c>
      <c r="K52" s="967">
        <f t="shared" si="47"/>
        <v>0.15</v>
      </c>
      <c r="L52" s="967">
        <f t="shared" si="48"/>
        <v>6.0000000000000001E-3</v>
      </c>
      <c r="M52" s="967">
        <f t="shared" si="49"/>
        <v>0.13197000000000003</v>
      </c>
      <c r="N52" s="54">
        <f t="shared" si="50"/>
        <v>40</v>
      </c>
      <c r="O52" s="968">
        <f t="shared" si="51"/>
        <v>0.14199999999999999</v>
      </c>
      <c r="P52" s="968">
        <f t="shared" si="52"/>
        <v>5.6799999999999993E-3</v>
      </c>
      <c r="Q52" s="969">
        <f t="shared" si="53"/>
        <v>0.12210800000000002</v>
      </c>
      <c r="R52" s="247">
        <f t="shared" si="54"/>
        <v>40</v>
      </c>
      <c r="S52" s="24">
        <f t="shared" si="55"/>
        <v>388</v>
      </c>
      <c r="T52" s="970">
        <f t="shared" si="56"/>
        <v>1.5520000000000001E-2</v>
      </c>
      <c r="U52" s="971">
        <f t="shared" si="57"/>
        <v>0.34133199999999997</v>
      </c>
    </row>
    <row r="53" spans="1:21" x14ac:dyDescent="0.2">
      <c r="A53" s="33">
        <f t="shared" si="0"/>
        <v>2040</v>
      </c>
      <c r="B53" s="787">
        <f t="shared" si="58"/>
        <v>40</v>
      </c>
      <c r="C53" s="565">
        <f t="shared" si="41"/>
        <v>940</v>
      </c>
      <c r="D53" s="965">
        <f t="shared" ref="D53:F53" si="63">+D52</f>
        <v>0.15</v>
      </c>
      <c r="E53" s="966">
        <f t="shared" si="63"/>
        <v>0.14199999999999999</v>
      </c>
      <c r="F53" s="790">
        <f t="shared" si="63"/>
        <v>388</v>
      </c>
      <c r="G53" s="473">
        <f t="shared" si="43"/>
        <v>6.0000000000000001E-3</v>
      </c>
      <c r="H53" s="474">
        <f t="shared" si="44"/>
        <v>5.6799999999999993E-3</v>
      </c>
      <c r="I53" s="474">
        <f t="shared" si="45"/>
        <v>1.5520000000000001E-2</v>
      </c>
      <c r="J53" s="61">
        <f t="shared" si="46"/>
        <v>40</v>
      </c>
      <c r="K53" s="967">
        <f t="shared" si="47"/>
        <v>0.15</v>
      </c>
      <c r="L53" s="967">
        <f t="shared" si="48"/>
        <v>6.0000000000000001E-3</v>
      </c>
      <c r="M53" s="967">
        <f t="shared" si="49"/>
        <v>0.13797000000000004</v>
      </c>
      <c r="N53" s="54">
        <f t="shared" si="50"/>
        <v>40</v>
      </c>
      <c r="O53" s="968">
        <f t="shared" si="51"/>
        <v>0.14199999999999999</v>
      </c>
      <c r="P53" s="968">
        <f t="shared" si="52"/>
        <v>5.6799999999999993E-3</v>
      </c>
      <c r="Q53" s="969">
        <f t="shared" si="53"/>
        <v>0.12778800000000001</v>
      </c>
      <c r="R53" s="247">
        <f t="shared" si="54"/>
        <v>40</v>
      </c>
      <c r="S53" s="24">
        <f t="shared" si="55"/>
        <v>388</v>
      </c>
      <c r="T53" s="970">
        <f t="shared" si="56"/>
        <v>1.5520000000000001E-2</v>
      </c>
      <c r="U53" s="971">
        <f t="shared" si="57"/>
        <v>0.35685199999999995</v>
      </c>
    </row>
    <row r="54" spans="1:21" x14ac:dyDescent="0.2">
      <c r="A54" s="33">
        <f t="shared" si="0"/>
        <v>2041</v>
      </c>
      <c r="B54" s="787">
        <f t="shared" si="58"/>
        <v>40</v>
      </c>
      <c r="C54" s="565">
        <f t="shared" si="41"/>
        <v>980</v>
      </c>
      <c r="D54" s="965">
        <f t="shared" ref="D54:F54" si="64">+D53</f>
        <v>0.15</v>
      </c>
      <c r="E54" s="966">
        <f t="shared" si="64"/>
        <v>0.14199999999999999</v>
      </c>
      <c r="F54" s="790">
        <f t="shared" si="64"/>
        <v>388</v>
      </c>
      <c r="G54" s="473">
        <f t="shared" si="43"/>
        <v>6.0000000000000001E-3</v>
      </c>
      <c r="H54" s="474">
        <f t="shared" si="44"/>
        <v>5.6799999999999993E-3</v>
      </c>
      <c r="I54" s="474">
        <f t="shared" si="45"/>
        <v>1.5520000000000001E-2</v>
      </c>
      <c r="J54" s="61">
        <f t="shared" si="46"/>
        <v>40</v>
      </c>
      <c r="K54" s="967">
        <f t="shared" si="47"/>
        <v>0.15</v>
      </c>
      <c r="L54" s="967">
        <f t="shared" si="48"/>
        <v>6.0000000000000001E-3</v>
      </c>
      <c r="M54" s="967">
        <f t="shared" si="49"/>
        <v>0.14397000000000004</v>
      </c>
      <c r="N54" s="54">
        <f t="shared" si="50"/>
        <v>40</v>
      </c>
      <c r="O54" s="968">
        <f t="shared" si="51"/>
        <v>0.14199999999999999</v>
      </c>
      <c r="P54" s="968">
        <f t="shared" si="52"/>
        <v>5.6799999999999993E-3</v>
      </c>
      <c r="Q54" s="969">
        <f t="shared" si="53"/>
        <v>0.133468</v>
      </c>
      <c r="R54" s="247">
        <f t="shared" si="54"/>
        <v>40</v>
      </c>
      <c r="S54" s="24">
        <f t="shared" si="55"/>
        <v>388</v>
      </c>
      <c r="T54" s="970">
        <f t="shared" si="56"/>
        <v>1.5520000000000001E-2</v>
      </c>
      <c r="U54" s="971">
        <f t="shared" si="57"/>
        <v>0.37237199999999993</v>
      </c>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FF"/>
  </sheetPr>
  <dimension ref="A1:X62"/>
  <sheetViews>
    <sheetView workbookViewId="0">
      <pane xSplit="1" ySplit="5" topLeftCell="B22"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211</v>
      </c>
      <c r="C2" s="27" t="s">
        <v>323</v>
      </c>
      <c r="D2" s="27"/>
      <c r="E2" s="27"/>
      <c r="F2" s="23"/>
      <c r="G2" s="23"/>
      <c r="H2" s="23"/>
      <c r="I2" s="23"/>
      <c r="J2" s="23"/>
      <c r="K2" s="27"/>
      <c r="L2" s="27"/>
      <c r="M2" s="27"/>
      <c r="N2" s="27"/>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62"/>
      <c r="E8" s="663"/>
      <c r="F8" s="617"/>
      <c r="G8" s="626"/>
      <c r="H8" s="72"/>
      <c r="I8" s="630"/>
      <c r="J8" s="61"/>
      <c r="K8" s="188"/>
      <c r="L8" s="188"/>
      <c r="M8" s="188"/>
      <c r="N8" s="51"/>
      <c r="O8" s="670"/>
      <c r="P8" s="670"/>
      <c r="Q8" s="670"/>
      <c r="R8" s="247"/>
      <c r="S8" s="24"/>
      <c r="T8" s="25"/>
      <c r="U8" s="654"/>
      <c r="V8" s="248"/>
      <c r="X8" s="1"/>
    </row>
    <row r="9" spans="1:24" x14ac:dyDescent="0.2">
      <c r="A9" s="33">
        <v>1996</v>
      </c>
      <c r="B9" s="30"/>
      <c r="C9" s="660"/>
      <c r="D9" s="662"/>
      <c r="E9" s="663"/>
      <c r="F9" s="617"/>
      <c r="G9" s="626"/>
      <c r="H9" s="72"/>
      <c r="I9" s="630"/>
      <c r="J9" s="61"/>
      <c r="K9" s="188"/>
      <c r="L9" s="188"/>
      <c r="M9" s="188"/>
      <c r="N9" s="54"/>
      <c r="O9" s="670"/>
      <c r="P9" s="670"/>
      <c r="Q9" s="670"/>
      <c r="R9" s="247"/>
      <c r="S9" s="24"/>
      <c r="T9" s="25"/>
      <c r="U9" s="654"/>
      <c r="V9" s="10"/>
      <c r="X9" s="1"/>
    </row>
    <row r="10" spans="1:24" x14ac:dyDescent="0.2">
      <c r="A10" s="33">
        <v>1997</v>
      </c>
      <c r="B10" s="30"/>
      <c r="C10" s="660"/>
      <c r="D10" s="662"/>
      <c r="E10" s="663"/>
      <c r="F10" s="617"/>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662"/>
      <c r="E11" s="663"/>
      <c r="F11" s="617"/>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662"/>
      <c r="E12" s="663"/>
      <c r="F12" s="617"/>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662"/>
      <c r="E13" s="663"/>
      <c r="F13" s="617"/>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662"/>
      <c r="E14" s="663"/>
      <c r="F14" s="617"/>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662"/>
      <c r="E15" s="663"/>
      <c r="F15" s="617"/>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662"/>
      <c r="E16" s="663"/>
      <c r="F16" s="617"/>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662"/>
      <c r="E17" s="663"/>
      <c r="F17" s="617"/>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662"/>
      <c r="E18" s="663"/>
      <c r="F18" s="617"/>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662"/>
      <c r="E19" s="663"/>
      <c r="F19" s="617"/>
      <c r="G19" s="626"/>
      <c r="H19" s="72"/>
      <c r="I19" s="630"/>
      <c r="J19" s="61"/>
      <c r="K19" s="188"/>
      <c r="L19" s="188"/>
      <c r="M19" s="188"/>
      <c r="N19" s="54"/>
      <c r="O19" s="670"/>
      <c r="P19" s="670"/>
      <c r="Q19" s="670"/>
      <c r="R19" s="247"/>
      <c r="S19" s="24"/>
      <c r="T19" s="25"/>
      <c r="U19" s="654"/>
      <c r="V19" s="8"/>
      <c r="X19" s="1"/>
    </row>
    <row r="20" spans="1:24" x14ac:dyDescent="0.2">
      <c r="A20" s="33">
        <f t="shared" si="0"/>
        <v>2007</v>
      </c>
      <c r="B20" s="30"/>
      <c r="C20" s="660"/>
      <c r="D20" s="662"/>
      <c r="E20" s="663"/>
      <c r="F20" s="617"/>
      <c r="G20" s="626"/>
      <c r="H20" s="72"/>
      <c r="I20" s="630"/>
      <c r="J20" s="61"/>
      <c r="K20" s="188"/>
      <c r="L20" s="188"/>
      <c r="M20" s="188"/>
      <c r="N20" s="54"/>
      <c r="O20" s="670"/>
      <c r="P20" s="670"/>
      <c r="Q20" s="670"/>
      <c r="R20" s="247"/>
      <c r="S20" s="24"/>
      <c r="T20" s="25"/>
      <c r="U20" s="654"/>
    </row>
    <row r="21" spans="1:24" x14ac:dyDescent="0.2">
      <c r="A21" s="33">
        <f t="shared" si="0"/>
        <v>2008</v>
      </c>
      <c r="B21" s="30"/>
      <c r="C21" s="660"/>
      <c r="D21" s="662"/>
      <c r="E21" s="663"/>
      <c r="F21" s="617"/>
      <c r="G21" s="626"/>
      <c r="H21" s="72"/>
      <c r="I21" s="630"/>
      <c r="J21" s="61"/>
      <c r="K21" s="188"/>
      <c r="L21" s="188"/>
      <c r="M21" s="188"/>
      <c r="N21" s="54"/>
      <c r="O21" s="670"/>
      <c r="P21" s="670"/>
      <c r="Q21" s="670"/>
      <c r="R21" s="247"/>
      <c r="S21" s="24"/>
      <c r="T21" s="25"/>
      <c r="U21" s="654"/>
    </row>
    <row r="22" spans="1:24" x14ac:dyDescent="0.2">
      <c r="A22" s="33">
        <f t="shared" si="0"/>
        <v>2009</v>
      </c>
      <c r="B22" s="30"/>
      <c r="C22" s="660"/>
      <c r="D22" s="662"/>
      <c r="E22" s="663"/>
      <c r="F22" s="617"/>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40" si="1">+C22+B23</f>
        <v>0</v>
      </c>
      <c r="D23" s="662">
        <v>0.02</v>
      </c>
      <c r="E23" s="663">
        <v>0.03</v>
      </c>
      <c r="F23" s="617">
        <v>255</v>
      </c>
      <c r="G23" s="626">
        <f t="shared" ref="G23:H39" si="2">+$B23*D23/1000</f>
        <v>0</v>
      </c>
      <c r="H23" s="72">
        <f t="shared" si="2"/>
        <v>0</v>
      </c>
      <c r="I23" s="630">
        <f t="shared" ref="I23:I39" si="3">+$B23*F23/1000000</f>
        <v>0</v>
      </c>
      <c r="J23" s="61">
        <f t="shared" ref="J23:J39" si="4">+(B23+B22)/2</f>
        <v>0</v>
      </c>
      <c r="K23" s="188">
        <f t="shared" ref="K23:K39" si="5">+D23</f>
        <v>0.02</v>
      </c>
      <c r="L23" s="188">
        <f t="shared" ref="L23:L39" si="6">+J23*K23/1000</f>
        <v>0</v>
      </c>
      <c r="M23" s="188">
        <f t="shared" ref="M23:M39" si="7">+M22+L23</f>
        <v>0</v>
      </c>
      <c r="N23" s="54">
        <f t="shared" ref="N23:N39" si="8">+B22</f>
        <v>0</v>
      </c>
      <c r="O23" s="670">
        <f t="shared" ref="O23:O39" si="9">+E23</f>
        <v>0.03</v>
      </c>
      <c r="P23" s="670">
        <f t="shared" ref="P23:P39" si="10">+N23*O23/1000</f>
        <v>0</v>
      </c>
      <c r="Q23" s="670">
        <f t="shared" ref="Q23:Q39" si="11">+Q22+P23</f>
        <v>0</v>
      </c>
      <c r="R23" s="247">
        <f t="shared" ref="R23:R38" si="12">+(B23+B22)/2</f>
        <v>0</v>
      </c>
      <c r="S23" s="24">
        <f t="shared" ref="S23:S38" si="13">+F23</f>
        <v>255</v>
      </c>
      <c r="T23" s="25">
        <f t="shared" ref="T23:T38" si="14">+R23*S23/1000000</f>
        <v>0</v>
      </c>
      <c r="U23" s="654">
        <f t="shared" ref="U23:U39" si="15">+U22+T23</f>
        <v>0</v>
      </c>
    </row>
    <row r="24" spans="1:24" x14ac:dyDescent="0.2">
      <c r="A24" s="33">
        <f t="shared" si="0"/>
        <v>2011</v>
      </c>
      <c r="B24" s="30">
        <v>26</v>
      </c>
      <c r="C24" s="661">
        <f t="shared" si="1"/>
        <v>26</v>
      </c>
      <c r="D24" s="662">
        <v>0.02</v>
      </c>
      <c r="E24" s="663">
        <v>0.03</v>
      </c>
      <c r="F24" s="617">
        <v>255</v>
      </c>
      <c r="G24" s="626">
        <f t="shared" si="2"/>
        <v>5.2000000000000006E-4</v>
      </c>
      <c r="H24" s="72">
        <f t="shared" si="2"/>
        <v>7.7999999999999999E-4</v>
      </c>
      <c r="I24" s="630">
        <f t="shared" si="3"/>
        <v>6.6299999999999996E-3</v>
      </c>
      <c r="J24" s="61">
        <f t="shared" si="4"/>
        <v>13</v>
      </c>
      <c r="K24" s="188">
        <f t="shared" si="5"/>
        <v>0.02</v>
      </c>
      <c r="L24" s="188">
        <f t="shared" si="6"/>
        <v>2.6000000000000003E-4</v>
      </c>
      <c r="M24" s="188">
        <f t="shared" si="7"/>
        <v>2.6000000000000003E-4</v>
      </c>
      <c r="N24" s="54">
        <f t="shared" si="8"/>
        <v>0</v>
      </c>
      <c r="O24" s="670">
        <f t="shared" si="9"/>
        <v>0.03</v>
      </c>
      <c r="P24" s="670">
        <f t="shared" si="10"/>
        <v>0</v>
      </c>
      <c r="Q24" s="670">
        <f t="shared" si="11"/>
        <v>0</v>
      </c>
      <c r="R24" s="247">
        <f t="shared" si="12"/>
        <v>13</v>
      </c>
      <c r="S24" s="24">
        <f t="shared" si="13"/>
        <v>255</v>
      </c>
      <c r="T24" s="25">
        <f t="shared" si="14"/>
        <v>3.3149999999999998E-3</v>
      </c>
      <c r="U24" s="654">
        <f t="shared" si="15"/>
        <v>3.3149999999999998E-3</v>
      </c>
    </row>
    <row r="25" spans="1:24" x14ac:dyDescent="0.2">
      <c r="A25" s="33">
        <f t="shared" si="0"/>
        <v>2012</v>
      </c>
      <c r="B25" s="30">
        <v>434</v>
      </c>
      <c r="C25" s="661">
        <f t="shared" si="1"/>
        <v>460</v>
      </c>
      <c r="D25" s="662">
        <v>0.02</v>
      </c>
      <c r="E25" s="663">
        <v>0.03</v>
      </c>
      <c r="F25" s="617">
        <v>255</v>
      </c>
      <c r="G25" s="626">
        <f t="shared" si="2"/>
        <v>8.6800000000000002E-3</v>
      </c>
      <c r="H25" s="72">
        <f t="shared" si="2"/>
        <v>1.302E-2</v>
      </c>
      <c r="I25" s="630">
        <f t="shared" si="3"/>
        <v>0.11067</v>
      </c>
      <c r="J25" s="61">
        <f t="shared" si="4"/>
        <v>230</v>
      </c>
      <c r="K25" s="188">
        <f t="shared" si="5"/>
        <v>0.02</v>
      </c>
      <c r="L25" s="188">
        <f t="shared" si="6"/>
        <v>4.6000000000000008E-3</v>
      </c>
      <c r="M25" s="188">
        <f t="shared" si="7"/>
        <v>4.8600000000000006E-3</v>
      </c>
      <c r="N25" s="54">
        <f t="shared" si="8"/>
        <v>26</v>
      </c>
      <c r="O25" s="670">
        <f t="shared" si="9"/>
        <v>0.03</v>
      </c>
      <c r="P25" s="670">
        <f t="shared" si="10"/>
        <v>7.7999999999999999E-4</v>
      </c>
      <c r="Q25" s="670">
        <f t="shared" si="11"/>
        <v>7.7999999999999999E-4</v>
      </c>
      <c r="R25" s="247">
        <f t="shared" si="12"/>
        <v>230</v>
      </c>
      <c r="S25" s="24">
        <f t="shared" si="13"/>
        <v>255</v>
      </c>
      <c r="T25" s="25">
        <f t="shared" si="14"/>
        <v>5.8650000000000001E-2</v>
      </c>
      <c r="U25" s="654">
        <f t="shared" si="15"/>
        <v>6.1964999999999999E-2</v>
      </c>
    </row>
    <row r="26" spans="1:24" s="831" customFormat="1" x14ac:dyDescent="0.2">
      <c r="A26" s="33">
        <f t="shared" si="0"/>
        <v>2013</v>
      </c>
      <c r="B26" s="30">
        <v>1597</v>
      </c>
      <c r="C26" s="619">
        <f t="shared" si="1"/>
        <v>2057</v>
      </c>
      <c r="D26" s="807">
        <f t="shared" ref="D26:F38" si="16">+D25</f>
        <v>0.02</v>
      </c>
      <c r="E26" s="808">
        <f t="shared" si="16"/>
        <v>0.03</v>
      </c>
      <c r="F26" s="806">
        <f t="shared" si="16"/>
        <v>255</v>
      </c>
      <c r="G26" s="626">
        <f t="shared" si="2"/>
        <v>3.1940000000000003E-2</v>
      </c>
      <c r="H26" s="72">
        <f t="shared" si="2"/>
        <v>4.7909999999999994E-2</v>
      </c>
      <c r="I26" s="630">
        <f t="shared" si="3"/>
        <v>0.40723500000000001</v>
      </c>
      <c r="J26" s="61">
        <f t="shared" si="4"/>
        <v>1015.5</v>
      </c>
      <c r="K26" s="188">
        <f t="shared" si="5"/>
        <v>0.02</v>
      </c>
      <c r="L26" s="188">
        <f t="shared" si="6"/>
        <v>2.0309999999999998E-2</v>
      </c>
      <c r="M26" s="829">
        <f t="shared" si="7"/>
        <v>2.5169999999999998E-2</v>
      </c>
      <c r="N26" s="54">
        <f t="shared" si="8"/>
        <v>434</v>
      </c>
      <c r="O26" s="670">
        <f t="shared" si="9"/>
        <v>0.03</v>
      </c>
      <c r="P26" s="670">
        <f t="shared" si="10"/>
        <v>1.302E-2</v>
      </c>
      <c r="Q26" s="671">
        <f t="shared" si="11"/>
        <v>1.38E-2</v>
      </c>
      <c r="R26" s="247">
        <f t="shared" si="12"/>
        <v>1015.5</v>
      </c>
      <c r="S26" s="24">
        <f t="shared" si="13"/>
        <v>255</v>
      </c>
      <c r="T26" s="25">
        <f t="shared" si="14"/>
        <v>0.25895249999999997</v>
      </c>
      <c r="U26" s="654">
        <f t="shared" si="15"/>
        <v>0.32091749999999997</v>
      </c>
      <c r="V26" s="830"/>
    </row>
    <row r="27" spans="1:24" s="831" customFormat="1" x14ac:dyDescent="0.2">
      <c r="A27" s="33">
        <f t="shared" si="0"/>
        <v>2014</v>
      </c>
      <c r="B27" s="30">
        <v>1124</v>
      </c>
      <c r="C27" s="619">
        <f t="shared" si="1"/>
        <v>3181</v>
      </c>
      <c r="D27" s="807">
        <f t="shared" si="16"/>
        <v>0.02</v>
      </c>
      <c r="E27" s="808">
        <f t="shared" si="16"/>
        <v>0.03</v>
      </c>
      <c r="F27" s="806">
        <f t="shared" si="16"/>
        <v>255</v>
      </c>
      <c r="G27" s="626">
        <f t="shared" si="2"/>
        <v>2.248E-2</v>
      </c>
      <c r="H27" s="72">
        <f t="shared" si="2"/>
        <v>3.372E-2</v>
      </c>
      <c r="I27" s="630">
        <f t="shared" si="3"/>
        <v>0.28661999999999999</v>
      </c>
      <c r="J27" s="61">
        <f t="shared" si="4"/>
        <v>1360.5</v>
      </c>
      <c r="K27" s="188">
        <f t="shared" si="5"/>
        <v>0.02</v>
      </c>
      <c r="L27" s="188">
        <f t="shared" si="6"/>
        <v>2.7210000000000002E-2</v>
      </c>
      <c r="M27" s="829">
        <f t="shared" si="7"/>
        <v>5.2379999999999996E-2</v>
      </c>
      <c r="N27" s="54">
        <f t="shared" si="8"/>
        <v>1597</v>
      </c>
      <c r="O27" s="670">
        <f t="shared" si="9"/>
        <v>0.03</v>
      </c>
      <c r="P27" s="670">
        <f t="shared" si="10"/>
        <v>4.7909999999999994E-2</v>
      </c>
      <c r="Q27" s="671">
        <f t="shared" si="11"/>
        <v>6.1709999999999994E-2</v>
      </c>
      <c r="R27" s="247">
        <f t="shared" si="12"/>
        <v>1360.5</v>
      </c>
      <c r="S27" s="24">
        <f t="shared" si="13"/>
        <v>255</v>
      </c>
      <c r="T27" s="25">
        <f t="shared" si="14"/>
        <v>0.3469275</v>
      </c>
      <c r="U27" s="654">
        <f t="shared" si="15"/>
        <v>0.66784500000000002</v>
      </c>
      <c r="V27" s="830"/>
    </row>
    <row r="28" spans="1:24" s="831" customFormat="1" x14ac:dyDescent="0.2">
      <c r="A28" s="33">
        <f t="shared" si="0"/>
        <v>2015</v>
      </c>
      <c r="B28" s="30">
        <v>1412</v>
      </c>
      <c r="C28" s="619">
        <f t="shared" si="1"/>
        <v>4593</v>
      </c>
      <c r="D28" s="807">
        <f>D62</f>
        <v>2.0934844192634559E-2</v>
      </c>
      <c r="E28" s="808">
        <f t="shared" ref="E28:F28" si="17">E62</f>
        <v>3.298866855524079E-2</v>
      </c>
      <c r="F28" s="806">
        <f t="shared" si="17"/>
        <v>271.26628895184137</v>
      </c>
      <c r="G28" s="626">
        <f t="shared" si="2"/>
        <v>2.9559999999999996E-2</v>
      </c>
      <c r="H28" s="72">
        <f t="shared" si="2"/>
        <v>4.6579999999999996E-2</v>
      </c>
      <c r="I28" s="630">
        <f t="shared" si="3"/>
        <v>0.38302799999999998</v>
      </c>
      <c r="J28" s="61">
        <f t="shared" si="4"/>
        <v>1268</v>
      </c>
      <c r="K28" s="188">
        <f t="shared" si="5"/>
        <v>2.0934844192634559E-2</v>
      </c>
      <c r="L28" s="188">
        <f t="shared" si="6"/>
        <v>2.6545382436260621E-2</v>
      </c>
      <c r="M28" s="829">
        <f t="shared" si="7"/>
        <v>7.8925382436260613E-2</v>
      </c>
      <c r="N28" s="54">
        <f t="shared" si="8"/>
        <v>1124</v>
      </c>
      <c r="O28" s="670">
        <f t="shared" si="9"/>
        <v>3.298866855524079E-2</v>
      </c>
      <c r="P28" s="670">
        <f t="shared" si="10"/>
        <v>3.7079263456090653E-2</v>
      </c>
      <c r="Q28" s="671">
        <f t="shared" si="11"/>
        <v>9.8789263456090654E-2</v>
      </c>
      <c r="R28" s="247">
        <f t="shared" si="12"/>
        <v>1268</v>
      </c>
      <c r="S28" s="24">
        <f t="shared" si="13"/>
        <v>271.26628895184137</v>
      </c>
      <c r="T28" s="25">
        <f t="shared" si="14"/>
        <v>0.34396565439093485</v>
      </c>
      <c r="U28" s="654">
        <f t="shared" si="15"/>
        <v>1.0118106543909349</v>
      </c>
      <c r="V28" s="830"/>
    </row>
    <row r="29" spans="1:24" s="201" customFormat="1" ht="13.5" thickBot="1" x14ac:dyDescent="0.25">
      <c r="A29" s="34">
        <f t="shared" si="0"/>
        <v>2016</v>
      </c>
      <c r="B29" s="400">
        <v>461</v>
      </c>
      <c r="C29" s="624">
        <f t="shared" si="1"/>
        <v>5054</v>
      </c>
      <c r="D29" s="664">
        <v>2.5000000000000001E-2</v>
      </c>
      <c r="E29" s="664">
        <v>4.5999999999999999E-2</v>
      </c>
      <c r="F29" s="400">
        <v>342</v>
      </c>
      <c r="G29" s="621">
        <f t="shared" si="2"/>
        <v>1.1525000000000001E-2</v>
      </c>
      <c r="H29" s="448">
        <f t="shared" si="2"/>
        <v>2.1205999999999999E-2</v>
      </c>
      <c r="I29" s="622">
        <f t="shared" si="3"/>
        <v>0.157662</v>
      </c>
      <c r="J29" s="149">
        <f t="shared" si="4"/>
        <v>936.5</v>
      </c>
      <c r="K29" s="287">
        <f t="shared" si="5"/>
        <v>2.5000000000000001E-2</v>
      </c>
      <c r="L29" s="287">
        <f t="shared" si="6"/>
        <v>2.3412500000000003E-2</v>
      </c>
      <c r="M29" s="668">
        <f t="shared" si="7"/>
        <v>0.10233788243626062</v>
      </c>
      <c r="N29" s="152">
        <f t="shared" si="8"/>
        <v>1412</v>
      </c>
      <c r="O29" s="673">
        <f t="shared" si="9"/>
        <v>4.5999999999999999E-2</v>
      </c>
      <c r="P29" s="673">
        <f t="shared" si="10"/>
        <v>6.4951999999999996E-2</v>
      </c>
      <c r="Q29" s="674">
        <f t="shared" si="11"/>
        <v>0.16374126345609064</v>
      </c>
      <c r="R29" s="401">
        <f t="shared" si="12"/>
        <v>936.5</v>
      </c>
      <c r="S29" s="156">
        <f t="shared" si="13"/>
        <v>342</v>
      </c>
      <c r="T29" s="157">
        <f t="shared" si="14"/>
        <v>0.32028299999999998</v>
      </c>
      <c r="U29" s="655">
        <f t="shared" si="15"/>
        <v>1.3320936543909347</v>
      </c>
      <c r="V29" s="1031"/>
    </row>
    <row r="30" spans="1:24" x14ac:dyDescent="0.2">
      <c r="A30" s="283">
        <f t="shared" si="0"/>
        <v>2017</v>
      </c>
      <c r="B30" s="793">
        <v>500</v>
      </c>
      <c r="C30" s="647">
        <f t="shared" si="1"/>
        <v>5554</v>
      </c>
      <c r="D30" s="1014">
        <f t="shared" si="16"/>
        <v>2.5000000000000001E-2</v>
      </c>
      <c r="E30" s="1015">
        <f t="shared" si="16"/>
        <v>4.5999999999999999E-2</v>
      </c>
      <c r="F30" s="1016">
        <f t="shared" si="16"/>
        <v>342</v>
      </c>
      <c r="G30" s="1017">
        <f t="shared" si="2"/>
        <v>1.2500000000000001E-2</v>
      </c>
      <c r="H30" s="1018">
        <f t="shared" si="2"/>
        <v>2.3E-2</v>
      </c>
      <c r="I30" s="1018">
        <f t="shared" si="3"/>
        <v>0.17100000000000001</v>
      </c>
      <c r="J30" s="138">
        <f t="shared" si="4"/>
        <v>480.5</v>
      </c>
      <c r="K30" s="1019">
        <f t="shared" si="5"/>
        <v>2.5000000000000001E-2</v>
      </c>
      <c r="L30" s="1019">
        <f t="shared" si="6"/>
        <v>1.2012500000000001E-2</v>
      </c>
      <c r="M30" s="1019">
        <f t="shared" si="7"/>
        <v>0.11435038243626061</v>
      </c>
      <c r="N30" s="141">
        <f t="shared" si="8"/>
        <v>461</v>
      </c>
      <c r="O30" s="1020">
        <f t="shared" si="9"/>
        <v>4.5999999999999999E-2</v>
      </c>
      <c r="P30" s="1020">
        <f t="shared" si="10"/>
        <v>2.1205999999999999E-2</v>
      </c>
      <c r="Q30" s="1021">
        <f t="shared" si="11"/>
        <v>0.18494726345609064</v>
      </c>
      <c r="R30" s="891">
        <f t="shared" si="12"/>
        <v>480.5</v>
      </c>
      <c r="S30" s="145">
        <f t="shared" si="13"/>
        <v>342</v>
      </c>
      <c r="T30" s="1022">
        <f t="shared" si="14"/>
        <v>0.164331</v>
      </c>
      <c r="U30" s="1023">
        <f t="shared" si="15"/>
        <v>1.4964246543909347</v>
      </c>
    </row>
    <row r="31" spans="1:24" x14ac:dyDescent="0.2">
      <c r="A31" s="33">
        <f t="shared" si="0"/>
        <v>2018</v>
      </c>
      <c r="B31" s="787">
        <v>500</v>
      </c>
      <c r="C31" s="565">
        <f t="shared" si="1"/>
        <v>6054</v>
      </c>
      <c r="D31" s="965">
        <f t="shared" si="16"/>
        <v>2.5000000000000001E-2</v>
      </c>
      <c r="E31" s="966">
        <f t="shared" si="16"/>
        <v>4.5999999999999999E-2</v>
      </c>
      <c r="F31" s="790">
        <f t="shared" si="16"/>
        <v>342</v>
      </c>
      <c r="G31" s="473">
        <f t="shared" si="2"/>
        <v>1.2500000000000001E-2</v>
      </c>
      <c r="H31" s="474">
        <f t="shared" si="2"/>
        <v>2.3E-2</v>
      </c>
      <c r="I31" s="474">
        <f t="shared" si="3"/>
        <v>0.17100000000000001</v>
      </c>
      <c r="J31" s="61">
        <f t="shared" si="4"/>
        <v>500</v>
      </c>
      <c r="K31" s="967">
        <f t="shared" si="5"/>
        <v>2.5000000000000001E-2</v>
      </c>
      <c r="L31" s="967">
        <f t="shared" si="6"/>
        <v>1.2500000000000001E-2</v>
      </c>
      <c r="M31" s="967">
        <f t="shared" si="7"/>
        <v>0.12685038243626062</v>
      </c>
      <c r="N31" s="54">
        <f t="shared" si="8"/>
        <v>500</v>
      </c>
      <c r="O31" s="968">
        <f t="shared" si="9"/>
        <v>4.5999999999999999E-2</v>
      </c>
      <c r="P31" s="968">
        <f t="shared" si="10"/>
        <v>2.3E-2</v>
      </c>
      <c r="Q31" s="969">
        <f t="shared" si="11"/>
        <v>0.20794726345609063</v>
      </c>
      <c r="R31" s="247">
        <f t="shared" si="12"/>
        <v>500</v>
      </c>
      <c r="S31" s="24">
        <f t="shared" si="13"/>
        <v>342</v>
      </c>
      <c r="T31" s="970">
        <f t="shared" si="14"/>
        <v>0.17100000000000001</v>
      </c>
      <c r="U31" s="971">
        <f t="shared" si="15"/>
        <v>1.6674246543909348</v>
      </c>
    </row>
    <row r="32" spans="1:24" x14ac:dyDescent="0.2">
      <c r="A32" s="33">
        <f t="shared" si="0"/>
        <v>2019</v>
      </c>
      <c r="B32" s="787">
        <v>500</v>
      </c>
      <c r="C32" s="565">
        <f t="shared" si="1"/>
        <v>6554</v>
      </c>
      <c r="D32" s="965">
        <f t="shared" si="16"/>
        <v>2.5000000000000001E-2</v>
      </c>
      <c r="E32" s="966">
        <f t="shared" si="16"/>
        <v>4.5999999999999999E-2</v>
      </c>
      <c r="F32" s="790">
        <f t="shared" si="16"/>
        <v>342</v>
      </c>
      <c r="G32" s="473">
        <f t="shared" si="2"/>
        <v>1.2500000000000001E-2</v>
      </c>
      <c r="H32" s="474">
        <f t="shared" si="2"/>
        <v>2.3E-2</v>
      </c>
      <c r="I32" s="474">
        <f t="shared" si="3"/>
        <v>0.17100000000000001</v>
      </c>
      <c r="J32" s="61">
        <f t="shared" si="4"/>
        <v>500</v>
      </c>
      <c r="K32" s="967">
        <f t="shared" si="5"/>
        <v>2.5000000000000001E-2</v>
      </c>
      <c r="L32" s="967">
        <f t="shared" si="6"/>
        <v>1.2500000000000001E-2</v>
      </c>
      <c r="M32" s="967">
        <f t="shared" si="7"/>
        <v>0.13935038243626063</v>
      </c>
      <c r="N32" s="54">
        <f t="shared" si="8"/>
        <v>500</v>
      </c>
      <c r="O32" s="968">
        <f t="shared" si="9"/>
        <v>4.5999999999999999E-2</v>
      </c>
      <c r="P32" s="968">
        <f t="shared" si="10"/>
        <v>2.3E-2</v>
      </c>
      <c r="Q32" s="969">
        <f t="shared" si="11"/>
        <v>0.23094726345609062</v>
      </c>
      <c r="R32" s="247">
        <f t="shared" si="12"/>
        <v>500</v>
      </c>
      <c r="S32" s="24">
        <f t="shared" si="13"/>
        <v>342</v>
      </c>
      <c r="T32" s="970">
        <f t="shared" si="14"/>
        <v>0.17100000000000001</v>
      </c>
      <c r="U32" s="971">
        <f t="shared" si="15"/>
        <v>1.8384246543909348</v>
      </c>
    </row>
    <row r="33" spans="1:21" x14ac:dyDescent="0.2">
      <c r="A33" s="33">
        <f t="shared" si="0"/>
        <v>2020</v>
      </c>
      <c r="B33" s="787">
        <v>500</v>
      </c>
      <c r="C33" s="565">
        <f t="shared" si="1"/>
        <v>7054</v>
      </c>
      <c r="D33" s="965">
        <f t="shared" si="16"/>
        <v>2.5000000000000001E-2</v>
      </c>
      <c r="E33" s="966">
        <f t="shared" si="16"/>
        <v>4.5999999999999999E-2</v>
      </c>
      <c r="F33" s="790">
        <f t="shared" si="16"/>
        <v>342</v>
      </c>
      <c r="G33" s="473">
        <f t="shared" si="2"/>
        <v>1.2500000000000001E-2</v>
      </c>
      <c r="H33" s="474">
        <f t="shared" si="2"/>
        <v>2.3E-2</v>
      </c>
      <c r="I33" s="474">
        <f t="shared" si="3"/>
        <v>0.17100000000000001</v>
      </c>
      <c r="J33" s="61">
        <f t="shared" si="4"/>
        <v>500</v>
      </c>
      <c r="K33" s="967">
        <f t="shared" si="5"/>
        <v>2.5000000000000001E-2</v>
      </c>
      <c r="L33" s="967">
        <f t="shared" si="6"/>
        <v>1.2500000000000001E-2</v>
      </c>
      <c r="M33" s="967">
        <f t="shared" si="7"/>
        <v>0.15185038243626064</v>
      </c>
      <c r="N33" s="54">
        <f t="shared" si="8"/>
        <v>500</v>
      </c>
      <c r="O33" s="968">
        <f t="shared" si="9"/>
        <v>4.5999999999999999E-2</v>
      </c>
      <c r="P33" s="968">
        <f t="shared" si="10"/>
        <v>2.3E-2</v>
      </c>
      <c r="Q33" s="969">
        <f t="shared" si="11"/>
        <v>0.25394726345609064</v>
      </c>
      <c r="R33" s="247">
        <f t="shared" si="12"/>
        <v>500</v>
      </c>
      <c r="S33" s="24">
        <f t="shared" si="13"/>
        <v>342</v>
      </c>
      <c r="T33" s="970">
        <f t="shared" si="14"/>
        <v>0.17100000000000001</v>
      </c>
      <c r="U33" s="971">
        <f t="shared" si="15"/>
        <v>2.0094246543909349</v>
      </c>
    </row>
    <row r="34" spans="1:21" x14ac:dyDescent="0.2">
      <c r="A34" s="33">
        <f t="shared" si="0"/>
        <v>2021</v>
      </c>
      <c r="B34" s="787">
        <v>500</v>
      </c>
      <c r="C34" s="565">
        <f t="shared" si="1"/>
        <v>7554</v>
      </c>
      <c r="D34" s="965">
        <f t="shared" si="16"/>
        <v>2.5000000000000001E-2</v>
      </c>
      <c r="E34" s="966">
        <f t="shared" si="16"/>
        <v>4.5999999999999999E-2</v>
      </c>
      <c r="F34" s="790">
        <f t="shared" si="16"/>
        <v>342</v>
      </c>
      <c r="G34" s="473">
        <f t="shared" si="2"/>
        <v>1.2500000000000001E-2</v>
      </c>
      <c r="H34" s="474">
        <f t="shared" si="2"/>
        <v>2.3E-2</v>
      </c>
      <c r="I34" s="474">
        <f t="shared" si="3"/>
        <v>0.17100000000000001</v>
      </c>
      <c r="J34" s="61">
        <f t="shared" si="4"/>
        <v>500</v>
      </c>
      <c r="K34" s="967">
        <f t="shared" si="5"/>
        <v>2.5000000000000001E-2</v>
      </c>
      <c r="L34" s="967">
        <f t="shared" si="6"/>
        <v>1.2500000000000001E-2</v>
      </c>
      <c r="M34" s="967">
        <f t="shared" si="7"/>
        <v>0.16435038243626066</v>
      </c>
      <c r="N34" s="54">
        <f t="shared" si="8"/>
        <v>500</v>
      </c>
      <c r="O34" s="968">
        <f t="shared" si="9"/>
        <v>4.5999999999999999E-2</v>
      </c>
      <c r="P34" s="968">
        <f t="shared" si="10"/>
        <v>2.3E-2</v>
      </c>
      <c r="Q34" s="969">
        <f t="shared" si="11"/>
        <v>0.27694726345609066</v>
      </c>
      <c r="R34" s="247">
        <f t="shared" si="12"/>
        <v>500</v>
      </c>
      <c r="S34" s="24">
        <f t="shared" si="13"/>
        <v>342</v>
      </c>
      <c r="T34" s="970">
        <f t="shared" si="14"/>
        <v>0.17100000000000001</v>
      </c>
      <c r="U34" s="971">
        <f t="shared" si="15"/>
        <v>2.1804246543909347</v>
      </c>
    </row>
    <row r="35" spans="1:21" x14ac:dyDescent="0.2">
      <c r="A35" s="33">
        <f t="shared" si="0"/>
        <v>2022</v>
      </c>
      <c r="B35" s="787">
        <v>500</v>
      </c>
      <c r="C35" s="565">
        <f t="shared" si="1"/>
        <v>8054</v>
      </c>
      <c r="D35" s="965">
        <f t="shared" si="16"/>
        <v>2.5000000000000001E-2</v>
      </c>
      <c r="E35" s="966">
        <f t="shared" si="16"/>
        <v>4.5999999999999999E-2</v>
      </c>
      <c r="F35" s="790">
        <f t="shared" si="16"/>
        <v>342</v>
      </c>
      <c r="G35" s="473">
        <f t="shared" si="2"/>
        <v>1.2500000000000001E-2</v>
      </c>
      <c r="H35" s="474">
        <f t="shared" si="2"/>
        <v>2.3E-2</v>
      </c>
      <c r="I35" s="474">
        <f t="shared" si="3"/>
        <v>0.17100000000000001</v>
      </c>
      <c r="J35" s="61">
        <f t="shared" si="4"/>
        <v>500</v>
      </c>
      <c r="K35" s="967">
        <f t="shared" si="5"/>
        <v>2.5000000000000001E-2</v>
      </c>
      <c r="L35" s="967">
        <f t="shared" si="6"/>
        <v>1.2500000000000001E-2</v>
      </c>
      <c r="M35" s="967">
        <f t="shared" si="7"/>
        <v>0.17685038243626067</v>
      </c>
      <c r="N35" s="54">
        <f t="shared" si="8"/>
        <v>500</v>
      </c>
      <c r="O35" s="968">
        <f t="shared" si="9"/>
        <v>4.5999999999999999E-2</v>
      </c>
      <c r="P35" s="968">
        <f t="shared" si="10"/>
        <v>2.3E-2</v>
      </c>
      <c r="Q35" s="969">
        <f t="shared" si="11"/>
        <v>0.29994726345609068</v>
      </c>
      <c r="R35" s="247">
        <f t="shared" si="12"/>
        <v>500</v>
      </c>
      <c r="S35" s="24">
        <f t="shared" si="13"/>
        <v>342</v>
      </c>
      <c r="T35" s="970">
        <f t="shared" si="14"/>
        <v>0.17100000000000001</v>
      </c>
      <c r="U35" s="971">
        <f t="shared" si="15"/>
        <v>2.3514246543909345</v>
      </c>
    </row>
    <row r="36" spans="1:21" x14ac:dyDescent="0.2">
      <c r="A36" s="33">
        <f t="shared" si="0"/>
        <v>2023</v>
      </c>
      <c r="B36" s="787">
        <v>500</v>
      </c>
      <c r="C36" s="565">
        <f t="shared" si="1"/>
        <v>8554</v>
      </c>
      <c r="D36" s="965">
        <f t="shared" si="16"/>
        <v>2.5000000000000001E-2</v>
      </c>
      <c r="E36" s="966">
        <f t="shared" si="16"/>
        <v>4.5999999999999999E-2</v>
      </c>
      <c r="F36" s="790">
        <f t="shared" si="16"/>
        <v>342</v>
      </c>
      <c r="G36" s="473">
        <f t="shared" si="2"/>
        <v>1.2500000000000001E-2</v>
      </c>
      <c r="H36" s="474">
        <f t="shared" si="2"/>
        <v>2.3E-2</v>
      </c>
      <c r="I36" s="474">
        <f t="shared" si="3"/>
        <v>0.17100000000000001</v>
      </c>
      <c r="J36" s="61">
        <f t="shared" si="4"/>
        <v>500</v>
      </c>
      <c r="K36" s="967">
        <f t="shared" si="5"/>
        <v>2.5000000000000001E-2</v>
      </c>
      <c r="L36" s="967">
        <f t="shared" si="6"/>
        <v>1.2500000000000001E-2</v>
      </c>
      <c r="M36" s="967">
        <f t="shared" si="7"/>
        <v>0.18935038243626068</v>
      </c>
      <c r="N36" s="54">
        <f t="shared" si="8"/>
        <v>500</v>
      </c>
      <c r="O36" s="968">
        <f t="shared" si="9"/>
        <v>4.5999999999999999E-2</v>
      </c>
      <c r="P36" s="968">
        <f t="shared" si="10"/>
        <v>2.3E-2</v>
      </c>
      <c r="Q36" s="969">
        <f t="shared" si="11"/>
        <v>0.32294726345609071</v>
      </c>
      <c r="R36" s="247">
        <f t="shared" si="12"/>
        <v>500</v>
      </c>
      <c r="S36" s="24">
        <f t="shared" si="13"/>
        <v>342</v>
      </c>
      <c r="T36" s="970">
        <f t="shared" si="14"/>
        <v>0.17100000000000001</v>
      </c>
      <c r="U36" s="971">
        <f t="shared" si="15"/>
        <v>2.5224246543909343</v>
      </c>
    </row>
    <row r="37" spans="1:21" x14ac:dyDescent="0.2">
      <c r="A37" s="33">
        <f t="shared" si="0"/>
        <v>2024</v>
      </c>
      <c r="B37" s="787">
        <v>500</v>
      </c>
      <c r="C37" s="565">
        <f t="shared" si="1"/>
        <v>9054</v>
      </c>
      <c r="D37" s="965">
        <f t="shared" si="16"/>
        <v>2.5000000000000001E-2</v>
      </c>
      <c r="E37" s="966">
        <f t="shared" si="16"/>
        <v>4.5999999999999999E-2</v>
      </c>
      <c r="F37" s="790">
        <f t="shared" si="16"/>
        <v>342</v>
      </c>
      <c r="G37" s="473">
        <f t="shared" si="2"/>
        <v>1.2500000000000001E-2</v>
      </c>
      <c r="H37" s="474">
        <f t="shared" si="2"/>
        <v>2.3E-2</v>
      </c>
      <c r="I37" s="474">
        <f t="shared" si="3"/>
        <v>0.17100000000000001</v>
      </c>
      <c r="J37" s="61">
        <f t="shared" si="4"/>
        <v>500</v>
      </c>
      <c r="K37" s="967">
        <f t="shared" si="5"/>
        <v>2.5000000000000001E-2</v>
      </c>
      <c r="L37" s="967">
        <f t="shared" si="6"/>
        <v>1.2500000000000001E-2</v>
      </c>
      <c r="M37" s="967">
        <f t="shared" si="7"/>
        <v>0.20185038243626069</v>
      </c>
      <c r="N37" s="54">
        <f t="shared" si="8"/>
        <v>500</v>
      </c>
      <c r="O37" s="968">
        <f t="shared" si="9"/>
        <v>4.5999999999999999E-2</v>
      </c>
      <c r="P37" s="968">
        <f t="shared" si="10"/>
        <v>2.3E-2</v>
      </c>
      <c r="Q37" s="969">
        <f t="shared" si="11"/>
        <v>0.34594726345609073</v>
      </c>
      <c r="R37" s="247">
        <f t="shared" si="12"/>
        <v>500</v>
      </c>
      <c r="S37" s="24">
        <f t="shared" si="13"/>
        <v>342</v>
      </c>
      <c r="T37" s="970">
        <f t="shared" si="14"/>
        <v>0.17100000000000001</v>
      </c>
      <c r="U37" s="971">
        <f t="shared" si="15"/>
        <v>2.6934246543909341</v>
      </c>
    </row>
    <row r="38" spans="1:21" x14ac:dyDescent="0.2">
      <c r="A38" s="33">
        <f t="shared" si="0"/>
        <v>2025</v>
      </c>
      <c r="B38" s="787">
        <v>500</v>
      </c>
      <c r="C38" s="565">
        <f t="shared" si="1"/>
        <v>9554</v>
      </c>
      <c r="D38" s="965">
        <f t="shared" si="16"/>
        <v>2.5000000000000001E-2</v>
      </c>
      <c r="E38" s="966">
        <f t="shared" si="16"/>
        <v>4.5999999999999999E-2</v>
      </c>
      <c r="F38" s="790">
        <f t="shared" si="16"/>
        <v>342</v>
      </c>
      <c r="G38" s="473">
        <f t="shared" si="2"/>
        <v>1.2500000000000001E-2</v>
      </c>
      <c r="H38" s="474">
        <f t="shared" si="2"/>
        <v>2.3E-2</v>
      </c>
      <c r="I38" s="474">
        <f t="shared" si="3"/>
        <v>0.17100000000000001</v>
      </c>
      <c r="J38" s="61">
        <f t="shared" si="4"/>
        <v>500</v>
      </c>
      <c r="K38" s="967">
        <f t="shared" si="5"/>
        <v>2.5000000000000001E-2</v>
      </c>
      <c r="L38" s="967">
        <f t="shared" si="6"/>
        <v>1.2500000000000001E-2</v>
      </c>
      <c r="M38" s="967">
        <f t="shared" si="7"/>
        <v>0.2143503824362607</v>
      </c>
      <c r="N38" s="54">
        <f t="shared" si="8"/>
        <v>500</v>
      </c>
      <c r="O38" s="968">
        <f t="shared" si="9"/>
        <v>4.5999999999999999E-2</v>
      </c>
      <c r="P38" s="968">
        <f t="shared" si="10"/>
        <v>2.3E-2</v>
      </c>
      <c r="Q38" s="969">
        <f t="shared" si="11"/>
        <v>0.36894726345609075</v>
      </c>
      <c r="R38" s="247">
        <f t="shared" si="12"/>
        <v>500</v>
      </c>
      <c r="S38" s="24">
        <f t="shared" si="13"/>
        <v>342</v>
      </c>
      <c r="T38" s="970">
        <f t="shared" si="14"/>
        <v>0.17100000000000001</v>
      </c>
      <c r="U38" s="971">
        <f t="shared" si="15"/>
        <v>2.864424654390934</v>
      </c>
    </row>
    <row r="39" spans="1:21" x14ac:dyDescent="0.2">
      <c r="A39" s="33">
        <f t="shared" si="0"/>
        <v>2026</v>
      </c>
      <c r="B39" s="787">
        <v>500</v>
      </c>
      <c r="C39" s="565">
        <f t="shared" si="1"/>
        <v>10054</v>
      </c>
      <c r="D39" s="965">
        <f t="shared" ref="D39:F42" si="18">+D38</f>
        <v>2.5000000000000001E-2</v>
      </c>
      <c r="E39" s="966">
        <f t="shared" si="18"/>
        <v>4.5999999999999999E-2</v>
      </c>
      <c r="F39" s="790">
        <f t="shared" si="18"/>
        <v>342</v>
      </c>
      <c r="G39" s="473">
        <f t="shared" si="2"/>
        <v>1.2500000000000001E-2</v>
      </c>
      <c r="H39" s="474">
        <f t="shared" si="2"/>
        <v>2.3E-2</v>
      </c>
      <c r="I39" s="474">
        <f t="shared" si="3"/>
        <v>0.17100000000000001</v>
      </c>
      <c r="J39" s="61">
        <f t="shared" si="4"/>
        <v>500</v>
      </c>
      <c r="K39" s="967">
        <f t="shared" si="5"/>
        <v>2.5000000000000001E-2</v>
      </c>
      <c r="L39" s="967">
        <f t="shared" si="6"/>
        <v>1.2500000000000001E-2</v>
      </c>
      <c r="M39" s="967">
        <f t="shared" si="7"/>
        <v>0.22685038243626071</v>
      </c>
      <c r="N39" s="54">
        <f t="shared" si="8"/>
        <v>500</v>
      </c>
      <c r="O39" s="968">
        <f t="shared" si="9"/>
        <v>4.5999999999999999E-2</v>
      </c>
      <c r="P39" s="968">
        <f t="shared" si="10"/>
        <v>2.3E-2</v>
      </c>
      <c r="Q39" s="969">
        <f t="shared" si="11"/>
        <v>0.39194726345609077</v>
      </c>
      <c r="R39" s="247">
        <f>+(B39+B38)/2</f>
        <v>500</v>
      </c>
      <c r="S39" s="24">
        <f>+F39</f>
        <v>342</v>
      </c>
      <c r="T39" s="970">
        <f>+R39*S39/1000000</f>
        <v>0.17100000000000001</v>
      </c>
      <c r="U39" s="971">
        <f t="shared" si="15"/>
        <v>3.0354246543909338</v>
      </c>
    </row>
    <row r="40" spans="1:21" x14ac:dyDescent="0.2">
      <c r="A40" s="33">
        <f>+A39+1</f>
        <v>2027</v>
      </c>
      <c r="B40" s="787">
        <v>500</v>
      </c>
      <c r="C40" s="565">
        <f t="shared" si="1"/>
        <v>10554</v>
      </c>
      <c r="D40" s="965">
        <f t="shared" si="18"/>
        <v>2.5000000000000001E-2</v>
      </c>
      <c r="E40" s="966">
        <f t="shared" si="18"/>
        <v>4.5999999999999999E-2</v>
      </c>
      <c r="F40" s="790">
        <f t="shared" si="18"/>
        <v>342</v>
      </c>
      <c r="G40" s="473">
        <f t="shared" ref="G40:H42" si="19">+$B40*D40/1000</f>
        <v>1.2500000000000001E-2</v>
      </c>
      <c r="H40" s="474">
        <f t="shared" si="19"/>
        <v>2.3E-2</v>
      </c>
      <c r="I40" s="474">
        <f>+$B40*F40/1000000</f>
        <v>0.17100000000000001</v>
      </c>
      <c r="J40" s="61">
        <f>+(B40+B39)/2</f>
        <v>500</v>
      </c>
      <c r="K40" s="967">
        <f>+D40</f>
        <v>2.5000000000000001E-2</v>
      </c>
      <c r="L40" s="967">
        <f>+J40*K40/1000</f>
        <v>1.2500000000000001E-2</v>
      </c>
      <c r="M40" s="967">
        <f>+M39+L40</f>
        <v>0.23935038243626072</v>
      </c>
      <c r="N40" s="54">
        <f>+B39</f>
        <v>500</v>
      </c>
      <c r="O40" s="968">
        <f>+E40</f>
        <v>4.5999999999999999E-2</v>
      </c>
      <c r="P40" s="968">
        <f>+N40*O40/1000</f>
        <v>2.3E-2</v>
      </c>
      <c r="Q40" s="969">
        <f>+Q39+P40</f>
        <v>0.41494726345609079</v>
      </c>
      <c r="R40" s="247">
        <f>+(B40+B39)/2</f>
        <v>500</v>
      </c>
      <c r="S40" s="24">
        <f>+F40</f>
        <v>342</v>
      </c>
      <c r="T40" s="970">
        <f>+R40*S40/1000000</f>
        <v>0.17100000000000001</v>
      </c>
      <c r="U40" s="971">
        <f>+U39+T40</f>
        <v>3.2064246543909336</v>
      </c>
    </row>
    <row r="41" spans="1:21" x14ac:dyDescent="0.2">
      <c r="A41" s="33">
        <f t="shared" si="0"/>
        <v>2028</v>
      </c>
      <c r="B41" s="787">
        <v>500</v>
      </c>
      <c r="C41" s="565">
        <f>+C40+B41</f>
        <v>11054</v>
      </c>
      <c r="D41" s="965">
        <f>+D40</f>
        <v>2.5000000000000001E-2</v>
      </c>
      <c r="E41" s="966">
        <f>+E40</f>
        <v>4.5999999999999999E-2</v>
      </c>
      <c r="F41" s="790">
        <f>+F40</f>
        <v>342</v>
      </c>
      <c r="G41" s="473">
        <f t="shared" si="19"/>
        <v>1.2500000000000001E-2</v>
      </c>
      <c r="H41" s="474">
        <f t="shared" si="19"/>
        <v>2.3E-2</v>
      </c>
      <c r="I41" s="474">
        <f>+$B41*F41/1000000</f>
        <v>0.17100000000000001</v>
      </c>
      <c r="J41" s="61">
        <f>+(B41+B40)/2</f>
        <v>500</v>
      </c>
      <c r="K41" s="967">
        <f>+D41</f>
        <v>2.5000000000000001E-2</v>
      </c>
      <c r="L41" s="967">
        <f>+J41*K41/1000</f>
        <v>1.2500000000000001E-2</v>
      </c>
      <c r="M41" s="967">
        <f>+M40+L41</f>
        <v>0.25185038243626073</v>
      </c>
      <c r="N41" s="54">
        <f>+B40</f>
        <v>500</v>
      </c>
      <c r="O41" s="968">
        <f>+E41</f>
        <v>4.5999999999999999E-2</v>
      </c>
      <c r="P41" s="968">
        <f>+N41*O41/1000</f>
        <v>2.3E-2</v>
      </c>
      <c r="Q41" s="969">
        <f>+Q40+P41</f>
        <v>0.43794726345609081</v>
      </c>
      <c r="R41" s="247">
        <f>+(B41+B40)/2</f>
        <v>500</v>
      </c>
      <c r="S41" s="24">
        <f>+F41</f>
        <v>342</v>
      </c>
      <c r="T41" s="970">
        <f>+R41*S41/1000000</f>
        <v>0.17100000000000001</v>
      </c>
      <c r="U41" s="971">
        <f>+U40+T41</f>
        <v>3.3774246543909334</v>
      </c>
    </row>
    <row r="42" spans="1:21" x14ac:dyDescent="0.2">
      <c r="A42" s="33">
        <f t="shared" si="0"/>
        <v>2029</v>
      </c>
      <c r="B42" s="787">
        <v>500</v>
      </c>
      <c r="C42" s="565">
        <f>+C41+B42</f>
        <v>11554</v>
      </c>
      <c r="D42" s="965">
        <f t="shared" si="18"/>
        <v>2.5000000000000001E-2</v>
      </c>
      <c r="E42" s="966">
        <f t="shared" si="18"/>
        <v>4.5999999999999999E-2</v>
      </c>
      <c r="F42" s="790">
        <f t="shared" si="18"/>
        <v>342</v>
      </c>
      <c r="G42" s="473">
        <f t="shared" si="19"/>
        <v>1.2500000000000001E-2</v>
      </c>
      <c r="H42" s="474">
        <f t="shared" si="19"/>
        <v>2.3E-2</v>
      </c>
      <c r="I42" s="474">
        <f>+$B42*F42/1000000</f>
        <v>0.17100000000000001</v>
      </c>
      <c r="J42" s="61">
        <f>+(B42+B41)/2</f>
        <v>500</v>
      </c>
      <c r="K42" s="967">
        <f>+D42</f>
        <v>2.5000000000000001E-2</v>
      </c>
      <c r="L42" s="967">
        <f>+J42*K42/1000</f>
        <v>1.2500000000000001E-2</v>
      </c>
      <c r="M42" s="967">
        <f>+M41+L42</f>
        <v>0.26435038243626074</v>
      </c>
      <c r="N42" s="54">
        <f>+B41</f>
        <v>500</v>
      </c>
      <c r="O42" s="968">
        <f>+E42</f>
        <v>4.5999999999999999E-2</v>
      </c>
      <c r="P42" s="968">
        <f>+N42*O42/1000</f>
        <v>2.3E-2</v>
      </c>
      <c r="Q42" s="969">
        <f>+Q41+P42</f>
        <v>0.46094726345609083</v>
      </c>
      <c r="R42" s="247">
        <f>+(B42+B41)/2</f>
        <v>500</v>
      </c>
      <c r="S42" s="24">
        <f>+F42</f>
        <v>342</v>
      </c>
      <c r="T42" s="970">
        <f>+R42*S42/1000000</f>
        <v>0.17100000000000001</v>
      </c>
      <c r="U42" s="971">
        <f>+U41+T42</f>
        <v>3.5484246543909332</v>
      </c>
    </row>
    <row r="43" spans="1:21" x14ac:dyDescent="0.2">
      <c r="A43" s="33">
        <f t="shared" si="0"/>
        <v>2030</v>
      </c>
      <c r="B43" s="787">
        <v>500</v>
      </c>
      <c r="C43" s="565">
        <f t="shared" ref="C43:C47" si="20">+C42+B43</f>
        <v>12054</v>
      </c>
      <c r="D43" s="965">
        <f t="shared" ref="D43:F43" si="21">+D42</f>
        <v>2.5000000000000001E-2</v>
      </c>
      <c r="E43" s="966">
        <f t="shared" si="21"/>
        <v>4.5999999999999999E-2</v>
      </c>
      <c r="F43" s="790">
        <f t="shared" si="21"/>
        <v>342</v>
      </c>
      <c r="G43" s="473">
        <f t="shared" ref="G43:G47" si="22">+$B43*D43/1000</f>
        <v>1.2500000000000001E-2</v>
      </c>
      <c r="H43" s="474">
        <f t="shared" ref="H43:H47" si="23">+$B43*E43/1000</f>
        <v>2.3E-2</v>
      </c>
      <c r="I43" s="474">
        <f t="shared" ref="I43:I46" si="24">+$B43*F43/1000000</f>
        <v>0.17100000000000001</v>
      </c>
      <c r="J43" s="61">
        <f t="shared" ref="J43:J46" si="25">+(B43+B42)/2</f>
        <v>500</v>
      </c>
      <c r="K43" s="967">
        <f t="shared" ref="K43:K46" si="26">+D43</f>
        <v>2.5000000000000001E-2</v>
      </c>
      <c r="L43" s="967">
        <f t="shared" ref="L43:L46" si="27">+J43*K43/1000</f>
        <v>1.2500000000000001E-2</v>
      </c>
      <c r="M43" s="967">
        <f t="shared" ref="M43:M46" si="28">+M42+L43</f>
        <v>0.27685038243626076</v>
      </c>
      <c r="N43" s="54">
        <f t="shared" ref="N43:N46" si="29">+B42</f>
        <v>500</v>
      </c>
      <c r="O43" s="968">
        <f t="shared" ref="O43:O46" si="30">+E43</f>
        <v>4.5999999999999999E-2</v>
      </c>
      <c r="P43" s="968">
        <f t="shared" ref="P43:P46" si="31">+N43*O43/1000</f>
        <v>2.3E-2</v>
      </c>
      <c r="Q43" s="969">
        <f t="shared" ref="Q43:Q46" si="32">+Q42+P43</f>
        <v>0.48394726345609085</v>
      </c>
      <c r="R43" s="247">
        <f t="shared" ref="R43:R46" si="33">+(B43+B42)/2</f>
        <v>500</v>
      </c>
      <c r="S43" s="24">
        <f t="shared" ref="S43:S46" si="34">+F43</f>
        <v>342</v>
      </c>
      <c r="T43" s="970">
        <f t="shared" ref="T43:T46" si="35">+R43*S43/1000000</f>
        <v>0.17100000000000001</v>
      </c>
      <c r="U43" s="971">
        <f t="shared" ref="U43:U46" si="36">+U42+T43</f>
        <v>3.7194246543909331</v>
      </c>
    </row>
    <row r="44" spans="1:21" x14ac:dyDescent="0.2">
      <c r="A44" s="33">
        <f t="shared" si="0"/>
        <v>2031</v>
      </c>
      <c r="B44" s="787">
        <v>500</v>
      </c>
      <c r="C44" s="565">
        <f t="shared" si="20"/>
        <v>12554</v>
      </c>
      <c r="D44" s="965">
        <f t="shared" ref="D44:F44" si="37">+D43</f>
        <v>2.5000000000000001E-2</v>
      </c>
      <c r="E44" s="966">
        <f t="shared" si="37"/>
        <v>4.5999999999999999E-2</v>
      </c>
      <c r="F44" s="790">
        <f t="shared" si="37"/>
        <v>342</v>
      </c>
      <c r="G44" s="473">
        <f t="shared" si="22"/>
        <v>1.2500000000000001E-2</v>
      </c>
      <c r="H44" s="474">
        <f t="shared" si="23"/>
        <v>2.3E-2</v>
      </c>
      <c r="I44" s="474">
        <f t="shared" si="24"/>
        <v>0.17100000000000001</v>
      </c>
      <c r="J44" s="61">
        <f t="shared" si="25"/>
        <v>500</v>
      </c>
      <c r="K44" s="967">
        <f t="shared" si="26"/>
        <v>2.5000000000000001E-2</v>
      </c>
      <c r="L44" s="967">
        <f t="shared" si="27"/>
        <v>1.2500000000000001E-2</v>
      </c>
      <c r="M44" s="967">
        <f t="shared" si="28"/>
        <v>0.28935038243626077</v>
      </c>
      <c r="N44" s="54">
        <f t="shared" si="29"/>
        <v>500</v>
      </c>
      <c r="O44" s="968">
        <f t="shared" si="30"/>
        <v>4.5999999999999999E-2</v>
      </c>
      <c r="P44" s="968">
        <f t="shared" si="31"/>
        <v>2.3E-2</v>
      </c>
      <c r="Q44" s="969">
        <f t="shared" si="32"/>
        <v>0.50694726345609087</v>
      </c>
      <c r="R44" s="247">
        <f t="shared" si="33"/>
        <v>500</v>
      </c>
      <c r="S44" s="24">
        <f t="shared" si="34"/>
        <v>342</v>
      </c>
      <c r="T44" s="970">
        <f t="shared" si="35"/>
        <v>0.17100000000000001</v>
      </c>
      <c r="U44" s="971">
        <f t="shared" si="36"/>
        <v>3.8904246543909329</v>
      </c>
    </row>
    <row r="45" spans="1:21" x14ac:dyDescent="0.2">
      <c r="A45" s="33">
        <f t="shared" si="0"/>
        <v>2032</v>
      </c>
      <c r="B45" s="787">
        <v>500</v>
      </c>
      <c r="C45" s="565">
        <f t="shared" si="20"/>
        <v>13054</v>
      </c>
      <c r="D45" s="965">
        <f t="shared" ref="D45:F45" si="38">+D44</f>
        <v>2.5000000000000001E-2</v>
      </c>
      <c r="E45" s="966">
        <f t="shared" si="38"/>
        <v>4.5999999999999999E-2</v>
      </c>
      <c r="F45" s="790">
        <f t="shared" si="38"/>
        <v>342</v>
      </c>
      <c r="G45" s="473">
        <f t="shared" si="22"/>
        <v>1.2500000000000001E-2</v>
      </c>
      <c r="H45" s="474">
        <f t="shared" si="23"/>
        <v>2.3E-2</v>
      </c>
      <c r="I45" s="474">
        <f t="shared" si="24"/>
        <v>0.17100000000000001</v>
      </c>
      <c r="J45" s="61">
        <f t="shared" si="25"/>
        <v>500</v>
      </c>
      <c r="K45" s="967">
        <f t="shared" si="26"/>
        <v>2.5000000000000001E-2</v>
      </c>
      <c r="L45" s="967">
        <f t="shared" si="27"/>
        <v>1.2500000000000001E-2</v>
      </c>
      <c r="M45" s="967">
        <f t="shared" si="28"/>
        <v>0.30185038243626078</v>
      </c>
      <c r="N45" s="54">
        <f t="shared" si="29"/>
        <v>500</v>
      </c>
      <c r="O45" s="968">
        <f t="shared" si="30"/>
        <v>4.5999999999999999E-2</v>
      </c>
      <c r="P45" s="968">
        <f t="shared" si="31"/>
        <v>2.3E-2</v>
      </c>
      <c r="Q45" s="969">
        <f t="shared" si="32"/>
        <v>0.52994726345609089</v>
      </c>
      <c r="R45" s="247">
        <f t="shared" si="33"/>
        <v>500</v>
      </c>
      <c r="S45" s="24">
        <f t="shared" si="34"/>
        <v>342</v>
      </c>
      <c r="T45" s="970">
        <f t="shared" si="35"/>
        <v>0.17100000000000001</v>
      </c>
      <c r="U45" s="971">
        <f t="shared" si="36"/>
        <v>4.0614246543909331</v>
      </c>
    </row>
    <row r="46" spans="1:21" x14ac:dyDescent="0.2">
      <c r="A46" s="33">
        <f t="shared" si="0"/>
        <v>2033</v>
      </c>
      <c r="B46" s="787">
        <v>500</v>
      </c>
      <c r="C46" s="565">
        <f t="shared" si="20"/>
        <v>13554</v>
      </c>
      <c r="D46" s="965">
        <f t="shared" ref="D46:F46" si="39">+D45</f>
        <v>2.5000000000000001E-2</v>
      </c>
      <c r="E46" s="966">
        <f t="shared" si="39"/>
        <v>4.5999999999999999E-2</v>
      </c>
      <c r="F46" s="790">
        <f t="shared" si="39"/>
        <v>342</v>
      </c>
      <c r="G46" s="473">
        <f t="shared" si="22"/>
        <v>1.2500000000000001E-2</v>
      </c>
      <c r="H46" s="474">
        <f t="shared" si="23"/>
        <v>2.3E-2</v>
      </c>
      <c r="I46" s="474">
        <f t="shared" si="24"/>
        <v>0.17100000000000001</v>
      </c>
      <c r="J46" s="61">
        <f t="shared" si="25"/>
        <v>500</v>
      </c>
      <c r="K46" s="967">
        <f t="shared" si="26"/>
        <v>2.5000000000000001E-2</v>
      </c>
      <c r="L46" s="967">
        <f t="shared" si="27"/>
        <v>1.2500000000000001E-2</v>
      </c>
      <c r="M46" s="967">
        <f t="shared" si="28"/>
        <v>0.31435038243626079</v>
      </c>
      <c r="N46" s="54">
        <f t="shared" si="29"/>
        <v>500</v>
      </c>
      <c r="O46" s="968">
        <f t="shared" si="30"/>
        <v>4.5999999999999999E-2</v>
      </c>
      <c r="P46" s="968">
        <f t="shared" si="31"/>
        <v>2.3E-2</v>
      </c>
      <c r="Q46" s="969">
        <f t="shared" si="32"/>
        <v>0.55294726345609091</v>
      </c>
      <c r="R46" s="247">
        <f t="shared" si="33"/>
        <v>500</v>
      </c>
      <c r="S46" s="24">
        <f t="shared" si="34"/>
        <v>342</v>
      </c>
      <c r="T46" s="970">
        <f t="shared" si="35"/>
        <v>0.17100000000000001</v>
      </c>
      <c r="U46" s="971">
        <f t="shared" si="36"/>
        <v>4.2324246543909334</v>
      </c>
    </row>
    <row r="47" spans="1:21" x14ac:dyDescent="0.2">
      <c r="A47" s="33">
        <f t="shared" si="0"/>
        <v>2034</v>
      </c>
      <c r="B47" s="787">
        <v>500</v>
      </c>
      <c r="C47" s="565">
        <f t="shared" si="20"/>
        <v>14054</v>
      </c>
      <c r="D47" s="965">
        <f t="shared" ref="D47:F47" si="40">+D46</f>
        <v>2.5000000000000001E-2</v>
      </c>
      <c r="E47" s="966">
        <f t="shared" si="40"/>
        <v>4.5999999999999999E-2</v>
      </c>
      <c r="F47" s="790">
        <f t="shared" si="40"/>
        <v>342</v>
      </c>
      <c r="G47" s="473">
        <f t="shared" si="22"/>
        <v>1.2500000000000001E-2</v>
      </c>
      <c r="H47" s="474">
        <f t="shared" si="23"/>
        <v>2.3E-2</v>
      </c>
      <c r="I47" s="474">
        <f>+$B47*F47/1000000</f>
        <v>0.17100000000000001</v>
      </c>
      <c r="J47" s="61">
        <f>+(B47+B46)/2</f>
        <v>500</v>
      </c>
      <c r="K47" s="967">
        <f>+D47</f>
        <v>2.5000000000000001E-2</v>
      </c>
      <c r="L47" s="967">
        <f>+J47*K47/1000</f>
        <v>1.2500000000000001E-2</v>
      </c>
      <c r="M47" s="967">
        <f>+M46+L47</f>
        <v>0.3268503824362608</v>
      </c>
      <c r="N47" s="54">
        <f>+B46</f>
        <v>500</v>
      </c>
      <c r="O47" s="968">
        <f>+E47</f>
        <v>4.5999999999999999E-2</v>
      </c>
      <c r="P47" s="968">
        <f>+N47*O47/1000</f>
        <v>2.3E-2</v>
      </c>
      <c r="Q47" s="969">
        <f>+Q46+P47</f>
        <v>0.57594726345609093</v>
      </c>
      <c r="R47" s="247">
        <f>+(B47+B46)/2</f>
        <v>500</v>
      </c>
      <c r="S47" s="24">
        <f>+F47</f>
        <v>342</v>
      </c>
      <c r="T47" s="970">
        <f>+R47*S47/1000000</f>
        <v>0.17100000000000001</v>
      </c>
      <c r="U47" s="971">
        <f>+U46+T47</f>
        <v>4.4034246543909337</v>
      </c>
    </row>
    <row r="48" spans="1:21" x14ac:dyDescent="0.2">
      <c r="A48" s="33">
        <f t="shared" si="0"/>
        <v>2035</v>
      </c>
      <c r="B48" s="787">
        <f>B47</f>
        <v>500</v>
      </c>
      <c r="C48" s="565">
        <f t="shared" ref="C48:C54" si="41">+C47+B48</f>
        <v>14554</v>
      </c>
      <c r="D48" s="965">
        <f t="shared" ref="D48:F48" si="42">+D47</f>
        <v>2.5000000000000001E-2</v>
      </c>
      <c r="E48" s="966">
        <f t="shared" si="42"/>
        <v>4.5999999999999999E-2</v>
      </c>
      <c r="F48" s="790">
        <f t="shared" si="42"/>
        <v>342</v>
      </c>
      <c r="G48" s="473">
        <f t="shared" ref="G48:G54" si="43">+$B48*D48/1000</f>
        <v>1.2500000000000001E-2</v>
      </c>
      <c r="H48" s="474">
        <f t="shared" ref="H48:H54" si="44">+$B48*E48/1000</f>
        <v>2.3E-2</v>
      </c>
      <c r="I48" s="474">
        <f t="shared" ref="I48:I54" si="45">+$B48*F48/1000000</f>
        <v>0.17100000000000001</v>
      </c>
      <c r="J48" s="61">
        <f t="shared" ref="J48:J54" si="46">+(B48+B47)/2</f>
        <v>500</v>
      </c>
      <c r="K48" s="967">
        <f t="shared" ref="K48:K54" si="47">+D48</f>
        <v>2.5000000000000001E-2</v>
      </c>
      <c r="L48" s="967">
        <f t="shared" ref="L48:L54" si="48">+J48*K48/1000</f>
        <v>1.2500000000000001E-2</v>
      </c>
      <c r="M48" s="967">
        <f t="shared" ref="M48:M54" si="49">+M47+L48</f>
        <v>0.33935038243626081</v>
      </c>
      <c r="N48" s="54">
        <f t="shared" ref="N48:N54" si="50">+B47</f>
        <v>500</v>
      </c>
      <c r="O48" s="968">
        <f t="shared" ref="O48:O54" si="51">+E48</f>
        <v>4.5999999999999999E-2</v>
      </c>
      <c r="P48" s="968">
        <f t="shared" ref="P48:P54" si="52">+N48*O48/1000</f>
        <v>2.3E-2</v>
      </c>
      <c r="Q48" s="969">
        <f t="shared" ref="Q48:Q54" si="53">+Q47+P48</f>
        <v>0.59894726345609095</v>
      </c>
      <c r="R48" s="247">
        <f t="shared" ref="R48:R54" si="54">+(B48+B47)/2</f>
        <v>500</v>
      </c>
      <c r="S48" s="24">
        <f t="shared" ref="S48:S54" si="55">+F48</f>
        <v>342</v>
      </c>
      <c r="T48" s="970">
        <f t="shared" ref="T48:T54" si="56">+R48*S48/1000000</f>
        <v>0.17100000000000001</v>
      </c>
      <c r="U48" s="971">
        <f t="shared" ref="U48:U54" si="57">+U47+T48</f>
        <v>4.5744246543909339</v>
      </c>
    </row>
    <row r="49" spans="1:21" x14ac:dyDescent="0.2">
      <c r="A49" s="33">
        <f t="shared" si="0"/>
        <v>2036</v>
      </c>
      <c r="B49" s="787">
        <f t="shared" ref="B49:B54" si="58">B48</f>
        <v>500</v>
      </c>
      <c r="C49" s="565">
        <f t="shared" si="41"/>
        <v>15054</v>
      </c>
      <c r="D49" s="965">
        <f t="shared" ref="D49:F49" si="59">+D48</f>
        <v>2.5000000000000001E-2</v>
      </c>
      <c r="E49" s="966">
        <f t="shared" si="59"/>
        <v>4.5999999999999999E-2</v>
      </c>
      <c r="F49" s="790">
        <f t="shared" si="59"/>
        <v>342</v>
      </c>
      <c r="G49" s="473">
        <f t="shared" si="43"/>
        <v>1.2500000000000001E-2</v>
      </c>
      <c r="H49" s="474">
        <f t="shared" si="44"/>
        <v>2.3E-2</v>
      </c>
      <c r="I49" s="474">
        <f t="shared" si="45"/>
        <v>0.17100000000000001</v>
      </c>
      <c r="J49" s="61">
        <f t="shared" si="46"/>
        <v>500</v>
      </c>
      <c r="K49" s="967">
        <f t="shared" si="47"/>
        <v>2.5000000000000001E-2</v>
      </c>
      <c r="L49" s="967">
        <f t="shared" si="48"/>
        <v>1.2500000000000001E-2</v>
      </c>
      <c r="M49" s="967">
        <f t="shared" si="49"/>
        <v>0.35185038243626082</v>
      </c>
      <c r="N49" s="54">
        <f t="shared" si="50"/>
        <v>500</v>
      </c>
      <c r="O49" s="968">
        <f t="shared" si="51"/>
        <v>4.5999999999999999E-2</v>
      </c>
      <c r="P49" s="968">
        <f t="shared" si="52"/>
        <v>2.3E-2</v>
      </c>
      <c r="Q49" s="969">
        <f t="shared" si="53"/>
        <v>0.62194726345609097</v>
      </c>
      <c r="R49" s="247">
        <f t="shared" si="54"/>
        <v>500</v>
      </c>
      <c r="S49" s="24">
        <f t="shared" si="55"/>
        <v>342</v>
      </c>
      <c r="T49" s="970">
        <f t="shared" si="56"/>
        <v>0.17100000000000001</v>
      </c>
      <c r="U49" s="971">
        <f t="shared" si="57"/>
        <v>4.7454246543909342</v>
      </c>
    </row>
    <row r="50" spans="1:21" x14ac:dyDescent="0.2">
      <c r="A50" s="33">
        <f t="shared" si="0"/>
        <v>2037</v>
      </c>
      <c r="B50" s="787">
        <f t="shared" si="58"/>
        <v>500</v>
      </c>
      <c r="C50" s="565">
        <f t="shared" si="41"/>
        <v>15554</v>
      </c>
      <c r="D50" s="965">
        <f t="shared" ref="D50:F50" si="60">+D49</f>
        <v>2.5000000000000001E-2</v>
      </c>
      <c r="E50" s="966">
        <f t="shared" si="60"/>
        <v>4.5999999999999999E-2</v>
      </c>
      <c r="F50" s="790">
        <f t="shared" si="60"/>
        <v>342</v>
      </c>
      <c r="G50" s="473">
        <f t="shared" si="43"/>
        <v>1.2500000000000001E-2</v>
      </c>
      <c r="H50" s="474">
        <f t="shared" si="44"/>
        <v>2.3E-2</v>
      </c>
      <c r="I50" s="474">
        <f t="shared" si="45"/>
        <v>0.17100000000000001</v>
      </c>
      <c r="J50" s="61">
        <f t="shared" si="46"/>
        <v>500</v>
      </c>
      <c r="K50" s="967">
        <f t="shared" si="47"/>
        <v>2.5000000000000001E-2</v>
      </c>
      <c r="L50" s="967">
        <f t="shared" si="48"/>
        <v>1.2500000000000001E-2</v>
      </c>
      <c r="M50" s="967">
        <f t="shared" si="49"/>
        <v>0.36435038243626083</v>
      </c>
      <c r="N50" s="54">
        <f t="shared" si="50"/>
        <v>500</v>
      </c>
      <c r="O50" s="968">
        <f t="shared" si="51"/>
        <v>4.5999999999999999E-2</v>
      </c>
      <c r="P50" s="968">
        <f t="shared" si="52"/>
        <v>2.3E-2</v>
      </c>
      <c r="Q50" s="969">
        <f t="shared" si="53"/>
        <v>0.64494726345609099</v>
      </c>
      <c r="R50" s="247">
        <f t="shared" si="54"/>
        <v>500</v>
      </c>
      <c r="S50" s="24">
        <f t="shared" si="55"/>
        <v>342</v>
      </c>
      <c r="T50" s="970">
        <f t="shared" si="56"/>
        <v>0.17100000000000001</v>
      </c>
      <c r="U50" s="971">
        <f t="shared" si="57"/>
        <v>4.9164246543909345</v>
      </c>
    </row>
    <row r="51" spans="1:21" x14ac:dyDescent="0.2">
      <c r="A51" s="33">
        <f t="shared" si="0"/>
        <v>2038</v>
      </c>
      <c r="B51" s="787">
        <f t="shared" si="58"/>
        <v>500</v>
      </c>
      <c r="C51" s="565">
        <f t="shared" si="41"/>
        <v>16054</v>
      </c>
      <c r="D51" s="965">
        <f t="shared" ref="D51:F51" si="61">+D50</f>
        <v>2.5000000000000001E-2</v>
      </c>
      <c r="E51" s="966">
        <f t="shared" si="61"/>
        <v>4.5999999999999999E-2</v>
      </c>
      <c r="F51" s="790">
        <f t="shared" si="61"/>
        <v>342</v>
      </c>
      <c r="G51" s="473">
        <f t="shared" si="43"/>
        <v>1.2500000000000001E-2</v>
      </c>
      <c r="H51" s="474">
        <f t="shared" si="44"/>
        <v>2.3E-2</v>
      </c>
      <c r="I51" s="474">
        <f t="shared" si="45"/>
        <v>0.17100000000000001</v>
      </c>
      <c r="J51" s="61">
        <f t="shared" si="46"/>
        <v>500</v>
      </c>
      <c r="K51" s="967">
        <f t="shared" si="47"/>
        <v>2.5000000000000001E-2</v>
      </c>
      <c r="L51" s="967">
        <f t="shared" si="48"/>
        <v>1.2500000000000001E-2</v>
      </c>
      <c r="M51" s="967">
        <f t="shared" si="49"/>
        <v>0.37685038243626084</v>
      </c>
      <c r="N51" s="54">
        <f t="shared" si="50"/>
        <v>500</v>
      </c>
      <c r="O51" s="968">
        <f t="shared" si="51"/>
        <v>4.5999999999999999E-2</v>
      </c>
      <c r="P51" s="968">
        <f t="shared" si="52"/>
        <v>2.3E-2</v>
      </c>
      <c r="Q51" s="969">
        <f t="shared" si="53"/>
        <v>0.66794726345609101</v>
      </c>
      <c r="R51" s="247">
        <f t="shared" si="54"/>
        <v>500</v>
      </c>
      <c r="S51" s="24">
        <f t="shared" si="55"/>
        <v>342</v>
      </c>
      <c r="T51" s="970">
        <f t="shared" si="56"/>
        <v>0.17100000000000001</v>
      </c>
      <c r="U51" s="971">
        <f t="shared" si="57"/>
        <v>5.0874246543909347</v>
      </c>
    </row>
    <row r="52" spans="1:21" x14ac:dyDescent="0.2">
      <c r="A52" s="33">
        <f t="shared" si="0"/>
        <v>2039</v>
      </c>
      <c r="B52" s="787">
        <f t="shared" si="58"/>
        <v>500</v>
      </c>
      <c r="C52" s="565">
        <f t="shared" si="41"/>
        <v>16554</v>
      </c>
      <c r="D52" s="965">
        <f t="shared" ref="D52:F52" si="62">+D51</f>
        <v>2.5000000000000001E-2</v>
      </c>
      <c r="E52" s="966">
        <f t="shared" si="62"/>
        <v>4.5999999999999999E-2</v>
      </c>
      <c r="F52" s="790">
        <f t="shared" si="62"/>
        <v>342</v>
      </c>
      <c r="G52" s="473">
        <f t="shared" si="43"/>
        <v>1.2500000000000001E-2</v>
      </c>
      <c r="H52" s="474">
        <f t="shared" si="44"/>
        <v>2.3E-2</v>
      </c>
      <c r="I52" s="474">
        <f t="shared" si="45"/>
        <v>0.17100000000000001</v>
      </c>
      <c r="J52" s="61">
        <f t="shared" si="46"/>
        <v>500</v>
      </c>
      <c r="K52" s="967">
        <f t="shared" si="47"/>
        <v>2.5000000000000001E-2</v>
      </c>
      <c r="L52" s="967">
        <f t="shared" si="48"/>
        <v>1.2500000000000001E-2</v>
      </c>
      <c r="M52" s="967">
        <f t="shared" si="49"/>
        <v>0.38935038243626086</v>
      </c>
      <c r="N52" s="54">
        <f t="shared" si="50"/>
        <v>500</v>
      </c>
      <c r="O52" s="968">
        <f t="shared" si="51"/>
        <v>4.5999999999999999E-2</v>
      </c>
      <c r="P52" s="968">
        <f t="shared" si="52"/>
        <v>2.3E-2</v>
      </c>
      <c r="Q52" s="969">
        <f t="shared" si="53"/>
        <v>0.69094726345609103</v>
      </c>
      <c r="R52" s="247">
        <f t="shared" si="54"/>
        <v>500</v>
      </c>
      <c r="S52" s="24">
        <f t="shared" si="55"/>
        <v>342</v>
      </c>
      <c r="T52" s="970">
        <f t="shared" si="56"/>
        <v>0.17100000000000001</v>
      </c>
      <c r="U52" s="971">
        <f t="shared" si="57"/>
        <v>5.258424654390935</v>
      </c>
    </row>
    <row r="53" spans="1:21" x14ac:dyDescent="0.2">
      <c r="A53" s="33">
        <f t="shared" si="0"/>
        <v>2040</v>
      </c>
      <c r="B53" s="787">
        <f t="shared" si="58"/>
        <v>500</v>
      </c>
      <c r="C53" s="565">
        <f t="shared" si="41"/>
        <v>17054</v>
      </c>
      <c r="D53" s="965">
        <f t="shared" ref="D53:F53" si="63">+D52</f>
        <v>2.5000000000000001E-2</v>
      </c>
      <c r="E53" s="966">
        <f t="shared" si="63"/>
        <v>4.5999999999999999E-2</v>
      </c>
      <c r="F53" s="790">
        <f t="shared" si="63"/>
        <v>342</v>
      </c>
      <c r="G53" s="473">
        <f t="shared" si="43"/>
        <v>1.2500000000000001E-2</v>
      </c>
      <c r="H53" s="474">
        <f t="shared" si="44"/>
        <v>2.3E-2</v>
      </c>
      <c r="I53" s="474">
        <f t="shared" si="45"/>
        <v>0.17100000000000001</v>
      </c>
      <c r="J53" s="61">
        <f t="shared" si="46"/>
        <v>500</v>
      </c>
      <c r="K53" s="967">
        <f t="shared" si="47"/>
        <v>2.5000000000000001E-2</v>
      </c>
      <c r="L53" s="967">
        <f t="shared" si="48"/>
        <v>1.2500000000000001E-2</v>
      </c>
      <c r="M53" s="967">
        <f t="shared" si="49"/>
        <v>0.40185038243626087</v>
      </c>
      <c r="N53" s="54">
        <f t="shared" si="50"/>
        <v>500</v>
      </c>
      <c r="O53" s="968">
        <f t="shared" si="51"/>
        <v>4.5999999999999999E-2</v>
      </c>
      <c r="P53" s="968">
        <f t="shared" si="52"/>
        <v>2.3E-2</v>
      </c>
      <c r="Q53" s="969">
        <f t="shared" si="53"/>
        <v>0.71394726345609105</v>
      </c>
      <c r="R53" s="247">
        <f t="shared" si="54"/>
        <v>500</v>
      </c>
      <c r="S53" s="24">
        <f t="shared" si="55"/>
        <v>342</v>
      </c>
      <c r="T53" s="970">
        <f t="shared" si="56"/>
        <v>0.17100000000000001</v>
      </c>
      <c r="U53" s="971">
        <f t="shared" si="57"/>
        <v>5.4294246543909352</v>
      </c>
    </row>
    <row r="54" spans="1:21" x14ac:dyDescent="0.2">
      <c r="A54" s="33">
        <f t="shared" si="0"/>
        <v>2041</v>
      </c>
      <c r="B54" s="787">
        <f t="shared" si="58"/>
        <v>500</v>
      </c>
      <c r="C54" s="565">
        <f t="shared" si="41"/>
        <v>17554</v>
      </c>
      <c r="D54" s="965">
        <f t="shared" ref="D54:F54" si="64">+D53</f>
        <v>2.5000000000000001E-2</v>
      </c>
      <c r="E54" s="966">
        <f t="shared" si="64"/>
        <v>4.5999999999999999E-2</v>
      </c>
      <c r="F54" s="790">
        <f t="shared" si="64"/>
        <v>342</v>
      </c>
      <c r="G54" s="473">
        <f t="shared" si="43"/>
        <v>1.2500000000000001E-2</v>
      </c>
      <c r="H54" s="474">
        <f t="shared" si="44"/>
        <v>2.3E-2</v>
      </c>
      <c r="I54" s="474">
        <f t="shared" si="45"/>
        <v>0.17100000000000001</v>
      </c>
      <c r="J54" s="61">
        <f t="shared" si="46"/>
        <v>500</v>
      </c>
      <c r="K54" s="967">
        <f t="shared" si="47"/>
        <v>2.5000000000000001E-2</v>
      </c>
      <c r="L54" s="967">
        <f t="shared" si="48"/>
        <v>1.2500000000000001E-2</v>
      </c>
      <c r="M54" s="967">
        <f t="shared" si="49"/>
        <v>0.41435038243626088</v>
      </c>
      <c r="N54" s="54">
        <f t="shared" si="50"/>
        <v>500</v>
      </c>
      <c r="O54" s="968">
        <f t="shared" si="51"/>
        <v>4.5999999999999999E-2</v>
      </c>
      <c r="P54" s="968">
        <f t="shared" si="52"/>
        <v>2.3E-2</v>
      </c>
      <c r="Q54" s="969">
        <f t="shared" si="53"/>
        <v>0.73694726345609107</v>
      </c>
      <c r="R54" s="247">
        <f t="shared" si="54"/>
        <v>500</v>
      </c>
      <c r="S54" s="24">
        <f t="shared" si="55"/>
        <v>342</v>
      </c>
      <c r="T54" s="970">
        <f t="shared" si="56"/>
        <v>0.17100000000000001</v>
      </c>
      <c r="U54" s="971">
        <f t="shared" si="57"/>
        <v>5.6004246543909355</v>
      </c>
    </row>
    <row r="56" spans="1:21" x14ac:dyDescent="0.2">
      <c r="A56" s="69" t="s">
        <v>38</v>
      </c>
    </row>
    <row r="57" spans="1:21" x14ac:dyDescent="0.2">
      <c r="A57" s="69" t="s">
        <v>39</v>
      </c>
    </row>
    <row r="58" spans="1:21" x14ac:dyDescent="0.2">
      <c r="A58" s="86" t="s">
        <v>57</v>
      </c>
    </row>
    <row r="59" spans="1:21" x14ac:dyDescent="0.2">
      <c r="A59" s="86" t="s">
        <v>58</v>
      </c>
    </row>
    <row r="61" spans="1:21" x14ac:dyDescent="0.2">
      <c r="B61" s="956" t="s">
        <v>386</v>
      </c>
    </row>
    <row r="62" spans="1:21" x14ac:dyDescent="0.2">
      <c r="B62">
        <v>2015</v>
      </c>
      <c r="D62" s="161">
        <f>29.56/B28</f>
        <v>2.0934844192634559E-2</v>
      </c>
      <c r="E62" s="161">
        <f>46.58/B28</f>
        <v>3.298866855524079E-2</v>
      </c>
      <c r="F62" s="161">
        <f>383028/B28</f>
        <v>271.26628895184137</v>
      </c>
    </row>
  </sheetData>
  <mergeCells count="5">
    <mergeCell ref="G3:I3"/>
    <mergeCell ref="B4:I4"/>
    <mergeCell ref="J4:M4"/>
    <mergeCell ref="N4:Q4"/>
    <mergeCell ref="R4:U4"/>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tabColor rgb="FF00FFFF"/>
    <pageSetUpPr fitToPage="1"/>
  </sheetPr>
  <dimension ref="A1:X86"/>
  <sheetViews>
    <sheetView workbookViewId="0">
      <pane xSplit="1" ySplit="5" topLeftCell="B27" activePane="bottomRight" state="frozen"/>
      <selection activeCell="A3" sqref="A3:M4"/>
      <selection pane="topRight" activeCell="A3" sqref="A3:M4"/>
      <selection pane="bottomLeft" activeCell="A3" sqref="A3:M4"/>
      <selection pane="bottomRight" activeCell="B29" sqref="B29"/>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4"/>
      <c r="J1" s="4"/>
      <c r="K1" s="4"/>
      <c r="L1" s="4"/>
      <c r="M1" s="4"/>
      <c r="N1" s="4"/>
    </row>
    <row r="2" spans="1:24" ht="16.5" thickBot="1" x14ac:dyDescent="0.3">
      <c r="A2" s="5" t="s">
        <v>1</v>
      </c>
      <c r="B2" s="27" t="s">
        <v>312</v>
      </c>
      <c r="C2" s="27"/>
      <c r="D2" s="27"/>
      <c r="E2" s="182"/>
      <c r="F2" s="27"/>
      <c r="G2" s="27"/>
      <c r="H2" s="27"/>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0</v>
      </c>
      <c r="D6" s="628"/>
      <c r="E6" s="15"/>
      <c r="F6" s="31"/>
      <c r="G6" s="208"/>
      <c r="H6" s="15"/>
      <c r="I6" s="31"/>
      <c r="J6" s="37"/>
      <c r="K6" s="59"/>
      <c r="L6" s="6"/>
      <c r="M6" s="46">
        <v>0</v>
      </c>
      <c r="N6" s="40"/>
      <c r="O6" s="670"/>
      <c r="P6" s="57"/>
      <c r="Q6" s="41">
        <v>0</v>
      </c>
      <c r="R6" s="43"/>
      <c r="S6" s="24"/>
      <c r="T6" s="21"/>
      <c r="U6" s="47">
        <v>0</v>
      </c>
      <c r="V6" s="3"/>
    </row>
    <row r="7" spans="1:24" s="1" customFormat="1" ht="15.75" customHeight="1" x14ac:dyDescent="0.2">
      <c r="A7" s="68" t="s">
        <v>63</v>
      </c>
      <c r="B7" s="30"/>
      <c r="C7" s="659">
        <f>0+C6</f>
        <v>0</v>
      </c>
      <c r="D7" s="628"/>
      <c r="E7" s="15"/>
      <c r="F7" s="31"/>
      <c r="G7" s="208"/>
      <c r="H7" s="15"/>
      <c r="I7" s="31"/>
      <c r="J7" s="37"/>
      <c r="K7" s="59"/>
      <c r="L7" s="6"/>
      <c r="M7" s="46">
        <f>+M6+0</f>
        <v>0</v>
      </c>
      <c r="N7" s="40"/>
      <c r="O7" s="670"/>
      <c r="P7" s="57"/>
      <c r="Q7" s="41">
        <f>+Q6+0</f>
        <v>0</v>
      </c>
      <c r="R7" s="43"/>
      <c r="S7" s="24"/>
      <c r="T7" s="21"/>
      <c r="U7" s="47">
        <f>+U6+0</f>
        <v>0</v>
      </c>
      <c r="V7" s="3"/>
    </row>
    <row r="8" spans="1:24" x14ac:dyDescent="0.2">
      <c r="A8" s="33">
        <v>1995</v>
      </c>
      <c r="B8" s="30">
        <v>0</v>
      </c>
      <c r="C8" s="660">
        <f>+C7+B8</f>
        <v>0</v>
      </c>
      <c r="D8" s="662">
        <v>0</v>
      </c>
      <c r="E8" s="663">
        <v>0</v>
      </c>
      <c r="F8" s="617">
        <v>0</v>
      </c>
      <c r="G8" s="626">
        <v>0</v>
      </c>
      <c r="H8" s="72">
        <v>0</v>
      </c>
      <c r="I8" s="630">
        <v>0</v>
      </c>
      <c r="J8" s="61">
        <f>+(B8+0)/2</f>
        <v>0</v>
      </c>
      <c r="K8" s="188">
        <f>+D8</f>
        <v>0</v>
      </c>
      <c r="L8" s="188">
        <f>+J8*K8/1000</f>
        <v>0</v>
      </c>
      <c r="M8" s="188">
        <f>+M7+L8</f>
        <v>0</v>
      </c>
      <c r="N8" s="51">
        <v>0</v>
      </c>
      <c r="O8" s="670">
        <f>+E8</f>
        <v>0</v>
      </c>
      <c r="P8" s="670">
        <f>+N8*O8/1000</f>
        <v>0</v>
      </c>
      <c r="Q8" s="670">
        <f>+Q7+P8</f>
        <v>0</v>
      </c>
      <c r="R8" s="247">
        <f>+(B8+0)/2</f>
        <v>0</v>
      </c>
      <c r="S8" s="24">
        <f>+F8</f>
        <v>0</v>
      </c>
      <c r="T8" s="25">
        <f>+R8*S8/1000000</f>
        <v>0</v>
      </c>
      <c r="U8" s="654">
        <f>+U7+T8</f>
        <v>0</v>
      </c>
      <c r="V8" s="9"/>
      <c r="X8" s="1"/>
    </row>
    <row r="9" spans="1:24" x14ac:dyDescent="0.2">
      <c r="A9" s="33">
        <v>1996</v>
      </c>
      <c r="B9" s="30">
        <v>0</v>
      </c>
      <c r="C9" s="660">
        <f t="shared" ref="C9:C37" si="0">+C8+B9</f>
        <v>0</v>
      </c>
      <c r="D9" s="662">
        <v>0</v>
      </c>
      <c r="E9" s="663">
        <v>0</v>
      </c>
      <c r="F9" s="617">
        <v>0</v>
      </c>
      <c r="G9" s="626">
        <v>0</v>
      </c>
      <c r="H9" s="72">
        <v>0</v>
      </c>
      <c r="I9" s="630">
        <v>0</v>
      </c>
      <c r="J9" s="61">
        <f t="shared" ref="J9:J37" si="1">+(B9+B8)/2</f>
        <v>0</v>
      </c>
      <c r="K9" s="188">
        <f t="shared" ref="K9:K37" si="2">+D9</f>
        <v>0</v>
      </c>
      <c r="L9" s="188">
        <f t="shared" ref="L9:L37" si="3">+J9*K9/1000</f>
        <v>0</v>
      </c>
      <c r="M9" s="188">
        <f t="shared" ref="M9:M37" si="4">+M8+L9</f>
        <v>0</v>
      </c>
      <c r="N9" s="54">
        <f>+B8</f>
        <v>0</v>
      </c>
      <c r="O9" s="670">
        <f t="shared" ref="O9:O37" si="5">+E9</f>
        <v>0</v>
      </c>
      <c r="P9" s="670">
        <f t="shared" ref="P9:P37" si="6">+N9*O9/1000</f>
        <v>0</v>
      </c>
      <c r="Q9" s="670">
        <f t="shared" ref="Q9:Q37" si="7">+Q8+P9</f>
        <v>0</v>
      </c>
      <c r="R9" s="247">
        <f t="shared" ref="R9:R37" si="8">+(B9+B8)/2</f>
        <v>0</v>
      </c>
      <c r="S9" s="24">
        <f t="shared" ref="S9:S37" si="9">+F9</f>
        <v>0</v>
      </c>
      <c r="T9" s="25">
        <f t="shared" ref="T9:T37" si="10">+R9*S9/1000000</f>
        <v>0</v>
      </c>
      <c r="U9" s="654">
        <f t="shared" ref="U9:U37" si="11">+U8+T9</f>
        <v>0</v>
      </c>
      <c r="V9" s="10"/>
      <c r="X9" s="1"/>
    </row>
    <row r="10" spans="1:24" x14ac:dyDescent="0.2">
      <c r="A10" s="33">
        <v>1997</v>
      </c>
      <c r="B10" s="30">
        <v>0</v>
      </c>
      <c r="C10" s="660">
        <f t="shared" si="0"/>
        <v>0</v>
      </c>
      <c r="D10" s="662">
        <v>0</v>
      </c>
      <c r="E10" s="663">
        <v>0</v>
      </c>
      <c r="F10" s="617">
        <v>0</v>
      </c>
      <c r="G10" s="626">
        <v>0</v>
      </c>
      <c r="H10" s="72">
        <v>0</v>
      </c>
      <c r="I10" s="630">
        <v>0</v>
      </c>
      <c r="J10" s="61">
        <f t="shared" si="1"/>
        <v>0</v>
      </c>
      <c r="K10" s="188">
        <f t="shared" si="2"/>
        <v>0</v>
      </c>
      <c r="L10" s="188">
        <f t="shared" si="3"/>
        <v>0</v>
      </c>
      <c r="M10" s="188">
        <f t="shared" si="4"/>
        <v>0</v>
      </c>
      <c r="N10" s="54">
        <f t="shared" ref="N10:N37" si="12">+B9</f>
        <v>0</v>
      </c>
      <c r="O10" s="670">
        <f t="shared" si="5"/>
        <v>0</v>
      </c>
      <c r="P10" s="670">
        <f t="shared" si="6"/>
        <v>0</v>
      </c>
      <c r="Q10" s="670">
        <f t="shared" si="7"/>
        <v>0</v>
      </c>
      <c r="R10" s="247">
        <f t="shared" si="8"/>
        <v>0</v>
      </c>
      <c r="S10" s="24">
        <f t="shared" si="9"/>
        <v>0</v>
      </c>
      <c r="T10" s="25">
        <f t="shared" si="10"/>
        <v>0</v>
      </c>
      <c r="U10" s="654">
        <f t="shared" si="11"/>
        <v>0</v>
      </c>
      <c r="V10" s="10"/>
      <c r="X10" s="1"/>
    </row>
    <row r="11" spans="1:24" x14ac:dyDescent="0.2">
      <c r="A11" s="33">
        <v>1998</v>
      </c>
      <c r="B11" s="30">
        <v>0</v>
      </c>
      <c r="C11" s="660">
        <f t="shared" si="0"/>
        <v>0</v>
      </c>
      <c r="D11" s="662">
        <v>0</v>
      </c>
      <c r="E11" s="663">
        <v>0</v>
      </c>
      <c r="F11" s="617">
        <v>0</v>
      </c>
      <c r="G11" s="626">
        <v>0</v>
      </c>
      <c r="H11" s="72">
        <v>0</v>
      </c>
      <c r="I11" s="630">
        <v>0</v>
      </c>
      <c r="J11" s="61">
        <f t="shared" si="1"/>
        <v>0</v>
      </c>
      <c r="K11" s="188">
        <f t="shared" si="2"/>
        <v>0</v>
      </c>
      <c r="L11" s="188">
        <f t="shared" si="3"/>
        <v>0</v>
      </c>
      <c r="M11" s="188">
        <f t="shared" si="4"/>
        <v>0</v>
      </c>
      <c r="N11" s="54">
        <f t="shared" si="12"/>
        <v>0</v>
      </c>
      <c r="O11" s="670">
        <f t="shared" si="5"/>
        <v>0</v>
      </c>
      <c r="P11" s="670">
        <f t="shared" si="6"/>
        <v>0</v>
      </c>
      <c r="Q11" s="670">
        <f t="shared" si="7"/>
        <v>0</v>
      </c>
      <c r="R11" s="247">
        <f t="shared" si="8"/>
        <v>0</v>
      </c>
      <c r="S11" s="24">
        <f t="shared" si="9"/>
        <v>0</v>
      </c>
      <c r="T11" s="25">
        <f t="shared" si="10"/>
        <v>0</v>
      </c>
      <c r="U11" s="654">
        <f t="shared" si="11"/>
        <v>0</v>
      </c>
      <c r="V11" s="10"/>
      <c r="X11" s="1"/>
    </row>
    <row r="12" spans="1:24" x14ac:dyDescent="0.2">
      <c r="A12" s="33">
        <v>1999</v>
      </c>
      <c r="B12" s="30">
        <v>0</v>
      </c>
      <c r="C12" s="660">
        <f t="shared" si="0"/>
        <v>0</v>
      </c>
      <c r="D12" s="662">
        <v>0</v>
      </c>
      <c r="E12" s="663">
        <v>0</v>
      </c>
      <c r="F12" s="617">
        <v>0</v>
      </c>
      <c r="G12" s="626">
        <v>0</v>
      </c>
      <c r="H12" s="72">
        <v>0</v>
      </c>
      <c r="I12" s="630">
        <v>0</v>
      </c>
      <c r="J12" s="61">
        <f t="shared" si="1"/>
        <v>0</v>
      </c>
      <c r="K12" s="188">
        <f t="shared" si="2"/>
        <v>0</v>
      </c>
      <c r="L12" s="188">
        <f t="shared" si="3"/>
        <v>0</v>
      </c>
      <c r="M12" s="188">
        <f t="shared" si="4"/>
        <v>0</v>
      </c>
      <c r="N12" s="54">
        <f t="shared" si="12"/>
        <v>0</v>
      </c>
      <c r="O12" s="670">
        <f t="shared" si="5"/>
        <v>0</v>
      </c>
      <c r="P12" s="670">
        <f t="shared" si="6"/>
        <v>0</v>
      </c>
      <c r="Q12" s="670">
        <f t="shared" si="7"/>
        <v>0</v>
      </c>
      <c r="R12" s="247">
        <f t="shared" si="8"/>
        <v>0</v>
      </c>
      <c r="S12" s="24">
        <f t="shared" si="9"/>
        <v>0</v>
      </c>
      <c r="T12" s="25">
        <f t="shared" si="10"/>
        <v>0</v>
      </c>
      <c r="U12" s="654">
        <f t="shared" si="11"/>
        <v>0</v>
      </c>
      <c r="V12" s="10"/>
      <c r="X12" s="1"/>
    </row>
    <row r="13" spans="1:24" x14ac:dyDescent="0.2">
      <c r="A13" s="33">
        <v>2000</v>
      </c>
      <c r="B13" s="30">
        <v>0</v>
      </c>
      <c r="C13" s="660">
        <f t="shared" si="0"/>
        <v>0</v>
      </c>
      <c r="D13" s="662">
        <v>0</v>
      </c>
      <c r="E13" s="663">
        <v>0</v>
      </c>
      <c r="F13" s="617">
        <v>0</v>
      </c>
      <c r="G13" s="626">
        <v>0</v>
      </c>
      <c r="H13" s="72">
        <v>0</v>
      </c>
      <c r="I13" s="630">
        <v>0</v>
      </c>
      <c r="J13" s="61">
        <f t="shared" si="1"/>
        <v>0</v>
      </c>
      <c r="K13" s="188">
        <f t="shared" si="2"/>
        <v>0</v>
      </c>
      <c r="L13" s="188">
        <f t="shared" si="3"/>
        <v>0</v>
      </c>
      <c r="M13" s="188">
        <f t="shared" si="4"/>
        <v>0</v>
      </c>
      <c r="N13" s="54">
        <f t="shared" si="12"/>
        <v>0</v>
      </c>
      <c r="O13" s="670">
        <f t="shared" si="5"/>
        <v>0</v>
      </c>
      <c r="P13" s="670">
        <f t="shared" si="6"/>
        <v>0</v>
      </c>
      <c r="Q13" s="670">
        <f t="shared" si="7"/>
        <v>0</v>
      </c>
      <c r="R13" s="247">
        <f t="shared" si="8"/>
        <v>0</v>
      </c>
      <c r="S13" s="24">
        <f t="shared" si="9"/>
        <v>0</v>
      </c>
      <c r="T13" s="25">
        <f t="shared" si="10"/>
        <v>0</v>
      </c>
      <c r="U13" s="654">
        <f t="shared" si="11"/>
        <v>0</v>
      </c>
      <c r="V13" s="9"/>
      <c r="X13" s="1"/>
    </row>
    <row r="14" spans="1:24" x14ac:dyDescent="0.2">
      <c r="A14" s="33">
        <v>2001</v>
      </c>
      <c r="B14" s="30">
        <v>4</v>
      </c>
      <c r="C14" s="660">
        <f t="shared" si="0"/>
        <v>4</v>
      </c>
      <c r="D14" s="662">
        <v>0.84250000000000003</v>
      </c>
      <c r="E14" s="663">
        <v>0.66500000000000004</v>
      </c>
      <c r="F14" s="617">
        <v>1725.5</v>
      </c>
      <c r="G14" s="626">
        <f t="shared" ref="G14:G23" si="13">+$B14*D14/1000</f>
        <v>3.3700000000000002E-3</v>
      </c>
      <c r="H14" s="72">
        <f t="shared" ref="H14:H23" si="14">+$B14*E14/1000</f>
        <v>2.66E-3</v>
      </c>
      <c r="I14" s="630">
        <f t="shared" ref="I14:I23" si="15">+$B14*F14/1000000</f>
        <v>6.9020000000000001E-3</v>
      </c>
      <c r="J14" s="61">
        <f t="shared" si="1"/>
        <v>2</v>
      </c>
      <c r="K14" s="188">
        <f t="shared" si="2"/>
        <v>0.84250000000000003</v>
      </c>
      <c r="L14" s="188">
        <f t="shared" si="3"/>
        <v>1.6850000000000001E-3</v>
      </c>
      <c r="M14" s="188">
        <f t="shared" si="4"/>
        <v>1.6850000000000001E-3</v>
      </c>
      <c r="N14" s="54">
        <f t="shared" si="12"/>
        <v>0</v>
      </c>
      <c r="O14" s="670">
        <f t="shared" si="5"/>
        <v>0.66500000000000004</v>
      </c>
      <c r="P14" s="670">
        <f t="shared" si="6"/>
        <v>0</v>
      </c>
      <c r="Q14" s="670">
        <f t="shared" si="7"/>
        <v>0</v>
      </c>
      <c r="R14" s="247">
        <f t="shared" si="8"/>
        <v>2</v>
      </c>
      <c r="S14" s="24">
        <f t="shared" si="9"/>
        <v>1725.5</v>
      </c>
      <c r="T14" s="25">
        <f t="shared" si="10"/>
        <v>3.4510000000000001E-3</v>
      </c>
      <c r="U14" s="654">
        <f t="shared" si="11"/>
        <v>3.4510000000000001E-3</v>
      </c>
      <c r="V14" s="9"/>
      <c r="X14" s="1"/>
    </row>
    <row r="15" spans="1:24" x14ac:dyDescent="0.2">
      <c r="A15" s="33">
        <v>2002</v>
      </c>
      <c r="B15" s="30">
        <v>12</v>
      </c>
      <c r="C15" s="660">
        <f t="shared" si="0"/>
        <v>16</v>
      </c>
      <c r="D15" s="662">
        <v>0.81166666666666665</v>
      </c>
      <c r="E15" s="663">
        <v>0.66416666666666668</v>
      </c>
      <c r="F15" s="617">
        <v>1633.8333333333333</v>
      </c>
      <c r="G15" s="626">
        <f t="shared" si="13"/>
        <v>9.7400000000000004E-3</v>
      </c>
      <c r="H15" s="72">
        <f t="shared" si="14"/>
        <v>7.9700000000000014E-3</v>
      </c>
      <c r="I15" s="630">
        <f t="shared" si="15"/>
        <v>1.9605999999999998E-2</v>
      </c>
      <c r="J15" s="61">
        <f t="shared" si="1"/>
        <v>8</v>
      </c>
      <c r="K15" s="188">
        <f t="shared" si="2"/>
        <v>0.81166666666666665</v>
      </c>
      <c r="L15" s="188">
        <f t="shared" si="3"/>
        <v>6.4933333333333336E-3</v>
      </c>
      <c r="M15" s="188">
        <f t="shared" si="4"/>
        <v>8.1783333333333343E-3</v>
      </c>
      <c r="N15" s="54">
        <f t="shared" si="12"/>
        <v>4</v>
      </c>
      <c r="O15" s="670">
        <f t="shared" si="5"/>
        <v>0.66416666666666668</v>
      </c>
      <c r="P15" s="670">
        <f t="shared" si="6"/>
        <v>2.6566666666666666E-3</v>
      </c>
      <c r="Q15" s="670">
        <f t="shared" si="7"/>
        <v>2.6566666666666666E-3</v>
      </c>
      <c r="R15" s="247">
        <f t="shared" si="8"/>
        <v>8</v>
      </c>
      <c r="S15" s="24">
        <f t="shared" si="9"/>
        <v>1633.8333333333333</v>
      </c>
      <c r="T15" s="25">
        <f t="shared" si="10"/>
        <v>1.3070666666666666E-2</v>
      </c>
      <c r="U15" s="654">
        <f t="shared" si="11"/>
        <v>1.6521666666666667E-2</v>
      </c>
      <c r="V15" s="9"/>
      <c r="X15" s="1"/>
    </row>
    <row r="16" spans="1:24" x14ac:dyDescent="0.2">
      <c r="A16" s="33">
        <v>2003</v>
      </c>
      <c r="B16" s="30">
        <v>5</v>
      </c>
      <c r="C16" s="660">
        <f t="shared" si="0"/>
        <v>21</v>
      </c>
      <c r="D16" s="662">
        <v>0.71199999999999997</v>
      </c>
      <c r="E16" s="663">
        <v>0.53200000000000003</v>
      </c>
      <c r="F16" s="617">
        <v>1490.4</v>
      </c>
      <c r="G16" s="626">
        <f t="shared" si="13"/>
        <v>3.5599999999999998E-3</v>
      </c>
      <c r="H16" s="72">
        <f t="shared" si="14"/>
        <v>2.66E-3</v>
      </c>
      <c r="I16" s="630">
        <f t="shared" si="15"/>
        <v>7.4520000000000003E-3</v>
      </c>
      <c r="J16" s="61">
        <f t="shared" si="1"/>
        <v>8.5</v>
      </c>
      <c r="K16" s="188">
        <f t="shared" si="2"/>
        <v>0.71199999999999997</v>
      </c>
      <c r="L16" s="188">
        <f t="shared" si="3"/>
        <v>6.0519999999999992E-3</v>
      </c>
      <c r="M16" s="188">
        <f t="shared" si="4"/>
        <v>1.4230333333333334E-2</v>
      </c>
      <c r="N16" s="54">
        <f t="shared" si="12"/>
        <v>12</v>
      </c>
      <c r="O16" s="670">
        <f t="shared" si="5"/>
        <v>0.53200000000000003</v>
      </c>
      <c r="P16" s="670">
        <f t="shared" si="6"/>
        <v>6.3839999999999999E-3</v>
      </c>
      <c r="Q16" s="670">
        <f t="shared" si="7"/>
        <v>9.0406666666666656E-3</v>
      </c>
      <c r="R16" s="247">
        <f t="shared" si="8"/>
        <v>8.5</v>
      </c>
      <c r="S16" s="24">
        <f t="shared" si="9"/>
        <v>1490.4</v>
      </c>
      <c r="T16" s="25">
        <f t="shared" si="10"/>
        <v>1.2668400000000002E-2</v>
      </c>
      <c r="U16" s="654">
        <f t="shared" si="11"/>
        <v>2.9190066666666667E-2</v>
      </c>
      <c r="V16" s="9"/>
      <c r="X16" s="1"/>
    </row>
    <row r="17" spans="1:24" x14ac:dyDescent="0.2">
      <c r="A17" s="33">
        <f>+A16+1</f>
        <v>2004</v>
      </c>
      <c r="B17" s="30">
        <v>2</v>
      </c>
      <c r="C17" s="660">
        <f t="shared" si="0"/>
        <v>23</v>
      </c>
      <c r="D17" s="662">
        <v>0.7</v>
      </c>
      <c r="E17" s="663">
        <v>0.66</v>
      </c>
      <c r="F17" s="617">
        <v>1313</v>
      </c>
      <c r="G17" s="626">
        <f t="shared" si="13"/>
        <v>1.4E-3</v>
      </c>
      <c r="H17" s="72">
        <f t="shared" si="14"/>
        <v>1.32E-3</v>
      </c>
      <c r="I17" s="630">
        <f t="shared" si="15"/>
        <v>2.6259999999999999E-3</v>
      </c>
      <c r="J17" s="61">
        <f t="shared" si="1"/>
        <v>3.5</v>
      </c>
      <c r="K17" s="188">
        <f t="shared" si="2"/>
        <v>0.7</v>
      </c>
      <c r="L17" s="188">
        <f t="shared" si="3"/>
        <v>2.4499999999999999E-3</v>
      </c>
      <c r="M17" s="188">
        <f t="shared" si="4"/>
        <v>1.6680333333333335E-2</v>
      </c>
      <c r="N17" s="54">
        <f t="shared" si="12"/>
        <v>5</v>
      </c>
      <c r="O17" s="670">
        <f t="shared" si="5"/>
        <v>0.66</v>
      </c>
      <c r="P17" s="670">
        <f t="shared" si="6"/>
        <v>3.3000000000000004E-3</v>
      </c>
      <c r="Q17" s="670">
        <f t="shared" si="7"/>
        <v>1.2340666666666666E-2</v>
      </c>
      <c r="R17" s="247">
        <f t="shared" si="8"/>
        <v>3.5</v>
      </c>
      <c r="S17" s="24">
        <f t="shared" si="9"/>
        <v>1313</v>
      </c>
      <c r="T17" s="25">
        <f t="shared" si="10"/>
        <v>4.5954999999999998E-3</v>
      </c>
      <c r="U17" s="654">
        <f t="shared" si="11"/>
        <v>3.3785566666666669E-2</v>
      </c>
      <c r="V17" s="9"/>
      <c r="X17" s="1"/>
    </row>
    <row r="18" spans="1:24" x14ac:dyDescent="0.2">
      <c r="A18" s="33">
        <f t="shared" ref="A18:A38" si="16">+A17+1</f>
        <v>2005</v>
      </c>
      <c r="B18" s="30">
        <v>8</v>
      </c>
      <c r="C18" s="660">
        <f t="shared" si="0"/>
        <v>31</v>
      </c>
      <c r="D18" s="662">
        <v>0.79500000000000004</v>
      </c>
      <c r="E18" s="663">
        <v>0.66374999999999995</v>
      </c>
      <c r="F18" s="617">
        <v>1588</v>
      </c>
      <c r="G18" s="626">
        <f t="shared" si="13"/>
        <v>6.3600000000000002E-3</v>
      </c>
      <c r="H18" s="72">
        <f t="shared" si="14"/>
        <v>5.3099999999999996E-3</v>
      </c>
      <c r="I18" s="630">
        <f t="shared" si="15"/>
        <v>1.2704E-2</v>
      </c>
      <c r="J18" s="61">
        <f t="shared" si="1"/>
        <v>5</v>
      </c>
      <c r="K18" s="188">
        <f t="shared" si="2"/>
        <v>0.79500000000000004</v>
      </c>
      <c r="L18" s="188">
        <f t="shared" si="3"/>
        <v>3.9750000000000002E-3</v>
      </c>
      <c r="M18" s="188">
        <f t="shared" si="4"/>
        <v>2.0655333333333335E-2</v>
      </c>
      <c r="N18" s="54">
        <f t="shared" si="12"/>
        <v>2</v>
      </c>
      <c r="O18" s="670">
        <f t="shared" si="5"/>
        <v>0.66374999999999995</v>
      </c>
      <c r="P18" s="670">
        <f t="shared" si="6"/>
        <v>1.3274999999999999E-3</v>
      </c>
      <c r="Q18" s="670">
        <f t="shared" si="7"/>
        <v>1.3668166666666667E-2</v>
      </c>
      <c r="R18" s="247">
        <f t="shared" si="8"/>
        <v>5</v>
      </c>
      <c r="S18" s="24">
        <f t="shared" si="9"/>
        <v>1588</v>
      </c>
      <c r="T18" s="25">
        <f t="shared" si="10"/>
        <v>7.9399999999999991E-3</v>
      </c>
      <c r="U18" s="654">
        <f t="shared" si="11"/>
        <v>4.1725566666666672E-2</v>
      </c>
      <c r="V18" s="9"/>
      <c r="X18" s="1"/>
    </row>
    <row r="19" spans="1:24" x14ac:dyDescent="0.2">
      <c r="A19" s="33">
        <f t="shared" si="16"/>
        <v>2006</v>
      </c>
      <c r="B19" s="30">
        <v>4</v>
      </c>
      <c r="C19" s="660">
        <f t="shared" si="0"/>
        <v>35</v>
      </c>
      <c r="D19" s="662">
        <v>0.74750000000000005</v>
      </c>
      <c r="E19" s="663">
        <v>0.66500000000000004</v>
      </c>
      <c r="F19" s="617">
        <v>1450.5</v>
      </c>
      <c r="G19" s="626">
        <f t="shared" si="13"/>
        <v>2.99E-3</v>
      </c>
      <c r="H19" s="72">
        <f t="shared" si="14"/>
        <v>2.66E-3</v>
      </c>
      <c r="I19" s="630">
        <f t="shared" si="15"/>
        <v>5.8019999999999999E-3</v>
      </c>
      <c r="J19" s="61">
        <f t="shared" si="1"/>
        <v>6</v>
      </c>
      <c r="K19" s="188">
        <f t="shared" si="2"/>
        <v>0.74750000000000005</v>
      </c>
      <c r="L19" s="188">
        <f t="shared" si="3"/>
        <v>4.4850000000000003E-3</v>
      </c>
      <c r="M19" s="188">
        <f t="shared" si="4"/>
        <v>2.5140333333333334E-2</v>
      </c>
      <c r="N19" s="54">
        <f t="shared" si="12"/>
        <v>8</v>
      </c>
      <c r="O19" s="670">
        <f t="shared" si="5"/>
        <v>0.66500000000000004</v>
      </c>
      <c r="P19" s="670">
        <f t="shared" si="6"/>
        <v>5.3200000000000001E-3</v>
      </c>
      <c r="Q19" s="670">
        <f t="shared" si="7"/>
        <v>1.8988166666666667E-2</v>
      </c>
      <c r="R19" s="247">
        <f t="shared" si="8"/>
        <v>6</v>
      </c>
      <c r="S19" s="24">
        <f t="shared" si="9"/>
        <v>1450.5</v>
      </c>
      <c r="T19" s="25">
        <f t="shared" si="10"/>
        <v>8.7030000000000007E-3</v>
      </c>
      <c r="U19" s="654">
        <f t="shared" si="11"/>
        <v>5.0428566666666674E-2</v>
      </c>
      <c r="V19" s="8"/>
      <c r="X19" s="1"/>
    </row>
    <row r="20" spans="1:24" x14ac:dyDescent="0.2">
      <c r="A20" s="33">
        <f t="shared" si="16"/>
        <v>2007</v>
      </c>
      <c r="B20" s="30">
        <v>3</v>
      </c>
      <c r="C20" s="660">
        <f t="shared" si="0"/>
        <v>38</v>
      </c>
      <c r="D20" s="662">
        <v>0.76000000000000012</v>
      </c>
      <c r="E20" s="663">
        <v>0.66</v>
      </c>
      <c r="F20" s="617">
        <v>1496</v>
      </c>
      <c r="G20" s="626">
        <f t="shared" si="13"/>
        <v>2.2800000000000003E-3</v>
      </c>
      <c r="H20" s="72">
        <f t="shared" si="14"/>
        <v>1.98E-3</v>
      </c>
      <c r="I20" s="630">
        <f t="shared" si="15"/>
        <v>4.4879999999999998E-3</v>
      </c>
      <c r="J20" s="61">
        <f>+(B20+B19)/2</f>
        <v>3.5</v>
      </c>
      <c r="K20" s="188">
        <f t="shared" si="2"/>
        <v>0.76000000000000012</v>
      </c>
      <c r="L20" s="188">
        <f t="shared" si="3"/>
        <v>2.6600000000000005E-3</v>
      </c>
      <c r="M20" s="188">
        <f t="shared" si="4"/>
        <v>2.7800333333333333E-2</v>
      </c>
      <c r="N20" s="54">
        <f t="shared" si="12"/>
        <v>4</v>
      </c>
      <c r="O20" s="670">
        <f t="shared" si="5"/>
        <v>0.66</v>
      </c>
      <c r="P20" s="670">
        <f t="shared" si="6"/>
        <v>2.64E-3</v>
      </c>
      <c r="Q20" s="670">
        <f t="shared" si="7"/>
        <v>2.1628166666666667E-2</v>
      </c>
      <c r="R20" s="247">
        <f t="shared" si="8"/>
        <v>3.5</v>
      </c>
      <c r="S20" s="24">
        <f t="shared" si="9"/>
        <v>1496</v>
      </c>
      <c r="T20" s="25">
        <f t="shared" si="10"/>
        <v>5.2360000000000002E-3</v>
      </c>
      <c r="U20" s="654">
        <f t="shared" si="11"/>
        <v>5.5664566666666672E-2</v>
      </c>
    </row>
    <row r="21" spans="1:24" x14ac:dyDescent="0.2">
      <c r="A21" s="33">
        <f t="shared" si="16"/>
        <v>2008</v>
      </c>
      <c r="B21" s="30">
        <v>2</v>
      </c>
      <c r="C21" s="660">
        <f t="shared" si="0"/>
        <v>40</v>
      </c>
      <c r="D21" s="662">
        <v>0.7</v>
      </c>
      <c r="E21" s="663">
        <v>0.66</v>
      </c>
      <c r="F21" s="617">
        <v>1313</v>
      </c>
      <c r="G21" s="626">
        <f t="shared" si="13"/>
        <v>1.4E-3</v>
      </c>
      <c r="H21" s="72">
        <f t="shared" si="14"/>
        <v>1.32E-3</v>
      </c>
      <c r="I21" s="630">
        <f t="shared" si="15"/>
        <v>2.6259999999999999E-3</v>
      </c>
      <c r="J21" s="61">
        <f t="shared" si="1"/>
        <v>2.5</v>
      </c>
      <c r="K21" s="188">
        <f t="shared" si="2"/>
        <v>0.7</v>
      </c>
      <c r="L21" s="188">
        <f t="shared" si="3"/>
        <v>1.75E-3</v>
      </c>
      <c r="M21" s="188">
        <f t="shared" si="4"/>
        <v>2.9550333333333335E-2</v>
      </c>
      <c r="N21" s="54">
        <f t="shared" si="12"/>
        <v>3</v>
      </c>
      <c r="O21" s="670">
        <f t="shared" si="5"/>
        <v>0.66</v>
      </c>
      <c r="P21" s="670">
        <f t="shared" si="6"/>
        <v>1.98E-3</v>
      </c>
      <c r="Q21" s="670">
        <f t="shared" si="7"/>
        <v>2.3608166666666666E-2</v>
      </c>
      <c r="R21" s="247">
        <f t="shared" si="8"/>
        <v>2.5</v>
      </c>
      <c r="S21" s="24">
        <f t="shared" si="9"/>
        <v>1313</v>
      </c>
      <c r="T21" s="25">
        <f t="shared" si="10"/>
        <v>3.2824999999999998E-3</v>
      </c>
      <c r="U21" s="654">
        <f t="shared" si="11"/>
        <v>5.8947066666666673E-2</v>
      </c>
    </row>
    <row r="22" spans="1:24" x14ac:dyDescent="0.2">
      <c r="A22" s="33">
        <f t="shared" si="16"/>
        <v>2009</v>
      </c>
      <c r="B22" s="30">
        <v>257</v>
      </c>
      <c r="C22" s="660">
        <f t="shared" si="0"/>
        <v>297</v>
      </c>
      <c r="D22" s="662">
        <v>0.61</v>
      </c>
      <c r="E22" s="663">
        <v>0.57999999999999996</v>
      </c>
      <c r="F22" s="617">
        <v>1150.8249027237355</v>
      </c>
      <c r="G22" s="626">
        <f t="shared" si="13"/>
        <v>0.15677000000000002</v>
      </c>
      <c r="H22" s="72">
        <f t="shared" si="14"/>
        <v>0.14906</v>
      </c>
      <c r="I22" s="630">
        <f t="shared" si="15"/>
        <v>0.29576200000000002</v>
      </c>
      <c r="J22" s="61">
        <f t="shared" si="1"/>
        <v>129.5</v>
      </c>
      <c r="K22" s="188">
        <f t="shared" si="2"/>
        <v>0.61</v>
      </c>
      <c r="L22" s="188">
        <f t="shared" si="3"/>
        <v>7.899500000000001E-2</v>
      </c>
      <c r="M22" s="188">
        <f t="shared" si="4"/>
        <v>0.10854533333333334</v>
      </c>
      <c r="N22" s="54">
        <f t="shared" si="12"/>
        <v>2</v>
      </c>
      <c r="O22" s="670">
        <f t="shared" si="5"/>
        <v>0.57999999999999996</v>
      </c>
      <c r="P22" s="670">
        <f t="shared" si="6"/>
        <v>1.16E-3</v>
      </c>
      <c r="Q22" s="670">
        <f t="shared" si="7"/>
        <v>2.4768166666666667E-2</v>
      </c>
      <c r="R22" s="247">
        <f t="shared" si="8"/>
        <v>129.5</v>
      </c>
      <c r="S22" s="24">
        <f t="shared" si="9"/>
        <v>1150.8249027237355</v>
      </c>
      <c r="T22" s="25">
        <f t="shared" si="10"/>
        <v>0.14903182490272374</v>
      </c>
      <c r="U22" s="654">
        <f t="shared" si="11"/>
        <v>0.20797889156939042</v>
      </c>
    </row>
    <row r="23" spans="1:24" x14ac:dyDescent="0.2">
      <c r="A23" s="33">
        <f t="shared" si="16"/>
        <v>2010</v>
      </c>
      <c r="B23" s="30">
        <v>854</v>
      </c>
      <c r="C23" s="661">
        <f t="shared" si="0"/>
        <v>1151</v>
      </c>
      <c r="D23" s="662">
        <v>0.7</v>
      </c>
      <c r="E23" s="663">
        <v>0.66</v>
      </c>
      <c r="F23" s="617">
        <v>1313</v>
      </c>
      <c r="G23" s="626">
        <f t="shared" si="13"/>
        <v>0.5978</v>
      </c>
      <c r="H23" s="72">
        <f t="shared" si="14"/>
        <v>0.56364000000000003</v>
      </c>
      <c r="I23" s="630">
        <f t="shared" si="15"/>
        <v>1.121302</v>
      </c>
      <c r="J23" s="61">
        <f t="shared" si="1"/>
        <v>555.5</v>
      </c>
      <c r="K23" s="188">
        <f t="shared" si="2"/>
        <v>0.7</v>
      </c>
      <c r="L23" s="188">
        <f t="shared" si="3"/>
        <v>0.38884999999999997</v>
      </c>
      <c r="M23" s="188">
        <f t="shared" si="4"/>
        <v>0.4973953333333333</v>
      </c>
      <c r="N23" s="54">
        <f t="shared" si="12"/>
        <v>257</v>
      </c>
      <c r="O23" s="670">
        <f t="shared" si="5"/>
        <v>0.66</v>
      </c>
      <c r="P23" s="670">
        <f t="shared" si="6"/>
        <v>0.16961999999999999</v>
      </c>
      <c r="Q23" s="670">
        <f t="shared" si="7"/>
        <v>0.19438816666666667</v>
      </c>
      <c r="R23" s="247">
        <f t="shared" si="8"/>
        <v>555.5</v>
      </c>
      <c r="S23" s="24">
        <f t="shared" si="9"/>
        <v>1313</v>
      </c>
      <c r="T23" s="25">
        <f t="shared" si="10"/>
        <v>0.72937149999999995</v>
      </c>
      <c r="U23" s="654">
        <f t="shared" si="11"/>
        <v>0.93735039156939037</v>
      </c>
    </row>
    <row r="24" spans="1:24" x14ac:dyDescent="0.2">
      <c r="A24" s="33">
        <f t="shared" si="16"/>
        <v>2011</v>
      </c>
      <c r="B24" s="30">
        <v>1745</v>
      </c>
      <c r="C24" s="661">
        <f t="shared" si="0"/>
        <v>2896</v>
      </c>
      <c r="D24" s="662">
        <v>0.68</v>
      </c>
      <c r="E24" s="663">
        <v>0.67</v>
      </c>
      <c r="F24" s="617">
        <v>1390</v>
      </c>
      <c r="G24" s="626">
        <f t="shared" ref="G24:H37" si="17">+$B24*D24/1000</f>
        <v>1.1866000000000001</v>
      </c>
      <c r="H24" s="72">
        <f t="shared" si="17"/>
        <v>1.1691500000000001</v>
      </c>
      <c r="I24" s="630">
        <f t="shared" ref="I24:I37" si="18">+$B24*F24/1000000</f>
        <v>2.4255499999999999</v>
      </c>
      <c r="J24" s="61">
        <f t="shared" si="1"/>
        <v>1299.5</v>
      </c>
      <c r="K24" s="188">
        <f t="shared" si="2"/>
        <v>0.68</v>
      </c>
      <c r="L24" s="188">
        <f>+J24*K24/1000</f>
        <v>0.88366000000000011</v>
      </c>
      <c r="M24" s="188">
        <f t="shared" si="4"/>
        <v>1.3810553333333333</v>
      </c>
      <c r="N24" s="54">
        <f t="shared" si="12"/>
        <v>854</v>
      </c>
      <c r="O24" s="670">
        <f t="shared" si="5"/>
        <v>0.67</v>
      </c>
      <c r="P24" s="670">
        <f t="shared" si="6"/>
        <v>0.57218000000000002</v>
      </c>
      <c r="Q24" s="670">
        <f t="shared" si="7"/>
        <v>0.76656816666666672</v>
      </c>
      <c r="R24" s="247">
        <f t="shared" si="8"/>
        <v>1299.5</v>
      </c>
      <c r="S24" s="24">
        <f t="shared" si="9"/>
        <v>1390</v>
      </c>
      <c r="T24" s="25">
        <f t="shared" si="10"/>
        <v>1.806305</v>
      </c>
      <c r="U24" s="654">
        <f t="shared" si="11"/>
        <v>2.7436553915693906</v>
      </c>
    </row>
    <row r="25" spans="1:24" x14ac:dyDescent="0.2">
      <c r="A25" s="33">
        <f t="shared" si="16"/>
        <v>2012</v>
      </c>
      <c r="B25" s="30">
        <v>1720</v>
      </c>
      <c r="C25" s="661">
        <f t="shared" si="0"/>
        <v>4616</v>
      </c>
      <c r="D25" s="662">
        <v>0.84</v>
      </c>
      <c r="E25" s="663">
        <v>0.76</v>
      </c>
      <c r="F25" s="617">
        <v>1948</v>
      </c>
      <c r="G25" s="626">
        <f t="shared" si="17"/>
        <v>1.4447999999999999</v>
      </c>
      <c r="H25" s="72">
        <f t="shared" si="17"/>
        <v>1.3072000000000001</v>
      </c>
      <c r="I25" s="630">
        <f t="shared" si="18"/>
        <v>3.3505600000000002</v>
      </c>
      <c r="J25" s="61">
        <f t="shared" si="1"/>
        <v>1732.5</v>
      </c>
      <c r="K25" s="188">
        <f t="shared" si="2"/>
        <v>0.84</v>
      </c>
      <c r="L25" s="188">
        <f t="shared" si="3"/>
        <v>1.4553</v>
      </c>
      <c r="M25" s="188">
        <f t="shared" si="4"/>
        <v>2.8363553333333336</v>
      </c>
      <c r="N25" s="54">
        <f t="shared" si="12"/>
        <v>1745</v>
      </c>
      <c r="O25" s="670">
        <f t="shared" si="5"/>
        <v>0.76</v>
      </c>
      <c r="P25" s="670">
        <f t="shared" si="6"/>
        <v>1.3262</v>
      </c>
      <c r="Q25" s="670">
        <f t="shared" si="7"/>
        <v>2.0927681666666667</v>
      </c>
      <c r="R25" s="247">
        <f t="shared" si="8"/>
        <v>1732.5</v>
      </c>
      <c r="S25" s="24">
        <f t="shared" si="9"/>
        <v>1948</v>
      </c>
      <c r="T25" s="25">
        <f t="shared" si="10"/>
        <v>3.3749099999999999</v>
      </c>
      <c r="U25" s="654">
        <f t="shared" si="11"/>
        <v>6.1185653915693905</v>
      </c>
    </row>
    <row r="26" spans="1:24" s="831" customFormat="1" x14ac:dyDescent="0.2">
      <c r="A26" s="33">
        <f t="shared" si="16"/>
        <v>2013</v>
      </c>
      <c r="B26" s="30">
        <v>2381</v>
      </c>
      <c r="C26" s="619">
        <f t="shared" si="0"/>
        <v>6997</v>
      </c>
      <c r="D26" s="807">
        <v>0.87</v>
      </c>
      <c r="E26" s="808">
        <v>0.81</v>
      </c>
      <c r="F26" s="806">
        <v>2063</v>
      </c>
      <c r="G26" s="626">
        <f t="shared" si="17"/>
        <v>2.0714699999999997</v>
      </c>
      <c r="H26" s="72">
        <f t="shared" si="17"/>
        <v>1.9286100000000002</v>
      </c>
      <c r="I26" s="630">
        <f t="shared" si="18"/>
        <v>4.9120030000000003</v>
      </c>
      <c r="J26" s="61">
        <f t="shared" si="1"/>
        <v>2050.5</v>
      </c>
      <c r="K26" s="188">
        <f t="shared" si="2"/>
        <v>0.87</v>
      </c>
      <c r="L26" s="188">
        <f t="shared" si="3"/>
        <v>1.783935</v>
      </c>
      <c r="M26" s="829">
        <f t="shared" si="4"/>
        <v>4.6202903333333332</v>
      </c>
      <c r="N26" s="54">
        <f t="shared" si="12"/>
        <v>1720</v>
      </c>
      <c r="O26" s="670">
        <f t="shared" si="5"/>
        <v>0.81</v>
      </c>
      <c r="P26" s="670">
        <f t="shared" si="6"/>
        <v>1.3932</v>
      </c>
      <c r="Q26" s="671">
        <f t="shared" si="7"/>
        <v>3.4859681666666669</v>
      </c>
      <c r="R26" s="247">
        <f t="shared" si="8"/>
        <v>2050.5</v>
      </c>
      <c r="S26" s="24">
        <f t="shared" si="9"/>
        <v>2063</v>
      </c>
      <c r="T26" s="25">
        <f t="shared" si="10"/>
        <v>4.2301814999999996</v>
      </c>
      <c r="U26" s="654">
        <f t="shared" si="11"/>
        <v>10.348746891569391</v>
      </c>
      <c r="V26" s="830"/>
    </row>
    <row r="27" spans="1:24" s="831" customFormat="1" x14ac:dyDescent="0.2">
      <c r="A27" s="33">
        <f t="shared" si="16"/>
        <v>2014</v>
      </c>
      <c r="B27" s="30">
        <v>2277</v>
      </c>
      <c r="C27" s="619">
        <f t="shared" si="0"/>
        <v>9274</v>
      </c>
      <c r="D27" s="807">
        <v>0.83</v>
      </c>
      <c r="E27" s="808">
        <v>1</v>
      </c>
      <c r="F27" s="806">
        <v>2750</v>
      </c>
      <c r="G27" s="626">
        <f t="shared" si="17"/>
        <v>1.8899099999999998</v>
      </c>
      <c r="H27" s="72">
        <f t="shared" si="17"/>
        <v>2.2770000000000001</v>
      </c>
      <c r="I27" s="630">
        <f t="shared" si="18"/>
        <v>6.2617500000000001</v>
      </c>
      <c r="J27" s="61">
        <f t="shared" si="1"/>
        <v>2329</v>
      </c>
      <c r="K27" s="188">
        <f t="shared" si="2"/>
        <v>0.83</v>
      </c>
      <c r="L27" s="188">
        <f t="shared" si="3"/>
        <v>1.9330699999999998</v>
      </c>
      <c r="M27" s="829">
        <f t="shared" si="4"/>
        <v>6.553360333333333</v>
      </c>
      <c r="N27" s="54">
        <f t="shared" si="12"/>
        <v>2381</v>
      </c>
      <c r="O27" s="670">
        <f t="shared" si="5"/>
        <v>1</v>
      </c>
      <c r="P27" s="670">
        <f t="shared" si="6"/>
        <v>2.3809999999999998</v>
      </c>
      <c r="Q27" s="671">
        <f t="shared" si="7"/>
        <v>5.8669681666666662</v>
      </c>
      <c r="R27" s="247">
        <f t="shared" si="8"/>
        <v>2329</v>
      </c>
      <c r="S27" s="24">
        <f t="shared" si="9"/>
        <v>2750</v>
      </c>
      <c r="T27" s="25">
        <f t="shared" si="10"/>
        <v>6.4047499999999999</v>
      </c>
      <c r="U27" s="654">
        <f t="shared" si="11"/>
        <v>16.753496891569391</v>
      </c>
      <c r="V27" s="830"/>
    </row>
    <row r="28" spans="1:24" s="831" customFormat="1" x14ac:dyDescent="0.2">
      <c r="A28" s="33">
        <f t="shared" si="16"/>
        <v>2015</v>
      </c>
      <c r="B28" s="30">
        <v>2494</v>
      </c>
      <c r="C28" s="619">
        <f t="shared" si="0"/>
        <v>11768</v>
      </c>
      <c r="D28" s="807">
        <f>D65</f>
        <v>0.74399358460304732</v>
      </c>
      <c r="E28" s="808">
        <f t="shared" ref="E28:F28" si="19">E65</f>
        <v>0.56401363271852445</v>
      </c>
      <c r="F28" s="806">
        <f t="shared" si="19"/>
        <v>1762.8440256615879</v>
      </c>
      <c r="G28" s="626">
        <f t="shared" si="17"/>
        <v>1.8555200000000001</v>
      </c>
      <c r="H28" s="72">
        <f t="shared" si="17"/>
        <v>1.40665</v>
      </c>
      <c r="I28" s="630">
        <f t="shared" si="18"/>
        <v>4.3965329999999998</v>
      </c>
      <c r="J28" s="61">
        <f t="shared" si="1"/>
        <v>2385.5</v>
      </c>
      <c r="K28" s="188">
        <f t="shared" si="2"/>
        <v>0.74399358460304732</v>
      </c>
      <c r="L28" s="188">
        <f t="shared" si="3"/>
        <v>1.7747966960705694</v>
      </c>
      <c r="M28" s="829">
        <f t="shared" si="4"/>
        <v>8.3281570294039025</v>
      </c>
      <c r="N28" s="54">
        <f t="shared" si="12"/>
        <v>2277</v>
      </c>
      <c r="O28" s="670">
        <f t="shared" si="5"/>
        <v>0.56401363271852445</v>
      </c>
      <c r="P28" s="670">
        <f t="shared" si="6"/>
        <v>1.2842590417000801</v>
      </c>
      <c r="Q28" s="671">
        <f t="shared" si="7"/>
        <v>7.1512272083667465</v>
      </c>
      <c r="R28" s="247">
        <f t="shared" si="8"/>
        <v>2385.5</v>
      </c>
      <c r="S28" s="24">
        <f t="shared" si="9"/>
        <v>1762.8440256615879</v>
      </c>
      <c r="T28" s="25">
        <f t="shared" si="10"/>
        <v>4.2052644232157181</v>
      </c>
      <c r="U28" s="654">
        <f t="shared" si="11"/>
        <v>20.958761314785107</v>
      </c>
      <c r="V28" s="830"/>
    </row>
    <row r="29" spans="1:24" ht="13.5" thickBot="1" x14ac:dyDescent="0.25">
      <c r="A29" s="701">
        <f t="shared" si="16"/>
        <v>2016</v>
      </c>
      <c r="B29" s="702">
        <v>403</v>
      </c>
      <c r="C29" s="703">
        <f t="shared" si="0"/>
        <v>12171</v>
      </c>
      <c r="D29" s="835">
        <v>0.53100000000000003</v>
      </c>
      <c r="E29" s="835">
        <v>0.49</v>
      </c>
      <c r="F29" s="702">
        <v>2489</v>
      </c>
      <c r="G29" s="823">
        <f t="shared" si="17"/>
        <v>0.21399300000000002</v>
      </c>
      <c r="H29" s="707">
        <f t="shared" si="17"/>
        <v>0.19747000000000001</v>
      </c>
      <c r="I29" s="824">
        <f t="shared" si="18"/>
        <v>1.0030669999999999</v>
      </c>
      <c r="J29" s="708">
        <f t="shared" si="1"/>
        <v>1448.5</v>
      </c>
      <c r="K29" s="825">
        <f t="shared" si="2"/>
        <v>0.53100000000000003</v>
      </c>
      <c r="L29" s="825">
        <f t="shared" si="3"/>
        <v>0.76915350000000005</v>
      </c>
      <c r="M29" s="826">
        <f t="shared" si="4"/>
        <v>9.0973105294039023</v>
      </c>
      <c r="N29" s="711">
        <f t="shared" si="12"/>
        <v>2494</v>
      </c>
      <c r="O29" s="827">
        <f t="shared" si="5"/>
        <v>0.49</v>
      </c>
      <c r="P29" s="827">
        <f t="shared" si="6"/>
        <v>1.2220599999999999</v>
      </c>
      <c r="Q29" s="828">
        <f t="shared" si="7"/>
        <v>8.3732872083667473</v>
      </c>
      <c r="R29" s="714">
        <f t="shared" si="8"/>
        <v>1448.5</v>
      </c>
      <c r="S29" s="715">
        <f t="shared" si="9"/>
        <v>2489</v>
      </c>
      <c r="T29" s="716">
        <f t="shared" si="10"/>
        <v>3.6053164999999998</v>
      </c>
      <c r="U29" s="717">
        <f t="shared" si="11"/>
        <v>24.564077814785108</v>
      </c>
    </row>
    <row r="30" spans="1:24" x14ac:dyDescent="0.2">
      <c r="A30" s="33">
        <f t="shared" si="16"/>
        <v>2017</v>
      </c>
      <c r="B30" s="787">
        <v>250</v>
      </c>
      <c r="C30" s="565">
        <f t="shared" si="0"/>
        <v>12421</v>
      </c>
      <c r="D30" s="965">
        <f t="shared" ref="D30:D54" si="20">+D29</f>
        <v>0.53100000000000003</v>
      </c>
      <c r="E30" s="966">
        <f t="shared" ref="E30:E54" si="21">+E29</f>
        <v>0.49</v>
      </c>
      <c r="F30" s="790">
        <f t="shared" ref="F30:F54" si="22">+F29</f>
        <v>2489</v>
      </c>
      <c r="G30" s="473">
        <f t="shared" si="17"/>
        <v>0.13275000000000001</v>
      </c>
      <c r="H30" s="474">
        <f t="shared" si="17"/>
        <v>0.1225</v>
      </c>
      <c r="I30" s="474">
        <f t="shared" si="18"/>
        <v>0.62224999999999997</v>
      </c>
      <c r="J30" s="61">
        <f t="shared" si="1"/>
        <v>326.5</v>
      </c>
      <c r="K30" s="967">
        <f t="shared" si="2"/>
        <v>0.53100000000000003</v>
      </c>
      <c r="L30" s="967">
        <f t="shared" si="3"/>
        <v>0.17337149999999998</v>
      </c>
      <c r="M30" s="967">
        <f t="shared" si="4"/>
        <v>9.2706820294039023</v>
      </c>
      <c r="N30" s="54">
        <f t="shared" si="12"/>
        <v>403</v>
      </c>
      <c r="O30" s="968">
        <f t="shared" si="5"/>
        <v>0.49</v>
      </c>
      <c r="P30" s="968">
        <f t="shared" si="6"/>
        <v>0.19747000000000001</v>
      </c>
      <c r="Q30" s="969">
        <f t="shared" si="7"/>
        <v>8.5707572083667465</v>
      </c>
      <c r="R30" s="247">
        <f t="shared" si="8"/>
        <v>326.5</v>
      </c>
      <c r="S30" s="24">
        <f t="shared" si="9"/>
        <v>2489</v>
      </c>
      <c r="T30" s="970">
        <f t="shared" si="10"/>
        <v>0.81265849999999995</v>
      </c>
      <c r="U30" s="971">
        <f t="shared" si="11"/>
        <v>25.376736314785109</v>
      </c>
    </row>
    <row r="31" spans="1:24" x14ac:dyDescent="0.2">
      <c r="A31" s="33">
        <f t="shared" si="16"/>
        <v>2018</v>
      </c>
      <c r="B31" s="787">
        <v>250</v>
      </c>
      <c r="C31" s="565">
        <f t="shared" si="0"/>
        <v>12671</v>
      </c>
      <c r="D31" s="965">
        <f t="shared" si="20"/>
        <v>0.53100000000000003</v>
      </c>
      <c r="E31" s="966">
        <f t="shared" si="21"/>
        <v>0.49</v>
      </c>
      <c r="F31" s="790">
        <f t="shared" si="22"/>
        <v>2489</v>
      </c>
      <c r="G31" s="473">
        <f t="shared" si="17"/>
        <v>0.13275000000000001</v>
      </c>
      <c r="H31" s="474">
        <f t="shared" si="17"/>
        <v>0.1225</v>
      </c>
      <c r="I31" s="474">
        <f t="shared" si="18"/>
        <v>0.62224999999999997</v>
      </c>
      <c r="J31" s="61">
        <f t="shared" si="1"/>
        <v>250</v>
      </c>
      <c r="K31" s="967">
        <f t="shared" si="2"/>
        <v>0.53100000000000003</v>
      </c>
      <c r="L31" s="967">
        <f t="shared" si="3"/>
        <v>0.13275000000000001</v>
      </c>
      <c r="M31" s="967">
        <f t="shared" si="4"/>
        <v>9.403432029403902</v>
      </c>
      <c r="N31" s="54">
        <f t="shared" si="12"/>
        <v>250</v>
      </c>
      <c r="O31" s="968">
        <f t="shared" si="5"/>
        <v>0.49</v>
      </c>
      <c r="P31" s="968">
        <f t="shared" si="6"/>
        <v>0.1225</v>
      </c>
      <c r="Q31" s="969">
        <f t="shared" si="7"/>
        <v>8.693257208366747</v>
      </c>
      <c r="R31" s="247">
        <f t="shared" si="8"/>
        <v>250</v>
      </c>
      <c r="S31" s="24">
        <f t="shared" si="9"/>
        <v>2489</v>
      </c>
      <c r="T31" s="970">
        <f t="shared" si="10"/>
        <v>0.62224999999999997</v>
      </c>
      <c r="U31" s="971">
        <f t="shared" si="11"/>
        <v>25.99898631478511</v>
      </c>
    </row>
    <row r="32" spans="1:24" x14ac:dyDescent="0.2">
      <c r="A32" s="33">
        <f t="shared" si="16"/>
        <v>2019</v>
      </c>
      <c r="B32" s="787">
        <v>250</v>
      </c>
      <c r="C32" s="565">
        <f t="shared" si="0"/>
        <v>12921</v>
      </c>
      <c r="D32" s="965">
        <f t="shared" si="20"/>
        <v>0.53100000000000003</v>
      </c>
      <c r="E32" s="966">
        <f t="shared" si="21"/>
        <v>0.49</v>
      </c>
      <c r="F32" s="790">
        <f t="shared" si="22"/>
        <v>2489</v>
      </c>
      <c r="G32" s="473">
        <f t="shared" si="17"/>
        <v>0.13275000000000001</v>
      </c>
      <c r="H32" s="474">
        <f t="shared" si="17"/>
        <v>0.1225</v>
      </c>
      <c r="I32" s="474">
        <f t="shared" si="18"/>
        <v>0.62224999999999997</v>
      </c>
      <c r="J32" s="61">
        <f t="shared" si="1"/>
        <v>250</v>
      </c>
      <c r="K32" s="967">
        <f t="shared" si="2"/>
        <v>0.53100000000000003</v>
      </c>
      <c r="L32" s="967">
        <f t="shared" si="3"/>
        <v>0.13275000000000001</v>
      </c>
      <c r="M32" s="967">
        <f t="shared" si="4"/>
        <v>9.5361820294039017</v>
      </c>
      <c r="N32" s="54">
        <f t="shared" si="12"/>
        <v>250</v>
      </c>
      <c r="O32" s="968">
        <f t="shared" si="5"/>
        <v>0.49</v>
      </c>
      <c r="P32" s="968">
        <f t="shared" si="6"/>
        <v>0.1225</v>
      </c>
      <c r="Q32" s="969">
        <f t="shared" si="7"/>
        <v>8.8157572083667475</v>
      </c>
      <c r="R32" s="247">
        <f t="shared" si="8"/>
        <v>250</v>
      </c>
      <c r="S32" s="24">
        <f t="shared" si="9"/>
        <v>2489</v>
      </c>
      <c r="T32" s="970">
        <f t="shared" si="10"/>
        <v>0.62224999999999997</v>
      </c>
      <c r="U32" s="971">
        <f t="shared" si="11"/>
        <v>26.621236314785111</v>
      </c>
    </row>
    <row r="33" spans="1:21" x14ac:dyDescent="0.2">
      <c r="A33" s="33">
        <f t="shared" si="16"/>
        <v>2020</v>
      </c>
      <c r="B33" s="787">
        <v>250</v>
      </c>
      <c r="C33" s="565">
        <f t="shared" si="0"/>
        <v>13171</v>
      </c>
      <c r="D33" s="965">
        <f t="shared" si="20"/>
        <v>0.53100000000000003</v>
      </c>
      <c r="E33" s="966">
        <f t="shared" si="21"/>
        <v>0.49</v>
      </c>
      <c r="F33" s="790">
        <f t="shared" si="22"/>
        <v>2489</v>
      </c>
      <c r="G33" s="473">
        <f t="shared" si="17"/>
        <v>0.13275000000000001</v>
      </c>
      <c r="H33" s="474">
        <f t="shared" si="17"/>
        <v>0.1225</v>
      </c>
      <c r="I33" s="474">
        <f t="shared" si="18"/>
        <v>0.62224999999999997</v>
      </c>
      <c r="J33" s="61">
        <f t="shared" si="1"/>
        <v>250</v>
      </c>
      <c r="K33" s="967">
        <f t="shared" si="2"/>
        <v>0.53100000000000003</v>
      </c>
      <c r="L33" s="967">
        <f t="shared" si="3"/>
        <v>0.13275000000000001</v>
      </c>
      <c r="M33" s="967">
        <f t="shared" si="4"/>
        <v>9.6689320294039014</v>
      </c>
      <c r="N33" s="54">
        <f t="shared" si="12"/>
        <v>250</v>
      </c>
      <c r="O33" s="968">
        <f t="shared" si="5"/>
        <v>0.49</v>
      </c>
      <c r="P33" s="968">
        <f t="shared" si="6"/>
        <v>0.1225</v>
      </c>
      <c r="Q33" s="969">
        <f t="shared" si="7"/>
        <v>8.938257208366748</v>
      </c>
      <c r="R33" s="247">
        <f t="shared" si="8"/>
        <v>250</v>
      </c>
      <c r="S33" s="24">
        <f t="shared" si="9"/>
        <v>2489</v>
      </c>
      <c r="T33" s="970">
        <f t="shared" si="10"/>
        <v>0.62224999999999997</v>
      </c>
      <c r="U33" s="971">
        <f t="shared" si="11"/>
        <v>27.243486314785113</v>
      </c>
    </row>
    <row r="34" spans="1:21" x14ac:dyDescent="0.2">
      <c r="A34" s="33">
        <f t="shared" si="16"/>
        <v>2021</v>
      </c>
      <c r="B34" s="787">
        <v>250</v>
      </c>
      <c r="C34" s="565">
        <f t="shared" si="0"/>
        <v>13421</v>
      </c>
      <c r="D34" s="965">
        <f t="shared" si="20"/>
        <v>0.53100000000000003</v>
      </c>
      <c r="E34" s="966">
        <f t="shared" si="21"/>
        <v>0.49</v>
      </c>
      <c r="F34" s="790">
        <f t="shared" si="22"/>
        <v>2489</v>
      </c>
      <c r="G34" s="473">
        <f t="shared" si="17"/>
        <v>0.13275000000000001</v>
      </c>
      <c r="H34" s="474">
        <f t="shared" si="17"/>
        <v>0.1225</v>
      </c>
      <c r="I34" s="474">
        <f t="shared" si="18"/>
        <v>0.62224999999999997</v>
      </c>
      <c r="J34" s="61">
        <f t="shared" si="1"/>
        <v>250</v>
      </c>
      <c r="K34" s="967">
        <f t="shared" si="2"/>
        <v>0.53100000000000003</v>
      </c>
      <c r="L34" s="967">
        <f t="shared" si="3"/>
        <v>0.13275000000000001</v>
      </c>
      <c r="M34" s="967">
        <f t="shared" si="4"/>
        <v>9.8016820294039011</v>
      </c>
      <c r="N34" s="54">
        <f t="shared" si="12"/>
        <v>250</v>
      </c>
      <c r="O34" s="968">
        <f t="shared" si="5"/>
        <v>0.49</v>
      </c>
      <c r="P34" s="968">
        <f t="shared" si="6"/>
        <v>0.1225</v>
      </c>
      <c r="Q34" s="969">
        <f t="shared" si="7"/>
        <v>9.0607572083667485</v>
      </c>
      <c r="R34" s="247">
        <f t="shared" si="8"/>
        <v>250</v>
      </c>
      <c r="S34" s="24">
        <f t="shared" si="9"/>
        <v>2489</v>
      </c>
      <c r="T34" s="970">
        <f t="shared" si="10"/>
        <v>0.62224999999999997</v>
      </c>
      <c r="U34" s="971">
        <f t="shared" si="11"/>
        <v>27.865736314785114</v>
      </c>
    </row>
    <row r="35" spans="1:21" x14ac:dyDescent="0.2">
      <c r="A35" s="33">
        <f t="shared" si="16"/>
        <v>2022</v>
      </c>
      <c r="B35" s="787">
        <v>250</v>
      </c>
      <c r="C35" s="565">
        <f t="shared" si="0"/>
        <v>13671</v>
      </c>
      <c r="D35" s="965">
        <f t="shared" si="20"/>
        <v>0.53100000000000003</v>
      </c>
      <c r="E35" s="966">
        <f t="shared" si="21"/>
        <v>0.49</v>
      </c>
      <c r="F35" s="790">
        <f t="shared" si="22"/>
        <v>2489</v>
      </c>
      <c r="G35" s="473">
        <f t="shared" si="17"/>
        <v>0.13275000000000001</v>
      </c>
      <c r="H35" s="474">
        <f t="shared" si="17"/>
        <v>0.1225</v>
      </c>
      <c r="I35" s="474">
        <f t="shared" si="18"/>
        <v>0.62224999999999997</v>
      </c>
      <c r="J35" s="61">
        <f t="shared" si="1"/>
        <v>250</v>
      </c>
      <c r="K35" s="967">
        <f t="shared" si="2"/>
        <v>0.53100000000000003</v>
      </c>
      <c r="L35" s="967">
        <f t="shared" si="3"/>
        <v>0.13275000000000001</v>
      </c>
      <c r="M35" s="967">
        <f t="shared" si="4"/>
        <v>9.9344320294039008</v>
      </c>
      <c r="N35" s="54">
        <f t="shared" si="12"/>
        <v>250</v>
      </c>
      <c r="O35" s="968">
        <f t="shared" si="5"/>
        <v>0.49</v>
      </c>
      <c r="P35" s="968">
        <f t="shared" si="6"/>
        <v>0.1225</v>
      </c>
      <c r="Q35" s="969">
        <f t="shared" si="7"/>
        <v>9.183257208366749</v>
      </c>
      <c r="R35" s="247">
        <f t="shared" si="8"/>
        <v>250</v>
      </c>
      <c r="S35" s="24">
        <f t="shared" si="9"/>
        <v>2489</v>
      </c>
      <c r="T35" s="970">
        <f t="shared" si="10"/>
        <v>0.62224999999999997</v>
      </c>
      <c r="U35" s="971">
        <f t="shared" si="11"/>
        <v>28.487986314785115</v>
      </c>
    </row>
    <row r="36" spans="1:21" x14ac:dyDescent="0.2">
      <c r="A36" s="33">
        <f t="shared" si="16"/>
        <v>2023</v>
      </c>
      <c r="B36" s="787">
        <v>250</v>
      </c>
      <c r="C36" s="565">
        <f t="shared" si="0"/>
        <v>13921</v>
      </c>
      <c r="D36" s="965">
        <f t="shared" si="20"/>
        <v>0.53100000000000003</v>
      </c>
      <c r="E36" s="966">
        <f t="shared" si="21"/>
        <v>0.49</v>
      </c>
      <c r="F36" s="790">
        <f t="shared" si="22"/>
        <v>2489</v>
      </c>
      <c r="G36" s="473">
        <f t="shared" si="17"/>
        <v>0.13275000000000001</v>
      </c>
      <c r="H36" s="474">
        <f t="shared" si="17"/>
        <v>0.1225</v>
      </c>
      <c r="I36" s="474">
        <f t="shared" si="18"/>
        <v>0.62224999999999997</v>
      </c>
      <c r="J36" s="61">
        <f t="shared" si="1"/>
        <v>250</v>
      </c>
      <c r="K36" s="967">
        <f t="shared" si="2"/>
        <v>0.53100000000000003</v>
      </c>
      <c r="L36" s="967">
        <f t="shared" si="3"/>
        <v>0.13275000000000001</v>
      </c>
      <c r="M36" s="967">
        <f t="shared" si="4"/>
        <v>10.067182029403901</v>
      </c>
      <c r="N36" s="54">
        <f t="shared" si="12"/>
        <v>250</v>
      </c>
      <c r="O36" s="968">
        <f t="shared" si="5"/>
        <v>0.49</v>
      </c>
      <c r="P36" s="968">
        <f t="shared" si="6"/>
        <v>0.1225</v>
      </c>
      <c r="Q36" s="969">
        <f t="shared" si="7"/>
        <v>9.3057572083667495</v>
      </c>
      <c r="R36" s="247">
        <f t="shared" si="8"/>
        <v>250</v>
      </c>
      <c r="S36" s="24">
        <f t="shared" si="9"/>
        <v>2489</v>
      </c>
      <c r="T36" s="970">
        <f t="shared" si="10"/>
        <v>0.62224999999999997</v>
      </c>
      <c r="U36" s="971">
        <f t="shared" si="11"/>
        <v>29.110236314785116</v>
      </c>
    </row>
    <row r="37" spans="1:21" x14ac:dyDescent="0.2">
      <c r="A37" s="33">
        <f t="shared" si="16"/>
        <v>2024</v>
      </c>
      <c r="B37" s="787">
        <v>250</v>
      </c>
      <c r="C37" s="565">
        <f t="shared" si="0"/>
        <v>14171</v>
      </c>
      <c r="D37" s="965">
        <f t="shared" si="20"/>
        <v>0.53100000000000003</v>
      </c>
      <c r="E37" s="966">
        <f t="shared" si="21"/>
        <v>0.49</v>
      </c>
      <c r="F37" s="790">
        <f t="shared" si="22"/>
        <v>2489</v>
      </c>
      <c r="G37" s="473">
        <f t="shared" si="17"/>
        <v>0.13275000000000001</v>
      </c>
      <c r="H37" s="474">
        <f t="shared" si="17"/>
        <v>0.1225</v>
      </c>
      <c r="I37" s="474">
        <f t="shared" si="18"/>
        <v>0.62224999999999997</v>
      </c>
      <c r="J37" s="61">
        <f t="shared" si="1"/>
        <v>250</v>
      </c>
      <c r="K37" s="967">
        <f t="shared" si="2"/>
        <v>0.53100000000000003</v>
      </c>
      <c r="L37" s="967">
        <f t="shared" si="3"/>
        <v>0.13275000000000001</v>
      </c>
      <c r="M37" s="967">
        <f t="shared" si="4"/>
        <v>10.1999320294039</v>
      </c>
      <c r="N37" s="54">
        <f t="shared" si="12"/>
        <v>250</v>
      </c>
      <c r="O37" s="968">
        <f t="shared" si="5"/>
        <v>0.49</v>
      </c>
      <c r="P37" s="968">
        <f t="shared" si="6"/>
        <v>0.1225</v>
      </c>
      <c r="Q37" s="969">
        <f t="shared" si="7"/>
        <v>9.42825720836675</v>
      </c>
      <c r="R37" s="247">
        <f t="shared" si="8"/>
        <v>250</v>
      </c>
      <c r="S37" s="24">
        <f t="shared" si="9"/>
        <v>2489</v>
      </c>
      <c r="T37" s="970">
        <f t="shared" si="10"/>
        <v>0.62224999999999997</v>
      </c>
      <c r="U37" s="971">
        <f t="shared" si="11"/>
        <v>29.732486314785117</v>
      </c>
    </row>
    <row r="38" spans="1:21" x14ac:dyDescent="0.2">
      <c r="A38" s="33">
        <f t="shared" si="16"/>
        <v>2025</v>
      </c>
      <c r="B38" s="787">
        <v>250</v>
      </c>
      <c r="C38" s="565">
        <f t="shared" ref="C38:C42" si="23">+C37+B38</f>
        <v>14421</v>
      </c>
      <c r="D38" s="965">
        <f t="shared" si="20"/>
        <v>0.53100000000000003</v>
      </c>
      <c r="E38" s="966">
        <f t="shared" si="21"/>
        <v>0.49</v>
      </c>
      <c r="F38" s="790">
        <f t="shared" si="22"/>
        <v>2489</v>
      </c>
      <c r="G38" s="473">
        <f t="shared" ref="G38:H40" si="24">+$B38*D38/1000</f>
        <v>0.13275000000000001</v>
      </c>
      <c r="H38" s="474">
        <f t="shared" si="24"/>
        <v>0.1225</v>
      </c>
      <c r="I38" s="474">
        <f t="shared" ref="I38:I42" si="25">+$B38*F38/1000000</f>
        <v>0.62224999999999997</v>
      </c>
      <c r="J38" s="61">
        <f t="shared" ref="J38:J42" si="26">+(B38+B37)/2</f>
        <v>250</v>
      </c>
      <c r="K38" s="967">
        <f t="shared" ref="K38:K42" si="27">+D38</f>
        <v>0.53100000000000003</v>
      </c>
      <c r="L38" s="967">
        <f t="shared" ref="L38:L42" si="28">+J38*K38/1000</f>
        <v>0.13275000000000001</v>
      </c>
      <c r="M38" s="967">
        <f t="shared" ref="M38:M42" si="29">+M37+L38</f>
        <v>10.3326820294039</v>
      </c>
      <c r="N38" s="54">
        <f t="shared" ref="N38:N42" si="30">+B37</f>
        <v>250</v>
      </c>
      <c r="O38" s="968">
        <f t="shared" ref="O38:O42" si="31">+E38</f>
        <v>0.49</v>
      </c>
      <c r="P38" s="968">
        <f t="shared" ref="P38:P42" si="32">+N38*O38/1000</f>
        <v>0.1225</v>
      </c>
      <c r="Q38" s="969">
        <f t="shared" ref="Q38:Q42" si="33">+Q37+P38</f>
        <v>9.5507572083667505</v>
      </c>
      <c r="R38" s="247">
        <f t="shared" ref="R38:R42" si="34">+(B38+B37)/2</f>
        <v>250</v>
      </c>
      <c r="S38" s="24">
        <f t="shared" ref="S38:S42" si="35">+F38</f>
        <v>2489</v>
      </c>
      <c r="T38" s="970">
        <f t="shared" ref="T38:T42" si="36">+R38*S38/1000000</f>
        <v>0.62224999999999997</v>
      </c>
      <c r="U38" s="971">
        <f t="shared" ref="U38:U42" si="37">+U37+T38</f>
        <v>30.354736314785118</v>
      </c>
    </row>
    <row r="39" spans="1:21" x14ac:dyDescent="0.2">
      <c r="A39" s="33">
        <f>+A38+1</f>
        <v>2026</v>
      </c>
      <c r="B39" s="787">
        <v>250</v>
      </c>
      <c r="C39" s="565">
        <f t="shared" si="23"/>
        <v>14671</v>
      </c>
      <c r="D39" s="965">
        <f t="shared" si="20"/>
        <v>0.53100000000000003</v>
      </c>
      <c r="E39" s="966">
        <f t="shared" si="21"/>
        <v>0.49</v>
      </c>
      <c r="F39" s="790">
        <f t="shared" si="22"/>
        <v>2489</v>
      </c>
      <c r="G39" s="473">
        <f t="shared" si="24"/>
        <v>0.13275000000000001</v>
      </c>
      <c r="H39" s="474">
        <f t="shared" si="24"/>
        <v>0.1225</v>
      </c>
      <c r="I39" s="474">
        <f t="shared" si="25"/>
        <v>0.62224999999999997</v>
      </c>
      <c r="J39" s="61">
        <f t="shared" si="26"/>
        <v>250</v>
      </c>
      <c r="K39" s="967">
        <f t="shared" si="27"/>
        <v>0.53100000000000003</v>
      </c>
      <c r="L39" s="967">
        <f t="shared" si="28"/>
        <v>0.13275000000000001</v>
      </c>
      <c r="M39" s="967">
        <f t="shared" si="29"/>
        <v>10.4654320294039</v>
      </c>
      <c r="N39" s="54">
        <f t="shared" si="30"/>
        <v>250</v>
      </c>
      <c r="O39" s="968">
        <f t="shared" si="31"/>
        <v>0.49</v>
      </c>
      <c r="P39" s="968">
        <f t="shared" si="32"/>
        <v>0.1225</v>
      </c>
      <c r="Q39" s="969">
        <f t="shared" si="33"/>
        <v>9.673257208366751</v>
      </c>
      <c r="R39" s="247">
        <f t="shared" si="34"/>
        <v>250</v>
      </c>
      <c r="S39" s="24">
        <f t="shared" si="35"/>
        <v>2489</v>
      </c>
      <c r="T39" s="970">
        <f t="shared" si="36"/>
        <v>0.62224999999999997</v>
      </c>
      <c r="U39" s="971">
        <f t="shared" si="37"/>
        <v>30.976986314785119</v>
      </c>
    </row>
    <row r="40" spans="1:21" x14ac:dyDescent="0.2">
      <c r="A40" s="33">
        <f>+A39+1</f>
        <v>2027</v>
      </c>
      <c r="B40" s="787">
        <v>250</v>
      </c>
      <c r="C40" s="565">
        <f t="shared" si="23"/>
        <v>14921</v>
      </c>
      <c r="D40" s="965">
        <f t="shared" si="20"/>
        <v>0.53100000000000003</v>
      </c>
      <c r="E40" s="966">
        <f t="shared" si="21"/>
        <v>0.49</v>
      </c>
      <c r="F40" s="790">
        <f t="shared" si="22"/>
        <v>2489</v>
      </c>
      <c r="G40" s="473">
        <f t="shared" si="24"/>
        <v>0.13275000000000001</v>
      </c>
      <c r="H40" s="474">
        <f t="shared" si="24"/>
        <v>0.1225</v>
      </c>
      <c r="I40" s="474">
        <f t="shared" si="25"/>
        <v>0.62224999999999997</v>
      </c>
      <c r="J40" s="61">
        <f t="shared" si="26"/>
        <v>250</v>
      </c>
      <c r="K40" s="967">
        <f t="shared" si="27"/>
        <v>0.53100000000000003</v>
      </c>
      <c r="L40" s="967">
        <f t="shared" si="28"/>
        <v>0.13275000000000001</v>
      </c>
      <c r="M40" s="967">
        <f t="shared" si="29"/>
        <v>10.598182029403899</v>
      </c>
      <c r="N40" s="54">
        <f t="shared" si="30"/>
        <v>250</v>
      </c>
      <c r="O40" s="968">
        <f t="shared" si="31"/>
        <v>0.49</v>
      </c>
      <c r="P40" s="968">
        <f t="shared" si="32"/>
        <v>0.1225</v>
      </c>
      <c r="Q40" s="969">
        <f t="shared" si="33"/>
        <v>9.7957572083667515</v>
      </c>
      <c r="R40" s="247">
        <f t="shared" si="34"/>
        <v>250</v>
      </c>
      <c r="S40" s="24">
        <f t="shared" si="35"/>
        <v>2489</v>
      </c>
      <c r="T40" s="970">
        <f t="shared" si="36"/>
        <v>0.62224999999999997</v>
      </c>
      <c r="U40" s="971">
        <f t="shared" si="37"/>
        <v>31.59923631478512</v>
      </c>
    </row>
    <row r="41" spans="1:21" x14ac:dyDescent="0.2">
      <c r="A41" s="33">
        <f t="shared" ref="A41:A45" si="38">+A40+1</f>
        <v>2028</v>
      </c>
      <c r="B41" s="787">
        <v>250</v>
      </c>
      <c r="C41" s="565">
        <f t="shared" si="23"/>
        <v>15171</v>
      </c>
      <c r="D41" s="965">
        <f>+D40</f>
        <v>0.53100000000000003</v>
      </c>
      <c r="E41" s="966">
        <f>+E40</f>
        <v>0.49</v>
      </c>
      <c r="F41" s="790">
        <f>+F40</f>
        <v>2489</v>
      </c>
      <c r="G41" s="473">
        <f t="shared" ref="G41:H42" si="39">+$B41*D41/1000</f>
        <v>0.13275000000000001</v>
      </c>
      <c r="H41" s="474">
        <f t="shared" si="39"/>
        <v>0.1225</v>
      </c>
      <c r="I41" s="474">
        <f t="shared" si="25"/>
        <v>0.62224999999999997</v>
      </c>
      <c r="J41" s="61">
        <f t="shared" si="26"/>
        <v>250</v>
      </c>
      <c r="K41" s="967">
        <f t="shared" si="27"/>
        <v>0.53100000000000003</v>
      </c>
      <c r="L41" s="967">
        <f t="shared" si="28"/>
        <v>0.13275000000000001</v>
      </c>
      <c r="M41" s="967">
        <f t="shared" si="29"/>
        <v>10.730932029403899</v>
      </c>
      <c r="N41" s="54">
        <f t="shared" si="30"/>
        <v>250</v>
      </c>
      <c r="O41" s="968">
        <f t="shared" si="31"/>
        <v>0.49</v>
      </c>
      <c r="P41" s="968">
        <f t="shared" si="32"/>
        <v>0.1225</v>
      </c>
      <c r="Q41" s="969">
        <f t="shared" si="33"/>
        <v>9.918257208366752</v>
      </c>
      <c r="R41" s="247">
        <f t="shared" si="34"/>
        <v>250</v>
      </c>
      <c r="S41" s="24">
        <f t="shared" si="35"/>
        <v>2489</v>
      </c>
      <c r="T41" s="970">
        <f t="shared" si="36"/>
        <v>0.62224999999999997</v>
      </c>
      <c r="U41" s="971">
        <f t="shared" si="37"/>
        <v>32.221486314785118</v>
      </c>
    </row>
    <row r="42" spans="1:21" x14ac:dyDescent="0.2">
      <c r="A42" s="33">
        <f t="shared" si="38"/>
        <v>2029</v>
      </c>
      <c r="B42" s="787">
        <v>250</v>
      </c>
      <c r="C42" s="565">
        <f t="shared" si="23"/>
        <v>15421</v>
      </c>
      <c r="D42" s="965">
        <f t="shared" si="20"/>
        <v>0.53100000000000003</v>
      </c>
      <c r="E42" s="966">
        <f t="shared" si="21"/>
        <v>0.49</v>
      </c>
      <c r="F42" s="790">
        <f t="shared" si="22"/>
        <v>2489</v>
      </c>
      <c r="G42" s="473">
        <f t="shared" si="39"/>
        <v>0.13275000000000001</v>
      </c>
      <c r="H42" s="474">
        <f t="shared" si="39"/>
        <v>0.1225</v>
      </c>
      <c r="I42" s="474">
        <f t="shared" si="25"/>
        <v>0.62224999999999997</v>
      </c>
      <c r="J42" s="61">
        <f t="shared" si="26"/>
        <v>250</v>
      </c>
      <c r="K42" s="967">
        <f t="shared" si="27"/>
        <v>0.53100000000000003</v>
      </c>
      <c r="L42" s="967">
        <f t="shared" si="28"/>
        <v>0.13275000000000001</v>
      </c>
      <c r="M42" s="967">
        <f t="shared" si="29"/>
        <v>10.863682029403899</v>
      </c>
      <c r="N42" s="54">
        <f t="shared" si="30"/>
        <v>250</v>
      </c>
      <c r="O42" s="968">
        <f t="shared" si="31"/>
        <v>0.49</v>
      </c>
      <c r="P42" s="968">
        <f t="shared" si="32"/>
        <v>0.1225</v>
      </c>
      <c r="Q42" s="969">
        <f t="shared" si="33"/>
        <v>10.040757208366752</v>
      </c>
      <c r="R42" s="247">
        <f t="shared" si="34"/>
        <v>250</v>
      </c>
      <c r="S42" s="24">
        <f t="shared" si="35"/>
        <v>2489</v>
      </c>
      <c r="T42" s="970">
        <f t="shared" si="36"/>
        <v>0.62224999999999997</v>
      </c>
      <c r="U42" s="971">
        <f t="shared" si="37"/>
        <v>32.843736314785119</v>
      </c>
    </row>
    <row r="43" spans="1:21" x14ac:dyDescent="0.2">
      <c r="A43" s="33">
        <f t="shared" si="38"/>
        <v>2030</v>
      </c>
      <c r="B43" s="787">
        <v>250</v>
      </c>
      <c r="C43" s="565">
        <f t="shared" ref="C43:C47" si="40">+C42+B43</f>
        <v>15671</v>
      </c>
      <c r="D43" s="965">
        <f t="shared" si="20"/>
        <v>0.53100000000000003</v>
      </c>
      <c r="E43" s="966">
        <f t="shared" si="21"/>
        <v>0.49</v>
      </c>
      <c r="F43" s="790">
        <f t="shared" si="22"/>
        <v>2489</v>
      </c>
      <c r="G43" s="473">
        <f t="shared" ref="G43:G47" si="41">+$B43*D43/1000</f>
        <v>0.13275000000000001</v>
      </c>
      <c r="H43" s="474">
        <f t="shared" ref="H43:H47" si="42">+$B43*E43/1000</f>
        <v>0.1225</v>
      </c>
      <c r="I43" s="474">
        <f t="shared" ref="I43:I47" si="43">+$B43*F43/1000000</f>
        <v>0.62224999999999997</v>
      </c>
      <c r="J43" s="61">
        <f t="shared" ref="J43:J47" si="44">+(B43+B42)/2</f>
        <v>250</v>
      </c>
      <c r="K43" s="967">
        <f t="shared" ref="K43:K47" si="45">+D43</f>
        <v>0.53100000000000003</v>
      </c>
      <c r="L43" s="967">
        <f t="shared" ref="L43:L47" si="46">+J43*K43/1000</f>
        <v>0.13275000000000001</v>
      </c>
      <c r="M43" s="967">
        <f t="shared" ref="M43:M47" si="47">+M42+L43</f>
        <v>10.996432029403898</v>
      </c>
      <c r="N43" s="54">
        <f t="shared" ref="N43:N47" si="48">+B42</f>
        <v>250</v>
      </c>
      <c r="O43" s="968">
        <f t="shared" ref="O43:O47" si="49">+E43</f>
        <v>0.49</v>
      </c>
      <c r="P43" s="968">
        <f t="shared" ref="P43:P47" si="50">+N43*O43/1000</f>
        <v>0.1225</v>
      </c>
      <c r="Q43" s="969">
        <f t="shared" ref="Q43:Q47" si="51">+Q42+P43</f>
        <v>10.163257208366753</v>
      </c>
      <c r="R43" s="247">
        <f t="shared" ref="R43:R47" si="52">+(B43+B42)/2</f>
        <v>250</v>
      </c>
      <c r="S43" s="24">
        <f t="shared" ref="S43:S47" si="53">+F43</f>
        <v>2489</v>
      </c>
      <c r="T43" s="970">
        <f t="shared" ref="T43:T47" si="54">+R43*S43/1000000</f>
        <v>0.62224999999999997</v>
      </c>
      <c r="U43" s="971">
        <f t="shared" ref="U43:U47" si="55">+U42+T43</f>
        <v>33.46598631478512</v>
      </c>
    </row>
    <row r="44" spans="1:21" x14ac:dyDescent="0.2">
      <c r="A44" s="33">
        <f t="shared" si="38"/>
        <v>2031</v>
      </c>
      <c r="B44" s="787">
        <v>250</v>
      </c>
      <c r="C44" s="565">
        <f t="shared" si="40"/>
        <v>15921</v>
      </c>
      <c r="D44" s="965">
        <f t="shared" si="20"/>
        <v>0.53100000000000003</v>
      </c>
      <c r="E44" s="966">
        <f t="shared" si="21"/>
        <v>0.49</v>
      </c>
      <c r="F44" s="790">
        <f t="shared" si="22"/>
        <v>2489</v>
      </c>
      <c r="G44" s="473">
        <f t="shared" si="41"/>
        <v>0.13275000000000001</v>
      </c>
      <c r="H44" s="474">
        <f t="shared" si="42"/>
        <v>0.1225</v>
      </c>
      <c r="I44" s="474">
        <f t="shared" si="43"/>
        <v>0.62224999999999997</v>
      </c>
      <c r="J44" s="61">
        <f t="shared" si="44"/>
        <v>250</v>
      </c>
      <c r="K44" s="967">
        <f t="shared" si="45"/>
        <v>0.53100000000000003</v>
      </c>
      <c r="L44" s="967">
        <f t="shared" si="46"/>
        <v>0.13275000000000001</v>
      </c>
      <c r="M44" s="967">
        <f t="shared" si="47"/>
        <v>11.129182029403898</v>
      </c>
      <c r="N44" s="54">
        <f t="shared" si="48"/>
        <v>250</v>
      </c>
      <c r="O44" s="968">
        <f t="shared" si="49"/>
        <v>0.49</v>
      </c>
      <c r="P44" s="968">
        <f t="shared" si="50"/>
        <v>0.1225</v>
      </c>
      <c r="Q44" s="969">
        <f t="shared" si="51"/>
        <v>10.285757208366753</v>
      </c>
      <c r="R44" s="247">
        <f t="shared" si="52"/>
        <v>250</v>
      </c>
      <c r="S44" s="24">
        <f t="shared" si="53"/>
        <v>2489</v>
      </c>
      <c r="T44" s="970">
        <f t="shared" si="54"/>
        <v>0.62224999999999997</v>
      </c>
      <c r="U44" s="971">
        <f t="shared" si="55"/>
        <v>34.088236314785121</v>
      </c>
    </row>
    <row r="45" spans="1:21" x14ac:dyDescent="0.2">
      <c r="A45" s="33">
        <f t="shared" si="38"/>
        <v>2032</v>
      </c>
      <c r="B45" s="787">
        <v>250</v>
      </c>
      <c r="C45" s="565">
        <f t="shared" si="40"/>
        <v>16171</v>
      </c>
      <c r="D45" s="965">
        <f t="shared" si="20"/>
        <v>0.53100000000000003</v>
      </c>
      <c r="E45" s="966">
        <f t="shared" si="21"/>
        <v>0.49</v>
      </c>
      <c r="F45" s="790">
        <f t="shared" si="22"/>
        <v>2489</v>
      </c>
      <c r="G45" s="473">
        <f t="shared" si="41"/>
        <v>0.13275000000000001</v>
      </c>
      <c r="H45" s="474">
        <f t="shared" si="42"/>
        <v>0.1225</v>
      </c>
      <c r="I45" s="474">
        <f t="shared" si="43"/>
        <v>0.62224999999999997</v>
      </c>
      <c r="J45" s="61">
        <f t="shared" si="44"/>
        <v>250</v>
      </c>
      <c r="K45" s="967">
        <f t="shared" si="45"/>
        <v>0.53100000000000003</v>
      </c>
      <c r="L45" s="967">
        <f t="shared" si="46"/>
        <v>0.13275000000000001</v>
      </c>
      <c r="M45" s="967">
        <f t="shared" si="47"/>
        <v>11.261932029403898</v>
      </c>
      <c r="N45" s="54">
        <f t="shared" si="48"/>
        <v>250</v>
      </c>
      <c r="O45" s="968">
        <f t="shared" si="49"/>
        <v>0.49</v>
      </c>
      <c r="P45" s="968">
        <f t="shared" si="50"/>
        <v>0.1225</v>
      </c>
      <c r="Q45" s="969">
        <f t="shared" si="51"/>
        <v>10.408257208366754</v>
      </c>
      <c r="R45" s="247">
        <f t="shared" si="52"/>
        <v>250</v>
      </c>
      <c r="S45" s="24">
        <f t="shared" si="53"/>
        <v>2489</v>
      </c>
      <c r="T45" s="970">
        <f t="shared" si="54"/>
        <v>0.62224999999999997</v>
      </c>
      <c r="U45" s="971">
        <f t="shared" si="55"/>
        <v>34.710486314785122</v>
      </c>
    </row>
    <row r="46" spans="1:21" x14ac:dyDescent="0.2">
      <c r="A46" s="33">
        <f>+A45+1</f>
        <v>2033</v>
      </c>
      <c r="B46" s="787">
        <v>250</v>
      </c>
      <c r="C46" s="565">
        <f t="shared" si="40"/>
        <v>16421</v>
      </c>
      <c r="D46" s="965">
        <f t="shared" si="20"/>
        <v>0.53100000000000003</v>
      </c>
      <c r="E46" s="966">
        <f t="shared" si="21"/>
        <v>0.49</v>
      </c>
      <c r="F46" s="790">
        <f t="shared" si="22"/>
        <v>2489</v>
      </c>
      <c r="G46" s="473">
        <f t="shared" si="41"/>
        <v>0.13275000000000001</v>
      </c>
      <c r="H46" s="474">
        <f t="shared" si="42"/>
        <v>0.1225</v>
      </c>
      <c r="I46" s="474">
        <f t="shared" si="43"/>
        <v>0.62224999999999997</v>
      </c>
      <c r="J46" s="61">
        <f t="shared" si="44"/>
        <v>250</v>
      </c>
      <c r="K46" s="967">
        <f t="shared" si="45"/>
        <v>0.53100000000000003</v>
      </c>
      <c r="L46" s="967">
        <f t="shared" si="46"/>
        <v>0.13275000000000001</v>
      </c>
      <c r="M46" s="967">
        <f t="shared" si="47"/>
        <v>11.394682029403898</v>
      </c>
      <c r="N46" s="54">
        <f t="shared" si="48"/>
        <v>250</v>
      </c>
      <c r="O46" s="968">
        <f t="shared" si="49"/>
        <v>0.49</v>
      </c>
      <c r="P46" s="968">
        <f t="shared" si="50"/>
        <v>0.1225</v>
      </c>
      <c r="Q46" s="969">
        <f t="shared" si="51"/>
        <v>10.530757208366754</v>
      </c>
      <c r="R46" s="247">
        <f t="shared" si="52"/>
        <v>250</v>
      </c>
      <c r="S46" s="24">
        <f t="shared" si="53"/>
        <v>2489</v>
      </c>
      <c r="T46" s="970">
        <f t="shared" si="54"/>
        <v>0.62224999999999997</v>
      </c>
      <c r="U46" s="971">
        <f t="shared" si="55"/>
        <v>35.332736314785123</v>
      </c>
    </row>
    <row r="47" spans="1:21" x14ac:dyDescent="0.2">
      <c r="A47" s="33">
        <f>+A46+1</f>
        <v>2034</v>
      </c>
      <c r="B47" s="787">
        <v>250</v>
      </c>
      <c r="C47" s="565">
        <f t="shared" si="40"/>
        <v>16671</v>
      </c>
      <c r="D47" s="965">
        <f t="shared" si="20"/>
        <v>0.53100000000000003</v>
      </c>
      <c r="E47" s="966">
        <f t="shared" si="21"/>
        <v>0.49</v>
      </c>
      <c r="F47" s="790">
        <f t="shared" si="22"/>
        <v>2489</v>
      </c>
      <c r="G47" s="473">
        <f t="shared" si="41"/>
        <v>0.13275000000000001</v>
      </c>
      <c r="H47" s="474">
        <f t="shared" si="42"/>
        <v>0.1225</v>
      </c>
      <c r="I47" s="474">
        <f t="shared" si="43"/>
        <v>0.62224999999999997</v>
      </c>
      <c r="J47" s="61">
        <f t="shared" si="44"/>
        <v>250</v>
      </c>
      <c r="K47" s="967">
        <f t="shared" si="45"/>
        <v>0.53100000000000003</v>
      </c>
      <c r="L47" s="967">
        <f t="shared" si="46"/>
        <v>0.13275000000000001</v>
      </c>
      <c r="M47" s="967">
        <f t="shared" si="47"/>
        <v>11.527432029403897</v>
      </c>
      <c r="N47" s="54">
        <f t="shared" si="48"/>
        <v>250</v>
      </c>
      <c r="O47" s="968">
        <f t="shared" si="49"/>
        <v>0.49</v>
      </c>
      <c r="P47" s="968">
        <f t="shared" si="50"/>
        <v>0.1225</v>
      </c>
      <c r="Q47" s="969">
        <f t="shared" si="51"/>
        <v>10.653257208366755</v>
      </c>
      <c r="R47" s="247">
        <f t="shared" si="52"/>
        <v>250</v>
      </c>
      <c r="S47" s="24">
        <f t="shared" si="53"/>
        <v>2489</v>
      </c>
      <c r="T47" s="970">
        <f t="shared" si="54"/>
        <v>0.62224999999999997</v>
      </c>
      <c r="U47" s="971">
        <f t="shared" si="55"/>
        <v>35.954986314785124</v>
      </c>
    </row>
    <row r="48" spans="1:21" x14ac:dyDescent="0.2">
      <c r="A48" s="33">
        <f>+A47+1</f>
        <v>2035</v>
      </c>
      <c r="B48" s="787">
        <f>B47</f>
        <v>250</v>
      </c>
      <c r="C48" s="565">
        <f t="shared" ref="C48:C54" si="56">+C47+B48</f>
        <v>16921</v>
      </c>
      <c r="D48" s="965">
        <f t="shared" si="20"/>
        <v>0.53100000000000003</v>
      </c>
      <c r="E48" s="966">
        <f t="shared" si="21"/>
        <v>0.49</v>
      </c>
      <c r="F48" s="790">
        <f t="shared" si="22"/>
        <v>2489</v>
      </c>
      <c r="G48" s="473">
        <f t="shared" ref="G48:G54" si="57">+$B48*D48/1000</f>
        <v>0.13275000000000001</v>
      </c>
      <c r="H48" s="474">
        <f t="shared" ref="H48:H54" si="58">+$B48*E48/1000</f>
        <v>0.1225</v>
      </c>
      <c r="I48" s="474">
        <f t="shared" ref="I48:I54" si="59">+$B48*F48/1000000</f>
        <v>0.62224999999999997</v>
      </c>
      <c r="J48" s="61">
        <f t="shared" ref="J48:J54" si="60">+(B48+B47)/2</f>
        <v>250</v>
      </c>
      <c r="K48" s="967">
        <f t="shared" ref="K48:K54" si="61">+D48</f>
        <v>0.53100000000000003</v>
      </c>
      <c r="L48" s="967">
        <f t="shared" ref="L48:L54" si="62">+J48*K48/1000</f>
        <v>0.13275000000000001</v>
      </c>
      <c r="M48" s="967">
        <f t="shared" ref="M48:M54" si="63">+M47+L48</f>
        <v>11.660182029403897</v>
      </c>
      <c r="N48" s="54">
        <f t="shared" ref="N48:N54" si="64">+B47</f>
        <v>250</v>
      </c>
      <c r="O48" s="968">
        <f t="shared" ref="O48:O54" si="65">+E48</f>
        <v>0.49</v>
      </c>
      <c r="P48" s="968">
        <f t="shared" ref="P48:P54" si="66">+N48*O48/1000</f>
        <v>0.1225</v>
      </c>
      <c r="Q48" s="969">
        <f t="shared" ref="Q48:Q54" si="67">+Q47+P48</f>
        <v>10.775757208366755</v>
      </c>
      <c r="R48" s="247">
        <f t="shared" ref="R48:R54" si="68">+(B48+B47)/2</f>
        <v>250</v>
      </c>
      <c r="S48" s="24">
        <f t="shared" ref="S48:S54" si="69">+F48</f>
        <v>2489</v>
      </c>
      <c r="T48" s="970">
        <f t="shared" ref="T48:T54" si="70">+R48*S48/1000000</f>
        <v>0.62224999999999997</v>
      </c>
      <c r="U48" s="971">
        <f t="shared" ref="U48:U54" si="71">+U47+T48</f>
        <v>36.577236314785125</v>
      </c>
    </row>
    <row r="49" spans="1:21" x14ac:dyDescent="0.2">
      <c r="A49" s="33">
        <f t="shared" ref="A49:A54" si="72">+A48+1</f>
        <v>2036</v>
      </c>
      <c r="B49" s="787">
        <f t="shared" ref="B49:B54" si="73">B48</f>
        <v>250</v>
      </c>
      <c r="C49" s="565">
        <f t="shared" si="56"/>
        <v>17171</v>
      </c>
      <c r="D49" s="965">
        <f t="shared" si="20"/>
        <v>0.53100000000000003</v>
      </c>
      <c r="E49" s="966">
        <f t="shared" si="21"/>
        <v>0.49</v>
      </c>
      <c r="F49" s="790">
        <f t="shared" si="22"/>
        <v>2489</v>
      </c>
      <c r="G49" s="473">
        <f t="shared" si="57"/>
        <v>0.13275000000000001</v>
      </c>
      <c r="H49" s="474">
        <f t="shared" si="58"/>
        <v>0.1225</v>
      </c>
      <c r="I49" s="474">
        <f t="shared" si="59"/>
        <v>0.62224999999999997</v>
      </c>
      <c r="J49" s="61">
        <f t="shared" si="60"/>
        <v>250</v>
      </c>
      <c r="K49" s="967">
        <f t="shared" si="61"/>
        <v>0.53100000000000003</v>
      </c>
      <c r="L49" s="967">
        <f t="shared" si="62"/>
        <v>0.13275000000000001</v>
      </c>
      <c r="M49" s="967">
        <f t="shared" si="63"/>
        <v>11.792932029403897</v>
      </c>
      <c r="N49" s="54">
        <f t="shared" si="64"/>
        <v>250</v>
      </c>
      <c r="O49" s="968">
        <f t="shared" si="65"/>
        <v>0.49</v>
      </c>
      <c r="P49" s="968">
        <f t="shared" si="66"/>
        <v>0.1225</v>
      </c>
      <c r="Q49" s="969">
        <f t="shared" si="67"/>
        <v>10.898257208366756</v>
      </c>
      <c r="R49" s="247">
        <f t="shared" si="68"/>
        <v>250</v>
      </c>
      <c r="S49" s="24">
        <f t="shared" si="69"/>
        <v>2489</v>
      </c>
      <c r="T49" s="970">
        <f t="shared" si="70"/>
        <v>0.62224999999999997</v>
      </c>
      <c r="U49" s="971">
        <f t="shared" si="71"/>
        <v>37.199486314785126</v>
      </c>
    </row>
    <row r="50" spans="1:21" x14ac:dyDescent="0.2">
      <c r="A50" s="33">
        <f t="shared" si="72"/>
        <v>2037</v>
      </c>
      <c r="B50" s="787">
        <f t="shared" si="73"/>
        <v>250</v>
      </c>
      <c r="C50" s="565">
        <f t="shared" si="56"/>
        <v>17421</v>
      </c>
      <c r="D50" s="965">
        <f t="shared" si="20"/>
        <v>0.53100000000000003</v>
      </c>
      <c r="E50" s="966">
        <f t="shared" si="21"/>
        <v>0.49</v>
      </c>
      <c r="F50" s="790">
        <f t="shared" si="22"/>
        <v>2489</v>
      </c>
      <c r="G50" s="473">
        <f t="shared" si="57"/>
        <v>0.13275000000000001</v>
      </c>
      <c r="H50" s="474">
        <f t="shared" si="58"/>
        <v>0.1225</v>
      </c>
      <c r="I50" s="474">
        <f t="shared" si="59"/>
        <v>0.62224999999999997</v>
      </c>
      <c r="J50" s="61">
        <f t="shared" si="60"/>
        <v>250</v>
      </c>
      <c r="K50" s="967">
        <f t="shared" si="61"/>
        <v>0.53100000000000003</v>
      </c>
      <c r="L50" s="967">
        <f t="shared" si="62"/>
        <v>0.13275000000000001</v>
      </c>
      <c r="M50" s="967">
        <f t="shared" si="63"/>
        <v>11.925682029403896</v>
      </c>
      <c r="N50" s="54">
        <f t="shared" si="64"/>
        <v>250</v>
      </c>
      <c r="O50" s="968">
        <f t="shared" si="65"/>
        <v>0.49</v>
      </c>
      <c r="P50" s="968">
        <f t="shared" si="66"/>
        <v>0.1225</v>
      </c>
      <c r="Q50" s="969">
        <f t="shared" si="67"/>
        <v>11.020757208366756</v>
      </c>
      <c r="R50" s="247">
        <f t="shared" si="68"/>
        <v>250</v>
      </c>
      <c r="S50" s="24">
        <f t="shared" si="69"/>
        <v>2489</v>
      </c>
      <c r="T50" s="970">
        <f t="shared" si="70"/>
        <v>0.62224999999999997</v>
      </c>
      <c r="U50" s="971">
        <f t="shared" si="71"/>
        <v>37.821736314785127</v>
      </c>
    </row>
    <row r="51" spans="1:21" x14ac:dyDescent="0.2">
      <c r="A51" s="33">
        <f t="shared" si="72"/>
        <v>2038</v>
      </c>
      <c r="B51" s="787">
        <f t="shared" si="73"/>
        <v>250</v>
      </c>
      <c r="C51" s="565">
        <f t="shared" si="56"/>
        <v>17671</v>
      </c>
      <c r="D51" s="965">
        <f t="shared" si="20"/>
        <v>0.53100000000000003</v>
      </c>
      <c r="E51" s="966">
        <f t="shared" si="21"/>
        <v>0.49</v>
      </c>
      <c r="F51" s="790">
        <f t="shared" si="22"/>
        <v>2489</v>
      </c>
      <c r="G51" s="473">
        <f t="shared" si="57"/>
        <v>0.13275000000000001</v>
      </c>
      <c r="H51" s="474">
        <f t="shared" si="58"/>
        <v>0.1225</v>
      </c>
      <c r="I51" s="474">
        <f t="shared" si="59"/>
        <v>0.62224999999999997</v>
      </c>
      <c r="J51" s="61">
        <f t="shared" si="60"/>
        <v>250</v>
      </c>
      <c r="K51" s="967">
        <f t="shared" si="61"/>
        <v>0.53100000000000003</v>
      </c>
      <c r="L51" s="967">
        <f t="shared" si="62"/>
        <v>0.13275000000000001</v>
      </c>
      <c r="M51" s="967">
        <f t="shared" si="63"/>
        <v>12.058432029403896</v>
      </c>
      <c r="N51" s="54">
        <f t="shared" si="64"/>
        <v>250</v>
      </c>
      <c r="O51" s="968">
        <f t="shared" si="65"/>
        <v>0.49</v>
      </c>
      <c r="P51" s="968">
        <f t="shared" si="66"/>
        <v>0.1225</v>
      </c>
      <c r="Q51" s="969">
        <f t="shared" si="67"/>
        <v>11.143257208366757</v>
      </c>
      <c r="R51" s="247">
        <f t="shared" si="68"/>
        <v>250</v>
      </c>
      <c r="S51" s="24">
        <f t="shared" si="69"/>
        <v>2489</v>
      </c>
      <c r="T51" s="970">
        <f t="shared" si="70"/>
        <v>0.62224999999999997</v>
      </c>
      <c r="U51" s="971">
        <f t="shared" si="71"/>
        <v>38.443986314785128</v>
      </c>
    </row>
    <row r="52" spans="1:21" x14ac:dyDescent="0.2">
      <c r="A52" s="33">
        <f t="shared" si="72"/>
        <v>2039</v>
      </c>
      <c r="B52" s="787">
        <f t="shared" si="73"/>
        <v>250</v>
      </c>
      <c r="C52" s="565">
        <f t="shared" si="56"/>
        <v>17921</v>
      </c>
      <c r="D52" s="965">
        <f t="shared" si="20"/>
        <v>0.53100000000000003</v>
      </c>
      <c r="E52" s="966">
        <f t="shared" si="21"/>
        <v>0.49</v>
      </c>
      <c r="F52" s="790">
        <f t="shared" si="22"/>
        <v>2489</v>
      </c>
      <c r="G52" s="473">
        <f t="shared" si="57"/>
        <v>0.13275000000000001</v>
      </c>
      <c r="H52" s="474">
        <f t="shared" si="58"/>
        <v>0.1225</v>
      </c>
      <c r="I52" s="474">
        <f t="shared" si="59"/>
        <v>0.62224999999999997</v>
      </c>
      <c r="J52" s="61">
        <f t="shared" si="60"/>
        <v>250</v>
      </c>
      <c r="K52" s="967">
        <f t="shared" si="61"/>
        <v>0.53100000000000003</v>
      </c>
      <c r="L52" s="967">
        <f t="shared" si="62"/>
        <v>0.13275000000000001</v>
      </c>
      <c r="M52" s="967">
        <f t="shared" si="63"/>
        <v>12.191182029403896</v>
      </c>
      <c r="N52" s="54">
        <f t="shared" si="64"/>
        <v>250</v>
      </c>
      <c r="O52" s="968">
        <f t="shared" si="65"/>
        <v>0.49</v>
      </c>
      <c r="P52" s="968">
        <f t="shared" si="66"/>
        <v>0.1225</v>
      </c>
      <c r="Q52" s="969">
        <f t="shared" si="67"/>
        <v>11.265757208366757</v>
      </c>
      <c r="R52" s="247">
        <f t="shared" si="68"/>
        <v>250</v>
      </c>
      <c r="S52" s="24">
        <f t="shared" si="69"/>
        <v>2489</v>
      </c>
      <c r="T52" s="970">
        <f t="shared" si="70"/>
        <v>0.62224999999999997</v>
      </c>
      <c r="U52" s="971">
        <f t="shared" si="71"/>
        <v>39.066236314785129</v>
      </c>
    </row>
    <row r="53" spans="1:21" x14ac:dyDescent="0.2">
      <c r="A53" s="33">
        <f t="shared" si="72"/>
        <v>2040</v>
      </c>
      <c r="B53" s="787">
        <f t="shared" si="73"/>
        <v>250</v>
      </c>
      <c r="C53" s="565">
        <f t="shared" si="56"/>
        <v>18171</v>
      </c>
      <c r="D53" s="965">
        <f t="shared" si="20"/>
        <v>0.53100000000000003</v>
      </c>
      <c r="E53" s="966">
        <f t="shared" si="21"/>
        <v>0.49</v>
      </c>
      <c r="F53" s="790">
        <f t="shared" si="22"/>
        <v>2489</v>
      </c>
      <c r="G53" s="473">
        <f t="shared" si="57"/>
        <v>0.13275000000000001</v>
      </c>
      <c r="H53" s="474">
        <f t="shared" si="58"/>
        <v>0.1225</v>
      </c>
      <c r="I53" s="474">
        <f t="shared" si="59"/>
        <v>0.62224999999999997</v>
      </c>
      <c r="J53" s="61">
        <f t="shared" si="60"/>
        <v>250</v>
      </c>
      <c r="K53" s="967">
        <f t="shared" si="61"/>
        <v>0.53100000000000003</v>
      </c>
      <c r="L53" s="967">
        <f t="shared" si="62"/>
        <v>0.13275000000000001</v>
      </c>
      <c r="M53" s="967">
        <f t="shared" si="63"/>
        <v>12.323932029403895</v>
      </c>
      <c r="N53" s="54">
        <f t="shared" si="64"/>
        <v>250</v>
      </c>
      <c r="O53" s="968">
        <f t="shared" si="65"/>
        <v>0.49</v>
      </c>
      <c r="P53" s="968">
        <f t="shared" si="66"/>
        <v>0.1225</v>
      </c>
      <c r="Q53" s="969">
        <f t="shared" si="67"/>
        <v>11.388257208366758</v>
      </c>
      <c r="R53" s="247">
        <f t="shared" si="68"/>
        <v>250</v>
      </c>
      <c r="S53" s="24">
        <f t="shared" si="69"/>
        <v>2489</v>
      </c>
      <c r="T53" s="970">
        <f t="shared" si="70"/>
        <v>0.62224999999999997</v>
      </c>
      <c r="U53" s="971">
        <f t="shared" si="71"/>
        <v>39.688486314785131</v>
      </c>
    </row>
    <row r="54" spans="1:21" x14ac:dyDescent="0.2">
      <c r="A54" s="33">
        <f t="shared" si="72"/>
        <v>2041</v>
      </c>
      <c r="B54" s="787">
        <f t="shared" si="73"/>
        <v>250</v>
      </c>
      <c r="C54" s="565">
        <f t="shared" si="56"/>
        <v>18421</v>
      </c>
      <c r="D54" s="965">
        <f t="shared" si="20"/>
        <v>0.53100000000000003</v>
      </c>
      <c r="E54" s="966">
        <f t="shared" si="21"/>
        <v>0.49</v>
      </c>
      <c r="F54" s="790">
        <f t="shared" si="22"/>
        <v>2489</v>
      </c>
      <c r="G54" s="473">
        <f t="shared" si="57"/>
        <v>0.13275000000000001</v>
      </c>
      <c r="H54" s="474">
        <f t="shared" si="58"/>
        <v>0.1225</v>
      </c>
      <c r="I54" s="474">
        <f t="shared" si="59"/>
        <v>0.62224999999999997</v>
      </c>
      <c r="J54" s="61">
        <f t="shared" si="60"/>
        <v>250</v>
      </c>
      <c r="K54" s="967">
        <f t="shared" si="61"/>
        <v>0.53100000000000003</v>
      </c>
      <c r="L54" s="967">
        <f t="shared" si="62"/>
        <v>0.13275000000000001</v>
      </c>
      <c r="M54" s="967">
        <f t="shared" si="63"/>
        <v>12.456682029403895</v>
      </c>
      <c r="N54" s="54">
        <f t="shared" si="64"/>
        <v>250</v>
      </c>
      <c r="O54" s="968">
        <f t="shared" si="65"/>
        <v>0.49</v>
      </c>
      <c r="P54" s="968">
        <f t="shared" si="66"/>
        <v>0.1225</v>
      </c>
      <c r="Q54" s="969">
        <f t="shared" si="67"/>
        <v>11.510757208366758</v>
      </c>
      <c r="R54" s="247">
        <f t="shared" si="68"/>
        <v>250</v>
      </c>
      <c r="S54" s="24">
        <f t="shared" si="69"/>
        <v>2489</v>
      </c>
      <c r="T54" s="970">
        <f t="shared" si="70"/>
        <v>0.62224999999999997</v>
      </c>
      <c r="U54" s="971">
        <f t="shared" si="71"/>
        <v>40.310736314785132</v>
      </c>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s="13" t="s">
        <v>106</v>
      </c>
    </row>
    <row r="62" spans="1:21" x14ac:dyDescent="0.2">
      <c r="B62" t="s">
        <v>107</v>
      </c>
    </row>
    <row r="63" spans="1:21" x14ac:dyDescent="0.2">
      <c r="B63" t="s">
        <v>108</v>
      </c>
    </row>
    <row r="64" spans="1:21" x14ac:dyDescent="0.2">
      <c r="B64" s="176"/>
    </row>
    <row r="65" spans="2:6" ht="15" x14ac:dyDescent="0.2">
      <c r="B65" s="1032">
        <v>2015</v>
      </c>
      <c r="D65">
        <f>1855.52/B28</f>
        <v>0.74399358460304732</v>
      </c>
      <c r="E65">
        <f>1406.65/B28</f>
        <v>0.56401363271852445</v>
      </c>
      <c r="F65">
        <f>4396533/B28</f>
        <v>1762.8440256615879</v>
      </c>
    </row>
    <row r="66" spans="2:6" ht="15" x14ac:dyDescent="0.2">
      <c r="B66" s="258"/>
    </row>
    <row r="67" spans="2:6" ht="15" x14ac:dyDescent="0.2">
      <c r="B67" s="258"/>
    </row>
    <row r="68" spans="2:6" ht="15" x14ac:dyDescent="0.2">
      <c r="B68" s="258"/>
    </row>
    <row r="69" spans="2:6" ht="15" x14ac:dyDescent="0.2">
      <c r="B69" s="258"/>
    </row>
    <row r="70" spans="2:6" ht="15" x14ac:dyDescent="0.2">
      <c r="B70" s="258"/>
    </row>
    <row r="71" spans="2:6" ht="15" x14ac:dyDescent="0.2">
      <c r="B71" s="258"/>
    </row>
    <row r="72" spans="2:6" ht="15" x14ac:dyDescent="0.2">
      <c r="B72" s="258"/>
    </row>
    <row r="73" spans="2:6" ht="15" x14ac:dyDescent="0.2">
      <c r="B73" s="258"/>
    </row>
    <row r="74" spans="2:6" ht="15" x14ac:dyDescent="0.2">
      <c r="B74" s="258"/>
    </row>
    <row r="75" spans="2:6" x14ac:dyDescent="0.2">
      <c r="B75" s="176"/>
    </row>
    <row r="76" spans="2:6" x14ac:dyDescent="0.2">
      <c r="B76" s="176"/>
    </row>
    <row r="77" spans="2:6" x14ac:dyDescent="0.2">
      <c r="B77" s="176"/>
    </row>
    <row r="78" spans="2:6" x14ac:dyDescent="0.2">
      <c r="B78" s="176"/>
    </row>
    <row r="79" spans="2:6" x14ac:dyDescent="0.2">
      <c r="B79" s="176"/>
    </row>
    <row r="80" spans="2:6" x14ac:dyDescent="0.2">
      <c r="B80" s="176"/>
    </row>
    <row r="81" spans="2:2" x14ac:dyDescent="0.2">
      <c r="B81" s="176"/>
    </row>
    <row r="82" spans="2:2" x14ac:dyDescent="0.2">
      <c r="B82" s="176"/>
    </row>
    <row r="83" spans="2:2" x14ac:dyDescent="0.2">
      <c r="B83" s="176"/>
    </row>
    <row r="84" spans="2:2" x14ac:dyDescent="0.2">
      <c r="B84" s="176"/>
    </row>
    <row r="85" spans="2:2" x14ac:dyDescent="0.2">
      <c r="B85" s="176"/>
    </row>
    <row r="86" spans="2:2" x14ac:dyDescent="0.2">
      <c r="B86" s="176"/>
    </row>
  </sheetData>
  <mergeCells count="5">
    <mergeCell ref="R4:U4"/>
    <mergeCell ref="G3:I3"/>
    <mergeCell ref="B4:I4"/>
    <mergeCell ref="J4:M4"/>
    <mergeCell ref="N4:Q4"/>
  </mergeCells>
  <phoneticPr fontId="7" type="noConversion"/>
  <pageMargins left="0.75" right="0.75" top="1" bottom="1" header="0.5" footer="0.5"/>
  <pageSetup scale="54"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00FFFF"/>
    <pageSetUpPr fitToPage="1"/>
  </sheetPr>
  <dimension ref="A1:X67"/>
  <sheetViews>
    <sheetView zoomScaleNormal="100" workbookViewId="0">
      <pane xSplit="1" ySplit="5" topLeftCell="B22"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217</v>
      </c>
      <c r="C2" s="27"/>
      <c r="D2" s="27"/>
      <c r="E2" s="27"/>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95742</v>
      </c>
      <c r="D6" s="628"/>
      <c r="E6" s="15"/>
      <c r="F6" s="31"/>
      <c r="G6" s="208"/>
      <c r="H6" s="15"/>
      <c r="I6" s="31"/>
      <c r="J6" s="37"/>
      <c r="K6" s="59">
        <f>+M6/C6*1000</f>
        <v>0.13327484280670968</v>
      </c>
      <c r="L6" s="6"/>
      <c r="M6" s="46">
        <v>12.76</v>
      </c>
      <c r="N6" s="40"/>
      <c r="O6" s="670">
        <f>+Q6/C6*1000</f>
        <v>2.0443483528649913</v>
      </c>
      <c r="P6" s="57"/>
      <c r="Q6" s="41">
        <v>195.73</v>
      </c>
      <c r="R6" s="43"/>
      <c r="S6" s="24">
        <f>+U6/C6*1000000</f>
        <v>1678.8870088362476</v>
      </c>
      <c r="T6" s="21"/>
      <c r="U6" s="47">
        <v>160.74</v>
      </c>
      <c r="V6" s="3"/>
    </row>
    <row r="7" spans="1:24" s="1" customFormat="1" ht="15.75" customHeight="1" x14ac:dyDescent="0.2">
      <c r="A7" s="68" t="s">
        <v>63</v>
      </c>
      <c r="B7" s="30"/>
      <c r="C7" s="659">
        <f>22485+C6</f>
        <v>118227</v>
      </c>
      <c r="D7" s="628"/>
      <c r="E7" s="15"/>
      <c r="F7" s="31"/>
      <c r="G7" s="208"/>
      <c r="H7" s="15"/>
      <c r="I7" s="31"/>
      <c r="J7" s="37"/>
      <c r="K7" s="59">
        <f>+(M7-M6)/($C7-$C6)*1000</f>
        <v>0</v>
      </c>
      <c r="L7" s="6"/>
      <c r="M7" s="46">
        <f>+M6+0</f>
        <v>12.76</v>
      </c>
      <c r="N7" s="40"/>
      <c r="O7" s="670">
        <f>+(Q7-Q6)/($C7-$C6)*1000</f>
        <v>2.3597954191683348</v>
      </c>
      <c r="P7" s="57"/>
      <c r="Q7" s="41">
        <f>+Q6+53.06</f>
        <v>248.79</v>
      </c>
      <c r="R7" s="43"/>
      <c r="S7" s="24">
        <f>+(U7-U6)/($C7-$C6)*1000000</f>
        <v>564.37625083388912</v>
      </c>
      <c r="T7" s="21"/>
      <c r="U7" s="47">
        <f>+U6+12.69</f>
        <v>173.43</v>
      </c>
      <c r="V7" s="3"/>
    </row>
    <row r="8" spans="1:24" x14ac:dyDescent="0.2">
      <c r="A8" s="33">
        <v>1995</v>
      </c>
      <c r="B8" s="30">
        <v>7068</v>
      </c>
      <c r="C8" s="660">
        <f>+C7+B8</f>
        <v>125295</v>
      </c>
      <c r="D8" s="662">
        <v>0</v>
      </c>
      <c r="E8" s="663">
        <v>2.36</v>
      </c>
      <c r="F8" s="617">
        <v>564</v>
      </c>
      <c r="G8" s="626">
        <f t="shared" ref="G8:G24" si="0">+$B8*D8/1000</f>
        <v>0</v>
      </c>
      <c r="H8" s="72">
        <f t="shared" ref="H8:H24" si="1">+$B8*E8/1000</f>
        <v>16.680479999999999</v>
      </c>
      <c r="I8" s="630">
        <f t="shared" ref="I8:I24" si="2">+$B8*F8/1000000</f>
        <v>3.9863520000000001</v>
      </c>
      <c r="J8" s="61">
        <f>+(B8+N8)/2</f>
        <v>7159.5</v>
      </c>
      <c r="K8" s="188">
        <f>+D8</f>
        <v>0</v>
      </c>
      <c r="L8" s="188">
        <f>+J8*K8/1000</f>
        <v>0</v>
      </c>
      <c r="M8" s="188">
        <f>+M7+L8</f>
        <v>12.76</v>
      </c>
      <c r="N8" s="51">
        <v>7251</v>
      </c>
      <c r="O8" s="670">
        <f>+E8</f>
        <v>2.36</v>
      </c>
      <c r="P8" s="670">
        <f>+N8*O8/1000</f>
        <v>17.112359999999999</v>
      </c>
      <c r="Q8" s="670">
        <f>+Q7+P8</f>
        <v>265.90235999999999</v>
      </c>
      <c r="R8" s="247">
        <f>J8</f>
        <v>7159.5</v>
      </c>
      <c r="S8" s="24">
        <f>+F8</f>
        <v>564</v>
      </c>
      <c r="T8" s="25">
        <f>+R8*S8/1000000</f>
        <v>4.0379579999999997</v>
      </c>
      <c r="U8" s="654">
        <f>+U7+T8</f>
        <v>177.46795800000001</v>
      </c>
      <c r="V8" s="9"/>
      <c r="X8" s="1"/>
    </row>
    <row r="9" spans="1:24" x14ac:dyDescent="0.2">
      <c r="A9" s="33">
        <v>1996</v>
      </c>
      <c r="B9" s="30">
        <v>6054</v>
      </c>
      <c r="C9" s="660">
        <f t="shared" ref="C9:C37" si="3">+C8+B9</f>
        <v>131349</v>
      </c>
      <c r="D9" s="662">
        <v>0.18922745292368684</v>
      </c>
      <c r="E9" s="663">
        <v>2.2067859266600598</v>
      </c>
      <c r="F9" s="617">
        <v>910.45936570862227</v>
      </c>
      <c r="G9" s="626">
        <f t="shared" si="0"/>
        <v>1.145583</v>
      </c>
      <c r="H9" s="72">
        <f t="shared" si="1"/>
        <v>13.359882000000001</v>
      </c>
      <c r="I9" s="630">
        <f t="shared" si="2"/>
        <v>5.5119209999999992</v>
      </c>
      <c r="J9" s="61">
        <f t="shared" ref="J9:J37" si="4">+(B9+B8)/2</f>
        <v>6561</v>
      </c>
      <c r="K9" s="188">
        <f t="shared" ref="K9:K37" si="5">+D9</f>
        <v>0.18922745292368684</v>
      </c>
      <c r="L9" s="188">
        <f t="shared" ref="L9:L37" si="6">+J9*K9/1000</f>
        <v>1.2415213186323095</v>
      </c>
      <c r="M9" s="188">
        <f t="shared" ref="M9:M37" si="7">+M8+L9</f>
        <v>14.00152131863231</v>
      </c>
      <c r="N9" s="54">
        <f>+B8</f>
        <v>7068</v>
      </c>
      <c r="O9" s="670">
        <f t="shared" ref="O9:O37" si="8">+E9</f>
        <v>2.2067859266600598</v>
      </c>
      <c r="P9" s="670">
        <f t="shared" ref="P9:P37" si="9">+N9*O9/1000</f>
        <v>15.597562929633302</v>
      </c>
      <c r="Q9" s="670">
        <f t="shared" ref="Q9:Q37" si="10">+Q8+P9</f>
        <v>281.49992292963327</v>
      </c>
      <c r="R9" s="247">
        <f t="shared" ref="R9:R37" si="11">+(B9+B8)/2</f>
        <v>6561</v>
      </c>
      <c r="S9" s="24">
        <f t="shared" ref="S9:S37" si="12">+F9</f>
        <v>910.45936570862227</v>
      </c>
      <c r="T9" s="25">
        <f t="shared" ref="T9:T37" si="13">+R9*S9/1000000</f>
        <v>5.9735238984142711</v>
      </c>
      <c r="U9" s="654">
        <f t="shared" ref="U9:U37" si="14">+U8+T9</f>
        <v>183.44148189841428</v>
      </c>
      <c r="V9" s="10"/>
      <c r="X9" s="1"/>
    </row>
    <row r="10" spans="1:24" x14ac:dyDescent="0.2">
      <c r="A10" s="33">
        <v>1997</v>
      </c>
      <c r="B10" s="30">
        <v>3769</v>
      </c>
      <c r="C10" s="660">
        <f t="shared" si="3"/>
        <v>135118</v>
      </c>
      <c r="D10" s="662">
        <v>0.28946219156274872</v>
      </c>
      <c r="E10" s="663">
        <v>2.362941098434598</v>
      </c>
      <c r="F10" s="617">
        <v>1196.3921464579464</v>
      </c>
      <c r="G10" s="626">
        <f t="shared" si="0"/>
        <v>1.090983</v>
      </c>
      <c r="H10" s="72">
        <f t="shared" si="1"/>
        <v>8.9059249999999999</v>
      </c>
      <c r="I10" s="630">
        <f t="shared" si="2"/>
        <v>4.5092020000000002</v>
      </c>
      <c r="J10" s="61">
        <f t="shared" si="4"/>
        <v>4911.5</v>
      </c>
      <c r="K10" s="188">
        <f t="shared" si="5"/>
        <v>0.28946219156274872</v>
      </c>
      <c r="L10" s="188">
        <f t="shared" si="6"/>
        <v>1.4216935538604403</v>
      </c>
      <c r="M10" s="188">
        <f t="shared" si="7"/>
        <v>15.42321487249275</v>
      </c>
      <c r="N10" s="54">
        <f t="shared" ref="N10:N37" si="15">+B9</f>
        <v>6054</v>
      </c>
      <c r="O10" s="670">
        <f t="shared" si="8"/>
        <v>2.362941098434598</v>
      </c>
      <c r="P10" s="670">
        <f t="shared" si="9"/>
        <v>14.305245409923057</v>
      </c>
      <c r="Q10" s="670">
        <f t="shared" si="10"/>
        <v>295.8051683395563</v>
      </c>
      <c r="R10" s="247">
        <f t="shared" si="11"/>
        <v>4911.5</v>
      </c>
      <c r="S10" s="24">
        <f t="shared" si="12"/>
        <v>1196.3921464579464</v>
      </c>
      <c r="T10" s="25">
        <f t="shared" si="13"/>
        <v>5.8760800273282037</v>
      </c>
      <c r="U10" s="654">
        <f t="shared" si="14"/>
        <v>189.3175619257425</v>
      </c>
      <c r="V10" s="10"/>
      <c r="X10" s="1"/>
    </row>
    <row r="11" spans="1:24" x14ac:dyDescent="0.2">
      <c r="A11" s="33">
        <v>1998</v>
      </c>
      <c r="B11" s="30">
        <v>3776</v>
      </c>
      <c r="C11" s="660">
        <f t="shared" si="3"/>
        <v>138894</v>
      </c>
      <c r="D11" s="662">
        <v>0.34551112288135588</v>
      </c>
      <c r="E11" s="663">
        <v>2.4658951271186438</v>
      </c>
      <c r="F11" s="617">
        <v>1359.3069385593221</v>
      </c>
      <c r="G11" s="626">
        <f t="shared" si="0"/>
        <v>1.3046499999999999</v>
      </c>
      <c r="H11" s="72">
        <f t="shared" si="1"/>
        <v>9.3112199999999987</v>
      </c>
      <c r="I11" s="630">
        <f t="shared" si="2"/>
        <v>5.1327429999999996</v>
      </c>
      <c r="J11" s="61">
        <f t="shared" si="4"/>
        <v>3772.5</v>
      </c>
      <c r="K11" s="188">
        <f t="shared" si="5"/>
        <v>0.34551112288135588</v>
      </c>
      <c r="L11" s="188">
        <f t="shared" si="6"/>
        <v>1.3034407110699151</v>
      </c>
      <c r="M11" s="188">
        <f t="shared" si="7"/>
        <v>16.726655583562664</v>
      </c>
      <c r="N11" s="54">
        <f t="shared" si="15"/>
        <v>3769</v>
      </c>
      <c r="O11" s="670">
        <f t="shared" si="8"/>
        <v>2.4658951271186438</v>
      </c>
      <c r="P11" s="670">
        <f t="shared" si="9"/>
        <v>9.2939587341101682</v>
      </c>
      <c r="Q11" s="670">
        <f t="shared" si="10"/>
        <v>305.09912707366647</v>
      </c>
      <c r="R11" s="247">
        <f t="shared" si="11"/>
        <v>3772.5</v>
      </c>
      <c r="S11" s="24">
        <f t="shared" si="12"/>
        <v>1359.3069385593221</v>
      </c>
      <c r="T11" s="25">
        <f t="shared" si="13"/>
        <v>5.1279854257150435</v>
      </c>
      <c r="U11" s="654">
        <f t="shared" si="14"/>
        <v>194.44554735145755</v>
      </c>
      <c r="V11" s="10"/>
      <c r="X11" s="1"/>
    </row>
    <row r="12" spans="1:24" x14ac:dyDescent="0.2">
      <c r="A12" s="33">
        <v>1999</v>
      </c>
      <c r="B12" s="30">
        <v>1355</v>
      </c>
      <c r="C12" s="660">
        <f t="shared" si="3"/>
        <v>140249</v>
      </c>
      <c r="D12" s="662">
        <v>0.29000000000000004</v>
      </c>
      <c r="E12" s="663">
        <v>2.3600000000000003</v>
      </c>
      <c r="F12" s="617">
        <v>1197</v>
      </c>
      <c r="G12" s="626">
        <f t="shared" si="0"/>
        <v>0.39295000000000002</v>
      </c>
      <c r="H12" s="72">
        <f t="shared" si="1"/>
        <v>3.1978000000000004</v>
      </c>
      <c r="I12" s="630">
        <f t="shared" si="2"/>
        <v>1.6219349999999999</v>
      </c>
      <c r="J12" s="61">
        <f t="shared" si="4"/>
        <v>2565.5</v>
      </c>
      <c r="K12" s="188">
        <f t="shared" si="5"/>
        <v>0.29000000000000004</v>
      </c>
      <c r="L12" s="188">
        <f t="shared" si="6"/>
        <v>0.74399500000000007</v>
      </c>
      <c r="M12" s="188">
        <f t="shared" si="7"/>
        <v>17.470650583562666</v>
      </c>
      <c r="N12" s="54">
        <f t="shared" si="15"/>
        <v>3776</v>
      </c>
      <c r="O12" s="670">
        <f t="shared" si="8"/>
        <v>2.3600000000000003</v>
      </c>
      <c r="P12" s="670">
        <f t="shared" si="9"/>
        <v>8.9113600000000002</v>
      </c>
      <c r="Q12" s="670">
        <f t="shared" si="10"/>
        <v>314.01048707366647</v>
      </c>
      <c r="R12" s="247">
        <f t="shared" si="11"/>
        <v>2565.5</v>
      </c>
      <c r="S12" s="24">
        <f t="shared" si="12"/>
        <v>1197</v>
      </c>
      <c r="T12" s="25">
        <f t="shared" si="13"/>
        <v>3.0709035</v>
      </c>
      <c r="U12" s="654">
        <f t="shared" si="14"/>
        <v>197.51645085145753</v>
      </c>
      <c r="V12" s="10"/>
      <c r="X12" s="1"/>
    </row>
    <row r="13" spans="1:24" x14ac:dyDescent="0.2">
      <c r="A13" s="33">
        <v>2000</v>
      </c>
      <c r="B13" s="30">
        <v>1698</v>
      </c>
      <c r="C13" s="660">
        <f t="shared" si="3"/>
        <v>141947</v>
      </c>
      <c r="D13" s="662">
        <v>0.29100117785630153</v>
      </c>
      <c r="E13" s="663">
        <v>1.7439988221436984</v>
      </c>
      <c r="F13" s="617">
        <v>1015</v>
      </c>
      <c r="G13" s="626">
        <f t="shared" si="0"/>
        <v>0.49412</v>
      </c>
      <c r="H13" s="72">
        <f t="shared" si="1"/>
        <v>2.9613100000000001</v>
      </c>
      <c r="I13" s="630">
        <f t="shared" si="2"/>
        <v>1.7234700000000001</v>
      </c>
      <c r="J13" s="61">
        <f t="shared" si="4"/>
        <v>1526.5</v>
      </c>
      <c r="K13" s="188">
        <f t="shared" si="5"/>
        <v>0.29100117785630153</v>
      </c>
      <c r="L13" s="188">
        <f t="shared" si="6"/>
        <v>0.44421329799764431</v>
      </c>
      <c r="M13" s="188">
        <f t="shared" si="7"/>
        <v>17.914863881560311</v>
      </c>
      <c r="N13" s="54">
        <f t="shared" si="15"/>
        <v>1355</v>
      </c>
      <c r="O13" s="670">
        <f t="shared" si="8"/>
        <v>1.7439988221436984</v>
      </c>
      <c r="P13" s="670">
        <f t="shared" si="9"/>
        <v>2.3631184040047115</v>
      </c>
      <c r="Q13" s="670">
        <f t="shared" si="10"/>
        <v>316.37360547767116</v>
      </c>
      <c r="R13" s="247">
        <f t="shared" si="11"/>
        <v>1526.5</v>
      </c>
      <c r="S13" s="24">
        <f t="shared" si="12"/>
        <v>1015</v>
      </c>
      <c r="T13" s="25">
        <f t="shared" si="13"/>
        <v>1.5493975</v>
      </c>
      <c r="U13" s="654">
        <f t="shared" si="14"/>
        <v>199.06584835145753</v>
      </c>
      <c r="V13" s="9"/>
      <c r="X13" s="1"/>
    </row>
    <row r="14" spans="1:24" x14ac:dyDescent="0.2">
      <c r="A14" s="33">
        <v>2001</v>
      </c>
      <c r="B14" s="30">
        <v>3453</v>
      </c>
      <c r="C14" s="660">
        <f t="shared" si="3"/>
        <v>145400</v>
      </c>
      <c r="D14" s="662">
        <v>0.29099913119026932</v>
      </c>
      <c r="E14" s="663">
        <v>1.0249580075296842</v>
      </c>
      <c r="F14" s="617">
        <v>803.71560961482771</v>
      </c>
      <c r="G14" s="626">
        <f t="shared" si="0"/>
        <v>1.00482</v>
      </c>
      <c r="H14" s="72">
        <f t="shared" si="1"/>
        <v>3.53918</v>
      </c>
      <c r="I14" s="630">
        <f t="shared" si="2"/>
        <v>2.7752300000000001</v>
      </c>
      <c r="J14" s="61">
        <f t="shared" si="4"/>
        <v>2575.5</v>
      </c>
      <c r="K14" s="188">
        <f t="shared" si="5"/>
        <v>0.29099913119026932</v>
      </c>
      <c r="L14" s="188">
        <f t="shared" si="6"/>
        <v>0.74946826238053854</v>
      </c>
      <c r="M14" s="188">
        <f t="shared" si="7"/>
        <v>18.66433214394085</v>
      </c>
      <c r="N14" s="54">
        <f t="shared" si="15"/>
        <v>1698</v>
      </c>
      <c r="O14" s="670">
        <f t="shared" si="8"/>
        <v>1.0249580075296842</v>
      </c>
      <c r="P14" s="670">
        <f t="shared" si="9"/>
        <v>1.740378696785404</v>
      </c>
      <c r="Q14" s="670">
        <f t="shared" si="10"/>
        <v>318.11398417445656</v>
      </c>
      <c r="R14" s="247">
        <f t="shared" si="11"/>
        <v>2575.5</v>
      </c>
      <c r="S14" s="24">
        <f t="shared" si="12"/>
        <v>803.71560961482771</v>
      </c>
      <c r="T14" s="25">
        <f t="shared" si="13"/>
        <v>2.0699695525629886</v>
      </c>
      <c r="U14" s="654">
        <f t="shared" si="14"/>
        <v>201.13581790402051</v>
      </c>
      <c r="V14" s="9"/>
      <c r="X14" s="1"/>
    </row>
    <row r="15" spans="1:24" x14ac:dyDescent="0.2">
      <c r="A15" s="33">
        <v>2002</v>
      </c>
      <c r="B15" s="30">
        <v>3466</v>
      </c>
      <c r="C15" s="660">
        <f t="shared" si="3"/>
        <v>148866</v>
      </c>
      <c r="D15" s="662">
        <v>0.29100115406809002</v>
      </c>
      <c r="E15" s="663">
        <v>0.8929082515868435</v>
      </c>
      <c r="F15" s="617">
        <v>764.90276976341602</v>
      </c>
      <c r="G15" s="626">
        <f t="shared" si="0"/>
        <v>1.00861</v>
      </c>
      <c r="H15" s="72">
        <f t="shared" si="1"/>
        <v>3.0948199999999999</v>
      </c>
      <c r="I15" s="630">
        <f t="shared" si="2"/>
        <v>2.6511529999999999</v>
      </c>
      <c r="J15" s="61">
        <f t="shared" si="4"/>
        <v>3459.5</v>
      </c>
      <c r="K15" s="188">
        <f t="shared" si="5"/>
        <v>0.29100115406809002</v>
      </c>
      <c r="L15" s="188">
        <f t="shared" si="6"/>
        <v>1.0067184924985575</v>
      </c>
      <c r="M15" s="188">
        <f t="shared" si="7"/>
        <v>19.671050636439407</v>
      </c>
      <c r="N15" s="54">
        <f t="shared" si="15"/>
        <v>3453</v>
      </c>
      <c r="O15" s="670">
        <f t="shared" si="8"/>
        <v>0.8929082515868435</v>
      </c>
      <c r="P15" s="670">
        <f t="shared" si="9"/>
        <v>3.0832121927293707</v>
      </c>
      <c r="Q15" s="670">
        <f t="shared" si="10"/>
        <v>321.19719636718594</v>
      </c>
      <c r="R15" s="247">
        <f t="shared" si="11"/>
        <v>3459.5</v>
      </c>
      <c r="S15" s="24">
        <f t="shared" si="12"/>
        <v>764.90276976341602</v>
      </c>
      <c r="T15" s="25">
        <f t="shared" si="13"/>
        <v>2.6461811319965376</v>
      </c>
      <c r="U15" s="654">
        <f t="shared" si="14"/>
        <v>203.78199903601706</v>
      </c>
      <c r="V15" s="9"/>
      <c r="X15" s="1"/>
    </row>
    <row r="16" spans="1:24" x14ac:dyDescent="0.2">
      <c r="A16" s="33">
        <v>2003</v>
      </c>
      <c r="B16" s="30">
        <v>3710</v>
      </c>
      <c r="C16" s="660">
        <f t="shared" si="3"/>
        <v>152576</v>
      </c>
      <c r="D16" s="662">
        <v>0.29099999999999998</v>
      </c>
      <c r="E16" s="663">
        <v>0.82635309973045823</v>
      </c>
      <c r="F16" s="617">
        <v>745.34070080862534</v>
      </c>
      <c r="G16" s="626">
        <f t="shared" si="0"/>
        <v>1.07961</v>
      </c>
      <c r="H16" s="72">
        <f t="shared" si="1"/>
        <v>3.0657700000000001</v>
      </c>
      <c r="I16" s="630">
        <f t="shared" si="2"/>
        <v>2.7652139999999998</v>
      </c>
      <c r="J16" s="61">
        <f t="shared" si="4"/>
        <v>3588</v>
      </c>
      <c r="K16" s="188">
        <f t="shared" si="5"/>
        <v>0.29099999999999998</v>
      </c>
      <c r="L16" s="188">
        <f t="shared" si="6"/>
        <v>1.044108</v>
      </c>
      <c r="M16" s="188">
        <f t="shared" si="7"/>
        <v>20.715158636439408</v>
      </c>
      <c r="N16" s="54">
        <f t="shared" si="15"/>
        <v>3466</v>
      </c>
      <c r="O16" s="670">
        <f t="shared" si="8"/>
        <v>0.82635309973045823</v>
      </c>
      <c r="P16" s="670">
        <f t="shared" si="9"/>
        <v>2.8641398436657681</v>
      </c>
      <c r="Q16" s="670">
        <f t="shared" si="10"/>
        <v>324.06133621085172</v>
      </c>
      <c r="R16" s="247">
        <f t="shared" si="11"/>
        <v>3588</v>
      </c>
      <c r="S16" s="24">
        <f t="shared" si="12"/>
        <v>745.34070080862534</v>
      </c>
      <c r="T16" s="25">
        <f t="shared" si="13"/>
        <v>2.6742824345013476</v>
      </c>
      <c r="U16" s="654">
        <f t="shared" si="14"/>
        <v>206.45628147051841</v>
      </c>
      <c r="V16" s="9"/>
      <c r="X16" s="1"/>
    </row>
    <row r="17" spans="1:24" x14ac:dyDescent="0.2">
      <c r="A17" s="33">
        <f>+A16+1</f>
        <v>2004</v>
      </c>
      <c r="B17" s="30">
        <v>3481</v>
      </c>
      <c r="C17" s="660">
        <f t="shared" si="3"/>
        <v>156057</v>
      </c>
      <c r="D17" s="662">
        <v>0.28999999999999998</v>
      </c>
      <c r="E17" s="663">
        <v>0.78000000000000014</v>
      </c>
      <c r="F17" s="617">
        <v>733</v>
      </c>
      <c r="G17" s="626">
        <f t="shared" si="0"/>
        <v>1.00949</v>
      </c>
      <c r="H17" s="72">
        <f t="shared" si="1"/>
        <v>2.7151800000000001</v>
      </c>
      <c r="I17" s="630">
        <f t="shared" si="2"/>
        <v>2.5515729999999999</v>
      </c>
      <c r="J17" s="61">
        <f t="shared" si="4"/>
        <v>3595.5</v>
      </c>
      <c r="K17" s="188">
        <f t="shared" si="5"/>
        <v>0.28999999999999998</v>
      </c>
      <c r="L17" s="188">
        <f t="shared" si="6"/>
        <v>1.0426949999999999</v>
      </c>
      <c r="M17" s="188">
        <f t="shared" si="7"/>
        <v>21.757853636439407</v>
      </c>
      <c r="N17" s="54">
        <f t="shared" si="15"/>
        <v>3710</v>
      </c>
      <c r="O17" s="670">
        <f t="shared" si="8"/>
        <v>0.78000000000000014</v>
      </c>
      <c r="P17" s="670">
        <f t="shared" si="9"/>
        <v>2.8938000000000006</v>
      </c>
      <c r="Q17" s="670">
        <f t="shared" si="10"/>
        <v>326.95513621085172</v>
      </c>
      <c r="R17" s="247">
        <f t="shared" si="11"/>
        <v>3595.5</v>
      </c>
      <c r="S17" s="24">
        <f t="shared" si="12"/>
        <v>733</v>
      </c>
      <c r="T17" s="25">
        <f t="shared" si="13"/>
        <v>2.6355015000000002</v>
      </c>
      <c r="U17" s="654">
        <f t="shared" si="14"/>
        <v>209.09178297051841</v>
      </c>
      <c r="V17" s="9"/>
      <c r="X17" s="1"/>
    </row>
    <row r="18" spans="1:24" x14ac:dyDescent="0.2">
      <c r="A18" s="33">
        <f t="shared" ref="A18:A38" si="16">+A17+1</f>
        <v>2005</v>
      </c>
      <c r="B18" s="30">
        <v>3012</v>
      </c>
      <c r="C18" s="660">
        <f t="shared" si="3"/>
        <v>159069</v>
      </c>
      <c r="D18" s="662">
        <v>0.29099933598937583</v>
      </c>
      <c r="E18" s="663">
        <v>0.73881806108897752</v>
      </c>
      <c r="F18" s="617">
        <v>719.61155378486058</v>
      </c>
      <c r="G18" s="626">
        <f t="shared" si="0"/>
        <v>0.87648999999999999</v>
      </c>
      <c r="H18" s="72">
        <f t="shared" si="1"/>
        <v>2.22532</v>
      </c>
      <c r="I18" s="630">
        <f t="shared" si="2"/>
        <v>2.1674699999999998</v>
      </c>
      <c r="J18" s="61">
        <f t="shared" si="4"/>
        <v>3246.5</v>
      </c>
      <c r="K18" s="188">
        <f t="shared" si="5"/>
        <v>0.29099933598937583</v>
      </c>
      <c r="L18" s="188">
        <f t="shared" si="6"/>
        <v>0.94472934428950861</v>
      </c>
      <c r="M18" s="188">
        <f t="shared" si="7"/>
        <v>22.702582980728916</v>
      </c>
      <c r="N18" s="54">
        <f t="shared" si="15"/>
        <v>3481</v>
      </c>
      <c r="O18" s="670">
        <f t="shared" si="8"/>
        <v>0.73881806108897752</v>
      </c>
      <c r="P18" s="670">
        <f t="shared" si="9"/>
        <v>2.571825670650731</v>
      </c>
      <c r="Q18" s="670">
        <f t="shared" si="10"/>
        <v>329.52696188150247</v>
      </c>
      <c r="R18" s="247">
        <f t="shared" si="11"/>
        <v>3246.5</v>
      </c>
      <c r="S18" s="24">
        <f t="shared" si="12"/>
        <v>719.61155378486058</v>
      </c>
      <c r="T18" s="25">
        <f t="shared" si="13"/>
        <v>2.3362189093625498</v>
      </c>
      <c r="U18" s="654">
        <f t="shared" si="14"/>
        <v>211.42800187988095</v>
      </c>
      <c r="V18" s="9"/>
      <c r="X18" s="1"/>
    </row>
    <row r="19" spans="1:24" x14ac:dyDescent="0.2">
      <c r="A19" s="33">
        <f t="shared" si="16"/>
        <v>2006</v>
      </c>
      <c r="B19" s="30">
        <v>1706</v>
      </c>
      <c r="C19" s="660">
        <f t="shared" si="3"/>
        <v>160775</v>
      </c>
      <c r="D19" s="662">
        <v>0.29100234466588509</v>
      </c>
      <c r="E19" s="663">
        <v>0.67207502930832352</v>
      </c>
      <c r="F19" s="617">
        <v>699.99413833528718</v>
      </c>
      <c r="G19" s="626">
        <f t="shared" si="0"/>
        <v>0.49645</v>
      </c>
      <c r="H19" s="72">
        <f t="shared" si="1"/>
        <v>1.14656</v>
      </c>
      <c r="I19" s="630">
        <f t="shared" si="2"/>
        <v>1.1941900000000001</v>
      </c>
      <c r="J19" s="61">
        <f t="shared" si="4"/>
        <v>2359</v>
      </c>
      <c r="K19" s="188">
        <f t="shared" si="5"/>
        <v>0.29100234466588509</v>
      </c>
      <c r="L19" s="188">
        <f t="shared" si="6"/>
        <v>0.68647453106682288</v>
      </c>
      <c r="M19" s="188">
        <f t="shared" si="7"/>
        <v>23.389057511795738</v>
      </c>
      <c r="N19" s="54">
        <f t="shared" si="15"/>
        <v>3012</v>
      </c>
      <c r="O19" s="670">
        <f t="shared" si="8"/>
        <v>0.67207502930832352</v>
      </c>
      <c r="P19" s="670">
        <f t="shared" si="9"/>
        <v>2.0242899882766707</v>
      </c>
      <c r="Q19" s="670">
        <f t="shared" si="10"/>
        <v>331.55125186977915</v>
      </c>
      <c r="R19" s="247">
        <f t="shared" si="11"/>
        <v>2359</v>
      </c>
      <c r="S19" s="24">
        <f t="shared" si="12"/>
        <v>699.99413833528718</v>
      </c>
      <c r="T19" s="25">
        <f t="shared" si="13"/>
        <v>1.6512861723329424</v>
      </c>
      <c r="U19" s="654">
        <f t="shared" si="14"/>
        <v>213.07928805221388</v>
      </c>
      <c r="V19" s="8"/>
      <c r="X19" s="1"/>
    </row>
    <row r="20" spans="1:24" x14ac:dyDescent="0.2">
      <c r="A20" s="33">
        <f t="shared" si="16"/>
        <v>2007</v>
      </c>
      <c r="B20" s="30">
        <v>1224</v>
      </c>
      <c r="C20" s="660">
        <f t="shared" si="3"/>
        <v>161999</v>
      </c>
      <c r="D20" s="662">
        <v>0.15000000000000002</v>
      </c>
      <c r="E20" s="663">
        <v>0.63</v>
      </c>
      <c r="F20" s="617">
        <v>654</v>
      </c>
      <c r="G20" s="626">
        <f t="shared" si="0"/>
        <v>0.18360000000000001</v>
      </c>
      <c r="H20" s="72">
        <f t="shared" si="1"/>
        <v>0.77112000000000003</v>
      </c>
      <c r="I20" s="630">
        <f t="shared" si="2"/>
        <v>0.80049599999999999</v>
      </c>
      <c r="J20" s="61">
        <f t="shared" si="4"/>
        <v>1465</v>
      </c>
      <c r="K20" s="188">
        <f t="shared" si="5"/>
        <v>0.15000000000000002</v>
      </c>
      <c r="L20" s="188">
        <f t="shared" si="6"/>
        <v>0.21975000000000003</v>
      </c>
      <c r="M20" s="188">
        <f t="shared" si="7"/>
        <v>23.608807511795739</v>
      </c>
      <c r="N20" s="54">
        <f t="shared" si="15"/>
        <v>1706</v>
      </c>
      <c r="O20" s="670">
        <f t="shared" si="8"/>
        <v>0.63</v>
      </c>
      <c r="P20" s="670">
        <f t="shared" si="9"/>
        <v>1.0747800000000001</v>
      </c>
      <c r="Q20" s="670">
        <f t="shared" si="10"/>
        <v>332.62603186977913</v>
      </c>
      <c r="R20" s="247">
        <f t="shared" si="11"/>
        <v>1465</v>
      </c>
      <c r="S20" s="24">
        <f t="shared" si="12"/>
        <v>654</v>
      </c>
      <c r="T20" s="25">
        <f t="shared" si="13"/>
        <v>0.95811000000000002</v>
      </c>
      <c r="U20" s="654">
        <f t="shared" si="14"/>
        <v>214.03739805221389</v>
      </c>
    </row>
    <row r="21" spans="1:24" x14ac:dyDescent="0.2">
      <c r="A21" s="33">
        <f t="shared" si="16"/>
        <v>2008</v>
      </c>
      <c r="B21" s="30">
        <v>1918</v>
      </c>
      <c r="C21" s="660">
        <f t="shared" si="3"/>
        <v>163917</v>
      </c>
      <c r="D21" s="662">
        <v>0.15</v>
      </c>
      <c r="E21" s="663">
        <v>0.6</v>
      </c>
      <c r="F21" s="617">
        <v>642</v>
      </c>
      <c r="G21" s="626">
        <f t="shared" si="0"/>
        <v>0.28770000000000001</v>
      </c>
      <c r="H21" s="72">
        <f t="shared" si="1"/>
        <v>1.1508</v>
      </c>
      <c r="I21" s="630">
        <f t="shared" si="2"/>
        <v>1.2313559999999999</v>
      </c>
      <c r="J21" s="61">
        <f t="shared" si="4"/>
        <v>1571</v>
      </c>
      <c r="K21" s="188">
        <f t="shared" si="5"/>
        <v>0.15</v>
      </c>
      <c r="L21" s="188">
        <f t="shared" si="6"/>
        <v>0.23564999999999997</v>
      </c>
      <c r="M21" s="188">
        <f t="shared" si="7"/>
        <v>23.844457511795738</v>
      </c>
      <c r="N21" s="54">
        <f t="shared" si="15"/>
        <v>1224</v>
      </c>
      <c r="O21" s="670">
        <f t="shared" si="8"/>
        <v>0.6</v>
      </c>
      <c r="P21" s="670">
        <f t="shared" si="9"/>
        <v>0.73439999999999994</v>
      </c>
      <c r="Q21" s="670">
        <f t="shared" si="10"/>
        <v>333.36043186977912</v>
      </c>
      <c r="R21" s="247">
        <f t="shared" si="11"/>
        <v>1571</v>
      </c>
      <c r="S21" s="24">
        <f t="shared" si="12"/>
        <v>642</v>
      </c>
      <c r="T21" s="25">
        <f t="shared" si="13"/>
        <v>1.0085820000000001</v>
      </c>
      <c r="U21" s="654">
        <f t="shared" si="14"/>
        <v>215.04598005221388</v>
      </c>
    </row>
    <row r="22" spans="1:24" x14ac:dyDescent="0.2">
      <c r="A22" s="33">
        <f t="shared" si="16"/>
        <v>2009</v>
      </c>
      <c r="B22" s="30">
        <v>3529</v>
      </c>
      <c r="C22" s="660">
        <f t="shared" si="3"/>
        <v>167446</v>
      </c>
      <c r="D22" s="662">
        <v>0.15</v>
      </c>
      <c r="E22" s="663">
        <v>0.64</v>
      </c>
      <c r="F22" s="617">
        <v>656</v>
      </c>
      <c r="G22" s="626">
        <f t="shared" si="0"/>
        <v>0.52934999999999999</v>
      </c>
      <c r="H22" s="72">
        <f t="shared" si="1"/>
        <v>2.2585600000000001</v>
      </c>
      <c r="I22" s="630">
        <f t="shared" si="2"/>
        <v>2.3150240000000002</v>
      </c>
      <c r="J22" s="61">
        <f t="shared" si="4"/>
        <v>2723.5</v>
      </c>
      <c r="K22" s="188">
        <f t="shared" si="5"/>
        <v>0.15</v>
      </c>
      <c r="L22" s="188">
        <f t="shared" si="6"/>
        <v>0.40852499999999997</v>
      </c>
      <c r="M22" s="188">
        <f t="shared" si="7"/>
        <v>24.252982511795739</v>
      </c>
      <c r="N22" s="54">
        <f t="shared" si="15"/>
        <v>1918</v>
      </c>
      <c r="O22" s="670">
        <f t="shared" si="8"/>
        <v>0.64</v>
      </c>
      <c r="P22" s="670">
        <f t="shared" si="9"/>
        <v>1.2275199999999999</v>
      </c>
      <c r="Q22" s="670">
        <f t="shared" si="10"/>
        <v>334.58795186977915</v>
      </c>
      <c r="R22" s="247">
        <f t="shared" si="11"/>
        <v>2723.5</v>
      </c>
      <c r="S22" s="24">
        <f t="shared" si="12"/>
        <v>656</v>
      </c>
      <c r="T22" s="25">
        <f t="shared" si="13"/>
        <v>1.786616</v>
      </c>
      <c r="U22" s="654">
        <f t="shared" si="14"/>
        <v>216.83259605221389</v>
      </c>
    </row>
    <row r="23" spans="1:24" x14ac:dyDescent="0.2">
      <c r="A23" s="33">
        <f t="shared" si="16"/>
        <v>2010</v>
      </c>
      <c r="B23" s="1247">
        <v>5926</v>
      </c>
      <c r="C23" s="661">
        <f t="shared" si="3"/>
        <v>173372</v>
      </c>
      <c r="D23" s="662">
        <v>0.15</v>
      </c>
      <c r="E23" s="663">
        <v>0.63</v>
      </c>
      <c r="F23" s="617">
        <v>652</v>
      </c>
      <c r="G23" s="626">
        <f t="shared" si="0"/>
        <v>0.88890000000000002</v>
      </c>
      <c r="H23" s="72">
        <f t="shared" si="1"/>
        <v>3.7333799999999999</v>
      </c>
      <c r="I23" s="630">
        <f t="shared" si="2"/>
        <v>3.8637519999999999</v>
      </c>
      <c r="J23" s="61">
        <f t="shared" si="4"/>
        <v>4727.5</v>
      </c>
      <c r="K23" s="188">
        <f t="shared" si="5"/>
        <v>0.15</v>
      </c>
      <c r="L23" s="188">
        <f t="shared" si="6"/>
        <v>0.70912500000000001</v>
      </c>
      <c r="M23" s="188">
        <f t="shared" si="7"/>
        <v>24.96210751179574</v>
      </c>
      <c r="N23" s="54">
        <f t="shared" si="15"/>
        <v>3529</v>
      </c>
      <c r="O23" s="670">
        <f t="shared" si="8"/>
        <v>0.63</v>
      </c>
      <c r="P23" s="670">
        <f t="shared" si="9"/>
        <v>2.2232699999999999</v>
      </c>
      <c r="Q23" s="670">
        <f t="shared" si="10"/>
        <v>336.81122186977916</v>
      </c>
      <c r="R23" s="247">
        <f t="shared" si="11"/>
        <v>4727.5</v>
      </c>
      <c r="S23" s="24">
        <f t="shared" si="12"/>
        <v>652</v>
      </c>
      <c r="T23" s="25">
        <f t="shared" si="13"/>
        <v>3.0823299999999998</v>
      </c>
      <c r="U23" s="654">
        <f t="shared" si="14"/>
        <v>219.9149260522139</v>
      </c>
    </row>
    <row r="24" spans="1:24" x14ac:dyDescent="0.2">
      <c r="A24" s="33">
        <f t="shared" si="16"/>
        <v>2011</v>
      </c>
      <c r="B24" s="30">
        <v>4501</v>
      </c>
      <c r="C24" s="661">
        <f t="shared" si="3"/>
        <v>177873</v>
      </c>
      <c r="D24" s="662">
        <v>0.27</v>
      </c>
      <c r="E24" s="663">
        <v>0.55000000000000004</v>
      </c>
      <c r="F24" s="617">
        <v>859</v>
      </c>
      <c r="G24" s="626">
        <f t="shared" si="0"/>
        <v>1.2152700000000001</v>
      </c>
      <c r="H24" s="72">
        <f t="shared" si="1"/>
        <v>2.4755500000000001</v>
      </c>
      <c r="I24" s="630">
        <f t="shared" si="2"/>
        <v>3.8663590000000001</v>
      </c>
      <c r="J24" s="61">
        <f t="shared" si="4"/>
        <v>5213.5</v>
      </c>
      <c r="K24" s="188">
        <f t="shared" si="5"/>
        <v>0.27</v>
      </c>
      <c r="L24" s="188">
        <f t="shared" si="6"/>
        <v>1.407645</v>
      </c>
      <c r="M24" s="188">
        <f t="shared" si="7"/>
        <v>26.369752511795738</v>
      </c>
      <c r="N24" s="54">
        <f t="shared" si="15"/>
        <v>5926</v>
      </c>
      <c r="O24" s="670">
        <f t="shared" si="8"/>
        <v>0.55000000000000004</v>
      </c>
      <c r="P24" s="670">
        <f t="shared" si="9"/>
        <v>3.2593000000000001</v>
      </c>
      <c r="Q24" s="670">
        <f t="shared" si="10"/>
        <v>340.07052186977916</v>
      </c>
      <c r="R24" s="247">
        <f t="shared" si="11"/>
        <v>5213.5</v>
      </c>
      <c r="S24" s="24">
        <f t="shared" si="12"/>
        <v>859</v>
      </c>
      <c r="T24" s="25">
        <f t="shared" si="13"/>
        <v>4.4783964999999997</v>
      </c>
      <c r="U24" s="654">
        <f t="shared" si="14"/>
        <v>224.3933225522139</v>
      </c>
    </row>
    <row r="25" spans="1:24" x14ac:dyDescent="0.2">
      <c r="A25" s="33">
        <f t="shared" si="16"/>
        <v>2012</v>
      </c>
      <c r="B25" s="30">
        <v>3138</v>
      </c>
      <c r="C25" s="661">
        <f t="shared" si="3"/>
        <v>181011</v>
      </c>
      <c r="D25" s="662">
        <v>0.36</v>
      </c>
      <c r="E25" s="663">
        <v>0.52</v>
      </c>
      <c r="F25" s="617">
        <v>946</v>
      </c>
      <c r="G25" s="626">
        <f t="shared" ref="G25:H37" si="17">+$B25*D25/1000</f>
        <v>1.12968</v>
      </c>
      <c r="H25" s="72">
        <f t="shared" si="17"/>
        <v>1.6317600000000001</v>
      </c>
      <c r="I25" s="630">
        <f t="shared" ref="I25:I37" si="18">+$B25*F25/1000000</f>
        <v>2.9685480000000002</v>
      </c>
      <c r="J25" s="61">
        <f t="shared" si="4"/>
        <v>3819.5</v>
      </c>
      <c r="K25" s="188">
        <f t="shared" si="5"/>
        <v>0.36</v>
      </c>
      <c r="L25" s="188">
        <f t="shared" si="6"/>
        <v>1.3750199999999999</v>
      </c>
      <c r="M25" s="188">
        <f t="shared" si="7"/>
        <v>27.744772511795738</v>
      </c>
      <c r="N25" s="54">
        <f t="shared" si="15"/>
        <v>4501</v>
      </c>
      <c r="O25" s="670">
        <f t="shared" si="8"/>
        <v>0.52</v>
      </c>
      <c r="P25" s="670">
        <f t="shared" si="9"/>
        <v>2.3405200000000002</v>
      </c>
      <c r="Q25" s="670">
        <f t="shared" si="10"/>
        <v>342.41104186977918</v>
      </c>
      <c r="R25" s="247">
        <f t="shared" si="11"/>
        <v>3819.5</v>
      </c>
      <c r="S25" s="24">
        <f t="shared" si="12"/>
        <v>946</v>
      </c>
      <c r="T25" s="25">
        <f t="shared" si="13"/>
        <v>3.6132469999999999</v>
      </c>
      <c r="U25" s="654">
        <f t="shared" si="14"/>
        <v>228.0065695522139</v>
      </c>
    </row>
    <row r="26" spans="1:24" s="831" customFormat="1" x14ac:dyDescent="0.2">
      <c r="A26" s="33">
        <f t="shared" si="16"/>
        <v>2013</v>
      </c>
      <c r="B26" s="30">
        <v>3844</v>
      </c>
      <c r="C26" s="619">
        <f t="shared" si="3"/>
        <v>184855</v>
      </c>
      <c r="D26" s="807">
        <v>0.32</v>
      </c>
      <c r="E26" s="808">
        <v>0.25</v>
      </c>
      <c r="F26" s="806">
        <v>700</v>
      </c>
      <c r="G26" s="626">
        <f t="shared" si="17"/>
        <v>1.2300799999999998</v>
      </c>
      <c r="H26" s="72">
        <f t="shared" si="17"/>
        <v>0.96099999999999997</v>
      </c>
      <c r="I26" s="630">
        <f t="shared" si="18"/>
        <v>2.6907999999999999</v>
      </c>
      <c r="J26" s="61">
        <f t="shared" si="4"/>
        <v>3491</v>
      </c>
      <c r="K26" s="188">
        <f t="shared" si="5"/>
        <v>0.32</v>
      </c>
      <c r="L26" s="188">
        <f t="shared" si="6"/>
        <v>1.1171200000000001</v>
      </c>
      <c r="M26" s="829">
        <f t="shared" si="7"/>
        <v>28.861892511795737</v>
      </c>
      <c r="N26" s="54">
        <f t="shared" si="15"/>
        <v>3138</v>
      </c>
      <c r="O26" s="670">
        <f t="shared" si="8"/>
        <v>0.25</v>
      </c>
      <c r="P26" s="670">
        <f t="shared" si="9"/>
        <v>0.78449999999999998</v>
      </c>
      <c r="Q26" s="671">
        <f t="shared" si="10"/>
        <v>343.19554186977916</v>
      </c>
      <c r="R26" s="247">
        <f t="shared" si="11"/>
        <v>3491</v>
      </c>
      <c r="S26" s="24">
        <f t="shared" si="12"/>
        <v>700</v>
      </c>
      <c r="T26" s="25">
        <f t="shared" si="13"/>
        <v>2.4437000000000002</v>
      </c>
      <c r="U26" s="654">
        <f t="shared" si="14"/>
        <v>230.45026955221391</v>
      </c>
      <c r="V26" s="830"/>
    </row>
    <row r="27" spans="1:24" s="831" customFormat="1" x14ac:dyDescent="0.2">
      <c r="A27" s="33">
        <f t="shared" si="16"/>
        <v>2014</v>
      </c>
      <c r="B27" s="30">
        <v>4292</v>
      </c>
      <c r="C27" s="619">
        <f t="shared" si="3"/>
        <v>189147</v>
      </c>
      <c r="D27" s="807">
        <v>0.1</v>
      </c>
      <c r="E27" s="808">
        <v>0.23</v>
      </c>
      <c r="F27" s="806">
        <v>399</v>
      </c>
      <c r="G27" s="626">
        <f t="shared" si="17"/>
        <v>0.42920000000000003</v>
      </c>
      <c r="H27" s="72">
        <f t="shared" si="17"/>
        <v>0.98716000000000004</v>
      </c>
      <c r="I27" s="630">
        <f t="shared" si="18"/>
        <v>1.7125079999999999</v>
      </c>
      <c r="J27" s="61">
        <f t="shared" si="4"/>
        <v>4068</v>
      </c>
      <c r="K27" s="188">
        <f t="shared" si="5"/>
        <v>0.1</v>
      </c>
      <c r="L27" s="188">
        <f t="shared" si="6"/>
        <v>0.40679999999999999</v>
      </c>
      <c r="M27" s="829">
        <f t="shared" si="7"/>
        <v>29.268692511795738</v>
      </c>
      <c r="N27" s="54">
        <f t="shared" si="15"/>
        <v>3844</v>
      </c>
      <c r="O27" s="670">
        <f t="shared" si="8"/>
        <v>0.23</v>
      </c>
      <c r="P27" s="670">
        <f t="shared" si="9"/>
        <v>0.88412000000000002</v>
      </c>
      <c r="Q27" s="671">
        <f t="shared" si="10"/>
        <v>344.07966186977916</v>
      </c>
      <c r="R27" s="247">
        <f t="shared" si="11"/>
        <v>4068</v>
      </c>
      <c r="S27" s="24">
        <f t="shared" si="12"/>
        <v>399</v>
      </c>
      <c r="T27" s="25">
        <f t="shared" si="13"/>
        <v>1.623132</v>
      </c>
      <c r="U27" s="654">
        <f t="shared" si="14"/>
        <v>232.07340155221391</v>
      </c>
      <c r="V27" s="830"/>
    </row>
    <row r="28" spans="1:24" s="831" customFormat="1" x14ac:dyDescent="0.2">
      <c r="A28" s="33">
        <f t="shared" si="16"/>
        <v>2015</v>
      </c>
      <c r="B28" s="30">
        <v>5214</v>
      </c>
      <c r="C28" s="619">
        <f t="shared" si="3"/>
        <v>194361</v>
      </c>
      <c r="D28" s="807">
        <f>D67</f>
        <v>0.33763329497506717</v>
      </c>
      <c r="E28" s="808">
        <f t="shared" ref="E28:F28" si="19">E67</f>
        <v>0.50378979670118917</v>
      </c>
      <c r="F28" s="806">
        <f t="shared" si="19"/>
        <v>896.15343306482544</v>
      </c>
      <c r="G28" s="626">
        <f t="shared" si="17"/>
        <v>1.7604200000000003</v>
      </c>
      <c r="H28" s="72">
        <f t="shared" si="17"/>
        <v>2.6267600000000004</v>
      </c>
      <c r="I28" s="630">
        <f t="shared" si="18"/>
        <v>4.6725440000000003</v>
      </c>
      <c r="J28" s="61">
        <f t="shared" si="4"/>
        <v>4753</v>
      </c>
      <c r="K28" s="188">
        <f t="shared" si="5"/>
        <v>0.33763329497506717</v>
      </c>
      <c r="L28" s="188">
        <f t="shared" si="6"/>
        <v>1.6047710510164943</v>
      </c>
      <c r="M28" s="829">
        <f t="shared" si="7"/>
        <v>30.873463562812233</v>
      </c>
      <c r="N28" s="54">
        <f t="shared" si="15"/>
        <v>4292</v>
      </c>
      <c r="O28" s="670">
        <f t="shared" si="8"/>
        <v>0.50378979670118917</v>
      </c>
      <c r="P28" s="670">
        <f t="shared" si="9"/>
        <v>2.162265807441504</v>
      </c>
      <c r="Q28" s="671">
        <f t="shared" si="10"/>
        <v>346.24192767722064</v>
      </c>
      <c r="R28" s="247">
        <f t="shared" si="11"/>
        <v>4753</v>
      </c>
      <c r="S28" s="24">
        <f t="shared" si="12"/>
        <v>896.15343306482544</v>
      </c>
      <c r="T28" s="25">
        <f t="shared" si="13"/>
        <v>4.259417267357116</v>
      </c>
      <c r="U28" s="654">
        <f t="shared" si="14"/>
        <v>236.33281881957103</v>
      </c>
      <c r="V28" s="830"/>
    </row>
    <row r="29" spans="1:24" ht="13.5" thickBot="1" x14ac:dyDescent="0.25">
      <c r="A29" s="701">
        <f t="shared" si="16"/>
        <v>2016</v>
      </c>
      <c r="B29" s="702">
        <v>3693</v>
      </c>
      <c r="C29" s="703">
        <f t="shared" si="3"/>
        <v>198054</v>
      </c>
      <c r="D29" s="835">
        <v>0.10199999999999999</v>
      </c>
      <c r="E29" s="835">
        <v>0.33300000000000002</v>
      </c>
      <c r="F29" s="702">
        <v>371</v>
      </c>
      <c r="G29" s="823">
        <f t="shared" si="17"/>
        <v>0.37668599999999997</v>
      </c>
      <c r="H29" s="707">
        <f t="shared" si="17"/>
        <v>1.2297690000000001</v>
      </c>
      <c r="I29" s="824">
        <f t="shared" si="18"/>
        <v>1.3701030000000001</v>
      </c>
      <c r="J29" s="708">
        <f t="shared" si="4"/>
        <v>4453.5</v>
      </c>
      <c r="K29" s="825">
        <f t="shared" si="5"/>
        <v>0.10199999999999999</v>
      </c>
      <c r="L29" s="825">
        <f t="shared" si="6"/>
        <v>0.45425699999999997</v>
      </c>
      <c r="M29" s="826">
        <f t="shared" si="7"/>
        <v>31.327720562812232</v>
      </c>
      <c r="N29" s="711">
        <f t="shared" si="15"/>
        <v>5214</v>
      </c>
      <c r="O29" s="827">
        <f t="shared" si="8"/>
        <v>0.33300000000000002</v>
      </c>
      <c r="P29" s="827">
        <f t="shared" si="9"/>
        <v>1.7362620000000002</v>
      </c>
      <c r="Q29" s="828">
        <f t="shared" si="10"/>
        <v>347.97818967722066</v>
      </c>
      <c r="R29" s="714">
        <f t="shared" si="11"/>
        <v>4453.5</v>
      </c>
      <c r="S29" s="715">
        <f t="shared" si="12"/>
        <v>371</v>
      </c>
      <c r="T29" s="716">
        <f t="shared" si="13"/>
        <v>1.6522485</v>
      </c>
      <c r="U29" s="717">
        <f t="shared" si="14"/>
        <v>237.98506731957104</v>
      </c>
    </row>
    <row r="30" spans="1:24" x14ac:dyDescent="0.2">
      <c r="A30" s="33">
        <f t="shared" si="16"/>
        <v>2017</v>
      </c>
      <c r="B30" s="787">
        <v>950</v>
      </c>
      <c r="C30" s="565">
        <f t="shared" si="3"/>
        <v>199004</v>
      </c>
      <c r="D30" s="965">
        <f t="shared" ref="D30:D54" si="20">+D29</f>
        <v>0.10199999999999999</v>
      </c>
      <c r="E30" s="966">
        <f t="shared" ref="E30:E54" si="21">+E29</f>
        <v>0.33300000000000002</v>
      </c>
      <c r="F30" s="790">
        <f t="shared" ref="F30:F54" si="22">+F29</f>
        <v>371</v>
      </c>
      <c r="G30" s="473">
        <f t="shared" si="17"/>
        <v>9.6899999999999986E-2</v>
      </c>
      <c r="H30" s="474">
        <f t="shared" si="17"/>
        <v>0.31635000000000002</v>
      </c>
      <c r="I30" s="474">
        <f t="shared" si="18"/>
        <v>0.35244999999999999</v>
      </c>
      <c r="J30" s="61">
        <f t="shared" si="4"/>
        <v>2321.5</v>
      </c>
      <c r="K30" s="967">
        <f t="shared" si="5"/>
        <v>0.10199999999999999</v>
      </c>
      <c r="L30" s="967">
        <f t="shared" si="6"/>
        <v>0.23679299999999998</v>
      </c>
      <c r="M30" s="967">
        <f t="shared" si="7"/>
        <v>31.56451356281223</v>
      </c>
      <c r="N30" s="54">
        <f t="shared" si="15"/>
        <v>3693</v>
      </c>
      <c r="O30" s="968">
        <f t="shared" si="8"/>
        <v>0.33300000000000002</v>
      </c>
      <c r="P30" s="968">
        <f t="shared" si="9"/>
        <v>1.2297690000000001</v>
      </c>
      <c r="Q30" s="969">
        <f t="shared" si="10"/>
        <v>349.20795867722063</v>
      </c>
      <c r="R30" s="247">
        <f t="shared" si="11"/>
        <v>2321.5</v>
      </c>
      <c r="S30" s="24">
        <f t="shared" si="12"/>
        <v>371</v>
      </c>
      <c r="T30" s="970">
        <f t="shared" si="13"/>
        <v>0.8612765</v>
      </c>
      <c r="U30" s="971">
        <f t="shared" si="14"/>
        <v>238.84634381957105</v>
      </c>
    </row>
    <row r="31" spans="1:24" x14ac:dyDescent="0.2">
      <c r="A31" s="33">
        <f t="shared" si="16"/>
        <v>2018</v>
      </c>
      <c r="B31" s="787">
        <v>900</v>
      </c>
      <c r="C31" s="565">
        <f t="shared" si="3"/>
        <v>199904</v>
      </c>
      <c r="D31" s="965">
        <f t="shared" si="20"/>
        <v>0.10199999999999999</v>
      </c>
      <c r="E31" s="966">
        <f t="shared" si="21"/>
        <v>0.33300000000000002</v>
      </c>
      <c r="F31" s="790">
        <f t="shared" si="22"/>
        <v>371</v>
      </c>
      <c r="G31" s="473">
        <f t="shared" si="17"/>
        <v>9.1799999999999993E-2</v>
      </c>
      <c r="H31" s="474">
        <f t="shared" si="17"/>
        <v>0.29969999999999997</v>
      </c>
      <c r="I31" s="474">
        <f t="shared" si="18"/>
        <v>0.33389999999999997</v>
      </c>
      <c r="J31" s="61">
        <f t="shared" si="4"/>
        <v>925</v>
      </c>
      <c r="K31" s="967">
        <f t="shared" si="5"/>
        <v>0.10199999999999999</v>
      </c>
      <c r="L31" s="967">
        <f t="shared" si="6"/>
        <v>9.4349999999999989E-2</v>
      </c>
      <c r="M31" s="967">
        <f t="shared" si="7"/>
        <v>31.658863562812229</v>
      </c>
      <c r="N31" s="54">
        <f t="shared" si="15"/>
        <v>950</v>
      </c>
      <c r="O31" s="968">
        <f t="shared" si="8"/>
        <v>0.33300000000000002</v>
      </c>
      <c r="P31" s="968">
        <f t="shared" si="9"/>
        <v>0.31635000000000002</v>
      </c>
      <c r="Q31" s="969">
        <f t="shared" si="10"/>
        <v>349.52430867722063</v>
      </c>
      <c r="R31" s="247">
        <f t="shared" si="11"/>
        <v>925</v>
      </c>
      <c r="S31" s="24">
        <f t="shared" si="12"/>
        <v>371</v>
      </c>
      <c r="T31" s="970">
        <f t="shared" si="13"/>
        <v>0.34317500000000001</v>
      </c>
      <c r="U31" s="971">
        <f t="shared" si="14"/>
        <v>239.18951881957105</v>
      </c>
    </row>
    <row r="32" spans="1:24" x14ac:dyDescent="0.2">
      <c r="A32" s="33">
        <f t="shared" si="16"/>
        <v>2019</v>
      </c>
      <c r="B32" s="787">
        <v>900</v>
      </c>
      <c r="C32" s="565">
        <f t="shared" si="3"/>
        <v>200804</v>
      </c>
      <c r="D32" s="965">
        <f t="shared" si="20"/>
        <v>0.10199999999999999</v>
      </c>
      <c r="E32" s="966">
        <f t="shared" si="21"/>
        <v>0.33300000000000002</v>
      </c>
      <c r="F32" s="790">
        <f t="shared" si="22"/>
        <v>371</v>
      </c>
      <c r="G32" s="473">
        <f t="shared" si="17"/>
        <v>9.1799999999999993E-2</v>
      </c>
      <c r="H32" s="474">
        <f t="shared" si="17"/>
        <v>0.29969999999999997</v>
      </c>
      <c r="I32" s="474">
        <f t="shared" si="18"/>
        <v>0.33389999999999997</v>
      </c>
      <c r="J32" s="61">
        <f t="shared" si="4"/>
        <v>900</v>
      </c>
      <c r="K32" s="967">
        <f t="shared" si="5"/>
        <v>0.10199999999999999</v>
      </c>
      <c r="L32" s="967">
        <f t="shared" si="6"/>
        <v>9.1799999999999993E-2</v>
      </c>
      <c r="M32" s="967">
        <f t="shared" si="7"/>
        <v>31.750663562812228</v>
      </c>
      <c r="N32" s="54">
        <f t="shared" si="15"/>
        <v>900</v>
      </c>
      <c r="O32" s="968">
        <f t="shared" si="8"/>
        <v>0.33300000000000002</v>
      </c>
      <c r="P32" s="968">
        <f t="shared" si="9"/>
        <v>0.29969999999999997</v>
      </c>
      <c r="Q32" s="969">
        <f t="shared" si="10"/>
        <v>349.8240086772206</v>
      </c>
      <c r="R32" s="247">
        <f t="shared" si="11"/>
        <v>900</v>
      </c>
      <c r="S32" s="24">
        <f t="shared" si="12"/>
        <v>371</v>
      </c>
      <c r="T32" s="970">
        <f t="shared" si="13"/>
        <v>0.33389999999999997</v>
      </c>
      <c r="U32" s="971">
        <f t="shared" si="14"/>
        <v>239.52341881957105</v>
      </c>
    </row>
    <row r="33" spans="1:21" x14ac:dyDescent="0.2">
      <c r="A33" s="33">
        <f t="shared" si="16"/>
        <v>2020</v>
      </c>
      <c r="B33" s="787">
        <v>900</v>
      </c>
      <c r="C33" s="565">
        <f t="shared" si="3"/>
        <v>201704</v>
      </c>
      <c r="D33" s="965">
        <f t="shared" si="20"/>
        <v>0.10199999999999999</v>
      </c>
      <c r="E33" s="966">
        <f t="shared" si="21"/>
        <v>0.33300000000000002</v>
      </c>
      <c r="F33" s="790">
        <f t="shared" si="22"/>
        <v>371</v>
      </c>
      <c r="G33" s="473">
        <f t="shared" si="17"/>
        <v>9.1799999999999993E-2</v>
      </c>
      <c r="H33" s="474">
        <f t="shared" si="17"/>
        <v>0.29969999999999997</v>
      </c>
      <c r="I33" s="474">
        <f t="shared" si="18"/>
        <v>0.33389999999999997</v>
      </c>
      <c r="J33" s="61">
        <f t="shared" si="4"/>
        <v>900</v>
      </c>
      <c r="K33" s="967">
        <f t="shared" si="5"/>
        <v>0.10199999999999999</v>
      </c>
      <c r="L33" s="967">
        <f t="shared" si="6"/>
        <v>9.1799999999999993E-2</v>
      </c>
      <c r="M33" s="967">
        <f t="shared" si="7"/>
        <v>31.842463562812227</v>
      </c>
      <c r="N33" s="54">
        <f t="shared" si="15"/>
        <v>900</v>
      </c>
      <c r="O33" s="968">
        <f t="shared" si="8"/>
        <v>0.33300000000000002</v>
      </c>
      <c r="P33" s="968">
        <f t="shared" si="9"/>
        <v>0.29969999999999997</v>
      </c>
      <c r="Q33" s="969">
        <f t="shared" si="10"/>
        <v>350.12370867722058</v>
      </c>
      <c r="R33" s="247">
        <f t="shared" si="11"/>
        <v>900</v>
      </c>
      <c r="S33" s="24">
        <f t="shared" si="12"/>
        <v>371</v>
      </c>
      <c r="T33" s="970">
        <f t="shared" si="13"/>
        <v>0.33389999999999997</v>
      </c>
      <c r="U33" s="971">
        <f t="shared" si="14"/>
        <v>239.85731881957105</v>
      </c>
    </row>
    <row r="34" spans="1:21" x14ac:dyDescent="0.2">
      <c r="A34" s="33">
        <f t="shared" si="16"/>
        <v>2021</v>
      </c>
      <c r="B34" s="787">
        <v>900</v>
      </c>
      <c r="C34" s="565">
        <f t="shared" si="3"/>
        <v>202604</v>
      </c>
      <c r="D34" s="965">
        <f t="shared" si="20"/>
        <v>0.10199999999999999</v>
      </c>
      <c r="E34" s="966">
        <f t="shared" si="21"/>
        <v>0.33300000000000002</v>
      </c>
      <c r="F34" s="790">
        <f t="shared" si="22"/>
        <v>371</v>
      </c>
      <c r="G34" s="473">
        <f t="shared" si="17"/>
        <v>9.1799999999999993E-2</v>
      </c>
      <c r="H34" s="474">
        <f t="shared" si="17"/>
        <v>0.29969999999999997</v>
      </c>
      <c r="I34" s="474">
        <f t="shared" si="18"/>
        <v>0.33389999999999997</v>
      </c>
      <c r="J34" s="61">
        <f t="shared" si="4"/>
        <v>900</v>
      </c>
      <c r="K34" s="967">
        <f t="shared" si="5"/>
        <v>0.10199999999999999</v>
      </c>
      <c r="L34" s="967">
        <f t="shared" si="6"/>
        <v>9.1799999999999993E-2</v>
      </c>
      <c r="M34" s="967">
        <f t="shared" si="7"/>
        <v>31.934263562812227</v>
      </c>
      <c r="N34" s="54">
        <f t="shared" si="15"/>
        <v>900</v>
      </c>
      <c r="O34" s="968">
        <f t="shared" si="8"/>
        <v>0.33300000000000002</v>
      </c>
      <c r="P34" s="968">
        <f t="shared" si="9"/>
        <v>0.29969999999999997</v>
      </c>
      <c r="Q34" s="969">
        <f t="shared" si="10"/>
        <v>350.42340867722055</v>
      </c>
      <c r="R34" s="247">
        <f t="shared" si="11"/>
        <v>900</v>
      </c>
      <c r="S34" s="24">
        <f t="shared" si="12"/>
        <v>371</v>
      </c>
      <c r="T34" s="970">
        <f t="shared" si="13"/>
        <v>0.33389999999999997</v>
      </c>
      <c r="U34" s="971">
        <f t="shared" si="14"/>
        <v>240.19121881957105</v>
      </c>
    </row>
    <row r="35" spans="1:21" x14ac:dyDescent="0.2">
      <c r="A35" s="33">
        <f t="shared" si="16"/>
        <v>2022</v>
      </c>
      <c r="B35" s="787">
        <v>700</v>
      </c>
      <c r="C35" s="565">
        <f t="shared" si="3"/>
        <v>203304</v>
      </c>
      <c r="D35" s="965">
        <f t="shared" si="20"/>
        <v>0.10199999999999999</v>
      </c>
      <c r="E35" s="966">
        <f t="shared" si="21"/>
        <v>0.33300000000000002</v>
      </c>
      <c r="F35" s="790">
        <f t="shared" si="22"/>
        <v>371</v>
      </c>
      <c r="G35" s="473">
        <f t="shared" si="17"/>
        <v>7.1399999999999991E-2</v>
      </c>
      <c r="H35" s="474">
        <f t="shared" si="17"/>
        <v>0.23310000000000003</v>
      </c>
      <c r="I35" s="474">
        <f t="shared" si="18"/>
        <v>0.25969999999999999</v>
      </c>
      <c r="J35" s="61">
        <f t="shared" si="4"/>
        <v>800</v>
      </c>
      <c r="K35" s="967">
        <f t="shared" si="5"/>
        <v>0.10199999999999999</v>
      </c>
      <c r="L35" s="967">
        <f t="shared" si="6"/>
        <v>8.1599999999999992E-2</v>
      </c>
      <c r="M35" s="967">
        <f t="shared" si="7"/>
        <v>32.015863562812228</v>
      </c>
      <c r="N35" s="54">
        <f t="shared" si="15"/>
        <v>900</v>
      </c>
      <c r="O35" s="968">
        <f t="shared" si="8"/>
        <v>0.33300000000000002</v>
      </c>
      <c r="P35" s="968">
        <f t="shared" si="9"/>
        <v>0.29969999999999997</v>
      </c>
      <c r="Q35" s="969">
        <f t="shared" si="10"/>
        <v>350.72310867722052</v>
      </c>
      <c r="R35" s="247">
        <f t="shared" si="11"/>
        <v>800</v>
      </c>
      <c r="S35" s="24">
        <f t="shared" si="12"/>
        <v>371</v>
      </c>
      <c r="T35" s="970">
        <f t="shared" si="13"/>
        <v>0.29680000000000001</v>
      </c>
      <c r="U35" s="971">
        <f t="shared" si="14"/>
        <v>240.48801881957104</v>
      </c>
    </row>
    <row r="36" spans="1:21" x14ac:dyDescent="0.2">
      <c r="A36" s="33">
        <f t="shared" si="16"/>
        <v>2023</v>
      </c>
      <c r="B36" s="787">
        <v>600</v>
      </c>
      <c r="C36" s="565">
        <f t="shared" si="3"/>
        <v>203904</v>
      </c>
      <c r="D36" s="965">
        <f t="shared" si="20"/>
        <v>0.10199999999999999</v>
      </c>
      <c r="E36" s="966">
        <f t="shared" si="21"/>
        <v>0.33300000000000002</v>
      </c>
      <c r="F36" s="790">
        <f t="shared" si="22"/>
        <v>371</v>
      </c>
      <c r="G36" s="473">
        <f t="shared" si="17"/>
        <v>6.1199999999999997E-2</v>
      </c>
      <c r="H36" s="474">
        <f t="shared" si="17"/>
        <v>0.19980000000000001</v>
      </c>
      <c r="I36" s="474">
        <f t="shared" si="18"/>
        <v>0.22259999999999999</v>
      </c>
      <c r="J36" s="61">
        <f t="shared" si="4"/>
        <v>650</v>
      </c>
      <c r="K36" s="967">
        <f t="shared" si="5"/>
        <v>0.10199999999999999</v>
      </c>
      <c r="L36" s="967">
        <f t="shared" si="6"/>
        <v>6.6299999999999998E-2</v>
      </c>
      <c r="M36" s="967">
        <f t="shared" si="7"/>
        <v>32.082163562812227</v>
      </c>
      <c r="N36" s="54">
        <f t="shared" si="15"/>
        <v>700</v>
      </c>
      <c r="O36" s="968">
        <f t="shared" si="8"/>
        <v>0.33300000000000002</v>
      </c>
      <c r="P36" s="968">
        <f t="shared" si="9"/>
        <v>0.23310000000000003</v>
      </c>
      <c r="Q36" s="969">
        <f t="shared" si="10"/>
        <v>350.9562086772205</v>
      </c>
      <c r="R36" s="247">
        <f t="shared" si="11"/>
        <v>650</v>
      </c>
      <c r="S36" s="24">
        <f t="shared" si="12"/>
        <v>371</v>
      </c>
      <c r="T36" s="970">
        <f t="shared" si="13"/>
        <v>0.24115</v>
      </c>
      <c r="U36" s="971">
        <f t="shared" si="14"/>
        <v>240.72916881957104</v>
      </c>
    </row>
    <row r="37" spans="1:21" x14ac:dyDescent="0.2">
      <c r="A37" s="33">
        <f t="shared" si="16"/>
        <v>2024</v>
      </c>
      <c r="B37" s="787">
        <v>500</v>
      </c>
      <c r="C37" s="565">
        <f t="shared" si="3"/>
        <v>204404</v>
      </c>
      <c r="D37" s="965">
        <f t="shared" si="20"/>
        <v>0.10199999999999999</v>
      </c>
      <c r="E37" s="966">
        <f t="shared" si="21"/>
        <v>0.33300000000000002</v>
      </c>
      <c r="F37" s="790">
        <f t="shared" si="22"/>
        <v>371</v>
      </c>
      <c r="G37" s="473">
        <f t="shared" si="17"/>
        <v>5.0999999999999997E-2</v>
      </c>
      <c r="H37" s="474">
        <f t="shared" si="17"/>
        <v>0.16650000000000001</v>
      </c>
      <c r="I37" s="474">
        <f t="shared" si="18"/>
        <v>0.1855</v>
      </c>
      <c r="J37" s="61">
        <f t="shared" si="4"/>
        <v>550</v>
      </c>
      <c r="K37" s="967">
        <f t="shared" si="5"/>
        <v>0.10199999999999999</v>
      </c>
      <c r="L37" s="967">
        <f t="shared" si="6"/>
        <v>5.6099999999999997E-2</v>
      </c>
      <c r="M37" s="967">
        <f t="shared" si="7"/>
        <v>32.138263562812227</v>
      </c>
      <c r="N37" s="54">
        <f t="shared" si="15"/>
        <v>600</v>
      </c>
      <c r="O37" s="968">
        <f t="shared" si="8"/>
        <v>0.33300000000000002</v>
      </c>
      <c r="P37" s="968">
        <f t="shared" si="9"/>
        <v>0.19980000000000001</v>
      </c>
      <c r="Q37" s="969">
        <f t="shared" si="10"/>
        <v>351.15600867722048</v>
      </c>
      <c r="R37" s="247">
        <f t="shared" si="11"/>
        <v>550</v>
      </c>
      <c r="S37" s="24">
        <f t="shared" si="12"/>
        <v>371</v>
      </c>
      <c r="T37" s="970">
        <f t="shared" si="13"/>
        <v>0.20405000000000001</v>
      </c>
      <c r="U37" s="971">
        <f t="shared" si="14"/>
        <v>240.93321881957104</v>
      </c>
    </row>
    <row r="38" spans="1:21" x14ac:dyDescent="0.2">
      <c r="A38" s="33">
        <f t="shared" si="16"/>
        <v>2025</v>
      </c>
      <c r="B38" s="787">
        <f t="shared" ref="B38:B40" si="23">B37</f>
        <v>500</v>
      </c>
      <c r="C38" s="565">
        <f t="shared" ref="C38:C42" si="24">+C37+B38</f>
        <v>204904</v>
      </c>
      <c r="D38" s="965">
        <f t="shared" si="20"/>
        <v>0.10199999999999999</v>
      </c>
      <c r="E38" s="966">
        <f t="shared" si="21"/>
        <v>0.33300000000000002</v>
      </c>
      <c r="F38" s="790">
        <f t="shared" si="22"/>
        <v>371</v>
      </c>
      <c r="G38" s="473">
        <f t="shared" ref="G38:H40" si="25">+$B38*D38/1000</f>
        <v>5.0999999999999997E-2</v>
      </c>
      <c r="H38" s="474">
        <f t="shared" si="25"/>
        <v>0.16650000000000001</v>
      </c>
      <c r="I38" s="474">
        <f t="shared" ref="I38:I42" si="26">+$B38*F38/1000000</f>
        <v>0.1855</v>
      </c>
      <c r="J38" s="61">
        <f t="shared" ref="J38:J42" si="27">+(B38+B37)/2</f>
        <v>500</v>
      </c>
      <c r="K38" s="967">
        <f t="shared" ref="K38:K42" si="28">+D38</f>
        <v>0.10199999999999999</v>
      </c>
      <c r="L38" s="967">
        <f t="shared" ref="L38:L42" si="29">+J38*K38/1000</f>
        <v>5.0999999999999997E-2</v>
      </c>
      <c r="M38" s="967">
        <f t="shared" ref="M38:M42" si="30">+M37+L38</f>
        <v>32.189263562812229</v>
      </c>
      <c r="N38" s="54">
        <f t="shared" ref="N38:N42" si="31">+B37</f>
        <v>500</v>
      </c>
      <c r="O38" s="968">
        <f t="shared" ref="O38:O42" si="32">+E38</f>
        <v>0.33300000000000002</v>
      </c>
      <c r="P38" s="968">
        <f t="shared" ref="P38:P42" si="33">+N38*O38/1000</f>
        <v>0.16650000000000001</v>
      </c>
      <c r="Q38" s="969">
        <f t="shared" ref="Q38:Q42" si="34">+Q37+P38</f>
        <v>351.32250867722047</v>
      </c>
      <c r="R38" s="247">
        <f t="shared" ref="R38:R42" si="35">+(B38+B37)/2</f>
        <v>500</v>
      </c>
      <c r="S38" s="24">
        <f t="shared" ref="S38:S42" si="36">+F38</f>
        <v>371</v>
      </c>
      <c r="T38" s="970">
        <f t="shared" ref="T38:T42" si="37">+R38*S38/1000000</f>
        <v>0.1855</v>
      </c>
      <c r="U38" s="971">
        <f t="shared" ref="U38:U42" si="38">+U37+T38</f>
        <v>241.11871881957103</v>
      </c>
    </row>
    <row r="39" spans="1:21" x14ac:dyDescent="0.2">
      <c r="A39" s="33">
        <f>+A38+1</f>
        <v>2026</v>
      </c>
      <c r="B39" s="787">
        <f t="shared" si="23"/>
        <v>500</v>
      </c>
      <c r="C39" s="565">
        <f t="shared" si="24"/>
        <v>205404</v>
      </c>
      <c r="D39" s="965">
        <f t="shared" si="20"/>
        <v>0.10199999999999999</v>
      </c>
      <c r="E39" s="966">
        <f t="shared" si="21"/>
        <v>0.33300000000000002</v>
      </c>
      <c r="F39" s="790">
        <f t="shared" si="22"/>
        <v>371</v>
      </c>
      <c r="G39" s="473">
        <f t="shared" si="25"/>
        <v>5.0999999999999997E-2</v>
      </c>
      <c r="H39" s="474">
        <f t="shared" si="25"/>
        <v>0.16650000000000001</v>
      </c>
      <c r="I39" s="474">
        <f t="shared" si="26"/>
        <v>0.1855</v>
      </c>
      <c r="J39" s="61">
        <f t="shared" si="27"/>
        <v>500</v>
      </c>
      <c r="K39" s="967">
        <f t="shared" si="28"/>
        <v>0.10199999999999999</v>
      </c>
      <c r="L39" s="967">
        <f t="shared" si="29"/>
        <v>5.0999999999999997E-2</v>
      </c>
      <c r="M39" s="967">
        <f t="shared" si="30"/>
        <v>32.240263562812231</v>
      </c>
      <c r="N39" s="54">
        <f t="shared" si="31"/>
        <v>500</v>
      </c>
      <c r="O39" s="968">
        <f t="shared" si="32"/>
        <v>0.33300000000000002</v>
      </c>
      <c r="P39" s="968">
        <f t="shared" si="33"/>
        <v>0.16650000000000001</v>
      </c>
      <c r="Q39" s="969">
        <f t="shared" si="34"/>
        <v>351.48900867722045</v>
      </c>
      <c r="R39" s="247">
        <f t="shared" si="35"/>
        <v>500</v>
      </c>
      <c r="S39" s="24">
        <f t="shared" si="36"/>
        <v>371</v>
      </c>
      <c r="T39" s="970">
        <f t="shared" si="37"/>
        <v>0.1855</v>
      </c>
      <c r="U39" s="971">
        <f t="shared" si="38"/>
        <v>241.30421881957102</v>
      </c>
    </row>
    <row r="40" spans="1:21" x14ac:dyDescent="0.2">
      <c r="A40" s="33">
        <f>+A39+1</f>
        <v>2027</v>
      </c>
      <c r="B40" s="787">
        <f t="shared" si="23"/>
        <v>500</v>
      </c>
      <c r="C40" s="565">
        <f t="shared" si="24"/>
        <v>205904</v>
      </c>
      <c r="D40" s="965">
        <f t="shared" si="20"/>
        <v>0.10199999999999999</v>
      </c>
      <c r="E40" s="966">
        <f t="shared" si="21"/>
        <v>0.33300000000000002</v>
      </c>
      <c r="F40" s="790">
        <f t="shared" si="22"/>
        <v>371</v>
      </c>
      <c r="G40" s="473">
        <f t="shared" si="25"/>
        <v>5.0999999999999997E-2</v>
      </c>
      <c r="H40" s="474">
        <f t="shared" si="25"/>
        <v>0.16650000000000001</v>
      </c>
      <c r="I40" s="474">
        <f t="shared" si="26"/>
        <v>0.1855</v>
      </c>
      <c r="J40" s="61">
        <f t="shared" si="27"/>
        <v>500</v>
      </c>
      <c r="K40" s="967">
        <f t="shared" si="28"/>
        <v>0.10199999999999999</v>
      </c>
      <c r="L40" s="967">
        <f t="shared" si="29"/>
        <v>5.0999999999999997E-2</v>
      </c>
      <c r="M40" s="967">
        <f t="shared" si="30"/>
        <v>32.291263562812233</v>
      </c>
      <c r="N40" s="54">
        <f t="shared" si="31"/>
        <v>500</v>
      </c>
      <c r="O40" s="968">
        <f t="shared" si="32"/>
        <v>0.33300000000000002</v>
      </c>
      <c r="P40" s="968">
        <f t="shared" si="33"/>
        <v>0.16650000000000001</v>
      </c>
      <c r="Q40" s="969">
        <f t="shared" si="34"/>
        <v>351.65550867722044</v>
      </c>
      <c r="R40" s="247">
        <f t="shared" si="35"/>
        <v>500</v>
      </c>
      <c r="S40" s="24">
        <f t="shared" si="36"/>
        <v>371</v>
      </c>
      <c r="T40" s="970">
        <f t="shared" si="37"/>
        <v>0.1855</v>
      </c>
      <c r="U40" s="971">
        <f t="shared" si="38"/>
        <v>241.48971881957101</v>
      </c>
    </row>
    <row r="41" spans="1:21" x14ac:dyDescent="0.2">
      <c r="A41" s="33">
        <f t="shared" ref="A41:A54" si="39">+A40+1</f>
        <v>2028</v>
      </c>
      <c r="B41" s="787">
        <f t="shared" ref="B41:B47" si="40">B40</f>
        <v>500</v>
      </c>
      <c r="C41" s="565">
        <f t="shared" si="24"/>
        <v>206404</v>
      </c>
      <c r="D41" s="965">
        <f>+D40</f>
        <v>0.10199999999999999</v>
      </c>
      <c r="E41" s="966">
        <f>+E40</f>
        <v>0.33300000000000002</v>
      </c>
      <c r="F41" s="790">
        <f>+F40</f>
        <v>371</v>
      </c>
      <c r="G41" s="473">
        <f t="shared" ref="G41:H42" si="41">+$B41*D41/1000</f>
        <v>5.0999999999999997E-2</v>
      </c>
      <c r="H41" s="474">
        <f t="shared" si="41"/>
        <v>0.16650000000000001</v>
      </c>
      <c r="I41" s="474">
        <f t="shared" si="26"/>
        <v>0.1855</v>
      </c>
      <c r="J41" s="61">
        <f t="shared" si="27"/>
        <v>500</v>
      </c>
      <c r="K41" s="967">
        <f t="shared" si="28"/>
        <v>0.10199999999999999</v>
      </c>
      <c r="L41" s="967">
        <f t="shared" si="29"/>
        <v>5.0999999999999997E-2</v>
      </c>
      <c r="M41" s="967">
        <f t="shared" si="30"/>
        <v>32.342263562812235</v>
      </c>
      <c r="N41" s="54">
        <f t="shared" si="31"/>
        <v>500</v>
      </c>
      <c r="O41" s="968">
        <f t="shared" si="32"/>
        <v>0.33300000000000002</v>
      </c>
      <c r="P41" s="968">
        <f t="shared" si="33"/>
        <v>0.16650000000000001</v>
      </c>
      <c r="Q41" s="969">
        <f t="shared" si="34"/>
        <v>351.82200867722042</v>
      </c>
      <c r="R41" s="247">
        <f t="shared" si="35"/>
        <v>500</v>
      </c>
      <c r="S41" s="24">
        <f t="shared" si="36"/>
        <v>371</v>
      </c>
      <c r="T41" s="970">
        <f t="shared" si="37"/>
        <v>0.1855</v>
      </c>
      <c r="U41" s="971">
        <f t="shared" si="38"/>
        <v>241.675218819571</v>
      </c>
    </row>
    <row r="42" spans="1:21" x14ac:dyDescent="0.2">
      <c r="A42" s="33">
        <f t="shared" si="39"/>
        <v>2029</v>
      </c>
      <c r="B42" s="787">
        <f t="shared" si="40"/>
        <v>500</v>
      </c>
      <c r="C42" s="565">
        <f t="shared" si="24"/>
        <v>206904</v>
      </c>
      <c r="D42" s="965">
        <f t="shared" si="20"/>
        <v>0.10199999999999999</v>
      </c>
      <c r="E42" s="966">
        <f t="shared" si="21"/>
        <v>0.33300000000000002</v>
      </c>
      <c r="F42" s="790">
        <f t="shared" si="22"/>
        <v>371</v>
      </c>
      <c r="G42" s="473">
        <f t="shared" si="41"/>
        <v>5.0999999999999997E-2</v>
      </c>
      <c r="H42" s="474">
        <f t="shared" si="41"/>
        <v>0.16650000000000001</v>
      </c>
      <c r="I42" s="474">
        <f t="shared" si="26"/>
        <v>0.1855</v>
      </c>
      <c r="J42" s="61">
        <f t="shared" si="27"/>
        <v>500</v>
      </c>
      <c r="K42" s="967">
        <f t="shared" si="28"/>
        <v>0.10199999999999999</v>
      </c>
      <c r="L42" s="967">
        <f t="shared" si="29"/>
        <v>5.0999999999999997E-2</v>
      </c>
      <c r="M42" s="967">
        <f t="shared" si="30"/>
        <v>32.393263562812237</v>
      </c>
      <c r="N42" s="54">
        <f t="shared" si="31"/>
        <v>500</v>
      </c>
      <c r="O42" s="968">
        <f t="shared" si="32"/>
        <v>0.33300000000000002</v>
      </c>
      <c r="P42" s="968">
        <f t="shared" si="33"/>
        <v>0.16650000000000001</v>
      </c>
      <c r="Q42" s="969">
        <f t="shared" si="34"/>
        <v>351.98850867722041</v>
      </c>
      <c r="R42" s="247">
        <f t="shared" si="35"/>
        <v>500</v>
      </c>
      <c r="S42" s="24">
        <f t="shared" si="36"/>
        <v>371</v>
      </c>
      <c r="T42" s="970">
        <f t="shared" si="37"/>
        <v>0.1855</v>
      </c>
      <c r="U42" s="971">
        <f t="shared" si="38"/>
        <v>241.86071881957099</v>
      </c>
    </row>
    <row r="43" spans="1:21" x14ac:dyDescent="0.2">
      <c r="A43" s="33">
        <f t="shared" si="39"/>
        <v>2030</v>
      </c>
      <c r="B43" s="787">
        <f t="shared" si="40"/>
        <v>500</v>
      </c>
      <c r="C43" s="565">
        <f t="shared" ref="C43:C47" si="42">+C42+B43</f>
        <v>207404</v>
      </c>
      <c r="D43" s="965">
        <f t="shared" si="20"/>
        <v>0.10199999999999999</v>
      </c>
      <c r="E43" s="966">
        <f t="shared" si="21"/>
        <v>0.33300000000000002</v>
      </c>
      <c r="F43" s="790">
        <f t="shared" si="22"/>
        <v>371</v>
      </c>
      <c r="G43" s="473">
        <f t="shared" ref="G43:G47" si="43">+$B43*D43/1000</f>
        <v>5.0999999999999997E-2</v>
      </c>
      <c r="H43" s="474">
        <f t="shared" ref="H43:H47" si="44">+$B43*E43/1000</f>
        <v>0.16650000000000001</v>
      </c>
      <c r="I43" s="474">
        <f t="shared" ref="I43:I47" si="45">+$B43*F43/1000000</f>
        <v>0.1855</v>
      </c>
      <c r="J43" s="61">
        <f t="shared" ref="J43:J47" si="46">+(B43+B42)/2</f>
        <v>500</v>
      </c>
      <c r="K43" s="967">
        <f t="shared" ref="K43:K47" si="47">+D43</f>
        <v>0.10199999999999999</v>
      </c>
      <c r="L43" s="967">
        <f t="shared" ref="L43:L47" si="48">+J43*K43/1000</f>
        <v>5.0999999999999997E-2</v>
      </c>
      <c r="M43" s="967">
        <f t="shared" ref="M43:M47" si="49">+M42+L43</f>
        <v>32.444263562812239</v>
      </c>
      <c r="N43" s="54">
        <f t="shared" ref="N43:N47" si="50">+B42</f>
        <v>500</v>
      </c>
      <c r="O43" s="968">
        <f t="shared" ref="O43:O47" si="51">+E43</f>
        <v>0.33300000000000002</v>
      </c>
      <c r="P43" s="968">
        <f t="shared" ref="P43:P47" si="52">+N43*O43/1000</f>
        <v>0.16650000000000001</v>
      </c>
      <c r="Q43" s="969">
        <f t="shared" ref="Q43:Q47" si="53">+Q42+P43</f>
        <v>352.15500867722039</v>
      </c>
      <c r="R43" s="247">
        <f t="shared" ref="R43:R47" si="54">+(B43+B42)/2</f>
        <v>500</v>
      </c>
      <c r="S43" s="24">
        <f t="shared" ref="S43:S47" si="55">+F43</f>
        <v>371</v>
      </c>
      <c r="T43" s="970">
        <f t="shared" ref="T43:T47" si="56">+R43*S43/1000000</f>
        <v>0.1855</v>
      </c>
      <c r="U43" s="971">
        <f t="shared" ref="U43:U47" si="57">+U42+T43</f>
        <v>242.04621881957098</v>
      </c>
    </row>
    <row r="44" spans="1:21" x14ac:dyDescent="0.2">
      <c r="A44" s="33">
        <f t="shared" si="39"/>
        <v>2031</v>
      </c>
      <c r="B44" s="787">
        <f t="shared" si="40"/>
        <v>500</v>
      </c>
      <c r="C44" s="565">
        <f t="shared" si="42"/>
        <v>207904</v>
      </c>
      <c r="D44" s="965">
        <f t="shared" si="20"/>
        <v>0.10199999999999999</v>
      </c>
      <c r="E44" s="966">
        <f t="shared" si="21"/>
        <v>0.33300000000000002</v>
      </c>
      <c r="F44" s="790">
        <f t="shared" si="22"/>
        <v>371</v>
      </c>
      <c r="G44" s="473">
        <f t="shared" si="43"/>
        <v>5.0999999999999997E-2</v>
      </c>
      <c r="H44" s="474">
        <f t="shared" si="44"/>
        <v>0.16650000000000001</v>
      </c>
      <c r="I44" s="474">
        <f t="shared" si="45"/>
        <v>0.1855</v>
      </c>
      <c r="J44" s="61">
        <f t="shared" si="46"/>
        <v>500</v>
      </c>
      <c r="K44" s="967">
        <f t="shared" si="47"/>
        <v>0.10199999999999999</v>
      </c>
      <c r="L44" s="967">
        <f t="shared" si="48"/>
        <v>5.0999999999999997E-2</v>
      </c>
      <c r="M44" s="967">
        <f t="shared" si="49"/>
        <v>32.495263562812241</v>
      </c>
      <c r="N44" s="54">
        <f t="shared" si="50"/>
        <v>500</v>
      </c>
      <c r="O44" s="968">
        <f t="shared" si="51"/>
        <v>0.33300000000000002</v>
      </c>
      <c r="P44" s="968">
        <f t="shared" si="52"/>
        <v>0.16650000000000001</v>
      </c>
      <c r="Q44" s="969">
        <f t="shared" si="53"/>
        <v>352.32150867722038</v>
      </c>
      <c r="R44" s="247">
        <f t="shared" si="54"/>
        <v>500</v>
      </c>
      <c r="S44" s="24">
        <f t="shared" si="55"/>
        <v>371</v>
      </c>
      <c r="T44" s="970">
        <f t="shared" si="56"/>
        <v>0.1855</v>
      </c>
      <c r="U44" s="971">
        <f t="shared" si="57"/>
        <v>242.23171881957097</v>
      </c>
    </row>
    <row r="45" spans="1:21" x14ac:dyDescent="0.2">
      <c r="A45" s="33">
        <f t="shared" si="39"/>
        <v>2032</v>
      </c>
      <c r="B45" s="787">
        <f t="shared" si="40"/>
        <v>500</v>
      </c>
      <c r="C45" s="565">
        <f t="shared" si="42"/>
        <v>208404</v>
      </c>
      <c r="D45" s="965">
        <f t="shared" si="20"/>
        <v>0.10199999999999999</v>
      </c>
      <c r="E45" s="966">
        <f t="shared" si="21"/>
        <v>0.33300000000000002</v>
      </c>
      <c r="F45" s="790">
        <f t="shared" si="22"/>
        <v>371</v>
      </c>
      <c r="G45" s="473">
        <f t="shared" si="43"/>
        <v>5.0999999999999997E-2</v>
      </c>
      <c r="H45" s="474">
        <f t="shared" si="44"/>
        <v>0.16650000000000001</v>
      </c>
      <c r="I45" s="474">
        <f t="shared" si="45"/>
        <v>0.1855</v>
      </c>
      <c r="J45" s="61">
        <f t="shared" si="46"/>
        <v>500</v>
      </c>
      <c r="K45" s="967">
        <f t="shared" si="47"/>
        <v>0.10199999999999999</v>
      </c>
      <c r="L45" s="967">
        <f t="shared" si="48"/>
        <v>5.0999999999999997E-2</v>
      </c>
      <c r="M45" s="967">
        <f t="shared" si="49"/>
        <v>32.546263562812243</v>
      </c>
      <c r="N45" s="54">
        <f t="shared" si="50"/>
        <v>500</v>
      </c>
      <c r="O45" s="968">
        <f t="shared" si="51"/>
        <v>0.33300000000000002</v>
      </c>
      <c r="P45" s="968">
        <f t="shared" si="52"/>
        <v>0.16650000000000001</v>
      </c>
      <c r="Q45" s="969">
        <f t="shared" si="53"/>
        <v>352.48800867722036</v>
      </c>
      <c r="R45" s="247">
        <f t="shared" si="54"/>
        <v>500</v>
      </c>
      <c r="S45" s="24">
        <f t="shared" si="55"/>
        <v>371</v>
      </c>
      <c r="T45" s="970">
        <f t="shared" si="56"/>
        <v>0.1855</v>
      </c>
      <c r="U45" s="971">
        <f t="shared" si="57"/>
        <v>242.41721881957096</v>
      </c>
    </row>
    <row r="46" spans="1:21" x14ac:dyDescent="0.2">
      <c r="A46" s="33">
        <f t="shared" si="39"/>
        <v>2033</v>
      </c>
      <c r="B46" s="787">
        <f t="shared" si="40"/>
        <v>500</v>
      </c>
      <c r="C46" s="565">
        <f t="shared" si="42"/>
        <v>208904</v>
      </c>
      <c r="D46" s="965">
        <f t="shared" si="20"/>
        <v>0.10199999999999999</v>
      </c>
      <c r="E46" s="966">
        <f t="shared" si="21"/>
        <v>0.33300000000000002</v>
      </c>
      <c r="F46" s="790">
        <f t="shared" si="22"/>
        <v>371</v>
      </c>
      <c r="G46" s="473">
        <f t="shared" si="43"/>
        <v>5.0999999999999997E-2</v>
      </c>
      <c r="H46" s="474">
        <f t="shared" si="44"/>
        <v>0.16650000000000001</v>
      </c>
      <c r="I46" s="474">
        <f t="shared" si="45"/>
        <v>0.1855</v>
      </c>
      <c r="J46" s="61">
        <f t="shared" si="46"/>
        <v>500</v>
      </c>
      <c r="K46" s="967">
        <f t="shared" si="47"/>
        <v>0.10199999999999999</v>
      </c>
      <c r="L46" s="967">
        <f t="shared" si="48"/>
        <v>5.0999999999999997E-2</v>
      </c>
      <c r="M46" s="967">
        <f t="shared" si="49"/>
        <v>32.597263562812245</v>
      </c>
      <c r="N46" s="54">
        <f t="shared" si="50"/>
        <v>500</v>
      </c>
      <c r="O46" s="968">
        <f t="shared" si="51"/>
        <v>0.33300000000000002</v>
      </c>
      <c r="P46" s="968">
        <f t="shared" si="52"/>
        <v>0.16650000000000001</v>
      </c>
      <c r="Q46" s="969">
        <f t="shared" si="53"/>
        <v>352.65450867722035</v>
      </c>
      <c r="R46" s="247">
        <f t="shared" si="54"/>
        <v>500</v>
      </c>
      <c r="S46" s="24">
        <f t="shared" si="55"/>
        <v>371</v>
      </c>
      <c r="T46" s="970">
        <f t="shared" si="56"/>
        <v>0.1855</v>
      </c>
      <c r="U46" s="971">
        <f t="shared" si="57"/>
        <v>242.60271881957095</v>
      </c>
    </row>
    <row r="47" spans="1:21" x14ac:dyDescent="0.2">
      <c r="A47" s="33">
        <f t="shared" si="39"/>
        <v>2034</v>
      </c>
      <c r="B47" s="787">
        <f t="shared" si="40"/>
        <v>500</v>
      </c>
      <c r="C47" s="565">
        <f t="shared" si="42"/>
        <v>209404</v>
      </c>
      <c r="D47" s="965">
        <f t="shared" si="20"/>
        <v>0.10199999999999999</v>
      </c>
      <c r="E47" s="966">
        <f t="shared" si="21"/>
        <v>0.33300000000000002</v>
      </c>
      <c r="F47" s="790">
        <f t="shared" si="22"/>
        <v>371</v>
      </c>
      <c r="G47" s="473">
        <f t="shared" si="43"/>
        <v>5.0999999999999997E-2</v>
      </c>
      <c r="H47" s="474">
        <f t="shared" si="44"/>
        <v>0.16650000000000001</v>
      </c>
      <c r="I47" s="474">
        <f t="shared" si="45"/>
        <v>0.1855</v>
      </c>
      <c r="J47" s="61">
        <f t="shared" si="46"/>
        <v>500</v>
      </c>
      <c r="K47" s="967">
        <f t="shared" si="47"/>
        <v>0.10199999999999999</v>
      </c>
      <c r="L47" s="967">
        <f t="shared" si="48"/>
        <v>5.0999999999999997E-2</v>
      </c>
      <c r="M47" s="967">
        <f t="shared" si="49"/>
        <v>32.648263562812247</v>
      </c>
      <c r="N47" s="54">
        <f t="shared" si="50"/>
        <v>500</v>
      </c>
      <c r="O47" s="968">
        <f t="shared" si="51"/>
        <v>0.33300000000000002</v>
      </c>
      <c r="P47" s="968">
        <f t="shared" si="52"/>
        <v>0.16650000000000001</v>
      </c>
      <c r="Q47" s="969">
        <f t="shared" si="53"/>
        <v>352.82100867722033</v>
      </c>
      <c r="R47" s="247">
        <f t="shared" si="54"/>
        <v>500</v>
      </c>
      <c r="S47" s="24">
        <f t="shared" si="55"/>
        <v>371</v>
      </c>
      <c r="T47" s="970">
        <f t="shared" si="56"/>
        <v>0.1855</v>
      </c>
      <c r="U47" s="971">
        <f t="shared" si="57"/>
        <v>242.78821881957094</v>
      </c>
    </row>
    <row r="48" spans="1:21" x14ac:dyDescent="0.2">
      <c r="A48" s="33">
        <f t="shared" si="39"/>
        <v>2035</v>
      </c>
      <c r="B48" s="787">
        <f>B47</f>
        <v>500</v>
      </c>
      <c r="C48" s="565">
        <f t="shared" ref="C48:C54" si="58">+C47+B48</f>
        <v>209904</v>
      </c>
      <c r="D48" s="965">
        <f t="shared" si="20"/>
        <v>0.10199999999999999</v>
      </c>
      <c r="E48" s="966">
        <f t="shared" si="21"/>
        <v>0.33300000000000002</v>
      </c>
      <c r="F48" s="790">
        <f t="shared" si="22"/>
        <v>371</v>
      </c>
      <c r="G48" s="473">
        <f t="shared" ref="G48:G54" si="59">+$B48*D48/1000</f>
        <v>5.0999999999999997E-2</v>
      </c>
      <c r="H48" s="474">
        <f t="shared" ref="H48:H54" si="60">+$B48*E48/1000</f>
        <v>0.16650000000000001</v>
      </c>
      <c r="I48" s="474">
        <f t="shared" ref="I48:I54" si="61">+$B48*F48/1000000</f>
        <v>0.1855</v>
      </c>
      <c r="J48" s="61">
        <f t="shared" ref="J48:J54" si="62">+(B48+B47)/2</f>
        <v>500</v>
      </c>
      <c r="K48" s="967">
        <f t="shared" ref="K48:K54" si="63">+D48</f>
        <v>0.10199999999999999</v>
      </c>
      <c r="L48" s="967">
        <f t="shared" ref="L48:L54" si="64">+J48*K48/1000</f>
        <v>5.0999999999999997E-2</v>
      </c>
      <c r="M48" s="967">
        <f t="shared" ref="M48:M54" si="65">+M47+L48</f>
        <v>32.699263562812249</v>
      </c>
      <c r="N48" s="54">
        <f t="shared" ref="N48:N54" si="66">+B47</f>
        <v>500</v>
      </c>
      <c r="O48" s="968">
        <f t="shared" ref="O48:O54" si="67">+E48</f>
        <v>0.33300000000000002</v>
      </c>
      <c r="P48" s="968">
        <f t="shared" ref="P48:P54" si="68">+N48*O48/1000</f>
        <v>0.16650000000000001</v>
      </c>
      <c r="Q48" s="969">
        <f t="shared" ref="Q48:Q54" si="69">+Q47+P48</f>
        <v>352.98750867722032</v>
      </c>
      <c r="R48" s="247">
        <f t="shared" ref="R48:R54" si="70">+(B48+B47)/2</f>
        <v>500</v>
      </c>
      <c r="S48" s="24">
        <f t="shared" ref="S48:S54" si="71">+F48</f>
        <v>371</v>
      </c>
      <c r="T48" s="970">
        <f t="shared" ref="T48:T54" si="72">+R48*S48/1000000</f>
        <v>0.1855</v>
      </c>
      <c r="U48" s="971">
        <f t="shared" ref="U48:U54" si="73">+U47+T48</f>
        <v>242.97371881957093</v>
      </c>
    </row>
    <row r="49" spans="1:21" x14ac:dyDescent="0.2">
      <c r="A49" s="33">
        <f t="shared" si="39"/>
        <v>2036</v>
      </c>
      <c r="B49" s="787">
        <f t="shared" ref="B49:B54" si="74">B48</f>
        <v>500</v>
      </c>
      <c r="C49" s="565">
        <f t="shared" si="58"/>
        <v>210404</v>
      </c>
      <c r="D49" s="965">
        <f t="shared" si="20"/>
        <v>0.10199999999999999</v>
      </c>
      <c r="E49" s="966">
        <f t="shared" si="21"/>
        <v>0.33300000000000002</v>
      </c>
      <c r="F49" s="790">
        <f t="shared" si="22"/>
        <v>371</v>
      </c>
      <c r="G49" s="473">
        <f t="shared" si="59"/>
        <v>5.0999999999999997E-2</v>
      </c>
      <c r="H49" s="474">
        <f t="shared" si="60"/>
        <v>0.16650000000000001</v>
      </c>
      <c r="I49" s="474">
        <f t="shared" si="61"/>
        <v>0.1855</v>
      </c>
      <c r="J49" s="61">
        <f t="shared" si="62"/>
        <v>500</v>
      </c>
      <c r="K49" s="967">
        <f t="shared" si="63"/>
        <v>0.10199999999999999</v>
      </c>
      <c r="L49" s="967">
        <f t="shared" si="64"/>
        <v>5.0999999999999997E-2</v>
      </c>
      <c r="M49" s="967">
        <f t="shared" si="65"/>
        <v>32.75026356281225</v>
      </c>
      <c r="N49" s="54">
        <f t="shared" si="66"/>
        <v>500</v>
      </c>
      <c r="O49" s="968">
        <f t="shared" si="67"/>
        <v>0.33300000000000002</v>
      </c>
      <c r="P49" s="968">
        <f t="shared" si="68"/>
        <v>0.16650000000000001</v>
      </c>
      <c r="Q49" s="969">
        <f t="shared" si="69"/>
        <v>353.1540086772203</v>
      </c>
      <c r="R49" s="247">
        <f t="shared" si="70"/>
        <v>500</v>
      </c>
      <c r="S49" s="24">
        <f t="shared" si="71"/>
        <v>371</v>
      </c>
      <c r="T49" s="970">
        <f t="shared" si="72"/>
        <v>0.1855</v>
      </c>
      <c r="U49" s="971">
        <f t="shared" si="73"/>
        <v>243.15921881957092</v>
      </c>
    </row>
    <row r="50" spans="1:21" x14ac:dyDescent="0.2">
      <c r="A50" s="33">
        <f t="shared" si="39"/>
        <v>2037</v>
      </c>
      <c r="B50" s="787">
        <f t="shared" si="74"/>
        <v>500</v>
      </c>
      <c r="C50" s="565">
        <f t="shared" si="58"/>
        <v>210904</v>
      </c>
      <c r="D50" s="965">
        <f t="shared" si="20"/>
        <v>0.10199999999999999</v>
      </c>
      <c r="E50" s="966">
        <f t="shared" si="21"/>
        <v>0.33300000000000002</v>
      </c>
      <c r="F50" s="790">
        <f t="shared" si="22"/>
        <v>371</v>
      </c>
      <c r="G50" s="473">
        <f t="shared" si="59"/>
        <v>5.0999999999999997E-2</v>
      </c>
      <c r="H50" s="474">
        <f t="shared" si="60"/>
        <v>0.16650000000000001</v>
      </c>
      <c r="I50" s="474">
        <f t="shared" si="61"/>
        <v>0.1855</v>
      </c>
      <c r="J50" s="61">
        <f t="shared" si="62"/>
        <v>500</v>
      </c>
      <c r="K50" s="967">
        <f t="shared" si="63"/>
        <v>0.10199999999999999</v>
      </c>
      <c r="L50" s="967">
        <f t="shared" si="64"/>
        <v>5.0999999999999997E-2</v>
      </c>
      <c r="M50" s="967">
        <f t="shared" si="65"/>
        <v>32.801263562812252</v>
      </c>
      <c r="N50" s="54">
        <f t="shared" si="66"/>
        <v>500</v>
      </c>
      <c r="O50" s="968">
        <f t="shared" si="67"/>
        <v>0.33300000000000002</v>
      </c>
      <c r="P50" s="968">
        <f t="shared" si="68"/>
        <v>0.16650000000000001</v>
      </c>
      <c r="Q50" s="969">
        <f t="shared" si="69"/>
        <v>353.32050867722029</v>
      </c>
      <c r="R50" s="247">
        <f t="shared" si="70"/>
        <v>500</v>
      </c>
      <c r="S50" s="24">
        <f t="shared" si="71"/>
        <v>371</v>
      </c>
      <c r="T50" s="970">
        <f t="shared" si="72"/>
        <v>0.1855</v>
      </c>
      <c r="U50" s="971">
        <f t="shared" si="73"/>
        <v>243.34471881957091</v>
      </c>
    </row>
    <row r="51" spans="1:21" x14ac:dyDescent="0.2">
      <c r="A51" s="33">
        <f t="shared" si="39"/>
        <v>2038</v>
      </c>
      <c r="B51" s="787">
        <f t="shared" si="74"/>
        <v>500</v>
      </c>
      <c r="C51" s="565">
        <f t="shared" si="58"/>
        <v>211404</v>
      </c>
      <c r="D51" s="965">
        <f t="shared" si="20"/>
        <v>0.10199999999999999</v>
      </c>
      <c r="E51" s="966">
        <f t="shared" si="21"/>
        <v>0.33300000000000002</v>
      </c>
      <c r="F51" s="790">
        <f t="shared" si="22"/>
        <v>371</v>
      </c>
      <c r="G51" s="473">
        <f t="shared" si="59"/>
        <v>5.0999999999999997E-2</v>
      </c>
      <c r="H51" s="474">
        <f t="shared" si="60"/>
        <v>0.16650000000000001</v>
      </c>
      <c r="I51" s="474">
        <f t="shared" si="61"/>
        <v>0.1855</v>
      </c>
      <c r="J51" s="61">
        <f t="shared" si="62"/>
        <v>500</v>
      </c>
      <c r="K51" s="967">
        <f t="shared" si="63"/>
        <v>0.10199999999999999</v>
      </c>
      <c r="L51" s="967">
        <f t="shared" si="64"/>
        <v>5.0999999999999997E-2</v>
      </c>
      <c r="M51" s="967">
        <f t="shared" si="65"/>
        <v>32.852263562812254</v>
      </c>
      <c r="N51" s="54">
        <f t="shared" si="66"/>
        <v>500</v>
      </c>
      <c r="O51" s="968">
        <f t="shared" si="67"/>
        <v>0.33300000000000002</v>
      </c>
      <c r="P51" s="968">
        <f t="shared" si="68"/>
        <v>0.16650000000000001</v>
      </c>
      <c r="Q51" s="969">
        <f t="shared" si="69"/>
        <v>353.48700867722027</v>
      </c>
      <c r="R51" s="247">
        <f t="shared" si="70"/>
        <v>500</v>
      </c>
      <c r="S51" s="24">
        <f t="shared" si="71"/>
        <v>371</v>
      </c>
      <c r="T51" s="970">
        <f t="shared" si="72"/>
        <v>0.1855</v>
      </c>
      <c r="U51" s="971">
        <f t="shared" si="73"/>
        <v>243.5302188195709</v>
      </c>
    </row>
    <row r="52" spans="1:21" x14ac:dyDescent="0.2">
      <c r="A52" s="33">
        <f t="shared" si="39"/>
        <v>2039</v>
      </c>
      <c r="B52" s="787">
        <f t="shared" si="74"/>
        <v>500</v>
      </c>
      <c r="C52" s="565">
        <f t="shared" si="58"/>
        <v>211904</v>
      </c>
      <c r="D52" s="965">
        <f t="shared" si="20"/>
        <v>0.10199999999999999</v>
      </c>
      <c r="E52" s="966">
        <f t="shared" si="21"/>
        <v>0.33300000000000002</v>
      </c>
      <c r="F52" s="790">
        <f t="shared" si="22"/>
        <v>371</v>
      </c>
      <c r="G52" s="473">
        <f t="shared" si="59"/>
        <v>5.0999999999999997E-2</v>
      </c>
      <c r="H52" s="474">
        <f t="shared" si="60"/>
        <v>0.16650000000000001</v>
      </c>
      <c r="I52" s="474">
        <f t="shared" si="61"/>
        <v>0.1855</v>
      </c>
      <c r="J52" s="61">
        <f t="shared" si="62"/>
        <v>500</v>
      </c>
      <c r="K52" s="967">
        <f t="shared" si="63"/>
        <v>0.10199999999999999</v>
      </c>
      <c r="L52" s="967">
        <f t="shared" si="64"/>
        <v>5.0999999999999997E-2</v>
      </c>
      <c r="M52" s="967">
        <f t="shared" si="65"/>
        <v>32.903263562812256</v>
      </c>
      <c r="N52" s="54">
        <f t="shared" si="66"/>
        <v>500</v>
      </c>
      <c r="O52" s="968">
        <f t="shared" si="67"/>
        <v>0.33300000000000002</v>
      </c>
      <c r="P52" s="968">
        <f t="shared" si="68"/>
        <v>0.16650000000000001</v>
      </c>
      <c r="Q52" s="969">
        <f t="shared" si="69"/>
        <v>353.65350867722026</v>
      </c>
      <c r="R52" s="247">
        <f t="shared" si="70"/>
        <v>500</v>
      </c>
      <c r="S52" s="24">
        <f t="shared" si="71"/>
        <v>371</v>
      </c>
      <c r="T52" s="970">
        <f t="shared" si="72"/>
        <v>0.1855</v>
      </c>
      <c r="U52" s="971">
        <f t="shared" si="73"/>
        <v>243.7157188195709</v>
      </c>
    </row>
    <row r="53" spans="1:21" x14ac:dyDescent="0.2">
      <c r="A53" s="33">
        <f t="shared" si="39"/>
        <v>2040</v>
      </c>
      <c r="B53" s="787">
        <f t="shared" si="74"/>
        <v>500</v>
      </c>
      <c r="C53" s="565">
        <f t="shared" si="58"/>
        <v>212404</v>
      </c>
      <c r="D53" s="965">
        <f t="shared" si="20"/>
        <v>0.10199999999999999</v>
      </c>
      <c r="E53" s="966">
        <f t="shared" si="21"/>
        <v>0.33300000000000002</v>
      </c>
      <c r="F53" s="790">
        <f t="shared" si="22"/>
        <v>371</v>
      </c>
      <c r="G53" s="473">
        <f t="shared" si="59"/>
        <v>5.0999999999999997E-2</v>
      </c>
      <c r="H53" s="474">
        <f t="shared" si="60"/>
        <v>0.16650000000000001</v>
      </c>
      <c r="I53" s="474">
        <f t="shared" si="61"/>
        <v>0.1855</v>
      </c>
      <c r="J53" s="61">
        <f t="shared" si="62"/>
        <v>500</v>
      </c>
      <c r="K53" s="967">
        <f t="shared" si="63"/>
        <v>0.10199999999999999</v>
      </c>
      <c r="L53" s="967">
        <f t="shared" si="64"/>
        <v>5.0999999999999997E-2</v>
      </c>
      <c r="M53" s="967">
        <f t="shared" si="65"/>
        <v>32.954263562812258</v>
      </c>
      <c r="N53" s="54">
        <f t="shared" si="66"/>
        <v>500</v>
      </c>
      <c r="O53" s="968">
        <f t="shared" si="67"/>
        <v>0.33300000000000002</v>
      </c>
      <c r="P53" s="968">
        <f t="shared" si="68"/>
        <v>0.16650000000000001</v>
      </c>
      <c r="Q53" s="969">
        <f t="shared" si="69"/>
        <v>353.82000867722024</v>
      </c>
      <c r="R53" s="247">
        <f t="shared" si="70"/>
        <v>500</v>
      </c>
      <c r="S53" s="24">
        <f t="shared" si="71"/>
        <v>371</v>
      </c>
      <c r="T53" s="970">
        <f t="shared" si="72"/>
        <v>0.1855</v>
      </c>
      <c r="U53" s="971">
        <f t="shared" si="73"/>
        <v>243.90121881957089</v>
      </c>
    </row>
    <row r="54" spans="1:21" x14ac:dyDescent="0.2">
      <c r="A54" s="33">
        <f t="shared" si="39"/>
        <v>2041</v>
      </c>
      <c r="B54" s="787">
        <f t="shared" si="74"/>
        <v>500</v>
      </c>
      <c r="C54" s="565">
        <f t="shared" si="58"/>
        <v>212904</v>
      </c>
      <c r="D54" s="965">
        <f t="shared" si="20"/>
        <v>0.10199999999999999</v>
      </c>
      <c r="E54" s="966">
        <f t="shared" si="21"/>
        <v>0.33300000000000002</v>
      </c>
      <c r="F54" s="790">
        <f t="shared" si="22"/>
        <v>371</v>
      </c>
      <c r="G54" s="473">
        <f t="shared" si="59"/>
        <v>5.0999999999999997E-2</v>
      </c>
      <c r="H54" s="474">
        <f t="shared" si="60"/>
        <v>0.16650000000000001</v>
      </c>
      <c r="I54" s="474">
        <f t="shared" si="61"/>
        <v>0.1855</v>
      </c>
      <c r="J54" s="61">
        <f t="shared" si="62"/>
        <v>500</v>
      </c>
      <c r="K54" s="967">
        <f t="shared" si="63"/>
        <v>0.10199999999999999</v>
      </c>
      <c r="L54" s="967">
        <f t="shared" si="64"/>
        <v>5.0999999999999997E-2</v>
      </c>
      <c r="M54" s="967">
        <f t="shared" si="65"/>
        <v>33.00526356281226</v>
      </c>
      <c r="N54" s="54">
        <f t="shared" si="66"/>
        <v>500</v>
      </c>
      <c r="O54" s="968">
        <f t="shared" si="67"/>
        <v>0.33300000000000002</v>
      </c>
      <c r="P54" s="968">
        <f t="shared" si="68"/>
        <v>0.16650000000000001</v>
      </c>
      <c r="Q54" s="969">
        <f t="shared" si="69"/>
        <v>353.98650867722023</v>
      </c>
      <c r="R54" s="247">
        <f t="shared" si="70"/>
        <v>500</v>
      </c>
      <c r="S54" s="24">
        <f t="shared" si="71"/>
        <v>371</v>
      </c>
      <c r="T54" s="970">
        <f t="shared" si="72"/>
        <v>0.1855</v>
      </c>
      <c r="U54" s="971">
        <f t="shared" si="73"/>
        <v>244.08671881957088</v>
      </c>
    </row>
    <row r="56" spans="1:21" x14ac:dyDescent="0.2">
      <c r="A56" s="69" t="s">
        <v>38</v>
      </c>
    </row>
    <row r="57" spans="1:21" x14ac:dyDescent="0.2">
      <c r="A57" s="69" t="s">
        <v>39</v>
      </c>
    </row>
    <row r="58" spans="1:21" ht="13.5" thickBot="1" x14ac:dyDescent="0.25">
      <c r="A58" s="45" t="s">
        <v>64</v>
      </c>
    </row>
    <row r="59" spans="1:21" x14ac:dyDescent="0.2">
      <c r="B59" s="77" t="s">
        <v>46</v>
      </c>
      <c r="C59" s="78" t="s">
        <v>44</v>
      </c>
      <c r="D59" s="78" t="s">
        <v>43</v>
      </c>
      <c r="E59" s="79" t="s">
        <v>45</v>
      </c>
      <c r="F59" s="77" t="s">
        <v>46</v>
      </c>
      <c r="G59" s="74" t="s">
        <v>44</v>
      </c>
      <c r="H59" s="74" t="s">
        <v>43</v>
      </c>
      <c r="I59" s="75" t="s">
        <v>45</v>
      </c>
      <c r="J59" s="77" t="s">
        <v>46</v>
      </c>
      <c r="K59" s="74" t="s">
        <v>44</v>
      </c>
      <c r="L59" s="74" t="s">
        <v>43</v>
      </c>
      <c r="M59" s="75" t="s">
        <v>45</v>
      </c>
    </row>
    <row r="60" spans="1:21" ht="15.75" x14ac:dyDescent="0.25">
      <c r="A60" s="11">
        <v>1995</v>
      </c>
      <c r="B60" s="97">
        <v>7068</v>
      </c>
      <c r="C60" s="98">
        <v>0</v>
      </c>
      <c r="D60" s="99">
        <v>16.680479999999999</v>
      </c>
      <c r="E60" s="100">
        <v>3.9863520000000001</v>
      </c>
      <c r="F60" s="101"/>
      <c r="G60" s="102"/>
      <c r="H60" s="103"/>
      <c r="I60" s="103"/>
      <c r="J60" s="104"/>
      <c r="K60" s="105"/>
      <c r="L60" s="105"/>
      <c r="M60" s="105"/>
      <c r="N60" s="106"/>
      <c r="O60" s="107"/>
    </row>
    <row r="61" spans="1:21" x14ac:dyDescent="0.2">
      <c r="A61" s="11">
        <v>1996</v>
      </c>
      <c r="B61" s="97">
        <v>5157</v>
      </c>
      <c r="C61" s="99">
        <v>0.75807899999999995</v>
      </c>
      <c r="D61" s="99">
        <v>11.041137000000001</v>
      </c>
      <c r="E61" s="108">
        <v>4.0740299999999996</v>
      </c>
      <c r="F61" s="109">
        <v>1996</v>
      </c>
      <c r="G61" s="110">
        <v>897</v>
      </c>
      <c r="H61" s="111">
        <v>0.38750400000000002</v>
      </c>
      <c r="I61" s="111">
        <v>2.3187449999999998</v>
      </c>
      <c r="J61" s="112">
        <v>1.437891</v>
      </c>
      <c r="K61" s="113"/>
      <c r="L61" s="7"/>
      <c r="M61" s="7"/>
      <c r="N61" s="9"/>
      <c r="O61" s="114"/>
    </row>
    <row r="62" spans="1:21" x14ac:dyDescent="0.2">
      <c r="A62" s="11">
        <v>1997</v>
      </c>
      <c r="B62" s="97">
        <v>1885</v>
      </c>
      <c r="C62" s="99">
        <v>0.27709500000000004</v>
      </c>
      <c r="D62" s="99">
        <v>4.0357849999999997</v>
      </c>
      <c r="E62" s="108">
        <v>1.48915</v>
      </c>
      <c r="F62" s="115">
        <v>1997</v>
      </c>
      <c r="G62" s="97">
        <v>1884</v>
      </c>
      <c r="H62" s="99">
        <v>0.81388800000000006</v>
      </c>
      <c r="I62" s="99">
        <v>4.8701400000000001</v>
      </c>
      <c r="J62" s="100">
        <v>3.0200520000000002</v>
      </c>
      <c r="K62" s="116"/>
      <c r="L62" s="117"/>
      <c r="M62" s="117"/>
      <c r="N62" s="118"/>
      <c r="O62" s="119"/>
    </row>
    <row r="63" spans="1:21" x14ac:dyDescent="0.2">
      <c r="A63" s="11">
        <v>1998</v>
      </c>
      <c r="B63" s="120">
        <v>31</v>
      </c>
      <c r="C63" s="121">
        <v>8.9899999999999997E-3</v>
      </c>
      <c r="D63" s="121">
        <v>7.3160000000000003E-2</v>
      </c>
      <c r="E63" s="122">
        <v>3.7107000000000001E-2</v>
      </c>
      <c r="F63" s="109">
        <v>1998</v>
      </c>
      <c r="G63" s="97">
        <v>1162</v>
      </c>
      <c r="H63" s="99">
        <v>0.17080999999999999</v>
      </c>
      <c r="I63" s="99">
        <v>2.4878399999999998</v>
      </c>
      <c r="J63" s="108">
        <v>0.91798000000000002</v>
      </c>
      <c r="K63" s="109">
        <v>1998</v>
      </c>
      <c r="L63" s="110">
        <v>2583</v>
      </c>
      <c r="M63" s="121">
        <v>1.1248499999999999</v>
      </c>
      <c r="N63" s="121">
        <v>6.7502199999999997</v>
      </c>
      <c r="O63" s="122">
        <v>4.1776559999999998</v>
      </c>
    </row>
    <row r="64" spans="1:21" x14ac:dyDescent="0.2">
      <c r="A64" s="86" t="s">
        <v>57</v>
      </c>
    </row>
    <row r="65" spans="1:6" x14ac:dyDescent="0.2">
      <c r="A65" s="86" t="s">
        <v>58</v>
      </c>
    </row>
    <row r="67" spans="1:6" x14ac:dyDescent="0.2">
      <c r="B67">
        <v>2015</v>
      </c>
      <c r="D67">
        <f>1760.42/B28</f>
        <v>0.33763329497506717</v>
      </c>
      <c r="E67">
        <f>2626.76/B28</f>
        <v>0.50378979670118917</v>
      </c>
      <c r="F67">
        <f>4672544/B28</f>
        <v>896.15343306482544</v>
      </c>
    </row>
  </sheetData>
  <mergeCells count="5">
    <mergeCell ref="R4:U4"/>
    <mergeCell ref="G3:I3"/>
    <mergeCell ref="B4:I4"/>
    <mergeCell ref="J4:M4"/>
    <mergeCell ref="N4:Q4"/>
  </mergeCells>
  <phoneticPr fontId="7" type="noConversion"/>
  <pageMargins left="0.75" right="0.75" top="1" bottom="1" header="0.5" footer="0.5"/>
  <pageSetup scale="54"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00FFFF"/>
    <pageSetUpPr fitToPage="1"/>
  </sheetPr>
  <dimension ref="A1:X60"/>
  <sheetViews>
    <sheetView workbookViewId="0">
      <pane xSplit="1" ySplit="5" topLeftCell="B25"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387</v>
      </c>
      <c r="C2" s="27"/>
      <c r="D2" s="27"/>
      <c r="E2" s="182"/>
      <c r="F2" s="27"/>
      <c r="G2" s="27"/>
      <c r="H2" s="27"/>
      <c r="I2" s="27"/>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0</v>
      </c>
      <c r="D6" s="628"/>
      <c r="E6" s="15"/>
      <c r="F6" s="31"/>
      <c r="G6" s="208"/>
      <c r="H6" s="15"/>
      <c r="I6" s="31"/>
      <c r="J6" s="37"/>
      <c r="K6" s="59"/>
      <c r="L6" s="6"/>
      <c r="M6" s="46">
        <v>0</v>
      </c>
      <c r="N6" s="40"/>
      <c r="O6" s="670"/>
      <c r="P6" s="57"/>
      <c r="Q6" s="41">
        <v>0</v>
      </c>
      <c r="R6" s="43"/>
      <c r="S6" s="24"/>
      <c r="T6" s="21"/>
      <c r="U6" s="47">
        <v>0</v>
      </c>
      <c r="V6" s="3"/>
    </row>
    <row r="7" spans="1:24" s="1" customFormat="1" ht="15.75" customHeight="1" x14ac:dyDescent="0.2">
      <c r="A7" s="68" t="s">
        <v>63</v>
      </c>
      <c r="B7" s="30"/>
      <c r="C7" s="659">
        <f>0+C6</f>
        <v>0</v>
      </c>
      <c r="D7" s="628"/>
      <c r="E7" s="15"/>
      <c r="F7" s="31"/>
      <c r="G7" s="208"/>
      <c r="H7" s="15"/>
      <c r="I7" s="31"/>
      <c r="J7" s="37"/>
      <c r="K7" s="59"/>
      <c r="L7" s="6"/>
      <c r="M7" s="46">
        <f>+M6+0</f>
        <v>0</v>
      </c>
      <c r="N7" s="40"/>
      <c r="O7" s="670"/>
      <c r="P7" s="57"/>
      <c r="Q7" s="41">
        <f>+Q6+0</f>
        <v>0</v>
      </c>
      <c r="R7" s="43"/>
      <c r="S7" s="24"/>
      <c r="T7" s="21"/>
      <c r="U7" s="47">
        <f>+U6+0</f>
        <v>0</v>
      </c>
      <c r="V7" s="3"/>
    </row>
    <row r="8" spans="1:24" x14ac:dyDescent="0.2">
      <c r="A8" s="33">
        <v>1995</v>
      </c>
      <c r="B8" s="30">
        <v>0</v>
      </c>
      <c r="C8" s="660">
        <f t="shared" ref="C8:C39" si="0">+C7+B8</f>
        <v>0</v>
      </c>
      <c r="D8" s="662">
        <v>0</v>
      </c>
      <c r="E8" s="663">
        <v>0</v>
      </c>
      <c r="F8" s="617">
        <v>0</v>
      </c>
      <c r="G8" s="626">
        <v>0</v>
      </c>
      <c r="H8" s="72">
        <v>0</v>
      </c>
      <c r="I8" s="630">
        <v>0</v>
      </c>
      <c r="J8" s="61">
        <f>+(B8+0)/2</f>
        <v>0</v>
      </c>
      <c r="K8" s="188">
        <f t="shared" ref="K8:K39" si="1">+D8</f>
        <v>0</v>
      </c>
      <c r="L8" s="188">
        <f t="shared" ref="L8:L39" si="2">+J8*K8/1000</f>
        <v>0</v>
      </c>
      <c r="M8" s="188">
        <f t="shared" ref="M8:M39" si="3">+M7+L8</f>
        <v>0</v>
      </c>
      <c r="N8" s="51">
        <v>0</v>
      </c>
      <c r="O8" s="670">
        <f t="shared" ref="O8:O39" si="4">+E8</f>
        <v>0</v>
      </c>
      <c r="P8" s="670">
        <f t="shared" ref="P8:P39" si="5">+N8*O8/1000</f>
        <v>0</v>
      </c>
      <c r="Q8" s="670">
        <f t="shared" ref="Q8:Q39" si="6">+Q7+P8</f>
        <v>0</v>
      </c>
      <c r="R8" s="247">
        <f>+(B8+0)/2</f>
        <v>0</v>
      </c>
      <c r="S8" s="24">
        <f t="shared" ref="S8:S37" si="7">+F8</f>
        <v>0</v>
      </c>
      <c r="T8" s="25">
        <f t="shared" ref="T8:T37" si="8">+R8*S8/1000000</f>
        <v>0</v>
      </c>
      <c r="U8" s="654">
        <f t="shared" ref="U8:U37" si="9">+U7+T8</f>
        <v>0</v>
      </c>
      <c r="V8" s="248"/>
      <c r="X8" s="1"/>
    </row>
    <row r="9" spans="1:24" x14ac:dyDescent="0.2">
      <c r="A9" s="33">
        <v>1996</v>
      </c>
      <c r="B9" s="30">
        <v>0</v>
      </c>
      <c r="C9" s="660">
        <f t="shared" si="0"/>
        <v>0</v>
      </c>
      <c r="D9" s="662">
        <v>0</v>
      </c>
      <c r="E9" s="663">
        <v>0</v>
      </c>
      <c r="F9" s="617">
        <v>0</v>
      </c>
      <c r="G9" s="626">
        <v>0</v>
      </c>
      <c r="H9" s="72">
        <v>0</v>
      </c>
      <c r="I9" s="630">
        <v>0</v>
      </c>
      <c r="J9" s="61">
        <f t="shared" ref="J9:J39" si="10">+(B9+B8)/2</f>
        <v>0</v>
      </c>
      <c r="K9" s="188">
        <f t="shared" si="1"/>
        <v>0</v>
      </c>
      <c r="L9" s="188">
        <f t="shared" si="2"/>
        <v>0</v>
      </c>
      <c r="M9" s="188">
        <f t="shared" si="3"/>
        <v>0</v>
      </c>
      <c r="N9" s="54">
        <f t="shared" ref="N9:N39" si="11">+B8</f>
        <v>0</v>
      </c>
      <c r="O9" s="670">
        <f t="shared" si="4"/>
        <v>0</v>
      </c>
      <c r="P9" s="670">
        <f t="shared" si="5"/>
        <v>0</v>
      </c>
      <c r="Q9" s="670">
        <f t="shared" si="6"/>
        <v>0</v>
      </c>
      <c r="R9" s="247">
        <f t="shared" ref="R9:R37" si="12">+(B9+B8)/2</f>
        <v>0</v>
      </c>
      <c r="S9" s="24">
        <f t="shared" si="7"/>
        <v>0</v>
      </c>
      <c r="T9" s="25">
        <f t="shared" si="8"/>
        <v>0</v>
      </c>
      <c r="U9" s="654">
        <f t="shared" si="9"/>
        <v>0</v>
      </c>
      <c r="V9" s="10"/>
      <c r="X9" s="1"/>
    </row>
    <row r="10" spans="1:24" x14ac:dyDescent="0.2">
      <c r="A10" s="33">
        <v>1997</v>
      </c>
      <c r="B10" s="30"/>
      <c r="C10" s="660"/>
      <c r="D10" s="662"/>
      <c r="E10" s="663"/>
      <c r="F10" s="617"/>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662"/>
      <c r="E11" s="663"/>
      <c r="F11" s="617"/>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662"/>
      <c r="E12" s="663"/>
      <c r="F12" s="617"/>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662"/>
      <c r="E13" s="663"/>
      <c r="F13" s="617"/>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662"/>
      <c r="E14" s="663"/>
      <c r="F14" s="617"/>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662"/>
      <c r="E15" s="663"/>
      <c r="F15" s="617"/>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662"/>
      <c r="E16" s="663"/>
      <c r="F16" s="617"/>
      <c r="G16" s="626"/>
      <c r="H16" s="72"/>
      <c r="I16" s="630"/>
      <c r="J16" s="61"/>
      <c r="K16" s="188"/>
      <c r="L16" s="188"/>
      <c r="M16" s="188"/>
      <c r="N16" s="54"/>
      <c r="O16" s="670"/>
      <c r="P16" s="670"/>
      <c r="Q16" s="670"/>
      <c r="R16" s="247"/>
      <c r="S16" s="24"/>
      <c r="T16" s="25"/>
      <c r="U16" s="654"/>
      <c r="V16" s="248"/>
      <c r="X16" s="1"/>
    </row>
    <row r="17" spans="1:24" x14ac:dyDescent="0.2">
      <c r="A17" s="33">
        <f t="shared" ref="A17:A47" si="13">+A16+1</f>
        <v>2004</v>
      </c>
      <c r="B17" s="30"/>
      <c r="C17" s="660"/>
      <c r="D17" s="662"/>
      <c r="E17" s="663"/>
      <c r="F17" s="617"/>
      <c r="G17" s="626"/>
      <c r="H17" s="72"/>
      <c r="I17" s="630"/>
      <c r="J17" s="61"/>
      <c r="K17" s="188"/>
      <c r="L17" s="188"/>
      <c r="M17" s="188"/>
      <c r="N17" s="54"/>
      <c r="O17" s="670"/>
      <c r="P17" s="670"/>
      <c r="Q17" s="670"/>
      <c r="R17" s="247"/>
      <c r="S17" s="24"/>
      <c r="T17" s="25"/>
      <c r="U17" s="654"/>
      <c r="V17" s="248"/>
      <c r="X17" s="1"/>
    </row>
    <row r="18" spans="1:24" x14ac:dyDescent="0.2">
      <c r="A18" s="33">
        <f t="shared" si="13"/>
        <v>2005</v>
      </c>
      <c r="B18" s="30"/>
      <c r="C18" s="660"/>
      <c r="D18" s="662"/>
      <c r="E18" s="663"/>
      <c r="F18" s="617"/>
      <c r="G18" s="626"/>
      <c r="H18" s="72"/>
      <c r="I18" s="630"/>
      <c r="J18" s="61"/>
      <c r="K18" s="188"/>
      <c r="L18" s="188"/>
      <c r="M18" s="188"/>
      <c r="N18" s="54"/>
      <c r="O18" s="670"/>
      <c r="P18" s="670"/>
      <c r="Q18" s="670"/>
      <c r="R18" s="247"/>
      <c r="S18" s="24"/>
      <c r="T18" s="25"/>
      <c r="U18" s="654"/>
      <c r="V18" s="248"/>
      <c r="X18" s="1"/>
    </row>
    <row r="19" spans="1:24" x14ac:dyDescent="0.2">
      <c r="A19" s="33">
        <f t="shared" si="13"/>
        <v>2006</v>
      </c>
      <c r="B19" s="30"/>
      <c r="C19" s="660"/>
      <c r="D19" s="662"/>
      <c r="E19" s="663"/>
      <c r="F19" s="617"/>
      <c r="G19" s="626"/>
      <c r="H19" s="72"/>
      <c r="I19" s="630"/>
      <c r="J19" s="61"/>
      <c r="K19" s="188"/>
      <c r="L19" s="188"/>
      <c r="M19" s="188"/>
      <c r="N19" s="54"/>
      <c r="O19" s="670"/>
      <c r="P19" s="670"/>
      <c r="Q19" s="670"/>
      <c r="R19" s="247"/>
      <c r="S19" s="24"/>
      <c r="T19" s="25"/>
      <c r="U19" s="654"/>
      <c r="V19" s="8"/>
      <c r="X19" s="1"/>
    </row>
    <row r="20" spans="1:24" x14ac:dyDescent="0.2">
      <c r="A20" s="33">
        <f t="shared" si="13"/>
        <v>2007</v>
      </c>
      <c r="B20" s="30"/>
      <c r="C20" s="660"/>
      <c r="D20" s="662"/>
      <c r="E20" s="663"/>
      <c r="F20" s="617"/>
      <c r="G20" s="626"/>
      <c r="H20" s="72"/>
      <c r="I20" s="630"/>
      <c r="J20" s="61"/>
      <c r="K20" s="188"/>
      <c r="L20" s="188"/>
      <c r="M20" s="188"/>
      <c r="N20" s="54"/>
      <c r="O20" s="670"/>
      <c r="P20" s="670"/>
      <c r="Q20" s="670"/>
      <c r="R20" s="247"/>
      <c r="S20" s="24"/>
      <c r="T20" s="25"/>
      <c r="U20" s="654"/>
    </row>
    <row r="21" spans="1:24" x14ac:dyDescent="0.2">
      <c r="A21" s="33">
        <f t="shared" si="13"/>
        <v>2008</v>
      </c>
      <c r="B21" s="30">
        <v>126</v>
      </c>
      <c r="C21" s="660">
        <f t="shared" si="0"/>
        <v>126</v>
      </c>
      <c r="D21" s="662">
        <v>7.0000000000000007E-2</v>
      </c>
      <c r="E21" s="663">
        <v>0.17</v>
      </c>
      <c r="F21" s="617">
        <v>409</v>
      </c>
      <c r="G21" s="626">
        <f>+$B21*D21/1000</f>
        <v>8.8199999999999997E-3</v>
      </c>
      <c r="H21" s="72">
        <f>+$B21*E21/1000</f>
        <v>2.1420000000000002E-2</v>
      </c>
      <c r="I21" s="630">
        <f>+$B21*F21/1000000</f>
        <v>5.1534000000000003E-2</v>
      </c>
      <c r="J21" s="61">
        <f t="shared" si="10"/>
        <v>63</v>
      </c>
      <c r="K21" s="188">
        <f t="shared" si="1"/>
        <v>7.0000000000000007E-2</v>
      </c>
      <c r="L21" s="188">
        <f t="shared" si="2"/>
        <v>4.4099999999999999E-3</v>
      </c>
      <c r="M21" s="188">
        <f t="shared" si="3"/>
        <v>4.4099999999999999E-3</v>
      </c>
      <c r="N21" s="54">
        <f t="shared" si="11"/>
        <v>0</v>
      </c>
      <c r="O21" s="670">
        <f t="shared" si="4"/>
        <v>0.17</v>
      </c>
      <c r="P21" s="670">
        <f t="shared" si="5"/>
        <v>0</v>
      </c>
      <c r="Q21" s="670">
        <f t="shared" si="6"/>
        <v>0</v>
      </c>
      <c r="R21" s="247">
        <f t="shared" si="12"/>
        <v>63</v>
      </c>
      <c r="S21" s="24">
        <f t="shared" si="7"/>
        <v>409</v>
      </c>
      <c r="T21" s="25">
        <f t="shared" si="8"/>
        <v>2.5767000000000002E-2</v>
      </c>
      <c r="U21" s="654">
        <f t="shared" si="9"/>
        <v>2.5767000000000002E-2</v>
      </c>
    </row>
    <row r="22" spans="1:24" x14ac:dyDescent="0.2">
      <c r="A22" s="33">
        <f t="shared" si="13"/>
        <v>2009</v>
      </c>
      <c r="B22" s="30">
        <v>207</v>
      </c>
      <c r="C22" s="660">
        <f t="shared" si="0"/>
        <v>333</v>
      </c>
      <c r="D22" s="662">
        <v>0.18263768115942028</v>
      </c>
      <c r="E22" s="663">
        <v>0.2292946859903382</v>
      </c>
      <c r="F22" s="617">
        <v>391.19806763285027</v>
      </c>
      <c r="G22" s="626">
        <f t="shared" ref="G22:G39" si="14">+$B22*D22/1000</f>
        <v>3.7805999999999999E-2</v>
      </c>
      <c r="H22" s="72">
        <f t="shared" ref="H22:H39" si="15">+$B22*E22/1000</f>
        <v>4.7464000000000006E-2</v>
      </c>
      <c r="I22" s="630">
        <f t="shared" ref="I22:I39" si="16">+$B22*F22/1000000</f>
        <v>8.0977999999999994E-2</v>
      </c>
      <c r="J22" s="61">
        <f t="shared" si="10"/>
        <v>166.5</v>
      </c>
      <c r="K22" s="188">
        <f t="shared" si="1"/>
        <v>0.18263768115942028</v>
      </c>
      <c r="L22" s="188">
        <f t="shared" si="2"/>
        <v>3.0409173913043479E-2</v>
      </c>
      <c r="M22" s="188">
        <f t="shared" si="3"/>
        <v>3.4819173913043476E-2</v>
      </c>
      <c r="N22" s="54">
        <f t="shared" si="11"/>
        <v>126</v>
      </c>
      <c r="O22" s="670">
        <f t="shared" si="4"/>
        <v>0.2292946859903382</v>
      </c>
      <c r="P22" s="670">
        <f t="shared" si="5"/>
        <v>2.8891130434782614E-2</v>
      </c>
      <c r="Q22" s="670">
        <f t="shared" si="6"/>
        <v>2.8891130434782614E-2</v>
      </c>
      <c r="R22" s="247">
        <f t="shared" si="12"/>
        <v>166.5</v>
      </c>
      <c r="S22" s="24">
        <f t="shared" si="7"/>
        <v>391.19806763285027</v>
      </c>
      <c r="T22" s="25">
        <f t="shared" si="8"/>
        <v>6.5134478260869572E-2</v>
      </c>
      <c r="U22" s="654">
        <f t="shared" si="9"/>
        <v>9.090147826086957E-2</v>
      </c>
    </row>
    <row r="23" spans="1:24" x14ac:dyDescent="0.2">
      <c r="A23" s="33">
        <f t="shared" si="13"/>
        <v>2010</v>
      </c>
      <c r="B23" s="30">
        <v>43</v>
      </c>
      <c r="C23" s="661">
        <f t="shared" si="0"/>
        <v>376</v>
      </c>
      <c r="D23" s="662">
        <v>0.13</v>
      </c>
      <c r="E23" s="663">
        <v>0.16</v>
      </c>
      <c r="F23" s="617">
        <v>436</v>
      </c>
      <c r="G23" s="626">
        <f t="shared" si="14"/>
        <v>5.5899999999999995E-3</v>
      </c>
      <c r="H23" s="72">
        <f t="shared" si="15"/>
        <v>6.8799999999999998E-3</v>
      </c>
      <c r="I23" s="630">
        <f t="shared" si="16"/>
        <v>1.8748000000000001E-2</v>
      </c>
      <c r="J23" s="61">
        <f t="shared" si="10"/>
        <v>125</v>
      </c>
      <c r="K23" s="188">
        <f t="shared" si="1"/>
        <v>0.13</v>
      </c>
      <c r="L23" s="188">
        <f t="shared" si="2"/>
        <v>1.6250000000000001E-2</v>
      </c>
      <c r="M23" s="188">
        <f t="shared" si="3"/>
        <v>5.1069173913043477E-2</v>
      </c>
      <c r="N23" s="54">
        <f t="shared" si="11"/>
        <v>207</v>
      </c>
      <c r="O23" s="670">
        <f t="shared" si="4"/>
        <v>0.16</v>
      </c>
      <c r="P23" s="670">
        <f t="shared" si="5"/>
        <v>3.3119999999999997E-2</v>
      </c>
      <c r="Q23" s="670">
        <f t="shared" si="6"/>
        <v>6.201113043478261E-2</v>
      </c>
      <c r="R23" s="247">
        <f t="shared" si="12"/>
        <v>125</v>
      </c>
      <c r="S23" s="24">
        <f t="shared" si="7"/>
        <v>436</v>
      </c>
      <c r="T23" s="25">
        <f t="shared" si="8"/>
        <v>5.45E-2</v>
      </c>
      <c r="U23" s="654">
        <f t="shared" si="9"/>
        <v>0.14540147826086958</v>
      </c>
    </row>
    <row r="24" spans="1:24" x14ac:dyDescent="0.2">
      <c r="A24" s="33">
        <f t="shared" si="13"/>
        <v>2011</v>
      </c>
      <c r="B24" s="30">
        <v>305</v>
      </c>
      <c r="C24" s="661">
        <f t="shared" si="0"/>
        <v>681</v>
      </c>
      <c r="D24" s="662">
        <v>0.09</v>
      </c>
      <c r="E24" s="663">
        <v>0.15</v>
      </c>
      <c r="F24" s="617">
        <v>495</v>
      </c>
      <c r="G24" s="626">
        <f t="shared" si="14"/>
        <v>2.7449999999999999E-2</v>
      </c>
      <c r="H24" s="72">
        <f t="shared" si="15"/>
        <v>4.5749999999999999E-2</v>
      </c>
      <c r="I24" s="630">
        <f t="shared" si="16"/>
        <v>0.150975</v>
      </c>
      <c r="J24" s="61">
        <f t="shared" si="10"/>
        <v>174</v>
      </c>
      <c r="K24" s="188">
        <f t="shared" si="1"/>
        <v>0.09</v>
      </c>
      <c r="L24" s="188">
        <f t="shared" si="2"/>
        <v>1.566E-2</v>
      </c>
      <c r="M24" s="188">
        <f t="shared" si="3"/>
        <v>6.6729173913043477E-2</v>
      </c>
      <c r="N24" s="54">
        <f t="shared" si="11"/>
        <v>43</v>
      </c>
      <c r="O24" s="670">
        <f t="shared" si="4"/>
        <v>0.15</v>
      </c>
      <c r="P24" s="670">
        <f t="shared" si="5"/>
        <v>6.45E-3</v>
      </c>
      <c r="Q24" s="670">
        <f t="shared" si="6"/>
        <v>6.8461130434782608E-2</v>
      </c>
      <c r="R24" s="247">
        <f t="shared" si="12"/>
        <v>174</v>
      </c>
      <c r="S24" s="24">
        <f t="shared" si="7"/>
        <v>495</v>
      </c>
      <c r="T24" s="25">
        <f t="shared" si="8"/>
        <v>8.6129999999999998E-2</v>
      </c>
      <c r="U24" s="654">
        <f t="shared" si="9"/>
        <v>0.23153147826086956</v>
      </c>
    </row>
    <row r="25" spans="1:24" x14ac:dyDescent="0.2">
      <c r="A25" s="33">
        <f t="shared" si="13"/>
        <v>2012</v>
      </c>
      <c r="B25" s="30">
        <v>3387</v>
      </c>
      <c r="C25" s="661">
        <f t="shared" si="0"/>
        <v>4068</v>
      </c>
      <c r="D25" s="662">
        <v>0.3</v>
      </c>
      <c r="E25" s="663">
        <v>0.28999999999999998</v>
      </c>
      <c r="F25" s="617">
        <v>616</v>
      </c>
      <c r="G25" s="626">
        <f t="shared" si="14"/>
        <v>1.0161</v>
      </c>
      <c r="H25" s="72">
        <f t="shared" si="15"/>
        <v>0.98222999999999994</v>
      </c>
      <c r="I25" s="630">
        <f t="shared" si="16"/>
        <v>2.086392</v>
      </c>
      <c r="J25" s="61">
        <f t="shared" si="10"/>
        <v>1846</v>
      </c>
      <c r="K25" s="188">
        <f t="shared" si="1"/>
        <v>0.3</v>
      </c>
      <c r="L25" s="188">
        <f t="shared" si="2"/>
        <v>0.55379999999999996</v>
      </c>
      <c r="M25" s="188">
        <f t="shared" si="3"/>
        <v>0.62052917391304341</v>
      </c>
      <c r="N25" s="54">
        <f t="shared" si="11"/>
        <v>305</v>
      </c>
      <c r="O25" s="670">
        <f t="shared" si="4"/>
        <v>0.28999999999999998</v>
      </c>
      <c r="P25" s="670">
        <f t="shared" si="5"/>
        <v>8.8449999999999987E-2</v>
      </c>
      <c r="Q25" s="670">
        <f t="shared" si="6"/>
        <v>0.15691113043478261</v>
      </c>
      <c r="R25" s="247">
        <f t="shared" si="12"/>
        <v>1846</v>
      </c>
      <c r="S25" s="24">
        <f t="shared" si="7"/>
        <v>616</v>
      </c>
      <c r="T25" s="25">
        <f t="shared" si="8"/>
        <v>1.1371359999999999</v>
      </c>
      <c r="U25" s="654">
        <f t="shared" si="9"/>
        <v>1.3686674782608694</v>
      </c>
    </row>
    <row r="26" spans="1:24" s="831" customFormat="1" x14ac:dyDescent="0.2">
      <c r="A26" s="33">
        <f t="shared" si="13"/>
        <v>2013</v>
      </c>
      <c r="B26" s="30">
        <v>4048</v>
      </c>
      <c r="C26" s="619">
        <f t="shared" si="0"/>
        <v>8116</v>
      </c>
      <c r="D26" s="807">
        <v>0.4</v>
      </c>
      <c r="E26" s="808">
        <v>0.42</v>
      </c>
      <c r="F26" s="806">
        <v>779</v>
      </c>
      <c r="G26" s="626">
        <f t="shared" si="14"/>
        <v>1.6192</v>
      </c>
      <c r="H26" s="72">
        <f t="shared" si="15"/>
        <v>1.7001599999999999</v>
      </c>
      <c r="I26" s="630">
        <f t="shared" si="16"/>
        <v>3.1533920000000002</v>
      </c>
      <c r="J26" s="61">
        <f t="shared" si="10"/>
        <v>3717.5</v>
      </c>
      <c r="K26" s="188">
        <f t="shared" si="1"/>
        <v>0.4</v>
      </c>
      <c r="L26" s="188">
        <f t="shared" si="2"/>
        <v>1.4870000000000001</v>
      </c>
      <c r="M26" s="829">
        <f t="shared" si="3"/>
        <v>2.1075291739130435</v>
      </c>
      <c r="N26" s="54">
        <f t="shared" si="11"/>
        <v>3387</v>
      </c>
      <c r="O26" s="670">
        <f t="shared" si="4"/>
        <v>0.42</v>
      </c>
      <c r="P26" s="670">
        <f t="shared" si="5"/>
        <v>1.4225399999999999</v>
      </c>
      <c r="Q26" s="671">
        <f t="shared" si="6"/>
        <v>1.5794511304347825</v>
      </c>
      <c r="R26" s="247">
        <f t="shared" si="12"/>
        <v>3717.5</v>
      </c>
      <c r="S26" s="24">
        <f t="shared" si="7"/>
        <v>779</v>
      </c>
      <c r="T26" s="25">
        <f t="shared" si="8"/>
        <v>2.8959324999999998</v>
      </c>
      <c r="U26" s="654">
        <f t="shared" si="9"/>
        <v>4.2645999782608692</v>
      </c>
      <c r="V26" s="830"/>
    </row>
    <row r="27" spans="1:24" s="831" customFormat="1" x14ac:dyDescent="0.2">
      <c r="A27" s="33">
        <f t="shared" si="13"/>
        <v>2014</v>
      </c>
      <c r="B27" s="30">
        <v>7859</v>
      </c>
      <c r="C27" s="619">
        <f t="shared" si="0"/>
        <v>15975</v>
      </c>
      <c r="D27" s="807">
        <v>0.24</v>
      </c>
      <c r="E27" s="808">
        <v>0.34</v>
      </c>
      <c r="F27" s="806">
        <v>1222</v>
      </c>
      <c r="G27" s="626">
        <f t="shared" si="14"/>
        <v>1.8861599999999998</v>
      </c>
      <c r="H27" s="72">
        <f t="shared" si="15"/>
        <v>2.6720600000000005</v>
      </c>
      <c r="I27" s="630">
        <f t="shared" si="16"/>
        <v>9.6036979999999996</v>
      </c>
      <c r="J27" s="61">
        <f t="shared" si="10"/>
        <v>5953.5</v>
      </c>
      <c r="K27" s="188">
        <f t="shared" si="1"/>
        <v>0.24</v>
      </c>
      <c r="L27" s="188">
        <f t="shared" si="2"/>
        <v>1.4288399999999999</v>
      </c>
      <c r="M27" s="829">
        <f t="shared" si="3"/>
        <v>3.5363691739130436</v>
      </c>
      <c r="N27" s="54">
        <f t="shared" si="11"/>
        <v>4048</v>
      </c>
      <c r="O27" s="670">
        <f t="shared" si="4"/>
        <v>0.34</v>
      </c>
      <c r="P27" s="670">
        <f t="shared" si="5"/>
        <v>1.3763200000000002</v>
      </c>
      <c r="Q27" s="671">
        <f t="shared" si="6"/>
        <v>2.9557711304347825</v>
      </c>
      <c r="R27" s="247">
        <f t="shared" si="12"/>
        <v>5953.5</v>
      </c>
      <c r="S27" s="24">
        <f t="shared" si="7"/>
        <v>1222</v>
      </c>
      <c r="T27" s="25">
        <f t="shared" si="8"/>
        <v>7.2751770000000002</v>
      </c>
      <c r="U27" s="654">
        <f t="shared" si="9"/>
        <v>11.539776978260869</v>
      </c>
      <c r="V27" s="830"/>
    </row>
    <row r="28" spans="1:24" s="831" customFormat="1" x14ac:dyDescent="0.2">
      <c r="A28" s="33">
        <f t="shared" si="13"/>
        <v>2015</v>
      </c>
      <c r="B28" s="30">
        <v>7912</v>
      </c>
      <c r="C28" s="619">
        <f t="shared" si="0"/>
        <v>23887</v>
      </c>
      <c r="D28" s="807">
        <f>D60</f>
        <v>0.18446536905965621</v>
      </c>
      <c r="E28" s="808">
        <f t="shared" ref="E28:F28" si="17">E60</f>
        <v>0.2040242669362993</v>
      </c>
      <c r="F28" s="806">
        <f t="shared" si="17"/>
        <v>589.77047522750252</v>
      </c>
      <c r="G28" s="626">
        <f t="shared" si="14"/>
        <v>1.45949</v>
      </c>
      <c r="H28" s="72">
        <f t="shared" si="15"/>
        <v>1.6142400000000001</v>
      </c>
      <c r="I28" s="630">
        <f t="shared" si="16"/>
        <v>4.666264</v>
      </c>
      <c r="J28" s="61">
        <f t="shared" si="10"/>
        <v>7885.5</v>
      </c>
      <c r="K28" s="188">
        <f t="shared" si="1"/>
        <v>0.18446536905965621</v>
      </c>
      <c r="L28" s="188">
        <f t="shared" si="2"/>
        <v>1.4546016677199192</v>
      </c>
      <c r="M28" s="829">
        <f t="shared" si="3"/>
        <v>4.9909708416329632</v>
      </c>
      <c r="N28" s="54">
        <f t="shared" si="11"/>
        <v>7859</v>
      </c>
      <c r="O28" s="670">
        <f t="shared" si="4"/>
        <v>0.2040242669362993</v>
      </c>
      <c r="P28" s="670">
        <f t="shared" si="5"/>
        <v>1.6034267138523761</v>
      </c>
      <c r="Q28" s="671">
        <f t="shared" si="6"/>
        <v>4.5591978442871586</v>
      </c>
      <c r="R28" s="247">
        <f t="shared" si="12"/>
        <v>7885.5</v>
      </c>
      <c r="S28" s="24">
        <f t="shared" si="7"/>
        <v>589.77047522750252</v>
      </c>
      <c r="T28" s="25">
        <f t="shared" si="8"/>
        <v>4.6506350824064713</v>
      </c>
      <c r="U28" s="654">
        <f t="shared" si="9"/>
        <v>16.190412060667342</v>
      </c>
      <c r="V28" s="830"/>
    </row>
    <row r="29" spans="1:24" ht="13.5" thickBot="1" x14ac:dyDescent="0.25">
      <c r="A29" s="701">
        <f t="shared" si="13"/>
        <v>2016</v>
      </c>
      <c r="B29" s="702">
        <v>5495</v>
      </c>
      <c r="C29" s="703">
        <f t="shared" si="0"/>
        <v>29382</v>
      </c>
      <c r="D29" s="835">
        <v>0.24099999999999999</v>
      </c>
      <c r="E29" s="835">
        <v>0.33700000000000002</v>
      </c>
      <c r="F29" s="702">
        <v>1222</v>
      </c>
      <c r="G29" s="823">
        <f t="shared" si="14"/>
        <v>1.3242949999999998</v>
      </c>
      <c r="H29" s="707">
        <f t="shared" si="15"/>
        <v>1.851815</v>
      </c>
      <c r="I29" s="824">
        <f t="shared" si="16"/>
        <v>6.7148899999999996</v>
      </c>
      <c r="J29" s="708">
        <f t="shared" si="10"/>
        <v>6703.5</v>
      </c>
      <c r="K29" s="825">
        <f t="shared" si="1"/>
        <v>0.24099999999999999</v>
      </c>
      <c r="L29" s="825">
        <f t="shared" si="2"/>
        <v>1.6155435</v>
      </c>
      <c r="M29" s="826">
        <f t="shared" si="3"/>
        <v>6.6065143416329635</v>
      </c>
      <c r="N29" s="711">
        <f t="shared" si="11"/>
        <v>7912</v>
      </c>
      <c r="O29" s="827">
        <f t="shared" si="4"/>
        <v>0.33700000000000002</v>
      </c>
      <c r="P29" s="827">
        <f t="shared" si="5"/>
        <v>2.666344</v>
      </c>
      <c r="Q29" s="828">
        <f t="shared" si="6"/>
        <v>7.2255418442871591</v>
      </c>
      <c r="R29" s="714">
        <f t="shared" si="12"/>
        <v>6703.5</v>
      </c>
      <c r="S29" s="715">
        <f t="shared" si="7"/>
        <v>1222</v>
      </c>
      <c r="T29" s="716">
        <f t="shared" si="8"/>
        <v>8.1916770000000003</v>
      </c>
      <c r="U29" s="717">
        <f t="shared" si="9"/>
        <v>24.38208906066734</v>
      </c>
    </row>
    <row r="30" spans="1:24" x14ac:dyDescent="0.2">
      <c r="A30" s="33">
        <f t="shared" si="13"/>
        <v>2017</v>
      </c>
      <c r="B30" s="787">
        <v>6250</v>
      </c>
      <c r="C30" s="565">
        <f t="shared" si="0"/>
        <v>35632</v>
      </c>
      <c r="D30" s="965">
        <f t="shared" ref="D30:D47" si="18">D29</f>
        <v>0.24099999999999999</v>
      </c>
      <c r="E30" s="966">
        <f t="shared" ref="E30:E47" si="19">E29</f>
        <v>0.33700000000000002</v>
      </c>
      <c r="F30" s="790">
        <f t="shared" ref="F30:F47" si="20">F29</f>
        <v>1222</v>
      </c>
      <c r="G30" s="473">
        <f t="shared" si="14"/>
        <v>1.5062500000000001</v>
      </c>
      <c r="H30" s="474">
        <f t="shared" si="15"/>
        <v>2.1062500000000002</v>
      </c>
      <c r="I30" s="474">
        <f t="shared" si="16"/>
        <v>7.6375000000000002</v>
      </c>
      <c r="J30" s="61">
        <f t="shared" si="10"/>
        <v>5872.5</v>
      </c>
      <c r="K30" s="967">
        <f t="shared" si="1"/>
        <v>0.24099999999999999</v>
      </c>
      <c r="L30" s="967">
        <f t="shared" si="2"/>
        <v>1.4152724999999999</v>
      </c>
      <c r="M30" s="967">
        <f t="shared" si="3"/>
        <v>8.021786841632963</v>
      </c>
      <c r="N30" s="54">
        <f t="shared" si="11"/>
        <v>5495</v>
      </c>
      <c r="O30" s="968">
        <f t="shared" si="4"/>
        <v>0.33700000000000002</v>
      </c>
      <c r="P30" s="968">
        <f t="shared" si="5"/>
        <v>1.851815</v>
      </c>
      <c r="Q30" s="969">
        <f t="shared" si="6"/>
        <v>9.0773568442871593</v>
      </c>
      <c r="R30" s="247">
        <f t="shared" si="12"/>
        <v>5872.5</v>
      </c>
      <c r="S30" s="24">
        <f t="shared" si="7"/>
        <v>1222</v>
      </c>
      <c r="T30" s="970">
        <f t="shared" si="8"/>
        <v>7.1761949999999999</v>
      </c>
      <c r="U30" s="971">
        <f t="shared" si="9"/>
        <v>31.55828406066734</v>
      </c>
    </row>
    <row r="31" spans="1:24" x14ac:dyDescent="0.2">
      <c r="A31" s="33">
        <f t="shared" si="13"/>
        <v>2018</v>
      </c>
      <c r="B31" s="787">
        <v>6750</v>
      </c>
      <c r="C31" s="565">
        <f t="shared" si="0"/>
        <v>42382</v>
      </c>
      <c r="D31" s="965">
        <f t="shared" si="18"/>
        <v>0.24099999999999999</v>
      </c>
      <c r="E31" s="966">
        <f t="shared" si="19"/>
        <v>0.33700000000000002</v>
      </c>
      <c r="F31" s="790">
        <f t="shared" si="20"/>
        <v>1222</v>
      </c>
      <c r="G31" s="473">
        <f t="shared" si="14"/>
        <v>1.6267499999999999</v>
      </c>
      <c r="H31" s="474">
        <f t="shared" si="15"/>
        <v>2.27475</v>
      </c>
      <c r="I31" s="474">
        <f t="shared" si="16"/>
        <v>8.2484999999999999</v>
      </c>
      <c r="J31" s="61">
        <f t="shared" si="10"/>
        <v>6500</v>
      </c>
      <c r="K31" s="967">
        <f t="shared" si="1"/>
        <v>0.24099999999999999</v>
      </c>
      <c r="L31" s="967">
        <f t="shared" si="2"/>
        <v>1.5665</v>
      </c>
      <c r="M31" s="967">
        <f t="shared" si="3"/>
        <v>9.5882868416329625</v>
      </c>
      <c r="N31" s="54">
        <f t="shared" si="11"/>
        <v>6250</v>
      </c>
      <c r="O31" s="968">
        <f t="shared" si="4"/>
        <v>0.33700000000000002</v>
      </c>
      <c r="P31" s="968">
        <f t="shared" si="5"/>
        <v>2.1062500000000002</v>
      </c>
      <c r="Q31" s="969">
        <f t="shared" si="6"/>
        <v>11.183606844287159</v>
      </c>
      <c r="R31" s="247">
        <f t="shared" si="12"/>
        <v>6500</v>
      </c>
      <c r="S31" s="24">
        <f t="shared" si="7"/>
        <v>1222</v>
      </c>
      <c r="T31" s="970">
        <f t="shared" si="8"/>
        <v>7.9429999999999996</v>
      </c>
      <c r="U31" s="971">
        <f t="shared" si="9"/>
        <v>39.501284060667338</v>
      </c>
    </row>
    <row r="32" spans="1:24" x14ac:dyDescent="0.2">
      <c r="A32" s="33">
        <f t="shared" si="13"/>
        <v>2019</v>
      </c>
      <c r="B32" s="787">
        <v>7000</v>
      </c>
      <c r="C32" s="565">
        <f t="shared" si="0"/>
        <v>49382</v>
      </c>
      <c r="D32" s="965">
        <f t="shared" si="18"/>
        <v>0.24099999999999999</v>
      </c>
      <c r="E32" s="966">
        <f t="shared" si="19"/>
        <v>0.33700000000000002</v>
      </c>
      <c r="F32" s="790">
        <f t="shared" si="20"/>
        <v>1222</v>
      </c>
      <c r="G32" s="473">
        <f t="shared" si="14"/>
        <v>1.6870000000000001</v>
      </c>
      <c r="H32" s="474">
        <f t="shared" si="15"/>
        <v>2.359</v>
      </c>
      <c r="I32" s="474">
        <f t="shared" si="16"/>
        <v>8.5540000000000003</v>
      </c>
      <c r="J32" s="61">
        <f t="shared" si="10"/>
        <v>6875</v>
      </c>
      <c r="K32" s="967">
        <f t="shared" si="1"/>
        <v>0.24099999999999999</v>
      </c>
      <c r="L32" s="967">
        <f t="shared" si="2"/>
        <v>1.6568750000000001</v>
      </c>
      <c r="M32" s="967">
        <f t="shared" si="3"/>
        <v>11.245161841632962</v>
      </c>
      <c r="N32" s="54">
        <f t="shared" si="11"/>
        <v>6750</v>
      </c>
      <c r="O32" s="968">
        <f t="shared" si="4"/>
        <v>0.33700000000000002</v>
      </c>
      <c r="P32" s="968">
        <f t="shared" si="5"/>
        <v>2.27475</v>
      </c>
      <c r="Q32" s="969">
        <f t="shared" si="6"/>
        <v>13.45835684428716</v>
      </c>
      <c r="R32" s="247">
        <f t="shared" si="12"/>
        <v>6875</v>
      </c>
      <c r="S32" s="24">
        <f t="shared" si="7"/>
        <v>1222</v>
      </c>
      <c r="T32" s="970">
        <f t="shared" si="8"/>
        <v>8.4012499999999992</v>
      </c>
      <c r="U32" s="971">
        <f t="shared" si="9"/>
        <v>47.902534060667335</v>
      </c>
    </row>
    <row r="33" spans="1:21" x14ac:dyDescent="0.2">
      <c r="A33" s="33">
        <f t="shared" si="13"/>
        <v>2020</v>
      </c>
      <c r="B33" s="787">
        <f>B32</f>
        <v>7000</v>
      </c>
      <c r="C33" s="565">
        <f t="shared" si="0"/>
        <v>56382</v>
      </c>
      <c r="D33" s="965">
        <f t="shared" si="18"/>
        <v>0.24099999999999999</v>
      </c>
      <c r="E33" s="966">
        <f t="shared" si="19"/>
        <v>0.33700000000000002</v>
      </c>
      <c r="F33" s="790">
        <f t="shared" si="20"/>
        <v>1222</v>
      </c>
      <c r="G33" s="473">
        <f t="shared" si="14"/>
        <v>1.6870000000000001</v>
      </c>
      <c r="H33" s="474">
        <f t="shared" si="15"/>
        <v>2.359</v>
      </c>
      <c r="I33" s="474">
        <f t="shared" si="16"/>
        <v>8.5540000000000003</v>
      </c>
      <c r="J33" s="61">
        <f t="shared" si="10"/>
        <v>7000</v>
      </c>
      <c r="K33" s="967">
        <f t="shared" si="1"/>
        <v>0.24099999999999999</v>
      </c>
      <c r="L33" s="967">
        <f t="shared" si="2"/>
        <v>1.6870000000000001</v>
      </c>
      <c r="M33" s="967">
        <f t="shared" si="3"/>
        <v>12.932161841632961</v>
      </c>
      <c r="N33" s="54">
        <f t="shared" si="11"/>
        <v>7000</v>
      </c>
      <c r="O33" s="968">
        <f t="shared" si="4"/>
        <v>0.33700000000000002</v>
      </c>
      <c r="P33" s="968">
        <f t="shared" si="5"/>
        <v>2.359</v>
      </c>
      <c r="Q33" s="969">
        <f t="shared" si="6"/>
        <v>15.817356844287159</v>
      </c>
      <c r="R33" s="247">
        <f t="shared" si="12"/>
        <v>7000</v>
      </c>
      <c r="S33" s="24">
        <f t="shared" si="7"/>
        <v>1222</v>
      </c>
      <c r="T33" s="970">
        <f t="shared" si="8"/>
        <v>8.5540000000000003</v>
      </c>
      <c r="U33" s="971">
        <f t="shared" si="9"/>
        <v>56.456534060667337</v>
      </c>
    </row>
    <row r="34" spans="1:21" x14ac:dyDescent="0.2">
      <c r="A34" s="33">
        <f t="shared" si="13"/>
        <v>2021</v>
      </c>
      <c r="B34" s="787">
        <f t="shared" ref="B34:B47" si="21">B33</f>
        <v>7000</v>
      </c>
      <c r="C34" s="565">
        <f t="shared" si="0"/>
        <v>63382</v>
      </c>
      <c r="D34" s="965">
        <f t="shared" si="18"/>
        <v>0.24099999999999999</v>
      </c>
      <c r="E34" s="966">
        <f t="shared" si="19"/>
        <v>0.33700000000000002</v>
      </c>
      <c r="F34" s="790">
        <f t="shared" si="20"/>
        <v>1222</v>
      </c>
      <c r="G34" s="473">
        <f t="shared" si="14"/>
        <v>1.6870000000000001</v>
      </c>
      <c r="H34" s="474">
        <f t="shared" si="15"/>
        <v>2.359</v>
      </c>
      <c r="I34" s="474">
        <f t="shared" si="16"/>
        <v>8.5540000000000003</v>
      </c>
      <c r="J34" s="61">
        <f t="shared" si="10"/>
        <v>7000</v>
      </c>
      <c r="K34" s="967">
        <f t="shared" si="1"/>
        <v>0.24099999999999999</v>
      </c>
      <c r="L34" s="967">
        <f t="shared" si="2"/>
        <v>1.6870000000000001</v>
      </c>
      <c r="M34" s="967">
        <f t="shared" si="3"/>
        <v>14.619161841632961</v>
      </c>
      <c r="N34" s="54">
        <f t="shared" si="11"/>
        <v>7000</v>
      </c>
      <c r="O34" s="968">
        <f t="shared" si="4"/>
        <v>0.33700000000000002</v>
      </c>
      <c r="P34" s="968">
        <f t="shared" si="5"/>
        <v>2.359</v>
      </c>
      <c r="Q34" s="969">
        <f t="shared" si="6"/>
        <v>18.176356844287159</v>
      </c>
      <c r="R34" s="247">
        <f t="shared" si="12"/>
        <v>7000</v>
      </c>
      <c r="S34" s="24">
        <f t="shared" si="7"/>
        <v>1222</v>
      </c>
      <c r="T34" s="970">
        <f t="shared" si="8"/>
        <v>8.5540000000000003</v>
      </c>
      <c r="U34" s="971">
        <f t="shared" si="9"/>
        <v>65.010534060667339</v>
      </c>
    </row>
    <row r="35" spans="1:21" x14ac:dyDescent="0.2">
      <c r="A35" s="33">
        <f t="shared" si="13"/>
        <v>2022</v>
      </c>
      <c r="B35" s="787">
        <f t="shared" si="21"/>
        <v>7000</v>
      </c>
      <c r="C35" s="565">
        <f t="shared" si="0"/>
        <v>70382</v>
      </c>
      <c r="D35" s="965">
        <f t="shared" si="18"/>
        <v>0.24099999999999999</v>
      </c>
      <c r="E35" s="966">
        <f t="shared" si="19"/>
        <v>0.33700000000000002</v>
      </c>
      <c r="F35" s="790">
        <f t="shared" si="20"/>
        <v>1222</v>
      </c>
      <c r="G35" s="473">
        <f t="shared" si="14"/>
        <v>1.6870000000000001</v>
      </c>
      <c r="H35" s="474">
        <f t="shared" si="15"/>
        <v>2.359</v>
      </c>
      <c r="I35" s="474">
        <f t="shared" si="16"/>
        <v>8.5540000000000003</v>
      </c>
      <c r="J35" s="61">
        <f t="shared" si="10"/>
        <v>7000</v>
      </c>
      <c r="K35" s="967">
        <f t="shared" si="1"/>
        <v>0.24099999999999999</v>
      </c>
      <c r="L35" s="967">
        <f t="shared" si="2"/>
        <v>1.6870000000000001</v>
      </c>
      <c r="M35" s="967">
        <f t="shared" si="3"/>
        <v>16.30616184163296</v>
      </c>
      <c r="N35" s="54">
        <f t="shared" si="11"/>
        <v>7000</v>
      </c>
      <c r="O35" s="968">
        <f t="shared" si="4"/>
        <v>0.33700000000000002</v>
      </c>
      <c r="P35" s="968">
        <f t="shared" si="5"/>
        <v>2.359</v>
      </c>
      <c r="Q35" s="969">
        <f t="shared" si="6"/>
        <v>20.535356844287158</v>
      </c>
      <c r="R35" s="247">
        <f t="shared" si="12"/>
        <v>7000</v>
      </c>
      <c r="S35" s="24">
        <f t="shared" si="7"/>
        <v>1222</v>
      </c>
      <c r="T35" s="970">
        <f t="shared" si="8"/>
        <v>8.5540000000000003</v>
      </c>
      <c r="U35" s="971">
        <f t="shared" si="9"/>
        <v>73.564534060667341</v>
      </c>
    </row>
    <row r="36" spans="1:21" x14ac:dyDescent="0.2">
      <c r="A36" s="33">
        <f t="shared" si="13"/>
        <v>2023</v>
      </c>
      <c r="B36" s="787">
        <f t="shared" si="21"/>
        <v>7000</v>
      </c>
      <c r="C36" s="565">
        <f t="shared" si="0"/>
        <v>77382</v>
      </c>
      <c r="D36" s="965">
        <f t="shared" si="18"/>
        <v>0.24099999999999999</v>
      </c>
      <c r="E36" s="966">
        <f t="shared" si="19"/>
        <v>0.33700000000000002</v>
      </c>
      <c r="F36" s="790">
        <f t="shared" si="20"/>
        <v>1222</v>
      </c>
      <c r="G36" s="473">
        <f t="shared" si="14"/>
        <v>1.6870000000000001</v>
      </c>
      <c r="H36" s="474">
        <f t="shared" si="15"/>
        <v>2.359</v>
      </c>
      <c r="I36" s="474">
        <f t="shared" si="16"/>
        <v>8.5540000000000003</v>
      </c>
      <c r="J36" s="61">
        <f t="shared" si="10"/>
        <v>7000</v>
      </c>
      <c r="K36" s="967">
        <f t="shared" si="1"/>
        <v>0.24099999999999999</v>
      </c>
      <c r="L36" s="967">
        <f t="shared" si="2"/>
        <v>1.6870000000000001</v>
      </c>
      <c r="M36" s="967">
        <f t="shared" si="3"/>
        <v>17.993161841632961</v>
      </c>
      <c r="N36" s="54">
        <f t="shared" si="11"/>
        <v>7000</v>
      </c>
      <c r="O36" s="968">
        <f t="shared" si="4"/>
        <v>0.33700000000000002</v>
      </c>
      <c r="P36" s="968">
        <f t="shared" si="5"/>
        <v>2.359</v>
      </c>
      <c r="Q36" s="969">
        <f t="shared" si="6"/>
        <v>22.894356844287159</v>
      </c>
      <c r="R36" s="247">
        <f t="shared" si="12"/>
        <v>7000</v>
      </c>
      <c r="S36" s="24">
        <f t="shared" si="7"/>
        <v>1222</v>
      </c>
      <c r="T36" s="970">
        <f t="shared" si="8"/>
        <v>8.5540000000000003</v>
      </c>
      <c r="U36" s="971">
        <f t="shared" si="9"/>
        <v>82.118534060667344</v>
      </c>
    </row>
    <row r="37" spans="1:21" x14ac:dyDescent="0.2">
      <c r="A37" s="33">
        <f t="shared" si="13"/>
        <v>2024</v>
      </c>
      <c r="B37" s="787">
        <f t="shared" si="21"/>
        <v>7000</v>
      </c>
      <c r="C37" s="565">
        <f t="shared" si="0"/>
        <v>84382</v>
      </c>
      <c r="D37" s="965">
        <f t="shared" si="18"/>
        <v>0.24099999999999999</v>
      </c>
      <c r="E37" s="966">
        <f t="shared" si="19"/>
        <v>0.33700000000000002</v>
      </c>
      <c r="F37" s="790">
        <f t="shared" si="20"/>
        <v>1222</v>
      </c>
      <c r="G37" s="473">
        <f t="shared" si="14"/>
        <v>1.6870000000000001</v>
      </c>
      <c r="H37" s="474">
        <f t="shared" si="15"/>
        <v>2.359</v>
      </c>
      <c r="I37" s="474">
        <f t="shared" si="16"/>
        <v>8.5540000000000003</v>
      </c>
      <c r="J37" s="61">
        <f t="shared" si="10"/>
        <v>7000</v>
      </c>
      <c r="K37" s="967">
        <f t="shared" si="1"/>
        <v>0.24099999999999999</v>
      </c>
      <c r="L37" s="967">
        <f t="shared" si="2"/>
        <v>1.6870000000000001</v>
      </c>
      <c r="M37" s="967">
        <f t="shared" si="3"/>
        <v>19.680161841632962</v>
      </c>
      <c r="N37" s="54">
        <f t="shared" si="11"/>
        <v>7000</v>
      </c>
      <c r="O37" s="968">
        <f t="shared" si="4"/>
        <v>0.33700000000000002</v>
      </c>
      <c r="P37" s="968">
        <f t="shared" si="5"/>
        <v>2.359</v>
      </c>
      <c r="Q37" s="969">
        <f t="shared" si="6"/>
        <v>25.253356844287161</v>
      </c>
      <c r="R37" s="247">
        <f t="shared" si="12"/>
        <v>7000</v>
      </c>
      <c r="S37" s="24">
        <f t="shared" si="7"/>
        <v>1222</v>
      </c>
      <c r="T37" s="970">
        <f t="shared" si="8"/>
        <v>8.5540000000000003</v>
      </c>
      <c r="U37" s="971">
        <f t="shared" si="9"/>
        <v>90.672534060667346</v>
      </c>
    </row>
    <row r="38" spans="1:21" x14ac:dyDescent="0.2">
      <c r="A38" s="33">
        <f t="shared" si="13"/>
        <v>2025</v>
      </c>
      <c r="B38" s="787">
        <f t="shared" si="21"/>
        <v>7000</v>
      </c>
      <c r="C38" s="565">
        <f t="shared" si="0"/>
        <v>91382</v>
      </c>
      <c r="D38" s="965">
        <f t="shared" si="18"/>
        <v>0.24099999999999999</v>
      </c>
      <c r="E38" s="966">
        <f t="shared" si="19"/>
        <v>0.33700000000000002</v>
      </c>
      <c r="F38" s="790">
        <f t="shared" si="20"/>
        <v>1222</v>
      </c>
      <c r="G38" s="473">
        <f t="shared" si="14"/>
        <v>1.6870000000000001</v>
      </c>
      <c r="H38" s="474">
        <f t="shared" si="15"/>
        <v>2.359</v>
      </c>
      <c r="I38" s="474">
        <f t="shared" si="16"/>
        <v>8.5540000000000003</v>
      </c>
      <c r="J38" s="61">
        <f t="shared" si="10"/>
        <v>7000</v>
      </c>
      <c r="K38" s="967">
        <f t="shared" si="1"/>
        <v>0.24099999999999999</v>
      </c>
      <c r="L38" s="967">
        <f t="shared" si="2"/>
        <v>1.6870000000000001</v>
      </c>
      <c r="M38" s="967">
        <f t="shared" si="3"/>
        <v>21.367161841632964</v>
      </c>
      <c r="N38" s="54">
        <f t="shared" si="11"/>
        <v>7000</v>
      </c>
      <c r="O38" s="968">
        <f t="shared" si="4"/>
        <v>0.33700000000000002</v>
      </c>
      <c r="P38" s="968">
        <f t="shared" si="5"/>
        <v>2.359</v>
      </c>
      <c r="Q38" s="969">
        <f t="shared" si="6"/>
        <v>27.612356844287163</v>
      </c>
      <c r="R38" s="247">
        <f t="shared" ref="R38:R42" si="22">+(B38+B37)/2</f>
        <v>7000</v>
      </c>
      <c r="S38" s="24">
        <f t="shared" ref="S38:S42" si="23">+F38</f>
        <v>1222</v>
      </c>
      <c r="T38" s="970">
        <f t="shared" ref="T38:T42" si="24">+R38*S38/1000000</f>
        <v>8.5540000000000003</v>
      </c>
      <c r="U38" s="971">
        <f t="shared" ref="U38:U42" si="25">+U37+T38</f>
        <v>99.226534060667348</v>
      </c>
    </row>
    <row r="39" spans="1:21" x14ac:dyDescent="0.2">
      <c r="A39" s="33">
        <f t="shared" si="13"/>
        <v>2026</v>
      </c>
      <c r="B39" s="787">
        <f t="shared" si="21"/>
        <v>7000</v>
      </c>
      <c r="C39" s="565">
        <f t="shared" si="0"/>
        <v>98382</v>
      </c>
      <c r="D39" s="965">
        <f t="shared" si="18"/>
        <v>0.24099999999999999</v>
      </c>
      <c r="E39" s="966">
        <f t="shared" si="19"/>
        <v>0.33700000000000002</v>
      </c>
      <c r="F39" s="790">
        <f t="shared" si="20"/>
        <v>1222</v>
      </c>
      <c r="G39" s="473">
        <f t="shared" si="14"/>
        <v>1.6870000000000001</v>
      </c>
      <c r="H39" s="474">
        <f t="shared" si="15"/>
        <v>2.359</v>
      </c>
      <c r="I39" s="474">
        <f t="shared" si="16"/>
        <v>8.5540000000000003</v>
      </c>
      <c r="J39" s="61">
        <f t="shared" si="10"/>
        <v>7000</v>
      </c>
      <c r="K39" s="967">
        <f t="shared" si="1"/>
        <v>0.24099999999999999</v>
      </c>
      <c r="L39" s="967">
        <f t="shared" si="2"/>
        <v>1.6870000000000001</v>
      </c>
      <c r="M39" s="967">
        <f t="shared" si="3"/>
        <v>23.054161841632965</v>
      </c>
      <c r="N39" s="54">
        <f t="shared" si="11"/>
        <v>7000</v>
      </c>
      <c r="O39" s="968">
        <f t="shared" si="4"/>
        <v>0.33700000000000002</v>
      </c>
      <c r="P39" s="968">
        <f t="shared" si="5"/>
        <v>2.359</v>
      </c>
      <c r="Q39" s="969">
        <f t="shared" si="6"/>
        <v>29.971356844287165</v>
      </c>
      <c r="R39" s="247">
        <f t="shared" si="22"/>
        <v>7000</v>
      </c>
      <c r="S39" s="24">
        <f t="shared" si="23"/>
        <v>1222</v>
      </c>
      <c r="T39" s="970">
        <f t="shared" si="24"/>
        <v>8.5540000000000003</v>
      </c>
      <c r="U39" s="971">
        <f t="shared" si="25"/>
        <v>107.78053406066735</v>
      </c>
    </row>
    <row r="40" spans="1:21" x14ac:dyDescent="0.2">
      <c r="A40" s="33">
        <f>+A39+1</f>
        <v>2027</v>
      </c>
      <c r="B40" s="787">
        <f t="shared" si="21"/>
        <v>7000</v>
      </c>
      <c r="C40" s="565">
        <f>+C39+B40</f>
        <v>105382</v>
      </c>
      <c r="D40" s="965">
        <f t="shared" si="18"/>
        <v>0.24099999999999999</v>
      </c>
      <c r="E40" s="966">
        <f t="shared" si="19"/>
        <v>0.33700000000000002</v>
      </c>
      <c r="F40" s="790">
        <f t="shared" si="20"/>
        <v>1222</v>
      </c>
      <c r="G40" s="473">
        <f t="shared" ref="G40:H42" si="26">+$B40*D40/1000</f>
        <v>1.6870000000000001</v>
      </c>
      <c r="H40" s="474">
        <f t="shared" si="26"/>
        <v>2.359</v>
      </c>
      <c r="I40" s="474">
        <f>+$B40*F40/1000000</f>
        <v>8.5540000000000003</v>
      </c>
      <c r="J40" s="61">
        <f>+(B40+B39)/2</f>
        <v>7000</v>
      </c>
      <c r="K40" s="967">
        <f>+D40</f>
        <v>0.24099999999999999</v>
      </c>
      <c r="L40" s="967">
        <f>+J40*K40/1000</f>
        <v>1.6870000000000001</v>
      </c>
      <c r="M40" s="967">
        <f>+M39+L40</f>
        <v>24.741161841632966</v>
      </c>
      <c r="N40" s="54">
        <f>+B39</f>
        <v>7000</v>
      </c>
      <c r="O40" s="968">
        <f>+E40</f>
        <v>0.33700000000000002</v>
      </c>
      <c r="P40" s="968">
        <f>+N40*O40/1000</f>
        <v>2.359</v>
      </c>
      <c r="Q40" s="969">
        <f>+Q39+P40</f>
        <v>32.330356844287166</v>
      </c>
      <c r="R40" s="247">
        <f t="shared" si="22"/>
        <v>7000</v>
      </c>
      <c r="S40" s="24">
        <f t="shared" si="23"/>
        <v>1222</v>
      </c>
      <c r="T40" s="970">
        <f t="shared" si="24"/>
        <v>8.5540000000000003</v>
      </c>
      <c r="U40" s="971">
        <f t="shared" si="25"/>
        <v>116.33453406066735</v>
      </c>
    </row>
    <row r="41" spans="1:21" x14ac:dyDescent="0.2">
      <c r="A41" s="33">
        <f t="shared" si="13"/>
        <v>2028</v>
      </c>
      <c r="B41" s="787">
        <f t="shared" si="21"/>
        <v>7000</v>
      </c>
      <c r="C41" s="565">
        <f>+C40+B41</f>
        <v>112382</v>
      </c>
      <c r="D41" s="965">
        <f t="shared" si="18"/>
        <v>0.24099999999999999</v>
      </c>
      <c r="E41" s="966">
        <f t="shared" si="19"/>
        <v>0.33700000000000002</v>
      </c>
      <c r="F41" s="790">
        <f t="shared" si="20"/>
        <v>1222</v>
      </c>
      <c r="G41" s="473">
        <f t="shared" si="26"/>
        <v>1.6870000000000001</v>
      </c>
      <c r="H41" s="474">
        <f t="shared" si="26"/>
        <v>2.359</v>
      </c>
      <c r="I41" s="474">
        <f>+$B41*F41/1000000</f>
        <v>8.5540000000000003</v>
      </c>
      <c r="J41" s="61">
        <f>+(B41+B40)/2</f>
        <v>7000</v>
      </c>
      <c r="K41" s="967">
        <f>+D41</f>
        <v>0.24099999999999999</v>
      </c>
      <c r="L41" s="967">
        <f>+J41*K41/1000</f>
        <v>1.6870000000000001</v>
      </c>
      <c r="M41" s="967">
        <f>+M40+L41</f>
        <v>26.428161841632967</v>
      </c>
      <c r="N41" s="54">
        <f>+B40</f>
        <v>7000</v>
      </c>
      <c r="O41" s="968">
        <f>+E41</f>
        <v>0.33700000000000002</v>
      </c>
      <c r="P41" s="968">
        <f>+N41*O41/1000</f>
        <v>2.359</v>
      </c>
      <c r="Q41" s="969">
        <f>+Q40+P41</f>
        <v>34.689356844287168</v>
      </c>
      <c r="R41" s="247">
        <f t="shared" si="22"/>
        <v>7000</v>
      </c>
      <c r="S41" s="24">
        <f t="shared" si="23"/>
        <v>1222</v>
      </c>
      <c r="T41" s="970">
        <f t="shared" si="24"/>
        <v>8.5540000000000003</v>
      </c>
      <c r="U41" s="971">
        <f t="shared" si="25"/>
        <v>124.88853406066735</v>
      </c>
    </row>
    <row r="42" spans="1:21" x14ac:dyDescent="0.2">
      <c r="A42" s="33">
        <f t="shared" si="13"/>
        <v>2029</v>
      </c>
      <c r="B42" s="787">
        <f t="shared" si="21"/>
        <v>7000</v>
      </c>
      <c r="C42" s="565">
        <f>+C41+B42</f>
        <v>119382</v>
      </c>
      <c r="D42" s="965">
        <f t="shared" si="18"/>
        <v>0.24099999999999999</v>
      </c>
      <c r="E42" s="966">
        <f t="shared" si="19"/>
        <v>0.33700000000000002</v>
      </c>
      <c r="F42" s="790">
        <f t="shared" si="20"/>
        <v>1222</v>
      </c>
      <c r="G42" s="473">
        <f t="shared" si="26"/>
        <v>1.6870000000000001</v>
      </c>
      <c r="H42" s="474">
        <f t="shared" si="26"/>
        <v>2.359</v>
      </c>
      <c r="I42" s="474">
        <f>+$B42*F42/1000000</f>
        <v>8.5540000000000003</v>
      </c>
      <c r="J42" s="61">
        <f>+(B42+B41)/2</f>
        <v>7000</v>
      </c>
      <c r="K42" s="967">
        <f>+D42</f>
        <v>0.24099999999999999</v>
      </c>
      <c r="L42" s="967">
        <f>+J42*K42/1000</f>
        <v>1.6870000000000001</v>
      </c>
      <c r="M42" s="967">
        <f>+M41+L42</f>
        <v>28.115161841632968</v>
      </c>
      <c r="N42" s="54">
        <f>+B41</f>
        <v>7000</v>
      </c>
      <c r="O42" s="968">
        <f>+E42</f>
        <v>0.33700000000000002</v>
      </c>
      <c r="P42" s="968">
        <f>+N42*O42/1000</f>
        <v>2.359</v>
      </c>
      <c r="Q42" s="969">
        <f>+Q41+P42</f>
        <v>37.04835684428717</v>
      </c>
      <c r="R42" s="247">
        <f t="shared" si="22"/>
        <v>7000</v>
      </c>
      <c r="S42" s="24">
        <f t="shared" si="23"/>
        <v>1222</v>
      </c>
      <c r="T42" s="970">
        <f t="shared" si="24"/>
        <v>8.5540000000000003</v>
      </c>
      <c r="U42" s="971">
        <f t="shared" si="25"/>
        <v>133.44253406066736</v>
      </c>
    </row>
    <row r="43" spans="1:21" x14ac:dyDescent="0.2">
      <c r="A43" s="33">
        <f t="shared" si="13"/>
        <v>2030</v>
      </c>
      <c r="B43" s="787">
        <f t="shared" si="21"/>
        <v>7000</v>
      </c>
      <c r="C43" s="565">
        <f t="shared" ref="C43:C47" si="27">+C42+B43</f>
        <v>126382</v>
      </c>
      <c r="D43" s="965">
        <f t="shared" si="18"/>
        <v>0.24099999999999999</v>
      </c>
      <c r="E43" s="966">
        <f t="shared" si="19"/>
        <v>0.33700000000000002</v>
      </c>
      <c r="F43" s="790">
        <f t="shared" si="20"/>
        <v>1222</v>
      </c>
      <c r="G43" s="473">
        <f t="shared" ref="G43:G47" si="28">+$B43*D43/1000</f>
        <v>1.6870000000000001</v>
      </c>
      <c r="H43" s="474">
        <f t="shared" ref="H43:H47" si="29">+$B43*E43/1000</f>
        <v>2.359</v>
      </c>
      <c r="I43" s="474">
        <f t="shared" ref="I43:I47" si="30">+$B43*F43/1000000</f>
        <v>8.5540000000000003</v>
      </c>
      <c r="J43" s="61">
        <f t="shared" ref="J43:J47" si="31">+(B43+B42)/2</f>
        <v>7000</v>
      </c>
      <c r="K43" s="967">
        <f t="shared" ref="K43:K47" si="32">+D43</f>
        <v>0.24099999999999999</v>
      </c>
      <c r="L43" s="967">
        <f t="shared" ref="L43:L47" si="33">+J43*K43/1000</f>
        <v>1.6870000000000001</v>
      </c>
      <c r="M43" s="967">
        <f t="shared" ref="M43:M47" si="34">+M42+L43</f>
        <v>29.802161841632969</v>
      </c>
      <c r="N43" s="54">
        <f t="shared" ref="N43:N47" si="35">+B42</f>
        <v>7000</v>
      </c>
      <c r="O43" s="968">
        <f t="shared" ref="O43:O47" si="36">+E43</f>
        <v>0.33700000000000002</v>
      </c>
      <c r="P43" s="968">
        <f t="shared" ref="P43:P47" si="37">+N43*O43/1000</f>
        <v>2.359</v>
      </c>
      <c r="Q43" s="969">
        <f t="shared" ref="Q43:Q47" si="38">+Q42+P43</f>
        <v>39.407356844287172</v>
      </c>
      <c r="R43" s="247">
        <f t="shared" ref="R43:R47" si="39">+(B43+B42)/2</f>
        <v>7000</v>
      </c>
      <c r="S43" s="24">
        <f t="shared" ref="S43:S47" si="40">+F43</f>
        <v>1222</v>
      </c>
      <c r="T43" s="970">
        <f t="shared" ref="T43:T47" si="41">+R43*S43/1000000</f>
        <v>8.5540000000000003</v>
      </c>
      <c r="U43" s="971">
        <f t="shared" ref="U43:U47" si="42">+U42+T43</f>
        <v>141.99653406066736</v>
      </c>
    </row>
    <row r="44" spans="1:21" x14ac:dyDescent="0.2">
      <c r="A44" s="33">
        <f t="shared" si="13"/>
        <v>2031</v>
      </c>
      <c r="B44" s="787">
        <f t="shared" si="21"/>
        <v>7000</v>
      </c>
      <c r="C44" s="565">
        <f t="shared" si="27"/>
        <v>133382</v>
      </c>
      <c r="D44" s="965">
        <f t="shared" si="18"/>
        <v>0.24099999999999999</v>
      </c>
      <c r="E44" s="966">
        <f t="shared" si="19"/>
        <v>0.33700000000000002</v>
      </c>
      <c r="F44" s="790">
        <f t="shared" si="20"/>
        <v>1222</v>
      </c>
      <c r="G44" s="473">
        <f t="shared" si="28"/>
        <v>1.6870000000000001</v>
      </c>
      <c r="H44" s="474">
        <f t="shared" si="29"/>
        <v>2.359</v>
      </c>
      <c r="I44" s="474">
        <f t="shared" si="30"/>
        <v>8.5540000000000003</v>
      </c>
      <c r="J44" s="61">
        <f t="shared" si="31"/>
        <v>7000</v>
      </c>
      <c r="K44" s="967">
        <f t="shared" si="32"/>
        <v>0.24099999999999999</v>
      </c>
      <c r="L44" s="967">
        <f t="shared" si="33"/>
        <v>1.6870000000000001</v>
      </c>
      <c r="M44" s="967">
        <f t="shared" si="34"/>
        <v>31.489161841632971</v>
      </c>
      <c r="N44" s="54">
        <f t="shared" si="35"/>
        <v>7000</v>
      </c>
      <c r="O44" s="968">
        <f t="shared" si="36"/>
        <v>0.33700000000000002</v>
      </c>
      <c r="P44" s="968">
        <f t="shared" si="37"/>
        <v>2.359</v>
      </c>
      <c r="Q44" s="969">
        <f t="shared" si="38"/>
        <v>41.766356844287174</v>
      </c>
      <c r="R44" s="247">
        <f t="shared" si="39"/>
        <v>7000</v>
      </c>
      <c r="S44" s="24">
        <f t="shared" si="40"/>
        <v>1222</v>
      </c>
      <c r="T44" s="970">
        <f t="shared" si="41"/>
        <v>8.5540000000000003</v>
      </c>
      <c r="U44" s="971">
        <f t="shared" si="42"/>
        <v>150.55053406066736</v>
      </c>
    </row>
    <row r="45" spans="1:21" x14ac:dyDescent="0.2">
      <c r="A45" s="33">
        <f t="shared" si="13"/>
        <v>2032</v>
      </c>
      <c r="B45" s="787">
        <f t="shared" si="21"/>
        <v>7000</v>
      </c>
      <c r="C45" s="565">
        <f t="shared" si="27"/>
        <v>140382</v>
      </c>
      <c r="D45" s="965">
        <f t="shared" si="18"/>
        <v>0.24099999999999999</v>
      </c>
      <c r="E45" s="966">
        <f t="shared" si="19"/>
        <v>0.33700000000000002</v>
      </c>
      <c r="F45" s="790">
        <f t="shared" si="20"/>
        <v>1222</v>
      </c>
      <c r="G45" s="473">
        <f t="shared" si="28"/>
        <v>1.6870000000000001</v>
      </c>
      <c r="H45" s="474">
        <f t="shared" si="29"/>
        <v>2.359</v>
      </c>
      <c r="I45" s="474">
        <f t="shared" si="30"/>
        <v>8.5540000000000003</v>
      </c>
      <c r="J45" s="61">
        <f t="shared" si="31"/>
        <v>7000</v>
      </c>
      <c r="K45" s="967">
        <f t="shared" si="32"/>
        <v>0.24099999999999999</v>
      </c>
      <c r="L45" s="967">
        <f t="shared" si="33"/>
        <v>1.6870000000000001</v>
      </c>
      <c r="M45" s="967">
        <f t="shared" si="34"/>
        <v>33.176161841632968</v>
      </c>
      <c r="N45" s="54">
        <f t="shared" si="35"/>
        <v>7000</v>
      </c>
      <c r="O45" s="968">
        <f t="shared" si="36"/>
        <v>0.33700000000000002</v>
      </c>
      <c r="P45" s="968">
        <f t="shared" si="37"/>
        <v>2.359</v>
      </c>
      <c r="Q45" s="969">
        <f t="shared" si="38"/>
        <v>44.125356844287175</v>
      </c>
      <c r="R45" s="247">
        <f t="shared" si="39"/>
        <v>7000</v>
      </c>
      <c r="S45" s="24">
        <f t="shared" si="40"/>
        <v>1222</v>
      </c>
      <c r="T45" s="970">
        <f t="shared" si="41"/>
        <v>8.5540000000000003</v>
      </c>
      <c r="U45" s="971">
        <f t="shared" si="42"/>
        <v>159.10453406066736</v>
      </c>
    </row>
    <row r="46" spans="1:21" x14ac:dyDescent="0.2">
      <c r="A46" s="33">
        <f>+A45+1</f>
        <v>2033</v>
      </c>
      <c r="B46" s="787">
        <f t="shared" si="21"/>
        <v>7000</v>
      </c>
      <c r="C46" s="565">
        <f t="shared" si="27"/>
        <v>147382</v>
      </c>
      <c r="D46" s="965">
        <f t="shared" si="18"/>
        <v>0.24099999999999999</v>
      </c>
      <c r="E46" s="966">
        <f t="shared" si="19"/>
        <v>0.33700000000000002</v>
      </c>
      <c r="F46" s="790">
        <f t="shared" si="20"/>
        <v>1222</v>
      </c>
      <c r="G46" s="473">
        <f t="shared" si="28"/>
        <v>1.6870000000000001</v>
      </c>
      <c r="H46" s="474">
        <f t="shared" si="29"/>
        <v>2.359</v>
      </c>
      <c r="I46" s="474">
        <f t="shared" si="30"/>
        <v>8.5540000000000003</v>
      </c>
      <c r="J46" s="61">
        <f t="shared" si="31"/>
        <v>7000</v>
      </c>
      <c r="K46" s="967">
        <f t="shared" si="32"/>
        <v>0.24099999999999999</v>
      </c>
      <c r="L46" s="967">
        <f t="shared" si="33"/>
        <v>1.6870000000000001</v>
      </c>
      <c r="M46" s="967">
        <f t="shared" si="34"/>
        <v>34.863161841632966</v>
      </c>
      <c r="N46" s="54">
        <f t="shared" si="35"/>
        <v>7000</v>
      </c>
      <c r="O46" s="968">
        <f t="shared" si="36"/>
        <v>0.33700000000000002</v>
      </c>
      <c r="P46" s="968">
        <f t="shared" si="37"/>
        <v>2.359</v>
      </c>
      <c r="Q46" s="969">
        <f t="shared" si="38"/>
        <v>46.484356844287177</v>
      </c>
      <c r="R46" s="247">
        <f t="shared" si="39"/>
        <v>7000</v>
      </c>
      <c r="S46" s="24">
        <f t="shared" si="40"/>
        <v>1222</v>
      </c>
      <c r="T46" s="970">
        <f t="shared" si="41"/>
        <v>8.5540000000000003</v>
      </c>
      <c r="U46" s="971">
        <f t="shared" si="42"/>
        <v>167.65853406066736</v>
      </c>
    </row>
    <row r="47" spans="1:21" x14ac:dyDescent="0.2">
      <c r="A47" s="33">
        <f t="shared" si="13"/>
        <v>2034</v>
      </c>
      <c r="B47" s="787">
        <f t="shared" si="21"/>
        <v>7000</v>
      </c>
      <c r="C47" s="565">
        <f t="shared" si="27"/>
        <v>154382</v>
      </c>
      <c r="D47" s="965">
        <f t="shared" si="18"/>
        <v>0.24099999999999999</v>
      </c>
      <c r="E47" s="966">
        <f t="shared" si="19"/>
        <v>0.33700000000000002</v>
      </c>
      <c r="F47" s="790">
        <f t="shared" si="20"/>
        <v>1222</v>
      </c>
      <c r="G47" s="473">
        <f t="shared" si="28"/>
        <v>1.6870000000000001</v>
      </c>
      <c r="H47" s="474">
        <f t="shared" si="29"/>
        <v>2.359</v>
      </c>
      <c r="I47" s="474">
        <f t="shared" si="30"/>
        <v>8.5540000000000003</v>
      </c>
      <c r="J47" s="61">
        <f t="shared" si="31"/>
        <v>7000</v>
      </c>
      <c r="K47" s="967">
        <f t="shared" si="32"/>
        <v>0.24099999999999999</v>
      </c>
      <c r="L47" s="967">
        <f t="shared" si="33"/>
        <v>1.6870000000000001</v>
      </c>
      <c r="M47" s="967">
        <f t="shared" si="34"/>
        <v>36.550161841632963</v>
      </c>
      <c r="N47" s="54">
        <f t="shared" si="35"/>
        <v>7000</v>
      </c>
      <c r="O47" s="968">
        <f t="shared" si="36"/>
        <v>0.33700000000000002</v>
      </c>
      <c r="P47" s="968">
        <f t="shared" si="37"/>
        <v>2.359</v>
      </c>
      <c r="Q47" s="969">
        <f t="shared" si="38"/>
        <v>48.843356844287179</v>
      </c>
      <c r="R47" s="247">
        <f t="shared" si="39"/>
        <v>7000</v>
      </c>
      <c r="S47" s="24">
        <f t="shared" si="40"/>
        <v>1222</v>
      </c>
      <c r="T47" s="970">
        <f t="shared" si="41"/>
        <v>8.5540000000000003</v>
      </c>
      <c r="U47" s="971">
        <f t="shared" si="42"/>
        <v>176.21253406066737</v>
      </c>
    </row>
    <row r="48" spans="1:21" x14ac:dyDescent="0.2">
      <c r="A48" s="33">
        <f>+A47+1</f>
        <v>2035</v>
      </c>
      <c r="B48" s="787">
        <f>B47</f>
        <v>7000</v>
      </c>
      <c r="C48" s="565">
        <f t="shared" ref="C48:C54" si="43">+C47+B48</f>
        <v>161382</v>
      </c>
      <c r="D48" s="965">
        <f t="shared" ref="D48:F48" si="44">D47</f>
        <v>0.24099999999999999</v>
      </c>
      <c r="E48" s="966">
        <f t="shared" si="44"/>
        <v>0.33700000000000002</v>
      </c>
      <c r="F48" s="790">
        <f t="shared" si="44"/>
        <v>1222</v>
      </c>
      <c r="G48" s="473">
        <f t="shared" ref="G48:G54" si="45">+$B48*D48/1000</f>
        <v>1.6870000000000001</v>
      </c>
      <c r="H48" s="474">
        <f t="shared" ref="H48:H54" si="46">+$B48*E48/1000</f>
        <v>2.359</v>
      </c>
      <c r="I48" s="474">
        <f t="shared" ref="I48:I54" si="47">+$B48*F48/1000000</f>
        <v>8.5540000000000003</v>
      </c>
      <c r="J48" s="61">
        <f t="shared" ref="J48:J54" si="48">+(B48+B47)/2</f>
        <v>7000</v>
      </c>
      <c r="K48" s="967">
        <f t="shared" ref="K48:K54" si="49">+D48</f>
        <v>0.24099999999999999</v>
      </c>
      <c r="L48" s="967">
        <f t="shared" ref="L48:L54" si="50">+J48*K48/1000</f>
        <v>1.6870000000000001</v>
      </c>
      <c r="M48" s="967">
        <f t="shared" ref="M48:M54" si="51">+M47+L48</f>
        <v>38.237161841632961</v>
      </c>
      <c r="N48" s="54">
        <f t="shared" ref="N48:N54" si="52">+B47</f>
        <v>7000</v>
      </c>
      <c r="O48" s="968">
        <f t="shared" ref="O48:O54" si="53">+E48</f>
        <v>0.33700000000000002</v>
      </c>
      <c r="P48" s="968">
        <f t="shared" ref="P48:P54" si="54">+N48*O48/1000</f>
        <v>2.359</v>
      </c>
      <c r="Q48" s="969">
        <f t="shared" ref="Q48:Q54" si="55">+Q47+P48</f>
        <v>51.202356844287181</v>
      </c>
      <c r="R48" s="247">
        <f t="shared" ref="R48:R54" si="56">+(B48+B47)/2</f>
        <v>7000</v>
      </c>
      <c r="S48" s="24">
        <f t="shared" ref="S48:S54" si="57">+F48</f>
        <v>1222</v>
      </c>
      <c r="T48" s="970">
        <f t="shared" ref="T48:T54" si="58">+R48*S48/1000000</f>
        <v>8.5540000000000003</v>
      </c>
      <c r="U48" s="971">
        <f t="shared" ref="U48:U54" si="59">+U47+T48</f>
        <v>184.76653406066737</v>
      </c>
    </row>
    <row r="49" spans="1:21" x14ac:dyDescent="0.2">
      <c r="A49" s="33">
        <f t="shared" ref="A49:A54" si="60">+A48+1</f>
        <v>2036</v>
      </c>
      <c r="B49" s="787">
        <f t="shared" ref="B49:B54" si="61">B48</f>
        <v>7000</v>
      </c>
      <c r="C49" s="565">
        <f t="shared" si="43"/>
        <v>168382</v>
      </c>
      <c r="D49" s="965">
        <f t="shared" ref="D49:F49" si="62">D48</f>
        <v>0.24099999999999999</v>
      </c>
      <c r="E49" s="966">
        <f t="shared" si="62"/>
        <v>0.33700000000000002</v>
      </c>
      <c r="F49" s="790">
        <f t="shared" si="62"/>
        <v>1222</v>
      </c>
      <c r="G49" s="473">
        <f t="shared" si="45"/>
        <v>1.6870000000000001</v>
      </c>
      <c r="H49" s="474">
        <f t="shared" si="46"/>
        <v>2.359</v>
      </c>
      <c r="I49" s="474">
        <f t="shared" si="47"/>
        <v>8.5540000000000003</v>
      </c>
      <c r="J49" s="61">
        <f t="shared" si="48"/>
        <v>7000</v>
      </c>
      <c r="K49" s="967">
        <f t="shared" si="49"/>
        <v>0.24099999999999999</v>
      </c>
      <c r="L49" s="967">
        <f t="shared" si="50"/>
        <v>1.6870000000000001</v>
      </c>
      <c r="M49" s="967">
        <f t="shared" si="51"/>
        <v>39.924161841632959</v>
      </c>
      <c r="N49" s="54">
        <f t="shared" si="52"/>
        <v>7000</v>
      </c>
      <c r="O49" s="968">
        <f t="shared" si="53"/>
        <v>0.33700000000000002</v>
      </c>
      <c r="P49" s="968">
        <f t="shared" si="54"/>
        <v>2.359</v>
      </c>
      <c r="Q49" s="969">
        <f t="shared" si="55"/>
        <v>53.561356844287182</v>
      </c>
      <c r="R49" s="247">
        <f t="shared" si="56"/>
        <v>7000</v>
      </c>
      <c r="S49" s="24">
        <f t="shared" si="57"/>
        <v>1222</v>
      </c>
      <c r="T49" s="970">
        <f t="shared" si="58"/>
        <v>8.5540000000000003</v>
      </c>
      <c r="U49" s="971">
        <f t="shared" si="59"/>
        <v>193.32053406066737</v>
      </c>
    </row>
    <row r="50" spans="1:21" x14ac:dyDescent="0.2">
      <c r="A50" s="33">
        <f t="shared" si="60"/>
        <v>2037</v>
      </c>
      <c r="B50" s="787">
        <f t="shared" si="61"/>
        <v>7000</v>
      </c>
      <c r="C50" s="565">
        <f t="shared" si="43"/>
        <v>175382</v>
      </c>
      <c r="D50" s="965">
        <f t="shared" ref="D50:F50" si="63">D49</f>
        <v>0.24099999999999999</v>
      </c>
      <c r="E50" s="966">
        <f t="shared" si="63"/>
        <v>0.33700000000000002</v>
      </c>
      <c r="F50" s="790">
        <f t="shared" si="63"/>
        <v>1222</v>
      </c>
      <c r="G50" s="473">
        <f t="shared" si="45"/>
        <v>1.6870000000000001</v>
      </c>
      <c r="H50" s="474">
        <f t="shared" si="46"/>
        <v>2.359</v>
      </c>
      <c r="I50" s="474">
        <f t="shared" si="47"/>
        <v>8.5540000000000003</v>
      </c>
      <c r="J50" s="61">
        <f t="shared" si="48"/>
        <v>7000</v>
      </c>
      <c r="K50" s="967">
        <f t="shared" si="49"/>
        <v>0.24099999999999999</v>
      </c>
      <c r="L50" s="967">
        <f t="shared" si="50"/>
        <v>1.6870000000000001</v>
      </c>
      <c r="M50" s="967">
        <f t="shared" si="51"/>
        <v>41.611161841632956</v>
      </c>
      <c r="N50" s="54">
        <f t="shared" si="52"/>
        <v>7000</v>
      </c>
      <c r="O50" s="968">
        <f t="shared" si="53"/>
        <v>0.33700000000000002</v>
      </c>
      <c r="P50" s="968">
        <f t="shared" si="54"/>
        <v>2.359</v>
      </c>
      <c r="Q50" s="969">
        <f t="shared" si="55"/>
        <v>55.920356844287184</v>
      </c>
      <c r="R50" s="247">
        <f t="shared" si="56"/>
        <v>7000</v>
      </c>
      <c r="S50" s="24">
        <f t="shared" si="57"/>
        <v>1222</v>
      </c>
      <c r="T50" s="970">
        <f t="shared" si="58"/>
        <v>8.5540000000000003</v>
      </c>
      <c r="U50" s="971">
        <f t="shared" si="59"/>
        <v>201.87453406066737</v>
      </c>
    </row>
    <row r="51" spans="1:21" x14ac:dyDescent="0.2">
      <c r="A51" s="33">
        <f t="shared" si="60"/>
        <v>2038</v>
      </c>
      <c r="B51" s="787">
        <f t="shared" si="61"/>
        <v>7000</v>
      </c>
      <c r="C51" s="565">
        <f t="shared" si="43"/>
        <v>182382</v>
      </c>
      <c r="D51" s="965">
        <f t="shared" ref="D51:F51" si="64">D50</f>
        <v>0.24099999999999999</v>
      </c>
      <c r="E51" s="966">
        <f t="shared" si="64"/>
        <v>0.33700000000000002</v>
      </c>
      <c r="F51" s="790">
        <f t="shared" si="64"/>
        <v>1222</v>
      </c>
      <c r="G51" s="473">
        <f t="shared" si="45"/>
        <v>1.6870000000000001</v>
      </c>
      <c r="H51" s="474">
        <f t="shared" si="46"/>
        <v>2.359</v>
      </c>
      <c r="I51" s="474">
        <f t="shared" si="47"/>
        <v>8.5540000000000003</v>
      </c>
      <c r="J51" s="61">
        <f t="shared" si="48"/>
        <v>7000</v>
      </c>
      <c r="K51" s="967">
        <f t="shared" si="49"/>
        <v>0.24099999999999999</v>
      </c>
      <c r="L51" s="967">
        <f t="shared" si="50"/>
        <v>1.6870000000000001</v>
      </c>
      <c r="M51" s="967">
        <f t="shared" si="51"/>
        <v>43.298161841632954</v>
      </c>
      <c r="N51" s="54">
        <f t="shared" si="52"/>
        <v>7000</v>
      </c>
      <c r="O51" s="968">
        <f t="shared" si="53"/>
        <v>0.33700000000000002</v>
      </c>
      <c r="P51" s="968">
        <f t="shared" si="54"/>
        <v>2.359</v>
      </c>
      <c r="Q51" s="969">
        <f t="shared" si="55"/>
        <v>58.279356844287186</v>
      </c>
      <c r="R51" s="247">
        <f t="shared" si="56"/>
        <v>7000</v>
      </c>
      <c r="S51" s="24">
        <f t="shared" si="57"/>
        <v>1222</v>
      </c>
      <c r="T51" s="970">
        <f t="shared" si="58"/>
        <v>8.5540000000000003</v>
      </c>
      <c r="U51" s="971">
        <f t="shared" si="59"/>
        <v>210.42853406066737</v>
      </c>
    </row>
    <row r="52" spans="1:21" x14ac:dyDescent="0.2">
      <c r="A52" s="33">
        <f t="shared" si="60"/>
        <v>2039</v>
      </c>
      <c r="B52" s="787">
        <f t="shared" si="61"/>
        <v>7000</v>
      </c>
      <c r="C52" s="565">
        <f t="shared" si="43"/>
        <v>189382</v>
      </c>
      <c r="D52" s="965">
        <f t="shared" ref="D52:F52" si="65">D51</f>
        <v>0.24099999999999999</v>
      </c>
      <c r="E52" s="966">
        <f t="shared" si="65"/>
        <v>0.33700000000000002</v>
      </c>
      <c r="F52" s="790">
        <f t="shared" si="65"/>
        <v>1222</v>
      </c>
      <c r="G52" s="473">
        <f t="shared" si="45"/>
        <v>1.6870000000000001</v>
      </c>
      <c r="H52" s="474">
        <f t="shared" si="46"/>
        <v>2.359</v>
      </c>
      <c r="I52" s="474">
        <f t="shared" si="47"/>
        <v>8.5540000000000003</v>
      </c>
      <c r="J52" s="61">
        <f t="shared" si="48"/>
        <v>7000</v>
      </c>
      <c r="K52" s="967">
        <f t="shared" si="49"/>
        <v>0.24099999999999999</v>
      </c>
      <c r="L52" s="967">
        <f t="shared" si="50"/>
        <v>1.6870000000000001</v>
      </c>
      <c r="M52" s="967">
        <f t="shared" si="51"/>
        <v>44.985161841632952</v>
      </c>
      <c r="N52" s="54">
        <f t="shared" si="52"/>
        <v>7000</v>
      </c>
      <c r="O52" s="968">
        <f t="shared" si="53"/>
        <v>0.33700000000000002</v>
      </c>
      <c r="P52" s="968">
        <f t="shared" si="54"/>
        <v>2.359</v>
      </c>
      <c r="Q52" s="969">
        <f t="shared" si="55"/>
        <v>60.638356844287188</v>
      </c>
      <c r="R52" s="247">
        <f t="shared" si="56"/>
        <v>7000</v>
      </c>
      <c r="S52" s="24">
        <f t="shared" si="57"/>
        <v>1222</v>
      </c>
      <c r="T52" s="970">
        <f t="shared" si="58"/>
        <v>8.5540000000000003</v>
      </c>
      <c r="U52" s="971">
        <f t="shared" si="59"/>
        <v>218.98253406066738</v>
      </c>
    </row>
    <row r="53" spans="1:21" x14ac:dyDescent="0.2">
      <c r="A53" s="33">
        <f t="shared" si="60"/>
        <v>2040</v>
      </c>
      <c r="B53" s="787">
        <f t="shared" si="61"/>
        <v>7000</v>
      </c>
      <c r="C53" s="565">
        <f t="shared" si="43"/>
        <v>196382</v>
      </c>
      <c r="D53" s="965">
        <f t="shared" ref="D53:F53" si="66">D52</f>
        <v>0.24099999999999999</v>
      </c>
      <c r="E53" s="966">
        <f t="shared" si="66"/>
        <v>0.33700000000000002</v>
      </c>
      <c r="F53" s="790">
        <f t="shared" si="66"/>
        <v>1222</v>
      </c>
      <c r="G53" s="473">
        <f t="shared" si="45"/>
        <v>1.6870000000000001</v>
      </c>
      <c r="H53" s="474">
        <f t="shared" si="46"/>
        <v>2.359</v>
      </c>
      <c r="I53" s="474">
        <f t="shared" si="47"/>
        <v>8.5540000000000003</v>
      </c>
      <c r="J53" s="61">
        <f t="shared" si="48"/>
        <v>7000</v>
      </c>
      <c r="K53" s="967">
        <f t="shared" si="49"/>
        <v>0.24099999999999999</v>
      </c>
      <c r="L53" s="967">
        <f t="shared" si="50"/>
        <v>1.6870000000000001</v>
      </c>
      <c r="M53" s="967">
        <f t="shared" si="51"/>
        <v>46.672161841632949</v>
      </c>
      <c r="N53" s="54">
        <f t="shared" si="52"/>
        <v>7000</v>
      </c>
      <c r="O53" s="968">
        <f t="shared" si="53"/>
        <v>0.33700000000000002</v>
      </c>
      <c r="P53" s="968">
        <f t="shared" si="54"/>
        <v>2.359</v>
      </c>
      <c r="Q53" s="969">
        <f t="shared" si="55"/>
        <v>62.997356844287189</v>
      </c>
      <c r="R53" s="247">
        <f t="shared" si="56"/>
        <v>7000</v>
      </c>
      <c r="S53" s="24">
        <f t="shared" si="57"/>
        <v>1222</v>
      </c>
      <c r="T53" s="970">
        <f t="shared" si="58"/>
        <v>8.5540000000000003</v>
      </c>
      <c r="U53" s="971">
        <f t="shared" si="59"/>
        <v>227.53653406066738</v>
      </c>
    </row>
    <row r="54" spans="1:21" x14ac:dyDescent="0.2">
      <c r="A54" s="33">
        <f t="shared" si="60"/>
        <v>2041</v>
      </c>
      <c r="B54" s="787">
        <f t="shared" si="61"/>
        <v>7000</v>
      </c>
      <c r="C54" s="565">
        <f t="shared" si="43"/>
        <v>203382</v>
      </c>
      <c r="D54" s="965">
        <f t="shared" ref="D54:F54" si="67">D53</f>
        <v>0.24099999999999999</v>
      </c>
      <c r="E54" s="966">
        <f t="shared" si="67"/>
        <v>0.33700000000000002</v>
      </c>
      <c r="F54" s="790">
        <f t="shared" si="67"/>
        <v>1222</v>
      </c>
      <c r="G54" s="473">
        <f t="shared" si="45"/>
        <v>1.6870000000000001</v>
      </c>
      <c r="H54" s="474">
        <f t="shared" si="46"/>
        <v>2.359</v>
      </c>
      <c r="I54" s="474">
        <f t="shared" si="47"/>
        <v>8.5540000000000003</v>
      </c>
      <c r="J54" s="61">
        <f t="shared" si="48"/>
        <v>7000</v>
      </c>
      <c r="K54" s="967">
        <f t="shared" si="49"/>
        <v>0.24099999999999999</v>
      </c>
      <c r="L54" s="967">
        <f t="shared" si="50"/>
        <v>1.6870000000000001</v>
      </c>
      <c r="M54" s="967">
        <f t="shared" si="51"/>
        <v>48.359161841632947</v>
      </c>
      <c r="N54" s="54">
        <f t="shared" si="52"/>
        <v>7000</v>
      </c>
      <c r="O54" s="968">
        <f t="shared" si="53"/>
        <v>0.33700000000000002</v>
      </c>
      <c r="P54" s="968">
        <f t="shared" si="54"/>
        <v>2.359</v>
      </c>
      <c r="Q54" s="969">
        <f t="shared" si="55"/>
        <v>65.356356844287191</v>
      </c>
      <c r="R54" s="247">
        <f t="shared" si="56"/>
        <v>7000</v>
      </c>
      <c r="S54" s="24">
        <f t="shared" si="57"/>
        <v>1222</v>
      </c>
      <c r="T54" s="970">
        <f t="shared" si="58"/>
        <v>8.5540000000000003</v>
      </c>
      <c r="U54" s="971">
        <f t="shared" si="59"/>
        <v>236.09053406066738</v>
      </c>
    </row>
    <row r="55" spans="1:21" x14ac:dyDescent="0.2">
      <c r="A55" s="69" t="s">
        <v>38</v>
      </c>
    </row>
    <row r="56" spans="1:21" x14ac:dyDescent="0.2">
      <c r="A56" s="69" t="s">
        <v>39</v>
      </c>
    </row>
    <row r="57" spans="1:21" x14ac:dyDescent="0.2">
      <c r="A57" s="86" t="s">
        <v>57</v>
      </c>
    </row>
    <row r="58" spans="1:21" x14ac:dyDescent="0.2">
      <c r="A58" s="86" t="s">
        <v>58</v>
      </c>
    </row>
    <row r="59" spans="1:21" x14ac:dyDescent="0.2">
      <c r="A59" s="956" t="s">
        <v>386</v>
      </c>
    </row>
    <row r="60" spans="1:21" x14ac:dyDescent="0.2">
      <c r="A60" s="13">
        <v>2015</v>
      </c>
      <c r="D60" s="161">
        <f>1459.49/B28</f>
        <v>0.18446536905965621</v>
      </c>
      <c r="E60" s="161">
        <f>1614.24/B28</f>
        <v>0.2040242669362993</v>
      </c>
      <c r="F60" s="161">
        <f>4666264/B28</f>
        <v>589.77047522750252</v>
      </c>
    </row>
  </sheetData>
  <mergeCells count="5">
    <mergeCell ref="R4:U4"/>
    <mergeCell ref="G3:I3"/>
    <mergeCell ref="B4:I4"/>
    <mergeCell ref="J4:M4"/>
    <mergeCell ref="N4:Q4"/>
  </mergeCells>
  <phoneticPr fontId="7" type="noConversion"/>
  <pageMargins left="0.75" right="0.75" top="1" bottom="1" header="0.5" footer="0.5"/>
  <pageSetup scale="5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FF"/>
  </sheetPr>
  <dimension ref="A1:X61"/>
  <sheetViews>
    <sheetView workbookViewId="0">
      <pane xSplit="1" ySplit="5" topLeftCell="B22"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211</v>
      </c>
      <c r="C2" s="27" t="s">
        <v>320</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c r="D6" s="15"/>
      <c r="E6" s="15"/>
      <c r="F6" s="15"/>
      <c r="G6" s="15"/>
      <c r="H6" s="15"/>
      <c r="I6" s="31"/>
      <c r="J6" s="37"/>
      <c r="K6" s="59"/>
      <c r="L6" s="6"/>
      <c r="M6" s="46"/>
      <c r="N6" s="40"/>
      <c r="O6" s="55"/>
      <c r="P6" s="57"/>
      <c r="Q6" s="41"/>
      <c r="R6" s="43"/>
      <c r="S6" s="24"/>
      <c r="T6" s="21"/>
      <c r="U6" s="47"/>
      <c r="V6" s="3"/>
    </row>
    <row r="7" spans="1:24" s="1" customFormat="1" ht="15.75" customHeight="1" x14ac:dyDescent="0.2">
      <c r="A7" s="68" t="s">
        <v>63</v>
      </c>
      <c r="B7" s="30"/>
      <c r="C7" s="50"/>
      <c r="D7" s="15"/>
      <c r="E7" s="15"/>
      <c r="F7" s="15"/>
      <c r="G7" s="15"/>
      <c r="H7" s="15"/>
      <c r="I7" s="31"/>
      <c r="J7" s="37"/>
      <c r="K7" s="59"/>
      <c r="L7" s="6"/>
      <c r="M7" s="46"/>
      <c r="N7" s="40"/>
      <c r="O7" s="55"/>
      <c r="P7" s="57"/>
      <c r="Q7" s="41"/>
      <c r="R7" s="43"/>
      <c r="S7" s="24"/>
      <c r="T7" s="21"/>
      <c r="U7" s="47"/>
      <c r="V7" s="3"/>
    </row>
    <row r="8" spans="1:24" x14ac:dyDescent="0.2">
      <c r="A8" s="33">
        <v>1995</v>
      </c>
      <c r="B8" s="30"/>
      <c r="C8" s="64"/>
      <c r="D8" s="63"/>
      <c r="E8" s="63"/>
      <c r="F8" s="63"/>
      <c r="G8" s="87"/>
      <c r="H8" s="87"/>
      <c r="I8" s="88"/>
      <c r="J8" s="61"/>
      <c r="K8" s="59"/>
      <c r="L8" s="59"/>
      <c r="M8" s="60"/>
      <c r="N8" s="51"/>
      <c r="O8" s="55"/>
      <c r="P8" s="55"/>
      <c r="Q8" s="56"/>
      <c r="R8" s="247"/>
      <c r="S8" s="24"/>
      <c r="T8" s="25"/>
      <c r="U8" s="53"/>
      <c r="V8" s="248"/>
      <c r="X8" s="1"/>
    </row>
    <row r="9" spans="1:24" x14ac:dyDescent="0.2">
      <c r="A9" s="33">
        <v>1996</v>
      </c>
      <c r="B9" s="30"/>
      <c r="C9" s="64"/>
      <c r="D9" s="63"/>
      <c r="E9" s="63"/>
      <c r="F9" s="63"/>
      <c r="G9" s="62"/>
      <c r="H9" s="62"/>
      <c r="I9" s="67"/>
      <c r="J9" s="61"/>
      <c r="K9" s="59"/>
      <c r="L9" s="59"/>
      <c r="M9" s="60"/>
      <c r="N9" s="54"/>
      <c r="O9" s="55"/>
      <c r="P9" s="55"/>
      <c r="Q9" s="56"/>
      <c r="R9" s="247"/>
      <c r="S9" s="24"/>
      <c r="T9" s="25"/>
      <c r="U9" s="53"/>
      <c r="V9" s="10"/>
      <c r="X9" s="1"/>
    </row>
    <row r="10" spans="1:24" x14ac:dyDescent="0.2">
      <c r="A10" s="33">
        <v>1997</v>
      </c>
      <c r="B10" s="30"/>
      <c r="C10" s="64"/>
      <c r="D10" s="63"/>
      <c r="E10" s="63"/>
      <c r="F10" s="63"/>
      <c r="G10" s="62"/>
      <c r="H10" s="62"/>
      <c r="I10" s="67"/>
      <c r="J10" s="61"/>
      <c r="K10" s="59"/>
      <c r="L10" s="59"/>
      <c r="M10" s="60"/>
      <c r="N10" s="54"/>
      <c r="O10" s="55"/>
      <c r="P10" s="55"/>
      <c r="Q10" s="56"/>
      <c r="R10" s="247"/>
      <c r="S10" s="24"/>
      <c r="T10" s="25"/>
      <c r="U10" s="53"/>
      <c r="V10" s="10"/>
      <c r="X10" s="1"/>
    </row>
    <row r="11" spans="1:24" x14ac:dyDescent="0.2">
      <c r="A11" s="33">
        <v>1998</v>
      </c>
      <c r="B11" s="30"/>
      <c r="C11" s="64"/>
      <c r="D11" s="63"/>
      <c r="E11" s="63"/>
      <c r="F11" s="63"/>
      <c r="G11" s="62"/>
      <c r="H11" s="62"/>
      <c r="I11" s="67"/>
      <c r="J11" s="61"/>
      <c r="K11" s="59"/>
      <c r="L11" s="59"/>
      <c r="M11" s="60"/>
      <c r="N11" s="54"/>
      <c r="O11" s="55"/>
      <c r="P11" s="55"/>
      <c r="Q11" s="56"/>
      <c r="R11" s="247"/>
      <c r="S11" s="24"/>
      <c r="T11" s="25"/>
      <c r="U11" s="53"/>
      <c r="V11" s="10"/>
      <c r="X11" s="1"/>
    </row>
    <row r="12" spans="1:24" x14ac:dyDescent="0.2">
      <c r="A12" s="33">
        <v>1999</v>
      </c>
      <c r="B12" s="30"/>
      <c r="C12" s="64"/>
      <c r="D12" s="63"/>
      <c r="E12" s="63"/>
      <c r="F12" s="63"/>
      <c r="G12" s="62"/>
      <c r="H12" s="62"/>
      <c r="I12" s="67"/>
      <c r="J12" s="61"/>
      <c r="K12" s="59"/>
      <c r="L12" s="59"/>
      <c r="M12" s="60"/>
      <c r="N12" s="54"/>
      <c r="O12" s="55"/>
      <c r="P12" s="55"/>
      <c r="Q12" s="56"/>
      <c r="R12" s="247"/>
      <c r="S12" s="24"/>
      <c r="T12" s="25"/>
      <c r="U12" s="53"/>
      <c r="V12" s="10"/>
      <c r="X12" s="1"/>
    </row>
    <row r="13" spans="1:24" x14ac:dyDescent="0.2">
      <c r="A13" s="33">
        <v>2000</v>
      </c>
      <c r="B13" s="30"/>
      <c r="C13" s="64"/>
      <c r="D13" s="63"/>
      <c r="E13" s="63"/>
      <c r="F13" s="63"/>
      <c r="G13" s="62"/>
      <c r="H13" s="62"/>
      <c r="I13" s="67"/>
      <c r="J13" s="61"/>
      <c r="K13" s="59"/>
      <c r="L13" s="59"/>
      <c r="M13" s="60"/>
      <c r="N13" s="54"/>
      <c r="O13" s="55"/>
      <c r="P13" s="55"/>
      <c r="Q13" s="56"/>
      <c r="R13" s="247"/>
      <c r="S13" s="24"/>
      <c r="T13" s="25"/>
      <c r="U13" s="53"/>
      <c r="V13" s="248"/>
      <c r="X13" s="1"/>
    </row>
    <row r="14" spans="1:24" x14ac:dyDescent="0.2">
      <c r="A14" s="33">
        <v>2001</v>
      </c>
      <c r="B14" s="30"/>
      <c r="C14" s="64"/>
      <c r="D14" s="63"/>
      <c r="E14" s="63"/>
      <c r="F14" s="63"/>
      <c r="G14" s="62"/>
      <c r="H14" s="62"/>
      <c r="I14" s="67"/>
      <c r="J14" s="61"/>
      <c r="K14" s="59"/>
      <c r="L14" s="59"/>
      <c r="M14" s="60"/>
      <c r="N14" s="54"/>
      <c r="O14" s="55"/>
      <c r="P14" s="55"/>
      <c r="Q14" s="56"/>
      <c r="R14" s="247"/>
      <c r="S14" s="24"/>
      <c r="T14" s="25"/>
      <c r="U14" s="53"/>
      <c r="V14" s="248"/>
      <c r="X14" s="1"/>
    </row>
    <row r="15" spans="1:24" x14ac:dyDescent="0.2">
      <c r="A15" s="33">
        <v>2002</v>
      </c>
      <c r="B15" s="30"/>
      <c r="C15" s="64"/>
      <c r="D15" s="63"/>
      <c r="E15" s="63"/>
      <c r="F15" s="63"/>
      <c r="G15" s="62"/>
      <c r="H15" s="62"/>
      <c r="I15" s="67"/>
      <c r="J15" s="61"/>
      <c r="K15" s="59"/>
      <c r="L15" s="59"/>
      <c r="M15" s="60"/>
      <c r="N15" s="54"/>
      <c r="O15" s="55"/>
      <c r="P15" s="55"/>
      <c r="Q15" s="56"/>
      <c r="R15" s="247"/>
      <c r="S15" s="24"/>
      <c r="T15" s="25"/>
      <c r="U15" s="53"/>
      <c r="V15" s="248"/>
      <c r="X15" s="1"/>
    </row>
    <row r="16" spans="1:24" x14ac:dyDescent="0.2">
      <c r="A16" s="33">
        <v>2003</v>
      </c>
      <c r="B16" s="30"/>
      <c r="C16" s="64"/>
      <c r="D16" s="63"/>
      <c r="E16" s="63"/>
      <c r="F16" s="63"/>
      <c r="G16" s="62"/>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64"/>
      <c r="D17" s="63"/>
      <c r="E17" s="63"/>
      <c r="F17" s="63"/>
      <c r="G17" s="62"/>
      <c r="H17" s="62"/>
      <c r="I17" s="67"/>
      <c r="J17" s="61"/>
      <c r="K17" s="59"/>
      <c r="L17" s="59"/>
      <c r="M17" s="60"/>
      <c r="N17" s="54"/>
      <c r="O17" s="55"/>
      <c r="P17" s="55"/>
      <c r="Q17" s="56"/>
      <c r="R17" s="247"/>
      <c r="S17" s="24"/>
      <c r="T17" s="25"/>
      <c r="U17" s="53"/>
      <c r="V17" s="248"/>
      <c r="X17" s="1"/>
    </row>
    <row r="18" spans="1:24" x14ac:dyDescent="0.2">
      <c r="A18" s="33">
        <f t="shared" si="0"/>
        <v>2005</v>
      </c>
      <c r="B18" s="30"/>
      <c r="C18" s="64"/>
      <c r="D18" s="63"/>
      <c r="E18" s="63"/>
      <c r="F18" s="63"/>
      <c r="G18" s="62"/>
      <c r="H18" s="62"/>
      <c r="I18" s="67"/>
      <c r="J18" s="61"/>
      <c r="K18" s="59"/>
      <c r="L18" s="59"/>
      <c r="M18" s="60"/>
      <c r="N18" s="54"/>
      <c r="O18" s="55"/>
      <c r="P18" s="55"/>
      <c r="Q18" s="56"/>
      <c r="R18" s="247"/>
      <c r="S18" s="24"/>
      <c r="T18" s="25"/>
      <c r="U18" s="53"/>
      <c r="V18" s="248"/>
      <c r="X18" s="1"/>
    </row>
    <row r="19" spans="1:24" x14ac:dyDescent="0.2">
      <c r="A19" s="33">
        <f t="shared" si="0"/>
        <v>2006</v>
      </c>
      <c r="B19" s="30"/>
      <c r="C19" s="64"/>
      <c r="D19" s="63"/>
      <c r="E19" s="63"/>
      <c r="F19" s="63"/>
      <c r="G19" s="62"/>
      <c r="H19" s="62"/>
      <c r="I19" s="67"/>
      <c r="J19" s="61"/>
      <c r="K19" s="59"/>
      <c r="L19" s="59"/>
      <c r="M19" s="60"/>
      <c r="N19" s="54"/>
      <c r="O19" s="55"/>
      <c r="P19" s="55"/>
      <c r="Q19" s="56"/>
      <c r="R19" s="247"/>
      <c r="S19" s="24"/>
      <c r="T19" s="25"/>
      <c r="U19" s="53"/>
      <c r="V19" s="804"/>
      <c r="X19" s="1"/>
    </row>
    <row r="20" spans="1:24" x14ac:dyDescent="0.2">
      <c r="A20" s="33">
        <f t="shared" si="0"/>
        <v>2007</v>
      </c>
      <c r="B20" s="30"/>
      <c r="C20" s="64"/>
      <c r="D20" s="63"/>
      <c r="E20" s="63"/>
      <c r="F20" s="63"/>
      <c r="G20" s="62"/>
      <c r="H20" s="62"/>
      <c r="I20" s="62"/>
      <c r="J20" s="61"/>
      <c r="K20" s="59"/>
      <c r="L20" s="59"/>
      <c r="M20" s="60"/>
      <c r="N20" s="54"/>
      <c r="O20" s="55"/>
      <c r="P20" s="55"/>
      <c r="Q20" s="56"/>
      <c r="R20" s="247"/>
      <c r="S20" s="24"/>
      <c r="T20" s="25"/>
      <c r="U20" s="53"/>
    </row>
    <row r="21" spans="1:24" x14ac:dyDescent="0.2">
      <c r="A21" s="33">
        <f t="shared" si="0"/>
        <v>2008</v>
      </c>
      <c r="B21" s="30"/>
      <c r="C21" s="64"/>
      <c r="D21" s="63"/>
      <c r="E21" s="63"/>
      <c r="F21" s="63"/>
      <c r="G21" s="62"/>
      <c r="H21" s="62"/>
      <c r="I21" s="67"/>
      <c r="J21" s="61"/>
      <c r="K21" s="59"/>
      <c r="L21" s="59"/>
      <c r="M21" s="60"/>
      <c r="N21" s="54"/>
      <c r="O21" s="55"/>
      <c r="P21" s="55"/>
      <c r="Q21" s="56"/>
      <c r="R21" s="247"/>
      <c r="S21" s="24"/>
      <c r="T21" s="25"/>
      <c r="U21" s="53"/>
    </row>
    <row r="22" spans="1:24" x14ac:dyDescent="0.2">
      <c r="A22" s="33">
        <f t="shared" si="0"/>
        <v>2009</v>
      </c>
      <c r="B22" s="30"/>
      <c r="C22" s="660"/>
      <c r="D22" s="807">
        <v>0</v>
      </c>
      <c r="E22" s="808">
        <v>0</v>
      </c>
      <c r="F22" s="806">
        <v>0</v>
      </c>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39" si="1">+C22+B23</f>
        <v>0</v>
      </c>
      <c r="D23" s="807">
        <f t="shared" ref="D23:F38" si="2">+D22</f>
        <v>0</v>
      </c>
      <c r="E23" s="808">
        <f t="shared" si="2"/>
        <v>0</v>
      </c>
      <c r="F23" s="806">
        <f t="shared" si="2"/>
        <v>0</v>
      </c>
      <c r="G23" s="626">
        <f t="shared" ref="G23:H39" si="3">+$B23*D23/1000</f>
        <v>0</v>
      </c>
      <c r="H23" s="72">
        <f t="shared" si="3"/>
        <v>0</v>
      </c>
      <c r="I23" s="630">
        <f t="shared" ref="I23:I39" si="4">+$B23*F23/1000000</f>
        <v>0</v>
      </c>
      <c r="J23" s="61">
        <f t="shared" ref="J23:J39" si="5">+(B23+B22)/2</f>
        <v>0</v>
      </c>
      <c r="K23" s="188">
        <f t="shared" ref="K23:K39" si="6">+D23</f>
        <v>0</v>
      </c>
      <c r="L23" s="188">
        <f t="shared" ref="L23:L39" si="7">+J23*K23/1000</f>
        <v>0</v>
      </c>
      <c r="M23" s="188">
        <f t="shared" ref="M23:M39" si="8">+M22+L23</f>
        <v>0</v>
      </c>
      <c r="N23" s="54">
        <f t="shared" ref="N23:N39" si="9">+B22</f>
        <v>0</v>
      </c>
      <c r="O23" s="670">
        <f t="shared" ref="O23:O39" si="10">+E23</f>
        <v>0</v>
      </c>
      <c r="P23" s="670">
        <f t="shared" ref="P23:P39" si="11">+N23*O23/1000</f>
        <v>0</v>
      </c>
      <c r="Q23" s="670">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0</v>
      </c>
      <c r="C24" s="661">
        <f t="shared" si="1"/>
        <v>0</v>
      </c>
      <c r="D24" s="807">
        <f t="shared" si="2"/>
        <v>0</v>
      </c>
      <c r="E24" s="808">
        <f t="shared" si="2"/>
        <v>0</v>
      </c>
      <c r="F24" s="806">
        <f t="shared" si="2"/>
        <v>0</v>
      </c>
      <c r="G24" s="626">
        <f t="shared" si="3"/>
        <v>0</v>
      </c>
      <c r="H24" s="72">
        <f t="shared" si="3"/>
        <v>0</v>
      </c>
      <c r="I24" s="630">
        <f t="shared" si="4"/>
        <v>0</v>
      </c>
      <c r="J24" s="61">
        <f t="shared" si="5"/>
        <v>0</v>
      </c>
      <c r="K24" s="188">
        <f t="shared" si="6"/>
        <v>0</v>
      </c>
      <c r="L24" s="188">
        <f t="shared" si="7"/>
        <v>0</v>
      </c>
      <c r="M24" s="188">
        <f t="shared" si="8"/>
        <v>0</v>
      </c>
      <c r="N24" s="54">
        <f t="shared" si="9"/>
        <v>0</v>
      </c>
      <c r="O24" s="670">
        <f t="shared" si="10"/>
        <v>0</v>
      </c>
      <c r="P24" s="670">
        <f t="shared" si="11"/>
        <v>0</v>
      </c>
      <c r="Q24" s="670">
        <f t="shared" si="12"/>
        <v>0</v>
      </c>
      <c r="R24" s="247">
        <f t="shared" si="13"/>
        <v>0</v>
      </c>
      <c r="S24" s="24">
        <f t="shared" si="14"/>
        <v>0</v>
      </c>
      <c r="T24" s="25">
        <f t="shared" si="15"/>
        <v>0</v>
      </c>
      <c r="U24" s="654">
        <f t="shared" si="16"/>
        <v>0</v>
      </c>
    </row>
    <row r="25" spans="1:24" x14ac:dyDescent="0.2">
      <c r="A25" s="33">
        <f t="shared" si="0"/>
        <v>2012</v>
      </c>
      <c r="B25" s="30">
        <v>0</v>
      </c>
      <c r="C25" s="661">
        <f t="shared" si="1"/>
        <v>0</v>
      </c>
      <c r="D25" s="807">
        <f t="shared" si="2"/>
        <v>0</v>
      </c>
      <c r="E25" s="808">
        <f t="shared" si="2"/>
        <v>0</v>
      </c>
      <c r="F25" s="806">
        <f t="shared" si="2"/>
        <v>0</v>
      </c>
      <c r="G25" s="626">
        <f t="shared" si="3"/>
        <v>0</v>
      </c>
      <c r="H25" s="72">
        <f t="shared" si="3"/>
        <v>0</v>
      </c>
      <c r="I25" s="630">
        <f t="shared" si="4"/>
        <v>0</v>
      </c>
      <c r="J25" s="61">
        <f t="shared" si="5"/>
        <v>0</v>
      </c>
      <c r="K25" s="188">
        <f t="shared" si="6"/>
        <v>0</v>
      </c>
      <c r="L25" s="188">
        <f t="shared" si="7"/>
        <v>0</v>
      </c>
      <c r="M25" s="188">
        <f t="shared" si="8"/>
        <v>0</v>
      </c>
      <c r="N25" s="54">
        <f t="shared" si="9"/>
        <v>0</v>
      </c>
      <c r="O25" s="670">
        <f t="shared" si="10"/>
        <v>0</v>
      </c>
      <c r="P25" s="670">
        <f t="shared" si="11"/>
        <v>0</v>
      </c>
      <c r="Q25" s="670">
        <f t="shared" si="12"/>
        <v>0</v>
      </c>
      <c r="R25" s="247">
        <f t="shared" si="13"/>
        <v>0</v>
      </c>
      <c r="S25" s="24">
        <f t="shared" si="14"/>
        <v>0</v>
      </c>
      <c r="T25" s="25">
        <f t="shared" si="15"/>
        <v>0</v>
      </c>
      <c r="U25" s="654">
        <f t="shared" si="16"/>
        <v>0</v>
      </c>
    </row>
    <row r="26" spans="1:24" x14ac:dyDescent="0.2">
      <c r="A26" s="33">
        <f t="shared" si="0"/>
        <v>2013</v>
      </c>
      <c r="B26" s="30">
        <v>0</v>
      </c>
      <c r="C26" s="619">
        <f t="shared" si="1"/>
        <v>0</v>
      </c>
      <c r="D26" s="807">
        <f t="shared" si="2"/>
        <v>0</v>
      </c>
      <c r="E26" s="808">
        <f t="shared" si="2"/>
        <v>0</v>
      </c>
      <c r="F26" s="806">
        <f t="shared" si="2"/>
        <v>0</v>
      </c>
      <c r="G26" s="626">
        <f t="shared" si="3"/>
        <v>0</v>
      </c>
      <c r="H26" s="72">
        <f t="shared" si="3"/>
        <v>0</v>
      </c>
      <c r="I26" s="630">
        <f t="shared" si="4"/>
        <v>0</v>
      </c>
      <c r="J26" s="61">
        <f t="shared" si="5"/>
        <v>0</v>
      </c>
      <c r="K26" s="188">
        <f t="shared" si="6"/>
        <v>0</v>
      </c>
      <c r="L26" s="188">
        <f t="shared" si="7"/>
        <v>0</v>
      </c>
      <c r="M26" s="829">
        <f t="shared" si="8"/>
        <v>0</v>
      </c>
      <c r="N26" s="54">
        <f t="shared" si="9"/>
        <v>0</v>
      </c>
      <c r="O26" s="670">
        <f t="shared" si="10"/>
        <v>0</v>
      </c>
      <c r="P26" s="670">
        <f t="shared" si="11"/>
        <v>0</v>
      </c>
      <c r="Q26" s="671">
        <f t="shared" si="12"/>
        <v>0</v>
      </c>
      <c r="R26" s="247">
        <f t="shared" si="13"/>
        <v>0</v>
      </c>
      <c r="S26" s="24">
        <f t="shared" si="14"/>
        <v>0</v>
      </c>
      <c r="T26" s="25">
        <f t="shared" si="15"/>
        <v>0</v>
      </c>
      <c r="U26" s="654">
        <f t="shared" si="16"/>
        <v>0</v>
      </c>
    </row>
    <row r="27" spans="1:24" x14ac:dyDescent="0.2">
      <c r="A27" s="33">
        <f t="shared" si="0"/>
        <v>2014</v>
      </c>
      <c r="B27" s="30">
        <v>0</v>
      </c>
      <c r="C27" s="1248">
        <v>63</v>
      </c>
      <c r="D27" s="807">
        <f t="shared" si="2"/>
        <v>0</v>
      </c>
      <c r="E27" s="808">
        <f t="shared" si="2"/>
        <v>0</v>
      </c>
      <c r="F27" s="806">
        <f t="shared" si="2"/>
        <v>0</v>
      </c>
      <c r="G27" s="626">
        <f t="shared" si="3"/>
        <v>0</v>
      </c>
      <c r="H27" s="72">
        <f t="shared" si="3"/>
        <v>0</v>
      </c>
      <c r="I27" s="630">
        <f t="shared" si="4"/>
        <v>0</v>
      </c>
      <c r="J27" s="61">
        <f t="shared" si="5"/>
        <v>0</v>
      </c>
      <c r="K27" s="188">
        <f t="shared" si="6"/>
        <v>0</v>
      </c>
      <c r="L27" s="188">
        <f t="shared" si="7"/>
        <v>0</v>
      </c>
      <c r="M27" s="829">
        <f t="shared" si="8"/>
        <v>0</v>
      </c>
      <c r="N27" s="54">
        <f t="shared" si="9"/>
        <v>0</v>
      </c>
      <c r="O27" s="670">
        <f t="shared" si="10"/>
        <v>0</v>
      </c>
      <c r="P27" s="670">
        <f t="shared" si="11"/>
        <v>0</v>
      </c>
      <c r="Q27" s="671">
        <f t="shared" si="12"/>
        <v>0</v>
      </c>
      <c r="R27" s="247">
        <f t="shared" si="13"/>
        <v>0</v>
      </c>
      <c r="S27" s="24">
        <f t="shared" si="14"/>
        <v>0</v>
      </c>
      <c r="T27" s="25">
        <f t="shared" si="15"/>
        <v>0</v>
      </c>
      <c r="U27" s="654">
        <f t="shared" si="16"/>
        <v>0</v>
      </c>
    </row>
    <row r="28" spans="1:24" x14ac:dyDescent="0.2">
      <c r="A28" s="33">
        <f t="shared" si="0"/>
        <v>2015</v>
      </c>
      <c r="B28" s="30">
        <v>122</v>
      </c>
      <c r="C28" s="619">
        <f t="shared" si="1"/>
        <v>185</v>
      </c>
      <c r="D28" s="807">
        <f>D61</f>
        <v>0.34196721311475409</v>
      </c>
      <c r="E28" s="808">
        <f t="shared" ref="E28:F28" si="17">E61</f>
        <v>1.0519672131147542</v>
      </c>
      <c r="F28" s="806">
        <f t="shared" si="17"/>
        <v>1299.4754098360656</v>
      </c>
      <c r="G28" s="626">
        <f t="shared" si="3"/>
        <v>4.172E-2</v>
      </c>
      <c r="H28" s="72">
        <f t="shared" si="3"/>
        <v>0.12834000000000001</v>
      </c>
      <c r="I28" s="630">
        <f t="shared" si="4"/>
        <v>0.15853600000000001</v>
      </c>
      <c r="J28" s="61">
        <f t="shared" si="5"/>
        <v>61</v>
      </c>
      <c r="K28" s="188">
        <f t="shared" si="6"/>
        <v>0.34196721311475409</v>
      </c>
      <c r="L28" s="188">
        <f t="shared" si="7"/>
        <v>2.086E-2</v>
      </c>
      <c r="M28" s="829">
        <f t="shared" si="8"/>
        <v>2.086E-2</v>
      </c>
      <c r="N28" s="54">
        <f t="shared" si="9"/>
        <v>0</v>
      </c>
      <c r="O28" s="670">
        <f t="shared" si="10"/>
        <v>1.0519672131147542</v>
      </c>
      <c r="P28" s="670">
        <f t="shared" si="11"/>
        <v>0</v>
      </c>
      <c r="Q28" s="671">
        <f t="shared" si="12"/>
        <v>0</v>
      </c>
      <c r="R28" s="247">
        <f t="shared" si="13"/>
        <v>61</v>
      </c>
      <c r="S28" s="24">
        <f t="shared" si="14"/>
        <v>1299.4754098360656</v>
      </c>
      <c r="T28" s="25">
        <f t="shared" si="15"/>
        <v>7.9268000000000005E-2</v>
      </c>
      <c r="U28" s="654">
        <f t="shared" si="16"/>
        <v>7.9268000000000005E-2</v>
      </c>
    </row>
    <row r="29" spans="1:24" ht="13.5" thickBot="1" x14ac:dyDescent="0.25">
      <c r="A29" s="701">
        <f t="shared" si="0"/>
        <v>2016</v>
      </c>
      <c r="B29" s="702">
        <v>5</v>
      </c>
      <c r="C29" s="703">
        <f t="shared" si="1"/>
        <v>190</v>
      </c>
      <c r="D29" s="835">
        <v>0.104</v>
      </c>
      <c r="E29" s="835">
        <v>0.22600000000000001</v>
      </c>
      <c r="F29" s="702">
        <v>399</v>
      </c>
      <c r="G29" s="823">
        <f t="shared" si="3"/>
        <v>5.2000000000000006E-4</v>
      </c>
      <c r="H29" s="707">
        <f t="shared" si="3"/>
        <v>1.1300000000000001E-3</v>
      </c>
      <c r="I29" s="824">
        <f t="shared" si="4"/>
        <v>1.9949999999999998E-3</v>
      </c>
      <c r="J29" s="708">
        <f t="shared" si="5"/>
        <v>63.5</v>
      </c>
      <c r="K29" s="825">
        <f t="shared" si="6"/>
        <v>0.104</v>
      </c>
      <c r="L29" s="825">
        <f t="shared" si="7"/>
        <v>6.6040000000000005E-3</v>
      </c>
      <c r="M29" s="826">
        <f t="shared" si="8"/>
        <v>2.7464000000000002E-2</v>
      </c>
      <c r="N29" s="711">
        <f t="shared" si="9"/>
        <v>122</v>
      </c>
      <c r="O29" s="827">
        <f t="shared" si="10"/>
        <v>0.22600000000000001</v>
      </c>
      <c r="P29" s="827">
        <f t="shared" si="11"/>
        <v>2.7571999999999999E-2</v>
      </c>
      <c r="Q29" s="828">
        <f t="shared" si="12"/>
        <v>2.7571999999999999E-2</v>
      </c>
      <c r="R29" s="714">
        <f t="shared" si="13"/>
        <v>63.5</v>
      </c>
      <c r="S29" s="715">
        <f t="shared" si="14"/>
        <v>399</v>
      </c>
      <c r="T29" s="716">
        <f t="shared" si="15"/>
        <v>2.5336500000000001E-2</v>
      </c>
      <c r="U29" s="717">
        <f t="shared" si="16"/>
        <v>0.1046045</v>
      </c>
    </row>
    <row r="30" spans="1:24" x14ac:dyDescent="0.2">
      <c r="A30" s="33">
        <f t="shared" si="0"/>
        <v>2017</v>
      </c>
      <c r="B30" s="403">
        <v>28</v>
      </c>
      <c r="C30" s="64">
        <f t="shared" si="1"/>
        <v>218</v>
      </c>
      <c r="D30" s="965">
        <f t="shared" si="2"/>
        <v>0.104</v>
      </c>
      <c r="E30" s="966">
        <f t="shared" si="2"/>
        <v>0.22600000000000001</v>
      </c>
      <c r="F30" s="790">
        <f t="shared" si="2"/>
        <v>399</v>
      </c>
      <c r="G30" s="473">
        <f t="shared" si="3"/>
        <v>2.9120000000000001E-3</v>
      </c>
      <c r="H30" s="474">
        <f t="shared" si="3"/>
        <v>6.3280000000000003E-3</v>
      </c>
      <c r="I30" s="474">
        <f t="shared" si="4"/>
        <v>1.1172E-2</v>
      </c>
      <c r="J30" s="61">
        <f t="shared" si="5"/>
        <v>16.5</v>
      </c>
      <c r="K30" s="967">
        <f t="shared" si="6"/>
        <v>0.104</v>
      </c>
      <c r="L30" s="967">
        <f t="shared" si="7"/>
        <v>1.7160000000000001E-3</v>
      </c>
      <c r="M30" s="967">
        <f t="shared" si="8"/>
        <v>2.9180000000000001E-2</v>
      </c>
      <c r="N30" s="54">
        <f t="shared" si="9"/>
        <v>5</v>
      </c>
      <c r="O30" s="968">
        <f t="shared" si="10"/>
        <v>0.22600000000000001</v>
      </c>
      <c r="P30" s="968">
        <f t="shared" si="11"/>
        <v>1.1300000000000001E-3</v>
      </c>
      <c r="Q30" s="969">
        <f t="shared" si="12"/>
        <v>2.8701999999999998E-2</v>
      </c>
      <c r="R30" s="247">
        <f t="shared" si="13"/>
        <v>16.5</v>
      </c>
      <c r="S30" s="24">
        <f t="shared" si="14"/>
        <v>399</v>
      </c>
      <c r="T30" s="970">
        <f t="shared" si="15"/>
        <v>6.5834999999999999E-3</v>
      </c>
      <c r="U30" s="971">
        <f t="shared" si="16"/>
        <v>0.11118800000000001</v>
      </c>
    </row>
    <row r="31" spans="1:24" x14ac:dyDescent="0.2">
      <c r="A31" s="33">
        <f t="shared" si="0"/>
        <v>2018</v>
      </c>
      <c r="B31" s="403">
        <v>28</v>
      </c>
      <c r="C31" s="64">
        <f t="shared" si="1"/>
        <v>246</v>
      </c>
      <c r="D31" s="965">
        <f t="shared" si="2"/>
        <v>0.104</v>
      </c>
      <c r="E31" s="966">
        <f t="shared" si="2"/>
        <v>0.22600000000000001</v>
      </c>
      <c r="F31" s="790">
        <f t="shared" si="2"/>
        <v>399</v>
      </c>
      <c r="G31" s="473">
        <f t="shared" si="3"/>
        <v>2.9120000000000001E-3</v>
      </c>
      <c r="H31" s="474">
        <f t="shared" si="3"/>
        <v>6.3280000000000003E-3</v>
      </c>
      <c r="I31" s="474">
        <f t="shared" si="4"/>
        <v>1.1172E-2</v>
      </c>
      <c r="J31" s="61">
        <f t="shared" si="5"/>
        <v>28</v>
      </c>
      <c r="K31" s="967">
        <f t="shared" si="6"/>
        <v>0.104</v>
      </c>
      <c r="L31" s="967">
        <f t="shared" si="7"/>
        <v>2.9120000000000001E-3</v>
      </c>
      <c r="M31" s="967">
        <f t="shared" si="8"/>
        <v>3.2092000000000002E-2</v>
      </c>
      <c r="N31" s="54">
        <f t="shared" si="9"/>
        <v>28</v>
      </c>
      <c r="O31" s="968">
        <f t="shared" si="10"/>
        <v>0.22600000000000001</v>
      </c>
      <c r="P31" s="968">
        <f t="shared" si="11"/>
        <v>6.3280000000000003E-3</v>
      </c>
      <c r="Q31" s="969">
        <f t="shared" si="12"/>
        <v>3.5029999999999999E-2</v>
      </c>
      <c r="R31" s="247">
        <f t="shared" si="13"/>
        <v>28</v>
      </c>
      <c r="S31" s="24">
        <f t="shared" si="14"/>
        <v>399</v>
      </c>
      <c r="T31" s="970">
        <f t="shared" si="15"/>
        <v>1.1172E-2</v>
      </c>
      <c r="U31" s="971">
        <f t="shared" si="16"/>
        <v>0.12236000000000001</v>
      </c>
    </row>
    <row r="32" spans="1:24" x14ac:dyDescent="0.2">
      <c r="A32" s="33">
        <f t="shared" si="0"/>
        <v>2019</v>
      </c>
      <c r="B32" s="403">
        <v>28</v>
      </c>
      <c r="C32" s="64">
        <f t="shared" si="1"/>
        <v>274</v>
      </c>
      <c r="D32" s="965">
        <f t="shared" si="2"/>
        <v>0.104</v>
      </c>
      <c r="E32" s="966">
        <f t="shared" si="2"/>
        <v>0.22600000000000001</v>
      </c>
      <c r="F32" s="790">
        <f t="shared" si="2"/>
        <v>399</v>
      </c>
      <c r="G32" s="473">
        <f t="shared" si="3"/>
        <v>2.9120000000000001E-3</v>
      </c>
      <c r="H32" s="474">
        <f t="shared" si="3"/>
        <v>6.3280000000000003E-3</v>
      </c>
      <c r="I32" s="474">
        <f t="shared" si="4"/>
        <v>1.1172E-2</v>
      </c>
      <c r="J32" s="61">
        <f t="shared" si="5"/>
        <v>28</v>
      </c>
      <c r="K32" s="967">
        <f t="shared" si="6"/>
        <v>0.104</v>
      </c>
      <c r="L32" s="967">
        <f t="shared" si="7"/>
        <v>2.9120000000000001E-3</v>
      </c>
      <c r="M32" s="967">
        <f t="shared" si="8"/>
        <v>3.5004E-2</v>
      </c>
      <c r="N32" s="54">
        <f t="shared" si="9"/>
        <v>28</v>
      </c>
      <c r="O32" s="968">
        <f t="shared" si="10"/>
        <v>0.22600000000000001</v>
      </c>
      <c r="P32" s="968">
        <f t="shared" si="11"/>
        <v>6.3280000000000003E-3</v>
      </c>
      <c r="Q32" s="969">
        <f t="shared" si="12"/>
        <v>4.1357999999999999E-2</v>
      </c>
      <c r="R32" s="247">
        <f t="shared" si="13"/>
        <v>28</v>
      </c>
      <c r="S32" s="24">
        <f t="shared" si="14"/>
        <v>399</v>
      </c>
      <c r="T32" s="970">
        <f t="shared" si="15"/>
        <v>1.1172E-2</v>
      </c>
      <c r="U32" s="971">
        <f t="shared" si="16"/>
        <v>0.13353200000000001</v>
      </c>
    </row>
    <row r="33" spans="1:21" x14ac:dyDescent="0.2">
      <c r="A33" s="33">
        <f t="shared" si="0"/>
        <v>2020</v>
      </c>
      <c r="B33" s="403">
        <v>28</v>
      </c>
      <c r="C33" s="64">
        <f t="shared" si="1"/>
        <v>302</v>
      </c>
      <c r="D33" s="965">
        <f t="shared" si="2"/>
        <v>0.104</v>
      </c>
      <c r="E33" s="966">
        <f t="shared" si="2"/>
        <v>0.22600000000000001</v>
      </c>
      <c r="F33" s="790">
        <f t="shared" si="2"/>
        <v>399</v>
      </c>
      <c r="G33" s="473">
        <f t="shared" si="3"/>
        <v>2.9120000000000001E-3</v>
      </c>
      <c r="H33" s="474">
        <f t="shared" si="3"/>
        <v>6.3280000000000003E-3</v>
      </c>
      <c r="I33" s="474">
        <f t="shared" si="4"/>
        <v>1.1172E-2</v>
      </c>
      <c r="J33" s="61">
        <f t="shared" si="5"/>
        <v>28</v>
      </c>
      <c r="K33" s="967">
        <f t="shared" si="6"/>
        <v>0.104</v>
      </c>
      <c r="L33" s="967">
        <f t="shared" si="7"/>
        <v>2.9120000000000001E-3</v>
      </c>
      <c r="M33" s="967">
        <f t="shared" si="8"/>
        <v>3.7915999999999998E-2</v>
      </c>
      <c r="N33" s="54">
        <f t="shared" si="9"/>
        <v>28</v>
      </c>
      <c r="O33" s="968">
        <f t="shared" si="10"/>
        <v>0.22600000000000001</v>
      </c>
      <c r="P33" s="968">
        <f t="shared" si="11"/>
        <v>6.3280000000000003E-3</v>
      </c>
      <c r="Q33" s="969">
        <f t="shared" si="12"/>
        <v>4.7685999999999999E-2</v>
      </c>
      <c r="R33" s="247">
        <f t="shared" si="13"/>
        <v>28</v>
      </c>
      <c r="S33" s="24">
        <f t="shared" si="14"/>
        <v>399</v>
      </c>
      <c r="T33" s="970">
        <f t="shared" si="15"/>
        <v>1.1172E-2</v>
      </c>
      <c r="U33" s="971">
        <f t="shared" si="16"/>
        <v>0.144704</v>
      </c>
    </row>
    <row r="34" spans="1:21" x14ac:dyDescent="0.2">
      <c r="A34" s="33">
        <f t="shared" si="0"/>
        <v>2021</v>
      </c>
      <c r="B34" s="403">
        <v>28</v>
      </c>
      <c r="C34" s="64">
        <f t="shared" si="1"/>
        <v>330</v>
      </c>
      <c r="D34" s="965">
        <f t="shared" si="2"/>
        <v>0.104</v>
      </c>
      <c r="E34" s="966">
        <f t="shared" si="2"/>
        <v>0.22600000000000001</v>
      </c>
      <c r="F34" s="790">
        <f t="shared" si="2"/>
        <v>399</v>
      </c>
      <c r="G34" s="473">
        <f t="shared" si="3"/>
        <v>2.9120000000000001E-3</v>
      </c>
      <c r="H34" s="474">
        <f t="shared" si="3"/>
        <v>6.3280000000000003E-3</v>
      </c>
      <c r="I34" s="474">
        <f t="shared" si="4"/>
        <v>1.1172E-2</v>
      </c>
      <c r="J34" s="61">
        <f t="shared" si="5"/>
        <v>28</v>
      </c>
      <c r="K34" s="967">
        <f t="shared" si="6"/>
        <v>0.104</v>
      </c>
      <c r="L34" s="967">
        <f t="shared" si="7"/>
        <v>2.9120000000000001E-3</v>
      </c>
      <c r="M34" s="967">
        <f t="shared" si="8"/>
        <v>4.0827999999999996E-2</v>
      </c>
      <c r="N34" s="54">
        <f t="shared" si="9"/>
        <v>28</v>
      </c>
      <c r="O34" s="968">
        <f t="shared" si="10"/>
        <v>0.22600000000000001</v>
      </c>
      <c r="P34" s="968">
        <f t="shared" si="11"/>
        <v>6.3280000000000003E-3</v>
      </c>
      <c r="Q34" s="969">
        <f t="shared" si="12"/>
        <v>5.4014E-2</v>
      </c>
      <c r="R34" s="247">
        <f t="shared" si="13"/>
        <v>28</v>
      </c>
      <c r="S34" s="24">
        <f t="shared" si="14"/>
        <v>399</v>
      </c>
      <c r="T34" s="970">
        <f t="shared" si="15"/>
        <v>1.1172E-2</v>
      </c>
      <c r="U34" s="971">
        <f t="shared" si="16"/>
        <v>0.15587599999999999</v>
      </c>
    </row>
    <row r="35" spans="1:21" x14ac:dyDescent="0.2">
      <c r="A35" s="33">
        <f t="shared" si="0"/>
        <v>2022</v>
      </c>
      <c r="B35" s="403">
        <v>28</v>
      </c>
      <c r="C35" s="64">
        <f t="shared" si="1"/>
        <v>358</v>
      </c>
      <c r="D35" s="965">
        <f t="shared" si="2"/>
        <v>0.104</v>
      </c>
      <c r="E35" s="966">
        <f t="shared" si="2"/>
        <v>0.22600000000000001</v>
      </c>
      <c r="F35" s="790">
        <f t="shared" si="2"/>
        <v>399</v>
      </c>
      <c r="G35" s="473">
        <f t="shared" si="3"/>
        <v>2.9120000000000001E-3</v>
      </c>
      <c r="H35" s="474">
        <f t="shared" si="3"/>
        <v>6.3280000000000003E-3</v>
      </c>
      <c r="I35" s="474">
        <f t="shared" si="4"/>
        <v>1.1172E-2</v>
      </c>
      <c r="J35" s="61">
        <f t="shared" si="5"/>
        <v>28</v>
      </c>
      <c r="K35" s="967">
        <f t="shared" si="6"/>
        <v>0.104</v>
      </c>
      <c r="L35" s="967">
        <f t="shared" si="7"/>
        <v>2.9120000000000001E-3</v>
      </c>
      <c r="M35" s="967">
        <f t="shared" si="8"/>
        <v>4.3739999999999994E-2</v>
      </c>
      <c r="N35" s="54">
        <f t="shared" si="9"/>
        <v>28</v>
      </c>
      <c r="O35" s="968">
        <f t="shared" si="10"/>
        <v>0.22600000000000001</v>
      </c>
      <c r="P35" s="968">
        <f t="shared" si="11"/>
        <v>6.3280000000000003E-3</v>
      </c>
      <c r="Q35" s="969">
        <f t="shared" si="12"/>
        <v>6.0342E-2</v>
      </c>
      <c r="R35" s="247">
        <f t="shared" si="13"/>
        <v>28</v>
      </c>
      <c r="S35" s="24">
        <f t="shared" si="14"/>
        <v>399</v>
      </c>
      <c r="T35" s="970">
        <f t="shared" si="15"/>
        <v>1.1172E-2</v>
      </c>
      <c r="U35" s="971">
        <f t="shared" si="16"/>
        <v>0.16704799999999997</v>
      </c>
    </row>
    <row r="36" spans="1:21" x14ac:dyDescent="0.2">
      <c r="A36" s="33">
        <f t="shared" si="0"/>
        <v>2023</v>
      </c>
      <c r="B36" s="403">
        <v>28</v>
      </c>
      <c r="C36" s="64">
        <f t="shared" si="1"/>
        <v>386</v>
      </c>
      <c r="D36" s="965">
        <f t="shared" si="2"/>
        <v>0.104</v>
      </c>
      <c r="E36" s="966">
        <f t="shared" si="2"/>
        <v>0.22600000000000001</v>
      </c>
      <c r="F36" s="790">
        <f t="shared" si="2"/>
        <v>399</v>
      </c>
      <c r="G36" s="473">
        <f t="shared" si="3"/>
        <v>2.9120000000000001E-3</v>
      </c>
      <c r="H36" s="474">
        <f t="shared" si="3"/>
        <v>6.3280000000000003E-3</v>
      </c>
      <c r="I36" s="474">
        <f t="shared" si="4"/>
        <v>1.1172E-2</v>
      </c>
      <c r="J36" s="61">
        <f t="shared" si="5"/>
        <v>28</v>
      </c>
      <c r="K36" s="967">
        <f t="shared" si="6"/>
        <v>0.104</v>
      </c>
      <c r="L36" s="967">
        <f t="shared" si="7"/>
        <v>2.9120000000000001E-3</v>
      </c>
      <c r="M36" s="967">
        <f t="shared" si="8"/>
        <v>4.6651999999999992E-2</v>
      </c>
      <c r="N36" s="54">
        <f t="shared" si="9"/>
        <v>28</v>
      </c>
      <c r="O36" s="968">
        <f t="shared" si="10"/>
        <v>0.22600000000000001</v>
      </c>
      <c r="P36" s="968">
        <f t="shared" si="11"/>
        <v>6.3280000000000003E-3</v>
      </c>
      <c r="Q36" s="969">
        <f t="shared" si="12"/>
        <v>6.6670000000000007E-2</v>
      </c>
      <c r="R36" s="247">
        <f t="shared" si="13"/>
        <v>28</v>
      </c>
      <c r="S36" s="24">
        <f t="shared" si="14"/>
        <v>399</v>
      </c>
      <c r="T36" s="970">
        <f t="shared" si="15"/>
        <v>1.1172E-2</v>
      </c>
      <c r="U36" s="971">
        <f t="shared" si="16"/>
        <v>0.17821999999999996</v>
      </c>
    </row>
    <row r="37" spans="1:21" x14ac:dyDescent="0.2">
      <c r="A37" s="447">
        <f t="shared" si="0"/>
        <v>2024</v>
      </c>
      <c r="B37" s="403">
        <v>28</v>
      </c>
      <c r="C37" s="64">
        <f t="shared" si="1"/>
        <v>414</v>
      </c>
      <c r="D37" s="965">
        <f t="shared" si="2"/>
        <v>0.104</v>
      </c>
      <c r="E37" s="966">
        <f t="shared" si="2"/>
        <v>0.22600000000000001</v>
      </c>
      <c r="F37" s="790">
        <f t="shared" si="2"/>
        <v>399</v>
      </c>
      <c r="G37" s="473">
        <f t="shared" si="3"/>
        <v>2.9120000000000001E-3</v>
      </c>
      <c r="H37" s="474">
        <f t="shared" si="3"/>
        <v>6.3280000000000003E-3</v>
      </c>
      <c r="I37" s="474">
        <f t="shared" si="4"/>
        <v>1.1172E-2</v>
      </c>
      <c r="J37" s="61">
        <f t="shared" si="5"/>
        <v>28</v>
      </c>
      <c r="K37" s="967">
        <f t="shared" si="6"/>
        <v>0.104</v>
      </c>
      <c r="L37" s="967">
        <f t="shared" si="7"/>
        <v>2.9120000000000001E-3</v>
      </c>
      <c r="M37" s="967">
        <f t="shared" si="8"/>
        <v>4.956399999999999E-2</v>
      </c>
      <c r="N37" s="54">
        <f t="shared" si="9"/>
        <v>28</v>
      </c>
      <c r="O37" s="968">
        <f t="shared" si="10"/>
        <v>0.22600000000000001</v>
      </c>
      <c r="P37" s="968">
        <f t="shared" si="11"/>
        <v>6.3280000000000003E-3</v>
      </c>
      <c r="Q37" s="969">
        <f t="shared" si="12"/>
        <v>7.2998000000000007E-2</v>
      </c>
      <c r="R37" s="247">
        <f t="shared" si="13"/>
        <v>28</v>
      </c>
      <c r="S37" s="24">
        <f t="shared" si="14"/>
        <v>399</v>
      </c>
      <c r="T37" s="970">
        <f t="shared" si="15"/>
        <v>1.1172E-2</v>
      </c>
      <c r="U37" s="971">
        <f t="shared" si="16"/>
        <v>0.18939199999999995</v>
      </c>
    </row>
    <row r="38" spans="1:21" x14ac:dyDescent="0.2">
      <c r="A38" s="447">
        <f t="shared" si="0"/>
        <v>2025</v>
      </c>
      <c r="B38" s="403">
        <v>28</v>
      </c>
      <c r="C38" s="64">
        <f t="shared" si="1"/>
        <v>442</v>
      </c>
      <c r="D38" s="965">
        <f t="shared" si="2"/>
        <v>0.104</v>
      </c>
      <c r="E38" s="966">
        <f t="shared" si="2"/>
        <v>0.22600000000000001</v>
      </c>
      <c r="F38" s="790">
        <f t="shared" si="2"/>
        <v>399</v>
      </c>
      <c r="G38" s="473">
        <f t="shared" si="3"/>
        <v>2.9120000000000001E-3</v>
      </c>
      <c r="H38" s="474">
        <f t="shared" si="3"/>
        <v>6.3280000000000003E-3</v>
      </c>
      <c r="I38" s="474">
        <f t="shared" si="4"/>
        <v>1.1172E-2</v>
      </c>
      <c r="J38" s="61">
        <f t="shared" si="5"/>
        <v>28</v>
      </c>
      <c r="K38" s="967">
        <f t="shared" si="6"/>
        <v>0.104</v>
      </c>
      <c r="L38" s="967">
        <f t="shared" si="7"/>
        <v>2.9120000000000001E-3</v>
      </c>
      <c r="M38" s="967">
        <f t="shared" si="8"/>
        <v>5.2475999999999988E-2</v>
      </c>
      <c r="N38" s="54">
        <f t="shared" si="9"/>
        <v>28</v>
      </c>
      <c r="O38" s="968">
        <f t="shared" si="10"/>
        <v>0.22600000000000001</v>
      </c>
      <c r="P38" s="968">
        <f t="shared" si="11"/>
        <v>6.3280000000000003E-3</v>
      </c>
      <c r="Q38" s="969">
        <f t="shared" si="12"/>
        <v>7.9326000000000008E-2</v>
      </c>
      <c r="R38" s="247">
        <f t="shared" si="13"/>
        <v>28</v>
      </c>
      <c r="S38" s="24">
        <f t="shared" si="14"/>
        <v>399</v>
      </c>
      <c r="T38" s="970">
        <f t="shared" si="15"/>
        <v>1.1172E-2</v>
      </c>
      <c r="U38" s="971">
        <f t="shared" si="16"/>
        <v>0.20056399999999994</v>
      </c>
    </row>
    <row r="39" spans="1:21" x14ac:dyDescent="0.2">
      <c r="A39" s="447">
        <f t="shared" si="0"/>
        <v>2026</v>
      </c>
      <c r="B39" s="403">
        <v>28</v>
      </c>
      <c r="C39" s="64">
        <f t="shared" si="1"/>
        <v>470</v>
      </c>
      <c r="D39" s="965">
        <f t="shared" ref="D39:F42" si="18">+D38</f>
        <v>0.104</v>
      </c>
      <c r="E39" s="966">
        <f t="shared" si="18"/>
        <v>0.22600000000000001</v>
      </c>
      <c r="F39" s="790">
        <f t="shared" si="18"/>
        <v>399</v>
      </c>
      <c r="G39" s="473">
        <f t="shared" si="3"/>
        <v>2.9120000000000001E-3</v>
      </c>
      <c r="H39" s="474">
        <f t="shared" si="3"/>
        <v>6.3280000000000003E-3</v>
      </c>
      <c r="I39" s="474">
        <f t="shared" si="4"/>
        <v>1.1172E-2</v>
      </c>
      <c r="J39" s="61">
        <f t="shared" si="5"/>
        <v>28</v>
      </c>
      <c r="K39" s="967">
        <f t="shared" si="6"/>
        <v>0.104</v>
      </c>
      <c r="L39" s="967">
        <f t="shared" si="7"/>
        <v>2.9120000000000001E-3</v>
      </c>
      <c r="M39" s="967">
        <f t="shared" si="8"/>
        <v>5.5387999999999986E-2</v>
      </c>
      <c r="N39" s="54">
        <f t="shared" si="9"/>
        <v>28</v>
      </c>
      <c r="O39" s="968">
        <f t="shared" si="10"/>
        <v>0.22600000000000001</v>
      </c>
      <c r="P39" s="968">
        <f t="shared" si="11"/>
        <v>6.3280000000000003E-3</v>
      </c>
      <c r="Q39" s="969">
        <f t="shared" si="12"/>
        <v>8.5654000000000008E-2</v>
      </c>
      <c r="R39" s="247">
        <f>+(B39+B38)/2</f>
        <v>28</v>
      </c>
      <c r="S39" s="24">
        <f>+F39</f>
        <v>399</v>
      </c>
      <c r="T39" s="970">
        <f>+R39*S39/1000000</f>
        <v>1.1172E-2</v>
      </c>
      <c r="U39" s="971">
        <f t="shared" si="16"/>
        <v>0.21173599999999992</v>
      </c>
    </row>
    <row r="40" spans="1:21" x14ac:dyDescent="0.2">
      <c r="A40" s="447">
        <f>+A39+1</f>
        <v>2027</v>
      </c>
      <c r="B40" s="403">
        <v>28</v>
      </c>
      <c r="C40" s="64">
        <f>+C39+B40</f>
        <v>498</v>
      </c>
      <c r="D40" s="965">
        <f t="shared" si="18"/>
        <v>0.104</v>
      </c>
      <c r="E40" s="966">
        <f t="shared" si="18"/>
        <v>0.22600000000000001</v>
      </c>
      <c r="F40" s="790">
        <f t="shared" si="18"/>
        <v>399</v>
      </c>
      <c r="G40" s="473">
        <f t="shared" ref="G40:H42" si="19">+$B40*D40/1000</f>
        <v>2.9120000000000001E-3</v>
      </c>
      <c r="H40" s="474">
        <f t="shared" si="19"/>
        <v>6.3280000000000003E-3</v>
      </c>
      <c r="I40" s="474">
        <f>+$B40*F40/1000000</f>
        <v>1.1172E-2</v>
      </c>
      <c r="J40" s="61">
        <f>+(B40+B39)/2</f>
        <v>28</v>
      </c>
      <c r="K40" s="967">
        <f>+D40</f>
        <v>0.104</v>
      </c>
      <c r="L40" s="967">
        <f>+J40*K40/1000</f>
        <v>2.9120000000000001E-3</v>
      </c>
      <c r="M40" s="967">
        <f>+M39+L40</f>
        <v>5.8299999999999984E-2</v>
      </c>
      <c r="N40" s="54">
        <f>+B39</f>
        <v>28</v>
      </c>
      <c r="O40" s="968">
        <f>+E40</f>
        <v>0.22600000000000001</v>
      </c>
      <c r="P40" s="968">
        <f>+N40*O40/1000</f>
        <v>6.3280000000000003E-3</v>
      </c>
      <c r="Q40" s="969">
        <f>+Q39+P40</f>
        <v>9.1982000000000008E-2</v>
      </c>
      <c r="R40" s="247">
        <f>+(B40+B39)/2</f>
        <v>28</v>
      </c>
      <c r="S40" s="24">
        <f>+F40</f>
        <v>399</v>
      </c>
      <c r="T40" s="970">
        <f>+R40*S40/1000000</f>
        <v>1.1172E-2</v>
      </c>
      <c r="U40" s="971">
        <f>+U39+T40</f>
        <v>0.22290799999999991</v>
      </c>
    </row>
    <row r="41" spans="1:21" x14ac:dyDescent="0.2">
      <c r="A41" s="447">
        <f t="shared" si="0"/>
        <v>2028</v>
      </c>
      <c r="B41" s="403">
        <v>28</v>
      </c>
      <c r="C41" s="64">
        <f>+C40+B41</f>
        <v>526</v>
      </c>
      <c r="D41" s="965">
        <f>+D40</f>
        <v>0.104</v>
      </c>
      <c r="E41" s="966">
        <f>+E40</f>
        <v>0.22600000000000001</v>
      </c>
      <c r="F41" s="790">
        <f>+F40</f>
        <v>399</v>
      </c>
      <c r="G41" s="473">
        <f t="shared" si="19"/>
        <v>2.9120000000000001E-3</v>
      </c>
      <c r="H41" s="474">
        <f t="shared" si="19"/>
        <v>6.3280000000000003E-3</v>
      </c>
      <c r="I41" s="474">
        <f>+$B41*F41/1000000</f>
        <v>1.1172E-2</v>
      </c>
      <c r="J41" s="61">
        <f>+(B41+B40)/2</f>
        <v>28</v>
      </c>
      <c r="K41" s="967">
        <f>+D41</f>
        <v>0.104</v>
      </c>
      <c r="L41" s="967">
        <f>+J41*K41/1000</f>
        <v>2.9120000000000001E-3</v>
      </c>
      <c r="M41" s="967">
        <f>+M40+L41</f>
        <v>6.1211999999999982E-2</v>
      </c>
      <c r="N41" s="54">
        <f>+B40</f>
        <v>28</v>
      </c>
      <c r="O41" s="968">
        <f>+E41</f>
        <v>0.22600000000000001</v>
      </c>
      <c r="P41" s="968">
        <f>+N41*O41/1000</f>
        <v>6.3280000000000003E-3</v>
      </c>
      <c r="Q41" s="969">
        <f>+Q40+P41</f>
        <v>9.8310000000000008E-2</v>
      </c>
      <c r="R41" s="247">
        <f>+(B41+B40)/2</f>
        <v>28</v>
      </c>
      <c r="S41" s="24">
        <f>+F41</f>
        <v>399</v>
      </c>
      <c r="T41" s="970">
        <f>+R41*S41/1000000</f>
        <v>1.1172E-2</v>
      </c>
      <c r="U41" s="971">
        <f>+U40+T41</f>
        <v>0.2340799999999999</v>
      </c>
    </row>
    <row r="42" spans="1:21" x14ac:dyDescent="0.2">
      <c r="A42" s="447">
        <f t="shared" si="0"/>
        <v>2029</v>
      </c>
      <c r="B42" s="403">
        <v>28</v>
      </c>
      <c r="C42" s="64">
        <f>+C41+B42</f>
        <v>554</v>
      </c>
      <c r="D42" s="965">
        <f t="shared" si="18"/>
        <v>0.104</v>
      </c>
      <c r="E42" s="966">
        <f t="shared" si="18"/>
        <v>0.22600000000000001</v>
      </c>
      <c r="F42" s="790">
        <f t="shared" si="18"/>
        <v>399</v>
      </c>
      <c r="G42" s="473">
        <f t="shared" si="19"/>
        <v>2.9120000000000001E-3</v>
      </c>
      <c r="H42" s="474">
        <f t="shared" si="19"/>
        <v>6.3280000000000003E-3</v>
      </c>
      <c r="I42" s="474">
        <f>+$B42*F42/1000000</f>
        <v>1.1172E-2</v>
      </c>
      <c r="J42" s="61">
        <f>+(B42+B41)/2</f>
        <v>28</v>
      </c>
      <c r="K42" s="967">
        <f>+D42</f>
        <v>0.104</v>
      </c>
      <c r="L42" s="967">
        <f>+J42*K42/1000</f>
        <v>2.9120000000000001E-3</v>
      </c>
      <c r="M42" s="967">
        <f>+M41+L42</f>
        <v>6.4123999999999987E-2</v>
      </c>
      <c r="N42" s="54">
        <f>+B41</f>
        <v>28</v>
      </c>
      <c r="O42" s="968">
        <f>+E42</f>
        <v>0.22600000000000001</v>
      </c>
      <c r="P42" s="968">
        <f>+N42*O42/1000</f>
        <v>6.3280000000000003E-3</v>
      </c>
      <c r="Q42" s="969">
        <f>+Q41+P42</f>
        <v>0.10463800000000001</v>
      </c>
      <c r="R42" s="247">
        <f>+(B42+B41)/2</f>
        <v>28</v>
      </c>
      <c r="S42" s="24">
        <f>+F42</f>
        <v>399</v>
      </c>
      <c r="T42" s="970">
        <f>+R42*S42/1000000</f>
        <v>1.1172E-2</v>
      </c>
      <c r="U42" s="971">
        <f>+U41+T42</f>
        <v>0.24525199999999989</v>
      </c>
    </row>
    <row r="43" spans="1:21" x14ac:dyDescent="0.2">
      <c r="A43" s="447">
        <f t="shared" si="0"/>
        <v>2030</v>
      </c>
      <c r="B43" s="403">
        <v>28</v>
      </c>
      <c r="C43" s="64">
        <f t="shared" ref="C43:C47" si="20">+C42+B43</f>
        <v>582</v>
      </c>
      <c r="D43" s="965">
        <f t="shared" ref="D43:F43" si="21">+D42</f>
        <v>0.104</v>
      </c>
      <c r="E43" s="966">
        <f t="shared" si="21"/>
        <v>0.22600000000000001</v>
      </c>
      <c r="F43" s="790">
        <f t="shared" si="21"/>
        <v>399</v>
      </c>
      <c r="G43" s="473">
        <f t="shared" ref="G43:G47" si="22">+$B43*D43/1000</f>
        <v>2.9120000000000001E-3</v>
      </c>
      <c r="H43" s="474">
        <f t="shared" ref="H43:H47" si="23">+$B43*E43/1000</f>
        <v>6.3280000000000003E-3</v>
      </c>
      <c r="I43" s="474">
        <f t="shared" ref="I43:I47" si="24">+$B43*F43/1000000</f>
        <v>1.1172E-2</v>
      </c>
      <c r="J43" s="61">
        <f t="shared" ref="J43:J47" si="25">+(B43+B42)/2</f>
        <v>28</v>
      </c>
      <c r="K43" s="967">
        <f t="shared" ref="K43:K47" si="26">+D43</f>
        <v>0.104</v>
      </c>
      <c r="L43" s="967">
        <f t="shared" ref="L43:L47" si="27">+J43*K43/1000</f>
        <v>2.9120000000000001E-3</v>
      </c>
      <c r="M43" s="967">
        <f t="shared" ref="M43:M47" si="28">+M42+L43</f>
        <v>6.7035999999999984E-2</v>
      </c>
      <c r="N43" s="54">
        <f t="shared" ref="N43:N47" si="29">+B42</f>
        <v>28</v>
      </c>
      <c r="O43" s="968">
        <f t="shared" ref="O43:O47" si="30">+E43</f>
        <v>0.22600000000000001</v>
      </c>
      <c r="P43" s="968">
        <f t="shared" ref="P43:P47" si="31">+N43*O43/1000</f>
        <v>6.3280000000000003E-3</v>
      </c>
      <c r="Q43" s="969">
        <f t="shared" ref="Q43:Q47" si="32">+Q42+P43</f>
        <v>0.11096600000000001</v>
      </c>
      <c r="R43" s="247">
        <f t="shared" ref="R43:R47" si="33">+(B43+B42)/2</f>
        <v>28</v>
      </c>
      <c r="S43" s="24">
        <f t="shared" ref="S43:S47" si="34">+F43</f>
        <v>399</v>
      </c>
      <c r="T43" s="970">
        <f t="shared" ref="T43:T47" si="35">+R43*S43/1000000</f>
        <v>1.1172E-2</v>
      </c>
      <c r="U43" s="971">
        <f t="shared" ref="U43:U47" si="36">+U42+T43</f>
        <v>0.25642399999999987</v>
      </c>
    </row>
    <row r="44" spans="1:21" x14ac:dyDescent="0.2">
      <c r="A44" s="447">
        <f t="shared" si="0"/>
        <v>2031</v>
      </c>
      <c r="B44" s="403">
        <v>28</v>
      </c>
      <c r="C44" s="64">
        <f t="shared" si="20"/>
        <v>610</v>
      </c>
      <c r="D44" s="965">
        <f t="shared" ref="D44:F44" si="37">+D43</f>
        <v>0.104</v>
      </c>
      <c r="E44" s="966">
        <f t="shared" si="37"/>
        <v>0.22600000000000001</v>
      </c>
      <c r="F44" s="790">
        <f t="shared" si="37"/>
        <v>399</v>
      </c>
      <c r="G44" s="473">
        <f t="shared" si="22"/>
        <v>2.9120000000000001E-3</v>
      </c>
      <c r="H44" s="474">
        <f t="shared" si="23"/>
        <v>6.3280000000000003E-3</v>
      </c>
      <c r="I44" s="474">
        <f t="shared" si="24"/>
        <v>1.1172E-2</v>
      </c>
      <c r="J44" s="61">
        <f t="shared" si="25"/>
        <v>28</v>
      </c>
      <c r="K44" s="967">
        <f t="shared" si="26"/>
        <v>0.104</v>
      </c>
      <c r="L44" s="967">
        <f t="shared" si="27"/>
        <v>2.9120000000000001E-3</v>
      </c>
      <c r="M44" s="967">
        <f t="shared" si="28"/>
        <v>6.9947999999999982E-2</v>
      </c>
      <c r="N44" s="54">
        <f t="shared" si="29"/>
        <v>28</v>
      </c>
      <c r="O44" s="968">
        <f t="shared" si="30"/>
        <v>0.22600000000000001</v>
      </c>
      <c r="P44" s="968">
        <f t="shared" si="31"/>
        <v>6.3280000000000003E-3</v>
      </c>
      <c r="Q44" s="969">
        <f t="shared" si="32"/>
        <v>0.11729400000000001</v>
      </c>
      <c r="R44" s="247">
        <f t="shared" si="33"/>
        <v>28</v>
      </c>
      <c r="S44" s="24">
        <f t="shared" si="34"/>
        <v>399</v>
      </c>
      <c r="T44" s="970">
        <f t="shared" si="35"/>
        <v>1.1172E-2</v>
      </c>
      <c r="U44" s="971">
        <f t="shared" si="36"/>
        <v>0.26759599999999989</v>
      </c>
    </row>
    <row r="45" spans="1:21" x14ac:dyDescent="0.2">
      <c r="A45" s="447">
        <f t="shared" si="0"/>
        <v>2032</v>
      </c>
      <c r="B45" s="403">
        <v>28</v>
      </c>
      <c r="C45" s="64">
        <f t="shared" si="20"/>
        <v>638</v>
      </c>
      <c r="D45" s="965">
        <f t="shared" ref="D45:F45" si="38">+D44</f>
        <v>0.104</v>
      </c>
      <c r="E45" s="966">
        <f t="shared" si="38"/>
        <v>0.22600000000000001</v>
      </c>
      <c r="F45" s="790">
        <f t="shared" si="38"/>
        <v>399</v>
      </c>
      <c r="G45" s="473">
        <f t="shared" si="22"/>
        <v>2.9120000000000001E-3</v>
      </c>
      <c r="H45" s="474">
        <f t="shared" si="23"/>
        <v>6.3280000000000003E-3</v>
      </c>
      <c r="I45" s="474">
        <f t="shared" si="24"/>
        <v>1.1172E-2</v>
      </c>
      <c r="J45" s="61">
        <f t="shared" si="25"/>
        <v>28</v>
      </c>
      <c r="K45" s="967">
        <f t="shared" si="26"/>
        <v>0.104</v>
      </c>
      <c r="L45" s="967">
        <f t="shared" si="27"/>
        <v>2.9120000000000001E-3</v>
      </c>
      <c r="M45" s="967">
        <f t="shared" si="28"/>
        <v>7.285999999999998E-2</v>
      </c>
      <c r="N45" s="54">
        <f t="shared" si="29"/>
        <v>28</v>
      </c>
      <c r="O45" s="968">
        <f t="shared" si="30"/>
        <v>0.22600000000000001</v>
      </c>
      <c r="P45" s="968">
        <f t="shared" si="31"/>
        <v>6.3280000000000003E-3</v>
      </c>
      <c r="Q45" s="969">
        <f t="shared" si="32"/>
        <v>0.12362200000000001</v>
      </c>
      <c r="R45" s="247">
        <f t="shared" si="33"/>
        <v>28</v>
      </c>
      <c r="S45" s="24">
        <f t="shared" si="34"/>
        <v>399</v>
      </c>
      <c r="T45" s="970">
        <f t="shared" si="35"/>
        <v>1.1172E-2</v>
      </c>
      <c r="U45" s="971">
        <f t="shared" si="36"/>
        <v>0.2787679999999999</v>
      </c>
    </row>
    <row r="46" spans="1:21" x14ac:dyDescent="0.2">
      <c r="A46" s="447">
        <f t="shared" si="0"/>
        <v>2033</v>
      </c>
      <c r="B46" s="403">
        <v>28</v>
      </c>
      <c r="C46" s="64">
        <f t="shared" si="20"/>
        <v>666</v>
      </c>
      <c r="D46" s="965">
        <f t="shared" ref="D46:F46" si="39">+D45</f>
        <v>0.104</v>
      </c>
      <c r="E46" s="966">
        <f t="shared" si="39"/>
        <v>0.22600000000000001</v>
      </c>
      <c r="F46" s="790">
        <f t="shared" si="39"/>
        <v>399</v>
      </c>
      <c r="G46" s="473">
        <f t="shared" si="22"/>
        <v>2.9120000000000001E-3</v>
      </c>
      <c r="H46" s="474">
        <f t="shared" si="23"/>
        <v>6.3280000000000003E-3</v>
      </c>
      <c r="I46" s="474">
        <f t="shared" si="24"/>
        <v>1.1172E-2</v>
      </c>
      <c r="J46" s="61">
        <f t="shared" si="25"/>
        <v>28</v>
      </c>
      <c r="K46" s="967">
        <f t="shared" si="26"/>
        <v>0.104</v>
      </c>
      <c r="L46" s="967">
        <f t="shared" si="27"/>
        <v>2.9120000000000001E-3</v>
      </c>
      <c r="M46" s="967">
        <f t="shared" si="28"/>
        <v>7.5771999999999978E-2</v>
      </c>
      <c r="N46" s="54">
        <f t="shared" si="29"/>
        <v>28</v>
      </c>
      <c r="O46" s="968">
        <f t="shared" si="30"/>
        <v>0.22600000000000001</v>
      </c>
      <c r="P46" s="968">
        <f t="shared" si="31"/>
        <v>6.3280000000000003E-3</v>
      </c>
      <c r="Q46" s="969">
        <f t="shared" si="32"/>
        <v>0.12995000000000001</v>
      </c>
      <c r="R46" s="247">
        <f t="shared" si="33"/>
        <v>28</v>
      </c>
      <c r="S46" s="24">
        <f t="shared" si="34"/>
        <v>399</v>
      </c>
      <c r="T46" s="970">
        <f t="shared" si="35"/>
        <v>1.1172E-2</v>
      </c>
      <c r="U46" s="971">
        <f t="shared" si="36"/>
        <v>0.28993999999999992</v>
      </c>
    </row>
    <row r="47" spans="1:21" x14ac:dyDescent="0.2">
      <c r="A47" s="960">
        <v>2034</v>
      </c>
      <c r="B47" s="403">
        <v>28</v>
      </c>
      <c r="C47" s="64">
        <f t="shared" si="20"/>
        <v>694</v>
      </c>
      <c r="D47" s="965">
        <f t="shared" ref="D47:F47" si="40">+D46</f>
        <v>0.104</v>
      </c>
      <c r="E47" s="966">
        <f t="shared" si="40"/>
        <v>0.22600000000000001</v>
      </c>
      <c r="F47" s="790">
        <f t="shared" si="40"/>
        <v>399</v>
      </c>
      <c r="G47" s="473">
        <f t="shared" si="22"/>
        <v>2.9120000000000001E-3</v>
      </c>
      <c r="H47" s="474">
        <f t="shared" si="23"/>
        <v>6.3280000000000003E-3</v>
      </c>
      <c r="I47" s="474">
        <f t="shared" si="24"/>
        <v>1.1172E-2</v>
      </c>
      <c r="J47" s="61">
        <f t="shared" si="25"/>
        <v>28</v>
      </c>
      <c r="K47" s="967">
        <f t="shared" si="26"/>
        <v>0.104</v>
      </c>
      <c r="L47" s="967">
        <f t="shared" si="27"/>
        <v>2.9120000000000001E-3</v>
      </c>
      <c r="M47" s="967">
        <f t="shared" si="28"/>
        <v>7.8683999999999976E-2</v>
      </c>
      <c r="N47" s="54">
        <f t="shared" si="29"/>
        <v>28</v>
      </c>
      <c r="O47" s="968">
        <f t="shared" si="30"/>
        <v>0.22600000000000001</v>
      </c>
      <c r="P47" s="968">
        <f t="shared" si="31"/>
        <v>6.3280000000000003E-3</v>
      </c>
      <c r="Q47" s="969">
        <f t="shared" si="32"/>
        <v>0.13627800000000001</v>
      </c>
      <c r="R47" s="247">
        <f t="shared" si="33"/>
        <v>28</v>
      </c>
      <c r="S47" s="24">
        <f t="shared" si="34"/>
        <v>399</v>
      </c>
      <c r="T47" s="970">
        <f t="shared" si="35"/>
        <v>1.1172E-2</v>
      </c>
      <c r="U47" s="971">
        <f t="shared" si="36"/>
        <v>0.30111199999999994</v>
      </c>
    </row>
    <row r="48" spans="1:21" x14ac:dyDescent="0.2">
      <c r="A48" s="960">
        <f t="shared" si="0"/>
        <v>2035</v>
      </c>
      <c r="B48" s="403">
        <f>B47</f>
        <v>28</v>
      </c>
      <c r="C48" s="64">
        <f t="shared" ref="C48:C54" si="41">+C47+B48</f>
        <v>722</v>
      </c>
      <c r="D48" s="965">
        <f t="shared" ref="D48:F48" si="42">+D47</f>
        <v>0.104</v>
      </c>
      <c r="E48" s="966">
        <f t="shared" si="42"/>
        <v>0.22600000000000001</v>
      </c>
      <c r="F48" s="790">
        <f t="shared" si="42"/>
        <v>399</v>
      </c>
      <c r="G48" s="473">
        <f t="shared" ref="G48:G54" si="43">+$B48*D48/1000</f>
        <v>2.9120000000000001E-3</v>
      </c>
      <c r="H48" s="474">
        <f t="shared" ref="H48:H54" si="44">+$B48*E48/1000</f>
        <v>6.3280000000000003E-3</v>
      </c>
      <c r="I48" s="474">
        <f t="shared" ref="I48:I54" si="45">+$B48*F48/1000000</f>
        <v>1.1172E-2</v>
      </c>
      <c r="J48" s="61">
        <f t="shared" ref="J48:J54" si="46">+(B48+B47)/2</f>
        <v>28</v>
      </c>
      <c r="K48" s="967">
        <f t="shared" ref="K48:K54" si="47">+D48</f>
        <v>0.104</v>
      </c>
      <c r="L48" s="967">
        <f t="shared" ref="L48:L54" si="48">+J48*K48/1000</f>
        <v>2.9120000000000001E-3</v>
      </c>
      <c r="M48" s="967">
        <f t="shared" ref="M48:M54" si="49">+M47+L48</f>
        <v>8.1595999999999974E-2</v>
      </c>
      <c r="N48" s="54">
        <f t="shared" ref="N48:N54" si="50">+B47</f>
        <v>28</v>
      </c>
      <c r="O48" s="968">
        <f t="shared" ref="O48:O54" si="51">+E48</f>
        <v>0.22600000000000001</v>
      </c>
      <c r="P48" s="968">
        <f t="shared" ref="P48:P54" si="52">+N48*O48/1000</f>
        <v>6.3280000000000003E-3</v>
      </c>
      <c r="Q48" s="969">
        <f t="shared" ref="Q48:Q54" si="53">+Q47+P48</f>
        <v>0.14260600000000001</v>
      </c>
      <c r="R48" s="247">
        <f t="shared" ref="R48:R54" si="54">+(B48+B47)/2</f>
        <v>28</v>
      </c>
      <c r="S48" s="24">
        <f t="shared" ref="S48:S54" si="55">+F48</f>
        <v>399</v>
      </c>
      <c r="T48" s="970">
        <f t="shared" ref="T48:T54" si="56">+R48*S48/1000000</f>
        <v>1.1172E-2</v>
      </c>
      <c r="U48" s="971">
        <f t="shared" ref="U48:U54" si="57">+U47+T48</f>
        <v>0.31228399999999995</v>
      </c>
    </row>
    <row r="49" spans="1:21" x14ac:dyDescent="0.2">
      <c r="A49" s="447">
        <f t="shared" si="0"/>
        <v>2036</v>
      </c>
      <c r="B49" s="403">
        <f t="shared" ref="B49:B54" si="58">B48</f>
        <v>28</v>
      </c>
      <c r="C49" s="64">
        <f t="shared" si="41"/>
        <v>750</v>
      </c>
      <c r="D49" s="965">
        <f t="shared" ref="D49:F49" si="59">+D48</f>
        <v>0.104</v>
      </c>
      <c r="E49" s="966">
        <f t="shared" si="59"/>
        <v>0.22600000000000001</v>
      </c>
      <c r="F49" s="790">
        <f t="shared" si="59"/>
        <v>399</v>
      </c>
      <c r="G49" s="473">
        <f t="shared" si="43"/>
        <v>2.9120000000000001E-3</v>
      </c>
      <c r="H49" s="474">
        <f t="shared" si="44"/>
        <v>6.3280000000000003E-3</v>
      </c>
      <c r="I49" s="474">
        <f t="shared" si="45"/>
        <v>1.1172E-2</v>
      </c>
      <c r="J49" s="61">
        <f t="shared" si="46"/>
        <v>28</v>
      </c>
      <c r="K49" s="967">
        <f t="shared" si="47"/>
        <v>0.104</v>
      </c>
      <c r="L49" s="967">
        <f t="shared" si="48"/>
        <v>2.9120000000000001E-3</v>
      </c>
      <c r="M49" s="967">
        <f t="shared" si="49"/>
        <v>8.4507999999999972E-2</v>
      </c>
      <c r="N49" s="54">
        <f t="shared" si="50"/>
        <v>28</v>
      </c>
      <c r="O49" s="968">
        <f t="shared" si="51"/>
        <v>0.22600000000000001</v>
      </c>
      <c r="P49" s="968">
        <f t="shared" si="52"/>
        <v>6.3280000000000003E-3</v>
      </c>
      <c r="Q49" s="969">
        <f t="shared" si="53"/>
        <v>0.14893400000000001</v>
      </c>
      <c r="R49" s="247">
        <f t="shared" si="54"/>
        <v>28</v>
      </c>
      <c r="S49" s="24">
        <f t="shared" si="55"/>
        <v>399</v>
      </c>
      <c r="T49" s="970">
        <f t="shared" si="56"/>
        <v>1.1172E-2</v>
      </c>
      <c r="U49" s="971">
        <f t="shared" si="57"/>
        <v>0.32345599999999997</v>
      </c>
    </row>
    <row r="50" spans="1:21" x14ac:dyDescent="0.2">
      <c r="A50" s="960">
        <v>2034</v>
      </c>
      <c r="B50" s="403">
        <f t="shared" si="58"/>
        <v>28</v>
      </c>
      <c r="C50" s="64">
        <f t="shared" si="41"/>
        <v>778</v>
      </c>
      <c r="D50" s="965">
        <f t="shared" ref="D50:F50" si="60">+D49</f>
        <v>0.104</v>
      </c>
      <c r="E50" s="966">
        <f t="shared" si="60"/>
        <v>0.22600000000000001</v>
      </c>
      <c r="F50" s="790">
        <f t="shared" si="60"/>
        <v>399</v>
      </c>
      <c r="G50" s="473">
        <f t="shared" si="43"/>
        <v>2.9120000000000001E-3</v>
      </c>
      <c r="H50" s="474">
        <f t="shared" si="44"/>
        <v>6.3280000000000003E-3</v>
      </c>
      <c r="I50" s="474">
        <f t="shared" si="45"/>
        <v>1.1172E-2</v>
      </c>
      <c r="J50" s="61">
        <f t="shared" si="46"/>
        <v>28</v>
      </c>
      <c r="K50" s="967">
        <f t="shared" si="47"/>
        <v>0.104</v>
      </c>
      <c r="L50" s="967">
        <f t="shared" si="48"/>
        <v>2.9120000000000001E-3</v>
      </c>
      <c r="M50" s="967">
        <f t="shared" si="49"/>
        <v>8.741999999999997E-2</v>
      </c>
      <c r="N50" s="54">
        <f t="shared" si="50"/>
        <v>28</v>
      </c>
      <c r="O50" s="968">
        <f t="shared" si="51"/>
        <v>0.22600000000000001</v>
      </c>
      <c r="P50" s="968">
        <f t="shared" si="52"/>
        <v>6.3280000000000003E-3</v>
      </c>
      <c r="Q50" s="969">
        <f t="shared" si="53"/>
        <v>0.15526200000000001</v>
      </c>
      <c r="R50" s="247">
        <f t="shared" si="54"/>
        <v>28</v>
      </c>
      <c r="S50" s="24">
        <f t="shared" si="55"/>
        <v>399</v>
      </c>
      <c r="T50" s="970">
        <f t="shared" si="56"/>
        <v>1.1172E-2</v>
      </c>
      <c r="U50" s="971">
        <f t="shared" si="57"/>
        <v>0.33462799999999998</v>
      </c>
    </row>
    <row r="51" spans="1:21" x14ac:dyDescent="0.2">
      <c r="A51" s="960">
        <f t="shared" si="0"/>
        <v>2035</v>
      </c>
      <c r="B51" s="403">
        <f t="shared" si="58"/>
        <v>28</v>
      </c>
      <c r="C51" s="64">
        <f t="shared" si="41"/>
        <v>806</v>
      </c>
      <c r="D51" s="965">
        <f t="shared" ref="D51:F51" si="61">+D50</f>
        <v>0.104</v>
      </c>
      <c r="E51" s="966">
        <f t="shared" si="61"/>
        <v>0.22600000000000001</v>
      </c>
      <c r="F51" s="790">
        <f t="shared" si="61"/>
        <v>399</v>
      </c>
      <c r="G51" s="473">
        <f t="shared" si="43"/>
        <v>2.9120000000000001E-3</v>
      </c>
      <c r="H51" s="474">
        <f t="shared" si="44"/>
        <v>6.3280000000000003E-3</v>
      </c>
      <c r="I51" s="474">
        <f t="shared" si="45"/>
        <v>1.1172E-2</v>
      </c>
      <c r="J51" s="61">
        <f t="shared" si="46"/>
        <v>28</v>
      </c>
      <c r="K51" s="967">
        <f t="shared" si="47"/>
        <v>0.104</v>
      </c>
      <c r="L51" s="967">
        <f t="shared" si="48"/>
        <v>2.9120000000000001E-3</v>
      </c>
      <c r="M51" s="967">
        <f t="shared" si="49"/>
        <v>9.0331999999999968E-2</v>
      </c>
      <c r="N51" s="54">
        <f t="shared" si="50"/>
        <v>28</v>
      </c>
      <c r="O51" s="968">
        <f t="shared" si="51"/>
        <v>0.22600000000000001</v>
      </c>
      <c r="P51" s="968">
        <f t="shared" si="52"/>
        <v>6.3280000000000003E-3</v>
      </c>
      <c r="Q51" s="969">
        <f t="shared" si="53"/>
        <v>0.16159000000000001</v>
      </c>
      <c r="R51" s="247">
        <f t="shared" si="54"/>
        <v>28</v>
      </c>
      <c r="S51" s="24">
        <f t="shared" si="55"/>
        <v>399</v>
      </c>
      <c r="T51" s="970">
        <f t="shared" si="56"/>
        <v>1.1172E-2</v>
      </c>
      <c r="U51" s="971">
        <f t="shared" si="57"/>
        <v>0.3458</v>
      </c>
    </row>
    <row r="52" spans="1:21" x14ac:dyDescent="0.2">
      <c r="A52" s="447">
        <f t="shared" si="0"/>
        <v>2036</v>
      </c>
      <c r="B52" s="403">
        <f t="shared" si="58"/>
        <v>28</v>
      </c>
      <c r="C52" s="64">
        <f t="shared" si="41"/>
        <v>834</v>
      </c>
      <c r="D52" s="965">
        <f t="shared" ref="D52:F52" si="62">+D51</f>
        <v>0.104</v>
      </c>
      <c r="E52" s="966">
        <f t="shared" si="62"/>
        <v>0.22600000000000001</v>
      </c>
      <c r="F52" s="790">
        <f t="shared" si="62"/>
        <v>399</v>
      </c>
      <c r="G52" s="473">
        <f t="shared" si="43"/>
        <v>2.9120000000000001E-3</v>
      </c>
      <c r="H52" s="474">
        <f t="shared" si="44"/>
        <v>6.3280000000000003E-3</v>
      </c>
      <c r="I52" s="474">
        <f t="shared" si="45"/>
        <v>1.1172E-2</v>
      </c>
      <c r="J52" s="61">
        <f t="shared" si="46"/>
        <v>28</v>
      </c>
      <c r="K52" s="967">
        <f t="shared" si="47"/>
        <v>0.104</v>
      </c>
      <c r="L52" s="967">
        <f t="shared" si="48"/>
        <v>2.9120000000000001E-3</v>
      </c>
      <c r="M52" s="967">
        <f t="shared" si="49"/>
        <v>9.3243999999999966E-2</v>
      </c>
      <c r="N52" s="54">
        <f t="shared" si="50"/>
        <v>28</v>
      </c>
      <c r="O52" s="968">
        <f t="shared" si="51"/>
        <v>0.22600000000000001</v>
      </c>
      <c r="P52" s="968">
        <f t="shared" si="52"/>
        <v>6.3280000000000003E-3</v>
      </c>
      <c r="Q52" s="969">
        <f t="shared" si="53"/>
        <v>0.16791800000000001</v>
      </c>
      <c r="R52" s="247">
        <f t="shared" si="54"/>
        <v>28</v>
      </c>
      <c r="S52" s="24">
        <f t="shared" si="55"/>
        <v>399</v>
      </c>
      <c r="T52" s="970">
        <f t="shared" si="56"/>
        <v>1.1172E-2</v>
      </c>
      <c r="U52" s="971">
        <f t="shared" si="57"/>
        <v>0.35697200000000001</v>
      </c>
    </row>
    <row r="53" spans="1:21" x14ac:dyDescent="0.2">
      <c r="A53" s="960">
        <v>2034</v>
      </c>
      <c r="B53" s="403">
        <f t="shared" si="58"/>
        <v>28</v>
      </c>
      <c r="C53" s="64">
        <f t="shared" si="41"/>
        <v>862</v>
      </c>
      <c r="D53" s="965">
        <f t="shared" ref="D53:F53" si="63">+D52</f>
        <v>0.104</v>
      </c>
      <c r="E53" s="966">
        <f t="shared" si="63"/>
        <v>0.22600000000000001</v>
      </c>
      <c r="F53" s="790">
        <f t="shared" si="63"/>
        <v>399</v>
      </c>
      <c r="G53" s="473">
        <f t="shared" si="43"/>
        <v>2.9120000000000001E-3</v>
      </c>
      <c r="H53" s="474">
        <f t="shared" si="44"/>
        <v>6.3280000000000003E-3</v>
      </c>
      <c r="I53" s="474">
        <f t="shared" si="45"/>
        <v>1.1172E-2</v>
      </c>
      <c r="J53" s="61">
        <f t="shared" si="46"/>
        <v>28</v>
      </c>
      <c r="K53" s="967">
        <f t="shared" si="47"/>
        <v>0.104</v>
      </c>
      <c r="L53" s="967">
        <f t="shared" si="48"/>
        <v>2.9120000000000001E-3</v>
      </c>
      <c r="M53" s="967">
        <f t="shared" si="49"/>
        <v>9.6155999999999964E-2</v>
      </c>
      <c r="N53" s="54">
        <f t="shared" si="50"/>
        <v>28</v>
      </c>
      <c r="O53" s="968">
        <f t="shared" si="51"/>
        <v>0.22600000000000001</v>
      </c>
      <c r="P53" s="968">
        <f t="shared" si="52"/>
        <v>6.3280000000000003E-3</v>
      </c>
      <c r="Q53" s="969">
        <f t="shared" si="53"/>
        <v>0.17424600000000001</v>
      </c>
      <c r="R53" s="247">
        <f t="shared" si="54"/>
        <v>28</v>
      </c>
      <c r="S53" s="24">
        <f t="shared" si="55"/>
        <v>399</v>
      </c>
      <c r="T53" s="970">
        <f t="shared" si="56"/>
        <v>1.1172E-2</v>
      </c>
      <c r="U53" s="971">
        <f t="shared" si="57"/>
        <v>0.36814400000000003</v>
      </c>
    </row>
    <row r="54" spans="1:21" x14ac:dyDescent="0.2">
      <c r="A54" s="960">
        <f t="shared" si="0"/>
        <v>2035</v>
      </c>
      <c r="B54" s="403">
        <f t="shared" si="58"/>
        <v>28</v>
      </c>
      <c r="C54" s="64">
        <f t="shared" si="41"/>
        <v>890</v>
      </c>
      <c r="D54" s="965">
        <f t="shared" ref="D54:F54" si="64">+D53</f>
        <v>0.104</v>
      </c>
      <c r="E54" s="966">
        <f t="shared" si="64"/>
        <v>0.22600000000000001</v>
      </c>
      <c r="F54" s="790">
        <f t="shared" si="64"/>
        <v>399</v>
      </c>
      <c r="G54" s="473">
        <f t="shared" si="43"/>
        <v>2.9120000000000001E-3</v>
      </c>
      <c r="H54" s="474">
        <f t="shared" si="44"/>
        <v>6.3280000000000003E-3</v>
      </c>
      <c r="I54" s="474">
        <f t="shared" si="45"/>
        <v>1.1172E-2</v>
      </c>
      <c r="J54" s="61">
        <f t="shared" si="46"/>
        <v>28</v>
      </c>
      <c r="K54" s="967">
        <f t="shared" si="47"/>
        <v>0.104</v>
      </c>
      <c r="L54" s="967">
        <f t="shared" si="48"/>
        <v>2.9120000000000001E-3</v>
      </c>
      <c r="M54" s="967">
        <f t="shared" si="49"/>
        <v>9.9067999999999962E-2</v>
      </c>
      <c r="N54" s="54">
        <f t="shared" si="50"/>
        <v>28</v>
      </c>
      <c r="O54" s="968">
        <f t="shared" si="51"/>
        <v>0.22600000000000001</v>
      </c>
      <c r="P54" s="968">
        <f t="shared" si="52"/>
        <v>6.3280000000000003E-3</v>
      </c>
      <c r="Q54" s="969">
        <f t="shared" si="53"/>
        <v>0.18057400000000001</v>
      </c>
      <c r="R54" s="247">
        <f t="shared" si="54"/>
        <v>28</v>
      </c>
      <c r="S54" s="24">
        <f t="shared" si="55"/>
        <v>399</v>
      </c>
      <c r="T54" s="970">
        <f t="shared" si="56"/>
        <v>1.1172E-2</v>
      </c>
      <c r="U54" s="971">
        <f t="shared" si="57"/>
        <v>0.37931600000000004</v>
      </c>
    </row>
    <row r="56" spans="1:21" x14ac:dyDescent="0.2">
      <c r="A56" s="69" t="s">
        <v>38</v>
      </c>
    </row>
    <row r="57" spans="1:21" x14ac:dyDescent="0.2">
      <c r="A57" s="69" t="s">
        <v>39</v>
      </c>
    </row>
    <row r="58" spans="1:21" x14ac:dyDescent="0.2">
      <c r="A58" s="86" t="s">
        <v>57</v>
      </c>
    </row>
    <row r="59" spans="1:21" x14ac:dyDescent="0.2">
      <c r="A59" s="86" t="s">
        <v>58</v>
      </c>
    </row>
    <row r="61" spans="1:21" x14ac:dyDescent="0.2">
      <c r="B61">
        <v>2015</v>
      </c>
      <c r="D61">
        <f>41.72/B28</f>
        <v>0.34196721311475409</v>
      </c>
      <c r="E61">
        <f>128.34/B28</f>
        <v>1.0519672131147542</v>
      </c>
      <c r="F61" s="1033">
        <f>158536/B28</f>
        <v>1299.4754098360656</v>
      </c>
    </row>
  </sheetData>
  <mergeCells count="5">
    <mergeCell ref="G3:I3"/>
    <mergeCell ref="B4:I4"/>
    <mergeCell ref="J4:M4"/>
    <mergeCell ref="N4:Q4"/>
    <mergeCell ref="R4:U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2"/>
  <sheetViews>
    <sheetView tabSelected="1" topLeftCell="A16" workbookViewId="0">
      <selection activeCell="C27" sqref="C27"/>
    </sheetView>
  </sheetViews>
  <sheetFormatPr defaultRowHeight="12.75" x14ac:dyDescent="0.2"/>
  <cols>
    <col min="1" max="1" width="13.140625" customWidth="1"/>
    <col min="2" max="2" width="12.28515625" customWidth="1"/>
    <col min="3" max="3" width="10.5703125" customWidth="1"/>
    <col min="6" max="6" width="10.7109375" customWidth="1"/>
    <col min="7" max="7" width="10.28515625" customWidth="1"/>
  </cols>
  <sheetData>
    <row r="1" spans="1:8" x14ac:dyDescent="0.2">
      <c r="A1" s="1408"/>
      <c r="B1" s="1408" t="s">
        <v>475</v>
      </c>
      <c r="C1" s="1408"/>
      <c r="D1" s="1408"/>
      <c r="E1" s="1408"/>
      <c r="F1" s="1408"/>
      <c r="G1" s="1408"/>
      <c r="H1" s="1408"/>
    </row>
    <row r="2" spans="1:8" x14ac:dyDescent="0.2">
      <c r="A2" s="1408"/>
      <c r="B2" s="1408" t="s">
        <v>476</v>
      </c>
      <c r="C2" s="1408"/>
      <c r="D2" s="1408"/>
      <c r="E2" s="1252"/>
      <c r="F2" s="1408" t="s">
        <v>477</v>
      </c>
      <c r="G2" s="1408"/>
      <c r="H2" s="1408"/>
    </row>
    <row r="3" spans="1:8" x14ac:dyDescent="0.2">
      <c r="A3" s="1408"/>
      <c r="B3" s="1253" t="s">
        <v>478</v>
      </c>
      <c r="C3" s="1253" t="s">
        <v>479</v>
      </c>
      <c r="D3" s="1253" t="s">
        <v>480</v>
      </c>
      <c r="E3" s="1254"/>
      <c r="F3" s="1253" t="s">
        <v>478</v>
      </c>
      <c r="G3" s="1253" t="s">
        <v>479</v>
      </c>
      <c r="H3" s="1253" t="s">
        <v>480</v>
      </c>
    </row>
    <row r="4" spans="1:8" x14ac:dyDescent="0.2">
      <c r="A4" s="1255" t="s">
        <v>136</v>
      </c>
      <c r="B4" s="1253"/>
      <c r="C4" s="1253"/>
      <c r="D4" s="1253"/>
      <c r="E4" s="1254"/>
      <c r="F4" s="1253">
        <f>B4</f>
        <v>0</v>
      </c>
      <c r="G4" s="1253">
        <f t="shared" ref="G4:H4" si="0">C4</f>
        <v>0</v>
      </c>
      <c r="H4" s="1253">
        <f t="shared" si="0"/>
        <v>0</v>
      </c>
    </row>
    <row r="5" spans="1:8" x14ac:dyDescent="0.2">
      <c r="A5" s="1255" t="s">
        <v>137</v>
      </c>
      <c r="B5" s="1253"/>
      <c r="C5" s="1253"/>
      <c r="D5" s="1253"/>
      <c r="E5" s="1254"/>
      <c r="F5" s="1253">
        <f>B5+F4</f>
        <v>0</v>
      </c>
      <c r="G5" s="1253">
        <f t="shared" ref="G5:H20" si="1">C5+G4</f>
        <v>0</v>
      </c>
      <c r="H5" s="1253">
        <f t="shared" si="1"/>
        <v>0</v>
      </c>
    </row>
    <row r="6" spans="1:8" x14ac:dyDescent="0.2">
      <c r="A6" s="1253">
        <v>1995</v>
      </c>
      <c r="B6" s="1253"/>
      <c r="C6" s="1253"/>
      <c r="D6" s="1253"/>
      <c r="E6" s="1254"/>
      <c r="F6" s="1253">
        <f t="shared" ref="F6:H21" si="2">B6+F5</f>
        <v>0</v>
      </c>
      <c r="G6" s="1253">
        <f t="shared" si="1"/>
        <v>0</v>
      </c>
      <c r="H6" s="1253">
        <f t="shared" si="1"/>
        <v>0</v>
      </c>
    </row>
    <row r="7" spans="1:8" x14ac:dyDescent="0.2">
      <c r="A7" s="1253">
        <v>1996</v>
      </c>
      <c r="B7" s="1253"/>
      <c r="C7" s="1253"/>
      <c r="D7" s="1253"/>
      <c r="E7" s="1254"/>
      <c r="F7" s="1253">
        <f t="shared" si="2"/>
        <v>0</v>
      </c>
      <c r="G7" s="1253">
        <f t="shared" si="1"/>
        <v>0</v>
      </c>
      <c r="H7" s="1253">
        <f t="shared" si="1"/>
        <v>0</v>
      </c>
    </row>
    <row r="8" spans="1:8" x14ac:dyDescent="0.2">
      <c r="A8" s="1253">
        <v>1997</v>
      </c>
      <c r="B8" s="1253"/>
      <c r="C8" s="1253"/>
      <c r="D8" s="1253"/>
      <c r="E8" s="1254"/>
      <c r="F8" s="1253">
        <f t="shared" si="2"/>
        <v>0</v>
      </c>
      <c r="G8" s="1253">
        <f t="shared" si="1"/>
        <v>0</v>
      </c>
      <c r="H8" s="1253">
        <f t="shared" si="1"/>
        <v>0</v>
      </c>
    </row>
    <row r="9" spans="1:8" x14ac:dyDescent="0.2">
      <c r="A9" s="1253">
        <v>1998</v>
      </c>
      <c r="B9" s="1253"/>
      <c r="C9" s="1253"/>
      <c r="D9" s="1253"/>
      <c r="E9" s="1254"/>
      <c r="F9" s="1253">
        <f t="shared" si="2"/>
        <v>0</v>
      </c>
      <c r="G9" s="1253">
        <f t="shared" si="1"/>
        <v>0</v>
      </c>
      <c r="H9" s="1253">
        <f t="shared" si="1"/>
        <v>0</v>
      </c>
    </row>
    <row r="10" spans="1:8" x14ac:dyDescent="0.2">
      <c r="A10" s="1253">
        <v>1999</v>
      </c>
      <c r="B10" s="1253"/>
      <c r="C10" s="1253"/>
      <c r="D10" s="1253"/>
      <c r="E10" s="1254"/>
      <c r="F10" s="1253">
        <f t="shared" si="2"/>
        <v>0</v>
      </c>
      <c r="G10" s="1253">
        <f t="shared" si="1"/>
        <v>0</v>
      </c>
      <c r="H10" s="1253">
        <f t="shared" si="1"/>
        <v>0</v>
      </c>
    </row>
    <row r="11" spans="1:8" x14ac:dyDescent="0.2">
      <c r="A11" s="1253">
        <v>2000</v>
      </c>
      <c r="B11" s="1253"/>
      <c r="C11" s="1253"/>
      <c r="D11" s="1253"/>
      <c r="E11" s="1254"/>
      <c r="F11" s="1253">
        <f t="shared" si="2"/>
        <v>0</v>
      </c>
      <c r="G11" s="1253">
        <f t="shared" si="1"/>
        <v>0</v>
      </c>
      <c r="H11" s="1253">
        <f t="shared" si="1"/>
        <v>0</v>
      </c>
    </row>
    <row r="12" spans="1:8" x14ac:dyDescent="0.2">
      <c r="A12" s="1253">
        <v>2001</v>
      </c>
      <c r="B12" s="1253"/>
      <c r="C12" s="1253"/>
      <c r="D12" s="1253"/>
      <c r="E12" s="1254"/>
      <c r="F12" s="1253">
        <f t="shared" si="2"/>
        <v>0</v>
      </c>
      <c r="G12" s="1253">
        <f t="shared" si="1"/>
        <v>0</v>
      </c>
      <c r="H12" s="1253">
        <f t="shared" si="1"/>
        <v>0</v>
      </c>
    </row>
    <row r="13" spans="1:8" x14ac:dyDescent="0.2">
      <c r="A13" s="1253">
        <v>2002</v>
      </c>
      <c r="B13" s="1253"/>
      <c r="C13" s="1253"/>
      <c r="D13" s="1253"/>
      <c r="E13" s="1254"/>
      <c r="F13" s="1253">
        <f t="shared" si="2"/>
        <v>0</v>
      </c>
      <c r="G13" s="1253">
        <f t="shared" si="1"/>
        <v>0</v>
      </c>
      <c r="H13" s="1253">
        <f t="shared" si="1"/>
        <v>0</v>
      </c>
    </row>
    <row r="14" spans="1:8" x14ac:dyDescent="0.2">
      <c r="A14" s="1253">
        <v>2003</v>
      </c>
      <c r="B14" s="1253"/>
      <c r="C14" s="1253"/>
      <c r="D14" s="1253"/>
      <c r="E14" s="1254"/>
      <c r="F14" s="1253">
        <f t="shared" si="2"/>
        <v>0</v>
      </c>
      <c r="G14" s="1253">
        <f t="shared" si="1"/>
        <v>0</v>
      </c>
      <c r="H14" s="1253">
        <f t="shared" si="1"/>
        <v>0</v>
      </c>
    </row>
    <row r="15" spans="1:8" x14ac:dyDescent="0.2">
      <c r="A15" s="1253">
        <v>2004</v>
      </c>
      <c r="B15" s="1253"/>
      <c r="C15" s="1253"/>
      <c r="D15" s="1253"/>
      <c r="E15" s="1254"/>
      <c r="F15" s="1253">
        <f t="shared" si="2"/>
        <v>0</v>
      </c>
      <c r="G15" s="1253">
        <f t="shared" si="1"/>
        <v>0</v>
      </c>
      <c r="H15" s="1253">
        <f t="shared" si="1"/>
        <v>0</v>
      </c>
    </row>
    <row r="16" spans="1:8" x14ac:dyDescent="0.2">
      <c r="A16" s="1253">
        <v>2005</v>
      </c>
      <c r="B16" s="1253"/>
      <c r="C16" s="1253"/>
      <c r="D16" s="1253"/>
      <c r="E16" s="1254"/>
      <c r="F16" s="1253">
        <f t="shared" si="2"/>
        <v>0</v>
      </c>
      <c r="G16" s="1253">
        <f t="shared" si="1"/>
        <v>0</v>
      </c>
      <c r="H16" s="1253">
        <f t="shared" si="1"/>
        <v>0</v>
      </c>
    </row>
    <row r="17" spans="1:8" x14ac:dyDescent="0.2">
      <c r="A17" s="1253">
        <v>2006</v>
      </c>
      <c r="B17" s="1253"/>
      <c r="C17" s="1253"/>
      <c r="D17" s="1253"/>
      <c r="E17" s="1254"/>
      <c r="F17" s="1253">
        <f t="shared" si="2"/>
        <v>0</v>
      </c>
      <c r="G17" s="1253">
        <f t="shared" si="1"/>
        <v>0</v>
      </c>
      <c r="H17" s="1253">
        <f t="shared" si="1"/>
        <v>0</v>
      </c>
    </row>
    <row r="18" spans="1:8" x14ac:dyDescent="0.2">
      <c r="A18" s="1253">
        <v>2007</v>
      </c>
      <c r="B18" s="1253"/>
      <c r="C18" s="1253"/>
      <c r="D18" s="1253"/>
      <c r="E18" s="1254"/>
      <c r="F18" s="1253">
        <f t="shared" si="2"/>
        <v>0</v>
      </c>
      <c r="G18" s="1253">
        <f t="shared" si="1"/>
        <v>0</v>
      </c>
      <c r="H18" s="1253">
        <f t="shared" si="1"/>
        <v>0</v>
      </c>
    </row>
    <row r="19" spans="1:8" x14ac:dyDescent="0.2">
      <c r="A19" s="1253">
        <v>2008</v>
      </c>
      <c r="B19" s="1253"/>
      <c r="C19" s="1253"/>
      <c r="D19" s="1253"/>
      <c r="E19" s="1254"/>
      <c r="F19" s="1253">
        <f t="shared" si="2"/>
        <v>0</v>
      </c>
      <c r="G19" s="1253">
        <f t="shared" si="1"/>
        <v>0</v>
      </c>
      <c r="H19" s="1253">
        <f t="shared" si="1"/>
        <v>0</v>
      </c>
    </row>
    <row r="20" spans="1:8" x14ac:dyDescent="0.2">
      <c r="A20" s="1253">
        <v>2009</v>
      </c>
      <c r="B20" s="1253"/>
      <c r="C20" s="1253"/>
      <c r="D20" s="1253"/>
      <c r="E20" s="1254"/>
      <c r="F20" s="1253">
        <f t="shared" si="2"/>
        <v>0</v>
      </c>
      <c r="G20" s="1253">
        <f t="shared" si="1"/>
        <v>0</v>
      </c>
      <c r="H20" s="1253">
        <f t="shared" si="1"/>
        <v>0</v>
      </c>
    </row>
    <row r="21" spans="1:8" x14ac:dyDescent="0.2">
      <c r="A21" s="1253">
        <v>2010</v>
      </c>
      <c r="B21" s="1253"/>
      <c r="C21" s="1253"/>
      <c r="D21" s="1253"/>
      <c r="E21" s="1254"/>
      <c r="F21" s="1253">
        <f t="shared" si="2"/>
        <v>0</v>
      </c>
      <c r="G21" s="1253">
        <f t="shared" si="2"/>
        <v>0</v>
      </c>
      <c r="H21" s="1253">
        <f t="shared" si="2"/>
        <v>0</v>
      </c>
    </row>
    <row r="22" spans="1:8" x14ac:dyDescent="0.2">
      <c r="A22" s="1253">
        <v>2011</v>
      </c>
      <c r="B22" s="1253"/>
      <c r="C22" s="1253"/>
      <c r="D22" s="1253"/>
      <c r="E22" s="1254"/>
      <c r="F22" s="1253">
        <f t="shared" ref="F22:H37" si="3">B22+F21</f>
        <v>0</v>
      </c>
      <c r="G22" s="1253">
        <f t="shared" si="3"/>
        <v>0</v>
      </c>
      <c r="H22" s="1253">
        <f t="shared" si="3"/>
        <v>0</v>
      </c>
    </row>
    <row r="23" spans="1:8" x14ac:dyDescent="0.2">
      <c r="A23" s="1253">
        <v>2012</v>
      </c>
      <c r="B23" s="1253"/>
      <c r="C23" s="1253"/>
      <c r="D23" s="1253"/>
      <c r="E23" s="1254"/>
      <c r="F23" s="1253">
        <f t="shared" si="3"/>
        <v>0</v>
      </c>
      <c r="G23" s="1253">
        <f t="shared" si="3"/>
        <v>0</v>
      </c>
      <c r="H23" s="1253">
        <f t="shared" si="3"/>
        <v>0</v>
      </c>
    </row>
    <row r="24" spans="1:8" x14ac:dyDescent="0.2">
      <c r="A24" s="1253">
        <v>2013</v>
      </c>
      <c r="B24" s="1253"/>
      <c r="C24" s="1253"/>
      <c r="D24" s="1253"/>
      <c r="E24" s="1254"/>
      <c r="F24" s="1253">
        <f t="shared" si="3"/>
        <v>0</v>
      </c>
      <c r="G24" s="1253">
        <f t="shared" si="3"/>
        <v>0</v>
      </c>
      <c r="H24" s="1253">
        <f t="shared" si="3"/>
        <v>0</v>
      </c>
    </row>
    <row r="25" spans="1:8" x14ac:dyDescent="0.2">
      <c r="A25" s="1253">
        <v>2014</v>
      </c>
      <c r="B25" s="1253"/>
      <c r="C25" s="1253"/>
      <c r="D25" s="1253"/>
      <c r="E25" s="1254"/>
      <c r="F25" s="1253">
        <f t="shared" si="3"/>
        <v>0</v>
      </c>
      <c r="G25" s="1253">
        <f t="shared" si="3"/>
        <v>0</v>
      </c>
      <c r="H25" s="1253">
        <f t="shared" si="3"/>
        <v>0</v>
      </c>
    </row>
    <row r="26" spans="1:8" x14ac:dyDescent="0.2">
      <c r="A26" s="1256">
        <v>2015</v>
      </c>
      <c r="B26" s="1253" t="s">
        <v>504</v>
      </c>
      <c r="C26" s="1253" t="s">
        <v>505</v>
      </c>
      <c r="D26" s="1253"/>
      <c r="E26" s="1254"/>
      <c r="F26" s="1253" t="e">
        <f t="shared" si="3"/>
        <v>#VALUE!</v>
      </c>
      <c r="G26" s="1253" t="e">
        <f t="shared" si="3"/>
        <v>#VALUE!</v>
      </c>
      <c r="H26" s="1253">
        <f t="shared" si="3"/>
        <v>0</v>
      </c>
    </row>
    <row r="27" spans="1:8" x14ac:dyDescent="0.2">
      <c r="A27" s="1253">
        <v>2016</v>
      </c>
      <c r="B27" s="1253">
        <f>'RES Audit Alt'!C29+'RES Assist.'!C29+'RES Audit RCS'!C29+'C-I FREE'!C29+'C-I Paid'!C29</f>
        <v>465523</v>
      </c>
      <c r="C27" s="1253">
        <f>'RES CI'!C29+'RES DR'!C29+'RES ECM'!C29+'RES Educ'!C29+'RES EnergyStar'!C29+'RES HC'!C29+'RES WEA'!C29+'RES WI'!C29+'RES WR'!C29+'COM CI'!C29+'COM Chillers'!C29+'COM CV'!C29+'COM Cool Roof'!C29+'COM Cooling'!C29+'COM Duct'!C29+'COM ECM'!C29+'COM Cond. Light'!C29+'COM Non Cond. Light'!C29+'COM Occ. Sens.'!C29+'COM Ref'!C29+'COM TES'!C29+'COM WI'!C29+'COM WH'!C29+'RES EP (RSVP)'!C29+'COM LM (cyc)'!D29+'COM SB Gen'!D29+'COM DMD Response'!C29+'RES Prime Time'!D13+'RES HVAC Re-com'!C28+'RES WF'!C28+'RES PV'!C28+227+'COM School PV'!C28+'COM Bldg Envel'!C28+'C-I Mail-In'!C28+'COM EEMotors'!C28+'COM Lighting'!C28+'COM HVAC ReCommissioning'!C28+'COM ERV'!C28+'COM ECM HVAC'!C28+'COM PV'!C28+'Street Light Conv'!C29</f>
        <v>764095</v>
      </c>
      <c r="D27" s="1253"/>
      <c r="E27" s="1254"/>
      <c r="F27" s="1253" t="e">
        <f t="shared" si="3"/>
        <v>#VALUE!</v>
      </c>
      <c r="G27" s="1253" t="e">
        <f t="shared" si="3"/>
        <v>#VALUE!</v>
      </c>
      <c r="H27" s="1253">
        <f t="shared" si="3"/>
        <v>0</v>
      </c>
    </row>
    <row r="28" spans="1:8" x14ac:dyDescent="0.2">
      <c r="A28" s="1253">
        <v>2017</v>
      </c>
      <c r="B28" s="1253"/>
      <c r="C28" s="1253"/>
      <c r="D28" s="1253"/>
      <c r="E28" s="1254"/>
      <c r="F28" s="1253" t="e">
        <f t="shared" si="3"/>
        <v>#VALUE!</v>
      </c>
      <c r="G28" s="1253" t="e">
        <f t="shared" si="3"/>
        <v>#VALUE!</v>
      </c>
      <c r="H28" s="1253">
        <f t="shared" si="3"/>
        <v>0</v>
      </c>
    </row>
    <row r="29" spans="1:8" x14ac:dyDescent="0.2">
      <c r="A29" s="1253">
        <v>2018</v>
      </c>
      <c r="B29" s="1253"/>
      <c r="C29" s="1253"/>
      <c r="D29" s="1253"/>
      <c r="E29" s="1254"/>
      <c r="F29" s="1253" t="e">
        <f t="shared" si="3"/>
        <v>#VALUE!</v>
      </c>
      <c r="G29" s="1253" t="e">
        <f t="shared" si="3"/>
        <v>#VALUE!</v>
      </c>
      <c r="H29" s="1253">
        <f t="shared" si="3"/>
        <v>0</v>
      </c>
    </row>
    <row r="30" spans="1:8" x14ac:dyDescent="0.2">
      <c r="A30" s="1253">
        <v>2019</v>
      </c>
      <c r="B30" s="1253"/>
      <c r="C30" s="1253"/>
      <c r="D30" s="1253"/>
      <c r="E30" s="1254"/>
      <c r="F30" s="1253" t="e">
        <f t="shared" si="3"/>
        <v>#VALUE!</v>
      </c>
      <c r="G30" s="1253" t="e">
        <f t="shared" si="3"/>
        <v>#VALUE!</v>
      </c>
      <c r="H30" s="1253">
        <f t="shared" si="3"/>
        <v>0</v>
      </c>
    </row>
    <row r="31" spans="1:8" x14ac:dyDescent="0.2">
      <c r="A31" s="1253">
        <v>2020</v>
      </c>
      <c r="B31" s="1253"/>
      <c r="C31" s="1253"/>
      <c r="D31" s="1253"/>
      <c r="E31" s="1254"/>
      <c r="F31" s="1253" t="e">
        <f t="shared" si="3"/>
        <v>#VALUE!</v>
      </c>
      <c r="G31" s="1253" t="e">
        <f t="shared" si="3"/>
        <v>#VALUE!</v>
      </c>
      <c r="H31" s="1253">
        <f t="shared" si="3"/>
        <v>0</v>
      </c>
    </row>
    <row r="32" spans="1:8" x14ac:dyDescent="0.2">
      <c r="A32" s="1253">
        <v>2021</v>
      </c>
      <c r="B32" s="1253"/>
      <c r="C32" s="1253"/>
      <c r="D32" s="1253"/>
      <c r="E32" s="1254"/>
      <c r="F32" s="1253" t="e">
        <f t="shared" si="3"/>
        <v>#VALUE!</v>
      </c>
      <c r="G32" s="1253" t="e">
        <f t="shared" si="3"/>
        <v>#VALUE!</v>
      </c>
      <c r="H32" s="1253">
        <f t="shared" si="3"/>
        <v>0</v>
      </c>
    </row>
    <row r="33" spans="1:8" x14ac:dyDescent="0.2">
      <c r="A33" s="1253">
        <v>2022</v>
      </c>
      <c r="B33" s="1253"/>
      <c r="C33" s="1253"/>
      <c r="D33" s="1253"/>
      <c r="E33" s="1254"/>
      <c r="F33" s="1253" t="e">
        <f t="shared" si="3"/>
        <v>#VALUE!</v>
      </c>
      <c r="G33" s="1253" t="e">
        <f t="shared" si="3"/>
        <v>#VALUE!</v>
      </c>
      <c r="H33" s="1253">
        <f t="shared" si="3"/>
        <v>0</v>
      </c>
    </row>
    <row r="34" spans="1:8" x14ac:dyDescent="0.2">
      <c r="A34" s="1253">
        <v>2023</v>
      </c>
      <c r="B34" s="1253"/>
      <c r="C34" s="1253"/>
      <c r="D34" s="1253"/>
      <c r="E34" s="1254"/>
      <c r="F34" s="1253" t="e">
        <f t="shared" si="3"/>
        <v>#VALUE!</v>
      </c>
      <c r="G34" s="1253" t="e">
        <f t="shared" si="3"/>
        <v>#VALUE!</v>
      </c>
      <c r="H34" s="1253">
        <f t="shared" si="3"/>
        <v>0</v>
      </c>
    </row>
    <row r="35" spans="1:8" x14ac:dyDescent="0.2">
      <c r="A35" s="1253">
        <v>2024</v>
      </c>
      <c r="B35" s="1253"/>
      <c r="C35" s="1253"/>
      <c r="D35" s="1253"/>
      <c r="E35" s="1254"/>
      <c r="F35" s="1253" t="e">
        <f t="shared" si="3"/>
        <v>#VALUE!</v>
      </c>
      <c r="G35" s="1253" t="e">
        <f t="shared" si="3"/>
        <v>#VALUE!</v>
      </c>
      <c r="H35" s="1253">
        <f t="shared" si="3"/>
        <v>0</v>
      </c>
    </row>
    <row r="36" spans="1:8" x14ac:dyDescent="0.2">
      <c r="A36" s="1253">
        <v>2025</v>
      </c>
      <c r="B36" s="1253"/>
      <c r="C36" s="1253"/>
      <c r="D36" s="1253"/>
      <c r="E36" s="1254"/>
      <c r="F36" s="1253" t="e">
        <f t="shared" si="3"/>
        <v>#VALUE!</v>
      </c>
      <c r="G36" s="1253" t="e">
        <f t="shared" si="3"/>
        <v>#VALUE!</v>
      </c>
      <c r="H36" s="1253">
        <f t="shared" si="3"/>
        <v>0</v>
      </c>
    </row>
    <row r="37" spans="1:8" x14ac:dyDescent="0.2">
      <c r="A37" s="1253">
        <v>2026</v>
      </c>
      <c r="B37" s="1253"/>
      <c r="C37" s="1253"/>
      <c r="D37" s="1253"/>
      <c r="E37" s="1254"/>
      <c r="F37" s="1253" t="e">
        <f t="shared" si="3"/>
        <v>#VALUE!</v>
      </c>
      <c r="G37" s="1253" t="e">
        <f t="shared" si="3"/>
        <v>#VALUE!</v>
      </c>
      <c r="H37" s="1253">
        <f t="shared" si="3"/>
        <v>0</v>
      </c>
    </row>
    <row r="38" spans="1:8" x14ac:dyDescent="0.2">
      <c r="A38" s="1253">
        <v>2027</v>
      </c>
      <c r="B38" s="1253"/>
      <c r="C38" s="1253"/>
      <c r="D38" s="1253"/>
      <c r="E38" s="1254"/>
      <c r="F38" s="1253" t="e">
        <f t="shared" ref="F38:H52" si="4">B38+F37</f>
        <v>#VALUE!</v>
      </c>
      <c r="G38" s="1253" t="e">
        <f t="shared" si="4"/>
        <v>#VALUE!</v>
      </c>
      <c r="H38" s="1253">
        <f t="shared" si="4"/>
        <v>0</v>
      </c>
    </row>
    <row r="39" spans="1:8" x14ac:dyDescent="0.2">
      <c r="A39" s="1253">
        <v>2028</v>
      </c>
      <c r="B39" s="1253"/>
      <c r="C39" s="1253"/>
      <c r="D39" s="1253"/>
      <c r="E39" s="1254"/>
      <c r="F39" s="1253" t="e">
        <f t="shared" si="4"/>
        <v>#VALUE!</v>
      </c>
      <c r="G39" s="1253" t="e">
        <f t="shared" si="4"/>
        <v>#VALUE!</v>
      </c>
      <c r="H39" s="1253">
        <f t="shared" si="4"/>
        <v>0</v>
      </c>
    </row>
    <row r="40" spans="1:8" x14ac:dyDescent="0.2">
      <c r="A40" s="1253">
        <v>2029</v>
      </c>
      <c r="B40" s="1253"/>
      <c r="C40" s="1253"/>
      <c r="D40" s="1253"/>
      <c r="E40" s="1254"/>
      <c r="F40" s="1253" t="e">
        <f t="shared" si="4"/>
        <v>#VALUE!</v>
      </c>
      <c r="G40" s="1253" t="e">
        <f t="shared" si="4"/>
        <v>#VALUE!</v>
      </c>
      <c r="H40" s="1253">
        <f t="shared" si="4"/>
        <v>0</v>
      </c>
    </row>
    <row r="41" spans="1:8" x14ac:dyDescent="0.2">
      <c r="A41" s="1253">
        <v>2030</v>
      </c>
      <c r="B41" s="1253"/>
      <c r="C41" s="1253"/>
      <c r="D41" s="1253"/>
      <c r="E41" s="1254"/>
      <c r="F41" s="1253" t="e">
        <f t="shared" si="4"/>
        <v>#VALUE!</v>
      </c>
      <c r="G41" s="1253" t="e">
        <f t="shared" si="4"/>
        <v>#VALUE!</v>
      </c>
      <c r="H41" s="1253">
        <f t="shared" si="4"/>
        <v>0</v>
      </c>
    </row>
    <row r="42" spans="1:8" x14ac:dyDescent="0.2">
      <c r="A42" s="1253">
        <v>2031</v>
      </c>
      <c r="B42" s="1253"/>
      <c r="C42" s="1253"/>
      <c r="D42" s="1253"/>
      <c r="E42" s="1254"/>
      <c r="F42" s="1253" t="e">
        <f t="shared" si="4"/>
        <v>#VALUE!</v>
      </c>
      <c r="G42" s="1253" t="e">
        <f t="shared" si="4"/>
        <v>#VALUE!</v>
      </c>
      <c r="H42" s="1253">
        <f t="shared" si="4"/>
        <v>0</v>
      </c>
    </row>
    <row r="43" spans="1:8" x14ac:dyDescent="0.2">
      <c r="A43" s="1253">
        <v>2032</v>
      </c>
      <c r="B43" s="1253"/>
      <c r="C43" s="1253"/>
      <c r="D43" s="1253"/>
      <c r="E43" s="1254"/>
      <c r="F43" s="1253" t="e">
        <f t="shared" si="4"/>
        <v>#VALUE!</v>
      </c>
      <c r="G43" s="1253" t="e">
        <f t="shared" si="4"/>
        <v>#VALUE!</v>
      </c>
      <c r="H43" s="1253">
        <f t="shared" si="4"/>
        <v>0</v>
      </c>
    </row>
    <row r="44" spans="1:8" x14ac:dyDescent="0.2">
      <c r="A44" s="1253">
        <v>2033</v>
      </c>
      <c r="B44" s="1253"/>
      <c r="C44" s="1253"/>
      <c r="D44" s="1253"/>
      <c r="E44" s="1254"/>
      <c r="F44" s="1253" t="e">
        <f t="shared" si="4"/>
        <v>#VALUE!</v>
      </c>
      <c r="G44" s="1253" t="e">
        <f t="shared" si="4"/>
        <v>#VALUE!</v>
      </c>
      <c r="H44" s="1253">
        <f t="shared" si="4"/>
        <v>0</v>
      </c>
    </row>
    <row r="45" spans="1:8" x14ac:dyDescent="0.2">
      <c r="A45" s="1253">
        <v>2034</v>
      </c>
      <c r="B45" s="1253"/>
      <c r="C45" s="1253"/>
      <c r="D45" s="1253"/>
      <c r="E45" s="1254"/>
      <c r="F45" s="1253" t="e">
        <f t="shared" si="4"/>
        <v>#VALUE!</v>
      </c>
      <c r="G45" s="1253" t="e">
        <f t="shared" si="4"/>
        <v>#VALUE!</v>
      </c>
      <c r="H45" s="1253">
        <f t="shared" si="4"/>
        <v>0</v>
      </c>
    </row>
    <row r="46" spans="1:8" x14ac:dyDescent="0.2">
      <c r="A46" s="1256">
        <v>2035</v>
      </c>
      <c r="B46" s="1253"/>
      <c r="C46" s="1253"/>
      <c r="D46" s="1253"/>
      <c r="E46" s="1254"/>
      <c r="F46" s="1253" t="e">
        <f t="shared" si="4"/>
        <v>#VALUE!</v>
      </c>
      <c r="G46" s="1253" t="e">
        <f t="shared" si="4"/>
        <v>#VALUE!</v>
      </c>
      <c r="H46" s="1253">
        <f t="shared" si="4"/>
        <v>0</v>
      </c>
    </row>
    <row r="47" spans="1:8" x14ac:dyDescent="0.2">
      <c r="A47" s="1253">
        <v>2036</v>
      </c>
      <c r="B47" s="1253"/>
      <c r="C47" s="1253"/>
      <c r="D47" s="1253"/>
      <c r="E47" s="1254"/>
      <c r="F47" s="1253" t="e">
        <f t="shared" si="4"/>
        <v>#VALUE!</v>
      </c>
      <c r="G47" s="1253" t="e">
        <f t="shared" si="4"/>
        <v>#VALUE!</v>
      </c>
      <c r="H47" s="1253">
        <f t="shared" si="4"/>
        <v>0</v>
      </c>
    </row>
    <row r="48" spans="1:8" x14ac:dyDescent="0.2">
      <c r="A48" s="1253">
        <v>2037</v>
      </c>
      <c r="B48" s="1253"/>
      <c r="C48" s="1253"/>
      <c r="D48" s="1253"/>
      <c r="E48" s="1254"/>
      <c r="F48" s="1253" t="e">
        <f t="shared" si="4"/>
        <v>#VALUE!</v>
      </c>
      <c r="G48" s="1253" t="e">
        <f t="shared" si="4"/>
        <v>#VALUE!</v>
      </c>
      <c r="H48" s="1253">
        <f t="shared" si="4"/>
        <v>0</v>
      </c>
    </row>
    <row r="49" spans="1:8" x14ac:dyDescent="0.2">
      <c r="A49" s="1253">
        <v>2038</v>
      </c>
      <c r="B49" s="1253"/>
      <c r="C49" s="1253"/>
      <c r="D49" s="1253"/>
      <c r="E49" s="1254"/>
      <c r="F49" s="1253" t="e">
        <f t="shared" si="4"/>
        <v>#VALUE!</v>
      </c>
      <c r="G49" s="1253" t="e">
        <f t="shared" si="4"/>
        <v>#VALUE!</v>
      </c>
      <c r="H49" s="1253">
        <f t="shared" si="4"/>
        <v>0</v>
      </c>
    </row>
    <row r="50" spans="1:8" x14ac:dyDescent="0.2">
      <c r="A50" s="1253">
        <v>2039</v>
      </c>
      <c r="B50" s="1253"/>
      <c r="C50" s="1253"/>
      <c r="D50" s="1253"/>
      <c r="E50" s="1254"/>
      <c r="F50" s="1253" t="e">
        <f t="shared" si="4"/>
        <v>#VALUE!</v>
      </c>
      <c r="G50" s="1253" t="e">
        <f t="shared" si="4"/>
        <v>#VALUE!</v>
      </c>
      <c r="H50" s="1253">
        <f t="shared" si="4"/>
        <v>0</v>
      </c>
    </row>
    <row r="51" spans="1:8" x14ac:dyDescent="0.2">
      <c r="A51" s="1253">
        <v>2040</v>
      </c>
      <c r="B51" s="1253"/>
      <c r="C51" s="1253"/>
      <c r="D51" s="1253"/>
      <c r="E51" s="1254"/>
      <c r="F51" s="1253" t="e">
        <f t="shared" si="4"/>
        <v>#VALUE!</v>
      </c>
      <c r="G51" s="1253" t="e">
        <f t="shared" si="4"/>
        <v>#VALUE!</v>
      </c>
      <c r="H51" s="1253">
        <f t="shared" si="4"/>
        <v>0</v>
      </c>
    </row>
    <row r="52" spans="1:8" x14ac:dyDescent="0.2">
      <c r="A52" s="1253">
        <v>2041</v>
      </c>
      <c r="B52" s="1253"/>
      <c r="C52" s="1253"/>
      <c r="D52" s="1253"/>
      <c r="E52" s="1254"/>
      <c r="F52" s="1253" t="e">
        <f t="shared" si="4"/>
        <v>#VALUE!</v>
      </c>
      <c r="G52" s="1253" t="e">
        <f t="shared" si="4"/>
        <v>#VALUE!</v>
      </c>
      <c r="H52" s="1253">
        <f t="shared" si="4"/>
        <v>0</v>
      </c>
    </row>
  </sheetData>
  <mergeCells count="4">
    <mergeCell ref="A1:A3"/>
    <mergeCell ref="B1:H1"/>
    <mergeCell ref="B2:D2"/>
    <mergeCell ref="F2:H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FF"/>
  </sheetPr>
  <dimension ref="A1:X62"/>
  <sheetViews>
    <sheetView workbookViewId="0">
      <pane xSplit="1" ySplit="5" topLeftCell="B22"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211</v>
      </c>
      <c r="C2" s="27" t="s">
        <v>321</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c r="D6" s="15"/>
      <c r="E6" s="15"/>
      <c r="F6" s="15"/>
      <c r="G6" s="15"/>
      <c r="H6" s="15"/>
      <c r="I6" s="31"/>
      <c r="J6" s="37"/>
      <c r="K6" s="59"/>
      <c r="L6" s="6"/>
      <c r="M6" s="46"/>
      <c r="N6" s="40"/>
      <c r="O6" s="55"/>
      <c r="P6" s="57"/>
      <c r="Q6" s="41"/>
      <c r="R6" s="43"/>
      <c r="S6" s="24"/>
      <c r="T6" s="21"/>
      <c r="U6" s="47"/>
      <c r="V6" s="3"/>
    </row>
    <row r="7" spans="1:24" s="1" customFormat="1" ht="15.75" customHeight="1" x14ac:dyDescent="0.2">
      <c r="A7" s="68" t="s">
        <v>63</v>
      </c>
      <c r="B7" s="30"/>
      <c r="C7" s="50"/>
      <c r="D7" s="15"/>
      <c r="E7" s="15"/>
      <c r="F7" s="15"/>
      <c r="G7" s="15"/>
      <c r="H7" s="15"/>
      <c r="I7" s="31"/>
      <c r="J7" s="37"/>
      <c r="K7" s="59"/>
      <c r="L7" s="6"/>
      <c r="M7" s="46"/>
      <c r="N7" s="40"/>
      <c r="O7" s="55"/>
      <c r="P7" s="57"/>
      <c r="Q7" s="41"/>
      <c r="R7" s="43"/>
      <c r="S7" s="24"/>
      <c r="T7" s="21"/>
      <c r="U7" s="47"/>
      <c r="V7" s="3"/>
    </row>
    <row r="8" spans="1:24" x14ac:dyDescent="0.2">
      <c r="A8" s="33">
        <v>1995</v>
      </c>
      <c r="B8" s="30"/>
      <c r="C8" s="64"/>
      <c r="D8" s="63"/>
      <c r="E8" s="63"/>
      <c r="F8" s="63"/>
      <c r="G8" s="87"/>
      <c r="H8" s="87"/>
      <c r="I8" s="88"/>
      <c r="J8" s="61"/>
      <c r="K8" s="59"/>
      <c r="L8" s="59"/>
      <c r="M8" s="60"/>
      <c r="N8" s="51"/>
      <c r="O8" s="55"/>
      <c r="P8" s="55"/>
      <c r="Q8" s="56"/>
      <c r="R8" s="247"/>
      <c r="S8" s="24"/>
      <c r="T8" s="25"/>
      <c r="U8" s="53"/>
      <c r="V8" s="248"/>
      <c r="X8" s="1"/>
    </row>
    <row r="9" spans="1:24" x14ac:dyDescent="0.2">
      <c r="A9" s="33">
        <v>1996</v>
      </c>
      <c r="B9" s="30"/>
      <c r="C9" s="64"/>
      <c r="D9" s="63"/>
      <c r="E9" s="63"/>
      <c r="F9" s="63"/>
      <c r="G9" s="62"/>
      <c r="H9" s="62"/>
      <c r="I9" s="67"/>
      <c r="J9" s="61"/>
      <c r="K9" s="59"/>
      <c r="L9" s="59"/>
      <c r="M9" s="60"/>
      <c r="N9" s="54"/>
      <c r="O9" s="55"/>
      <c r="P9" s="55"/>
      <c r="Q9" s="56"/>
      <c r="R9" s="247"/>
      <c r="S9" s="24"/>
      <c r="T9" s="25"/>
      <c r="U9" s="53"/>
      <c r="V9" s="10"/>
      <c r="X9" s="1"/>
    </row>
    <row r="10" spans="1:24" x14ac:dyDescent="0.2">
      <c r="A10" s="33">
        <v>1997</v>
      </c>
      <c r="B10" s="30"/>
      <c r="C10" s="64"/>
      <c r="D10" s="63"/>
      <c r="E10" s="63"/>
      <c r="F10" s="63"/>
      <c r="G10" s="62"/>
      <c r="H10" s="62"/>
      <c r="I10" s="67"/>
      <c r="J10" s="61"/>
      <c r="K10" s="59"/>
      <c r="L10" s="59"/>
      <c r="M10" s="60"/>
      <c r="N10" s="54"/>
      <c r="O10" s="55"/>
      <c r="P10" s="55"/>
      <c r="Q10" s="56"/>
      <c r="R10" s="247"/>
      <c r="S10" s="24"/>
      <c r="T10" s="25"/>
      <c r="U10" s="53"/>
      <c r="V10" s="10"/>
      <c r="X10" s="1"/>
    </row>
    <row r="11" spans="1:24" x14ac:dyDescent="0.2">
      <c r="A11" s="33">
        <v>1998</v>
      </c>
      <c r="B11" s="30"/>
      <c r="C11" s="64"/>
      <c r="D11" s="63"/>
      <c r="E11" s="63"/>
      <c r="F11" s="63"/>
      <c r="G11" s="62"/>
      <c r="H11" s="62"/>
      <c r="I11" s="67"/>
      <c r="J11" s="61"/>
      <c r="K11" s="59"/>
      <c r="L11" s="59"/>
      <c r="M11" s="60"/>
      <c r="N11" s="54"/>
      <c r="O11" s="55"/>
      <c r="P11" s="55"/>
      <c r="Q11" s="56"/>
      <c r="R11" s="247"/>
      <c r="S11" s="24"/>
      <c r="T11" s="25"/>
      <c r="U11" s="53"/>
      <c r="V11" s="10"/>
      <c r="X11" s="1"/>
    </row>
    <row r="12" spans="1:24" x14ac:dyDescent="0.2">
      <c r="A12" s="33">
        <v>1999</v>
      </c>
      <c r="B12" s="30"/>
      <c r="C12" s="64"/>
      <c r="D12" s="63"/>
      <c r="E12" s="63"/>
      <c r="F12" s="63"/>
      <c r="G12" s="62"/>
      <c r="H12" s="62"/>
      <c r="I12" s="67"/>
      <c r="J12" s="61"/>
      <c r="K12" s="59"/>
      <c r="L12" s="59"/>
      <c r="M12" s="60"/>
      <c r="N12" s="54"/>
      <c r="O12" s="55"/>
      <c r="P12" s="55"/>
      <c r="Q12" s="56"/>
      <c r="R12" s="247"/>
      <c r="S12" s="24"/>
      <c r="T12" s="25"/>
      <c r="U12" s="53"/>
      <c r="V12" s="10"/>
      <c r="X12" s="1"/>
    </row>
    <row r="13" spans="1:24" x14ac:dyDescent="0.2">
      <c r="A13" s="33">
        <v>2000</v>
      </c>
      <c r="B13" s="30"/>
      <c r="C13" s="64"/>
      <c r="D13" s="63"/>
      <c r="E13" s="63"/>
      <c r="F13" s="63"/>
      <c r="G13" s="62"/>
      <c r="H13" s="62"/>
      <c r="I13" s="67"/>
      <c r="J13" s="61"/>
      <c r="K13" s="59"/>
      <c r="L13" s="59"/>
      <c r="M13" s="60"/>
      <c r="N13" s="54"/>
      <c r="O13" s="55"/>
      <c r="P13" s="55"/>
      <c r="Q13" s="56"/>
      <c r="R13" s="247"/>
      <c r="S13" s="24"/>
      <c r="T13" s="25"/>
      <c r="U13" s="53"/>
      <c r="V13" s="248"/>
      <c r="X13" s="1"/>
    </row>
    <row r="14" spans="1:24" x14ac:dyDescent="0.2">
      <c r="A14" s="33">
        <v>2001</v>
      </c>
      <c r="B14" s="30"/>
      <c r="C14" s="64"/>
      <c r="D14" s="63"/>
      <c r="E14" s="63"/>
      <c r="F14" s="63"/>
      <c r="G14" s="62"/>
      <c r="H14" s="62"/>
      <c r="I14" s="67"/>
      <c r="J14" s="61"/>
      <c r="K14" s="59"/>
      <c r="L14" s="59"/>
      <c r="M14" s="60"/>
      <c r="N14" s="54"/>
      <c r="O14" s="55"/>
      <c r="P14" s="55"/>
      <c r="Q14" s="56"/>
      <c r="R14" s="247"/>
      <c r="S14" s="24"/>
      <c r="T14" s="25"/>
      <c r="U14" s="53"/>
      <c r="V14" s="248"/>
      <c r="X14" s="1"/>
    </row>
    <row r="15" spans="1:24" x14ac:dyDescent="0.2">
      <c r="A15" s="33">
        <v>2002</v>
      </c>
      <c r="B15" s="30"/>
      <c r="C15" s="64"/>
      <c r="D15" s="63"/>
      <c r="E15" s="63"/>
      <c r="F15" s="63"/>
      <c r="G15" s="62"/>
      <c r="H15" s="62"/>
      <c r="I15" s="67"/>
      <c r="J15" s="61"/>
      <c r="K15" s="59"/>
      <c r="L15" s="59"/>
      <c r="M15" s="60"/>
      <c r="N15" s="54"/>
      <c r="O15" s="55"/>
      <c r="P15" s="55"/>
      <c r="Q15" s="56"/>
      <c r="R15" s="247"/>
      <c r="S15" s="24"/>
      <c r="T15" s="25"/>
      <c r="U15" s="53"/>
      <c r="V15" s="248"/>
      <c r="X15" s="1"/>
    </row>
    <row r="16" spans="1:24" x14ac:dyDescent="0.2">
      <c r="A16" s="33">
        <v>2003</v>
      </c>
      <c r="B16" s="30"/>
      <c r="C16" s="64"/>
      <c r="D16" s="63"/>
      <c r="E16" s="63"/>
      <c r="F16" s="63"/>
      <c r="G16" s="62"/>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64"/>
      <c r="D17" s="63"/>
      <c r="E17" s="63"/>
      <c r="F17" s="63"/>
      <c r="G17" s="62"/>
      <c r="H17" s="62"/>
      <c r="I17" s="67"/>
      <c r="J17" s="61"/>
      <c r="K17" s="59"/>
      <c r="L17" s="59"/>
      <c r="M17" s="60"/>
      <c r="N17" s="54"/>
      <c r="O17" s="55"/>
      <c r="P17" s="55"/>
      <c r="Q17" s="56"/>
      <c r="R17" s="247"/>
      <c r="S17" s="24"/>
      <c r="T17" s="25"/>
      <c r="U17" s="53"/>
      <c r="V17" s="248"/>
      <c r="X17" s="1"/>
    </row>
    <row r="18" spans="1:24" x14ac:dyDescent="0.2">
      <c r="A18" s="33">
        <f t="shared" si="0"/>
        <v>2005</v>
      </c>
      <c r="B18" s="30"/>
      <c r="C18" s="64"/>
      <c r="D18" s="63"/>
      <c r="E18" s="63"/>
      <c r="F18" s="63"/>
      <c r="G18" s="62"/>
      <c r="H18" s="62"/>
      <c r="I18" s="67"/>
      <c r="J18" s="61"/>
      <c r="K18" s="59"/>
      <c r="L18" s="59"/>
      <c r="M18" s="60"/>
      <c r="N18" s="54"/>
      <c r="O18" s="55"/>
      <c r="P18" s="55"/>
      <c r="Q18" s="56"/>
      <c r="R18" s="247"/>
      <c r="S18" s="24"/>
      <c r="T18" s="25"/>
      <c r="U18" s="53"/>
      <c r="V18" s="248"/>
      <c r="X18" s="1"/>
    </row>
    <row r="19" spans="1:24" x14ac:dyDescent="0.2">
      <c r="A19" s="33">
        <f t="shared" si="0"/>
        <v>2006</v>
      </c>
      <c r="B19" s="30"/>
      <c r="C19" s="64"/>
      <c r="D19" s="63"/>
      <c r="E19" s="63"/>
      <c r="F19" s="63"/>
      <c r="G19" s="62"/>
      <c r="H19" s="62"/>
      <c r="I19" s="67"/>
      <c r="J19" s="61"/>
      <c r="K19" s="59"/>
      <c r="L19" s="59"/>
      <c r="M19" s="60"/>
      <c r="N19" s="54"/>
      <c r="O19" s="55"/>
      <c r="P19" s="55"/>
      <c r="Q19" s="56"/>
      <c r="R19" s="247"/>
      <c r="S19" s="24"/>
      <c r="T19" s="25"/>
      <c r="U19" s="53"/>
      <c r="V19" s="804"/>
      <c r="X19" s="1"/>
    </row>
    <row r="20" spans="1:24" x14ac:dyDescent="0.2">
      <c r="A20" s="33">
        <f t="shared" si="0"/>
        <v>2007</v>
      </c>
      <c r="B20" s="30"/>
      <c r="C20" s="64"/>
      <c r="D20" s="63"/>
      <c r="E20" s="63"/>
      <c r="F20" s="63"/>
      <c r="G20" s="62"/>
      <c r="H20" s="62"/>
      <c r="I20" s="62"/>
      <c r="J20" s="61"/>
      <c r="K20" s="59"/>
      <c r="L20" s="59"/>
      <c r="M20" s="60"/>
      <c r="N20" s="54"/>
      <c r="O20" s="55"/>
      <c r="P20" s="55"/>
      <c r="Q20" s="56"/>
      <c r="R20" s="247"/>
      <c r="S20" s="24"/>
      <c r="T20" s="25"/>
      <c r="U20" s="53"/>
    </row>
    <row r="21" spans="1:24" x14ac:dyDescent="0.2">
      <c r="A21" s="33">
        <f t="shared" si="0"/>
        <v>2008</v>
      </c>
      <c r="B21" s="30"/>
      <c r="C21" s="64"/>
      <c r="D21" s="63"/>
      <c r="E21" s="63"/>
      <c r="F21" s="63"/>
      <c r="G21" s="62"/>
      <c r="H21" s="62"/>
      <c r="I21" s="67"/>
      <c r="J21" s="61"/>
      <c r="K21" s="59"/>
      <c r="L21" s="59"/>
      <c r="M21" s="60"/>
      <c r="N21" s="54"/>
      <c r="O21" s="55"/>
      <c r="P21" s="55"/>
      <c r="Q21" s="56"/>
      <c r="R21" s="247"/>
      <c r="S21" s="24"/>
      <c r="T21" s="25"/>
      <c r="U21" s="53"/>
    </row>
    <row r="22" spans="1:24" x14ac:dyDescent="0.2">
      <c r="A22" s="33">
        <f t="shared" si="0"/>
        <v>2009</v>
      </c>
      <c r="B22" s="30"/>
      <c r="C22" s="660"/>
      <c r="D22" s="807">
        <v>0</v>
      </c>
      <c r="E22" s="808">
        <v>0</v>
      </c>
      <c r="F22" s="806">
        <v>0</v>
      </c>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39" si="1">+C22+B23</f>
        <v>0</v>
      </c>
      <c r="D23" s="807">
        <f t="shared" ref="D23:F38" si="2">+D22</f>
        <v>0</v>
      </c>
      <c r="E23" s="808">
        <f t="shared" si="2"/>
        <v>0</v>
      </c>
      <c r="F23" s="806">
        <f t="shared" si="2"/>
        <v>0</v>
      </c>
      <c r="G23" s="626">
        <f t="shared" ref="G23:H39" si="3">+$B23*D23/1000</f>
        <v>0</v>
      </c>
      <c r="H23" s="72">
        <f t="shared" si="3"/>
        <v>0</v>
      </c>
      <c r="I23" s="630">
        <f t="shared" ref="I23:I39" si="4">+$B23*F23/1000000</f>
        <v>0</v>
      </c>
      <c r="J23" s="61">
        <f t="shared" ref="J23:J39" si="5">+(B23+B22)/2</f>
        <v>0</v>
      </c>
      <c r="K23" s="188">
        <f t="shared" ref="K23:K39" si="6">+D23</f>
        <v>0</v>
      </c>
      <c r="L23" s="188">
        <f t="shared" ref="L23:L39" si="7">+J23*K23/1000</f>
        <v>0</v>
      </c>
      <c r="M23" s="188">
        <f t="shared" ref="M23:M39" si="8">+M22+L23</f>
        <v>0</v>
      </c>
      <c r="N23" s="54">
        <f t="shared" ref="N23:N39" si="9">+B22</f>
        <v>0</v>
      </c>
      <c r="O23" s="670">
        <f t="shared" ref="O23:O39" si="10">+E23</f>
        <v>0</v>
      </c>
      <c r="P23" s="670">
        <f t="shared" ref="P23:P39" si="11">+N23*O23/1000</f>
        <v>0</v>
      </c>
      <c r="Q23" s="670">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0</v>
      </c>
      <c r="C24" s="661">
        <f t="shared" si="1"/>
        <v>0</v>
      </c>
      <c r="D24" s="807">
        <f t="shared" si="2"/>
        <v>0</v>
      </c>
      <c r="E24" s="808">
        <f t="shared" si="2"/>
        <v>0</v>
      </c>
      <c r="F24" s="806">
        <f t="shared" si="2"/>
        <v>0</v>
      </c>
      <c r="G24" s="626">
        <f t="shared" si="3"/>
        <v>0</v>
      </c>
      <c r="H24" s="72">
        <f t="shared" si="3"/>
        <v>0</v>
      </c>
      <c r="I24" s="630">
        <f t="shared" si="4"/>
        <v>0</v>
      </c>
      <c r="J24" s="61">
        <f t="shared" si="5"/>
        <v>0</v>
      </c>
      <c r="K24" s="188">
        <f t="shared" si="6"/>
        <v>0</v>
      </c>
      <c r="L24" s="188">
        <f t="shared" si="7"/>
        <v>0</v>
      </c>
      <c r="M24" s="188">
        <f t="shared" si="8"/>
        <v>0</v>
      </c>
      <c r="N24" s="54">
        <f t="shared" si="9"/>
        <v>0</v>
      </c>
      <c r="O24" s="670">
        <f t="shared" si="10"/>
        <v>0</v>
      </c>
      <c r="P24" s="670">
        <f t="shared" si="11"/>
        <v>0</v>
      </c>
      <c r="Q24" s="670">
        <f t="shared" si="12"/>
        <v>0</v>
      </c>
      <c r="R24" s="247">
        <f t="shared" si="13"/>
        <v>0</v>
      </c>
      <c r="S24" s="24">
        <f t="shared" si="14"/>
        <v>0</v>
      </c>
      <c r="T24" s="25">
        <f t="shared" si="15"/>
        <v>0</v>
      </c>
      <c r="U24" s="654">
        <f t="shared" si="16"/>
        <v>0</v>
      </c>
    </row>
    <row r="25" spans="1:24" x14ac:dyDescent="0.2">
      <c r="A25" s="33">
        <f t="shared" si="0"/>
        <v>2012</v>
      </c>
      <c r="B25" s="30">
        <v>0</v>
      </c>
      <c r="C25" s="661">
        <f t="shared" si="1"/>
        <v>0</v>
      </c>
      <c r="D25" s="807">
        <f t="shared" si="2"/>
        <v>0</v>
      </c>
      <c r="E25" s="808">
        <f t="shared" si="2"/>
        <v>0</v>
      </c>
      <c r="F25" s="806">
        <f t="shared" si="2"/>
        <v>0</v>
      </c>
      <c r="G25" s="626">
        <f t="shared" si="3"/>
        <v>0</v>
      </c>
      <c r="H25" s="72">
        <f t="shared" si="3"/>
        <v>0</v>
      </c>
      <c r="I25" s="630">
        <f t="shared" si="4"/>
        <v>0</v>
      </c>
      <c r="J25" s="61">
        <f t="shared" si="5"/>
        <v>0</v>
      </c>
      <c r="K25" s="188">
        <f t="shared" si="6"/>
        <v>0</v>
      </c>
      <c r="L25" s="188">
        <f t="shared" si="7"/>
        <v>0</v>
      </c>
      <c r="M25" s="188">
        <f t="shared" si="8"/>
        <v>0</v>
      </c>
      <c r="N25" s="54">
        <f t="shared" si="9"/>
        <v>0</v>
      </c>
      <c r="O25" s="670">
        <f t="shared" si="10"/>
        <v>0</v>
      </c>
      <c r="P25" s="670">
        <f t="shared" si="11"/>
        <v>0</v>
      </c>
      <c r="Q25" s="670">
        <f t="shared" si="12"/>
        <v>0</v>
      </c>
      <c r="R25" s="247">
        <f t="shared" si="13"/>
        <v>0</v>
      </c>
      <c r="S25" s="24">
        <f t="shared" si="14"/>
        <v>0</v>
      </c>
      <c r="T25" s="25">
        <f t="shared" si="15"/>
        <v>0</v>
      </c>
      <c r="U25" s="654">
        <f t="shared" si="16"/>
        <v>0</v>
      </c>
    </row>
    <row r="26" spans="1:24" x14ac:dyDescent="0.2">
      <c r="A26" s="33">
        <f t="shared" si="0"/>
        <v>2013</v>
      </c>
      <c r="B26" s="30">
        <v>0</v>
      </c>
      <c r="C26" s="619">
        <f t="shared" si="1"/>
        <v>0</v>
      </c>
      <c r="D26" s="807">
        <f t="shared" si="2"/>
        <v>0</v>
      </c>
      <c r="E26" s="808">
        <f t="shared" si="2"/>
        <v>0</v>
      </c>
      <c r="F26" s="806">
        <f t="shared" si="2"/>
        <v>0</v>
      </c>
      <c r="G26" s="626">
        <f t="shared" si="3"/>
        <v>0</v>
      </c>
      <c r="H26" s="72">
        <f t="shared" si="3"/>
        <v>0</v>
      </c>
      <c r="I26" s="630">
        <f t="shared" si="4"/>
        <v>0</v>
      </c>
      <c r="J26" s="61">
        <f t="shared" si="5"/>
        <v>0</v>
      </c>
      <c r="K26" s="188">
        <f t="shared" si="6"/>
        <v>0</v>
      </c>
      <c r="L26" s="188">
        <f t="shared" si="7"/>
        <v>0</v>
      </c>
      <c r="M26" s="829">
        <f t="shared" si="8"/>
        <v>0</v>
      </c>
      <c r="N26" s="54">
        <f t="shared" si="9"/>
        <v>0</v>
      </c>
      <c r="O26" s="670">
        <f t="shared" si="10"/>
        <v>0</v>
      </c>
      <c r="P26" s="670">
        <f t="shared" si="11"/>
        <v>0</v>
      </c>
      <c r="Q26" s="671">
        <f t="shared" si="12"/>
        <v>0</v>
      </c>
      <c r="R26" s="247">
        <f t="shared" si="13"/>
        <v>0</v>
      </c>
      <c r="S26" s="24">
        <f t="shared" si="14"/>
        <v>0</v>
      </c>
      <c r="T26" s="25">
        <f t="shared" si="15"/>
        <v>0</v>
      </c>
      <c r="U26" s="654">
        <f t="shared" si="16"/>
        <v>0</v>
      </c>
    </row>
    <row r="27" spans="1:24" x14ac:dyDescent="0.2">
      <c r="A27" s="33">
        <f t="shared" si="0"/>
        <v>2014</v>
      </c>
      <c r="B27" s="30">
        <v>0</v>
      </c>
      <c r="C27" s="1248">
        <v>8496</v>
      </c>
      <c r="D27" s="807">
        <f t="shared" si="2"/>
        <v>0</v>
      </c>
      <c r="E27" s="808">
        <f t="shared" si="2"/>
        <v>0</v>
      </c>
      <c r="F27" s="806">
        <f t="shared" si="2"/>
        <v>0</v>
      </c>
      <c r="G27" s="626">
        <f t="shared" si="3"/>
        <v>0</v>
      </c>
      <c r="H27" s="72">
        <f t="shared" si="3"/>
        <v>0</v>
      </c>
      <c r="I27" s="630">
        <f t="shared" si="4"/>
        <v>0</v>
      </c>
      <c r="J27" s="61">
        <f t="shared" si="5"/>
        <v>0</v>
      </c>
      <c r="K27" s="188">
        <f t="shared" si="6"/>
        <v>0</v>
      </c>
      <c r="L27" s="188">
        <f t="shared" si="7"/>
        <v>0</v>
      </c>
      <c r="M27" s="829">
        <f t="shared" si="8"/>
        <v>0</v>
      </c>
      <c r="N27" s="54">
        <f t="shared" si="9"/>
        <v>0</v>
      </c>
      <c r="O27" s="670">
        <f t="shared" si="10"/>
        <v>0</v>
      </c>
      <c r="P27" s="670">
        <f t="shared" si="11"/>
        <v>0</v>
      </c>
      <c r="Q27" s="671">
        <f t="shared" si="12"/>
        <v>0</v>
      </c>
      <c r="R27" s="247">
        <f t="shared" si="13"/>
        <v>0</v>
      </c>
      <c r="S27" s="24">
        <f t="shared" si="14"/>
        <v>0</v>
      </c>
      <c r="T27" s="25">
        <f t="shared" si="15"/>
        <v>0</v>
      </c>
      <c r="U27" s="654">
        <f t="shared" si="16"/>
        <v>0</v>
      </c>
    </row>
    <row r="28" spans="1:24" x14ac:dyDescent="0.2">
      <c r="A28" s="33">
        <f t="shared" si="0"/>
        <v>2015</v>
      </c>
      <c r="B28" s="30">
        <v>1811</v>
      </c>
      <c r="C28" s="619">
        <f t="shared" si="1"/>
        <v>10307</v>
      </c>
      <c r="D28" s="807">
        <f>D62</f>
        <v>0.6696355604638321</v>
      </c>
      <c r="E28" s="808">
        <f t="shared" ref="E28:F28" si="17">E62</f>
        <v>0.3715902816123689</v>
      </c>
      <c r="F28" s="806">
        <f t="shared" si="17"/>
        <v>1094.6940916620651</v>
      </c>
      <c r="G28" s="626">
        <f t="shared" si="3"/>
        <v>1.21271</v>
      </c>
      <c r="H28" s="72">
        <f t="shared" si="3"/>
        <v>0.67295000000000005</v>
      </c>
      <c r="I28" s="630">
        <f t="shared" si="4"/>
        <v>1.982491</v>
      </c>
      <c r="J28" s="61">
        <f t="shared" si="5"/>
        <v>905.5</v>
      </c>
      <c r="K28" s="188">
        <f t="shared" si="6"/>
        <v>0.6696355604638321</v>
      </c>
      <c r="L28" s="188">
        <f t="shared" si="7"/>
        <v>0.60635499999999998</v>
      </c>
      <c r="M28" s="829">
        <f t="shared" si="8"/>
        <v>0.60635499999999998</v>
      </c>
      <c r="N28" s="54">
        <f t="shared" si="9"/>
        <v>0</v>
      </c>
      <c r="O28" s="670">
        <f t="shared" si="10"/>
        <v>0.3715902816123689</v>
      </c>
      <c r="P28" s="670">
        <f t="shared" si="11"/>
        <v>0</v>
      </c>
      <c r="Q28" s="671">
        <f t="shared" si="12"/>
        <v>0</v>
      </c>
      <c r="R28" s="247">
        <f t="shared" si="13"/>
        <v>905.5</v>
      </c>
      <c r="S28" s="24">
        <f t="shared" si="14"/>
        <v>1094.6940916620651</v>
      </c>
      <c r="T28" s="25">
        <f t="shared" si="15"/>
        <v>0.9912455</v>
      </c>
      <c r="U28" s="654">
        <f t="shared" si="16"/>
        <v>0.9912455</v>
      </c>
    </row>
    <row r="29" spans="1:24" ht="13.5" thickBot="1" x14ac:dyDescent="0.25">
      <c r="A29" s="701">
        <f t="shared" si="0"/>
        <v>2016</v>
      </c>
      <c r="B29" s="702">
        <v>1417</v>
      </c>
      <c r="C29" s="703">
        <f t="shared" si="1"/>
        <v>11724</v>
      </c>
      <c r="D29" s="835">
        <v>0.311</v>
      </c>
      <c r="E29" s="835">
        <v>0.21199999999999999</v>
      </c>
      <c r="F29" s="702">
        <v>1121</v>
      </c>
      <c r="G29" s="823">
        <f t="shared" si="3"/>
        <v>0.440687</v>
      </c>
      <c r="H29" s="707">
        <f t="shared" si="3"/>
        <v>0.300404</v>
      </c>
      <c r="I29" s="824">
        <f t="shared" si="4"/>
        <v>1.588457</v>
      </c>
      <c r="J29" s="708">
        <f t="shared" si="5"/>
        <v>1614</v>
      </c>
      <c r="K29" s="825">
        <f t="shared" si="6"/>
        <v>0.311</v>
      </c>
      <c r="L29" s="825">
        <f t="shared" si="7"/>
        <v>0.50195400000000001</v>
      </c>
      <c r="M29" s="826">
        <f t="shared" si="8"/>
        <v>1.108309</v>
      </c>
      <c r="N29" s="711">
        <f t="shared" si="9"/>
        <v>1811</v>
      </c>
      <c r="O29" s="827">
        <f t="shared" si="10"/>
        <v>0.21199999999999999</v>
      </c>
      <c r="P29" s="827">
        <f t="shared" si="11"/>
        <v>0.383932</v>
      </c>
      <c r="Q29" s="828">
        <f t="shared" si="12"/>
        <v>0.383932</v>
      </c>
      <c r="R29" s="714">
        <f t="shared" si="13"/>
        <v>1614</v>
      </c>
      <c r="S29" s="715">
        <f t="shared" si="14"/>
        <v>1121</v>
      </c>
      <c r="T29" s="716">
        <f t="shared" si="15"/>
        <v>1.809294</v>
      </c>
      <c r="U29" s="717">
        <f t="shared" si="16"/>
        <v>2.8005395000000002</v>
      </c>
    </row>
    <row r="30" spans="1:24" x14ac:dyDescent="0.2">
      <c r="A30" s="33">
        <f t="shared" si="0"/>
        <v>2017</v>
      </c>
      <c r="B30" s="403">
        <v>500</v>
      </c>
      <c r="C30" s="64">
        <f t="shared" si="1"/>
        <v>12224</v>
      </c>
      <c r="D30" s="965">
        <f t="shared" si="2"/>
        <v>0.311</v>
      </c>
      <c r="E30" s="966">
        <f t="shared" si="2"/>
        <v>0.21199999999999999</v>
      </c>
      <c r="F30" s="790">
        <f t="shared" si="2"/>
        <v>1121</v>
      </c>
      <c r="G30" s="473">
        <f t="shared" si="3"/>
        <v>0.1555</v>
      </c>
      <c r="H30" s="474">
        <f t="shared" si="3"/>
        <v>0.106</v>
      </c>
      <c r="I30" s="474">
        <f t="shared" si="4"/>
        <v>0.5605</v>
      </c>
      <c r="J30" s="61">
        <f t="shared" si="5"/>
        <v>958.5</v>
      </c>
      <c r="K30" s="967">
        <f t="shared" si="6"/>
        <v>0.311</v>
      </c>
      <c r="L30" s="967">
        <f t="shared" si="7"/>
        <v>0.29809350000000001</v>
      </c>
      <c r="M30" s="967">
        <f t="shared" si="8"/>
        <v>1.4064025</v>
      </c>
      <c r="N30" s="54">
        <f t="shared" si="9"/>
        <v>1417</v>
      </c>
      <c r="O30" s="968">
        <f t="shared" si="10"/>
        <v>0.21199999999999999</v>
      </c>
      <c r="P30" s="968">
        <f t="shared" si="11"/>
        <v>0.300404</v>
      </c>
      <c r="Q30" s="969">
        <f t="shared" si="12"/>
        <v>0.68433600000000006</v>
      </c>
      <c r="R30" s="247">
        <f t="shared" si="13"/>
        <v>958.5</v>
      </c>
      <c r="S30" s="24">
        <f t="shared" si="14"/>
        <v>1121</v>
      </c>
      <c r="T30" s="970">
        <f t="shared" si="15"/>
        <v>1.0744784999999999</v>
      </c>
      <c r="U30" s="971">
        <f t="shared" si="16"/>
        <v>3.8750179999999999</v>
      </c>
    </row>
    <row r="31" spans="1:24" x14ac:dyDescent="0.2">
      <c r="A31" s="33">
        <f t="shared" si="0"/>
        <v>2018</v>
      </c>
      <c r="B31" s="403">
        <v>500</v>
      </c>
      <c r="C31" s="64">
        <f t="shared" si="1"/>
        <v>12724</v>
      </c>
      <c r="D31" s="965">
        <f t="shared" si="2"/>
        <v>0.311</v>
      </c>
      <c r="E31" s="966">
        <f t="shared" si="2"/>
        <v>0.21199999999999999</v>
      </c>
      <c r="F31" s="790">
        <f t="shared" si="2"/>
        <v>1121</v>
      </c>
      <c r="G31" s="473">
        <f t="shared" si="3"/>
        <v>0.1555</v>
      </c>
      <c r="H31" s="474">
        <f t="shared" si="3"/>
        <v>0.106</v>
      </c>
      <c r="I31" s="474">
        <f t="shared" si="4"/>
        <v>0.5605</v>
      </c>
      <c r="J31" s="61">
        <f t="shared" si="5"/>
        <v>500</v>
      </c>
      <c r="K31" s="967">
        <f t="shared" si="6"/>
        <v>0.311</v>
      </c>
      <c r="L31" s="967">
        <f t="shared" si="7"/>
        <v>0.1555</v>
      </c>
      <c r="M31" s="967">
        <f t="shared" si="8"/>
        <v>1.5619025</v>
      </c>
      <c r="N31" s="54">
        <f t="shared" si="9"/>
        <v>500</v>
      </c>
      <c r="O31" s="968">
        <f t="shared" si="10"/>
        <v>0.21199999999999999</v>
      </c>
      <c r="P31" s="968">
        <f t="shared" si="11"/>
        <v>0.106</v>
      </c>
      <c r="Q31" s="969">
        <f t="shared" si="12"/>
        <v>0.79033600000000004</v>
      </c>
      <c r="R31" s="247">
        <f t="shared" si="13"/>
        <v>500</v>
      </c>
      <c r="S31" s="24">
        <f t="shared" si="14"/>
        <v>1121</v>
      </c>
      <c r="T31" s="970">
        <f t="shared" si="15"/>
        <v>0.5605</v>
      </c>
      <c r="U31" s="971">
        <f t="shared" si="16"/>
        <v>4.4355180000000001</v>
      </c>
    </row>
    <row r="32" spans="1:24" x14ac:dyDescent="0.2">
      <c r="A32" s="33">
        <f t="shared" si="0"/>
        <v>2019</v>
      </c>
      <c r="B32" s="403">
        <v>500</v>
      </c>
      <c r="C32" s="64">
        <f t="shared" si="1"/>
        <v>13224</v>
      </c>
      <c r="D32" s="965">
        <f t="shared" si="2"/>
        <v>0.311</v>
      </c>
      <c r="E32" s="966">
        <f t="shared" si="2"/>
        <v>0.21199999999999999</v>
      </c>
      <c r="F32" s="790">
        <f t="shared" si="2"/>
        <v>1121</v>
      </c>
      <c r="G32" s="473">
        <f t="shared" si="3"/>
        <v>0.1555</v>
      </c>
      <c r="H32" s="474">
        <f t="shared" si="3"/>
        <v>0.106</v>
      </c>
      <c r="I32" s="474">
        <f t="shared" si="4"/>
        <v>0.5605</v>
      </c>
      <c r="J32" s="61">
        <f t="shared" si="5"/>
        <v>500</v>
      </c>
      <c r="K32" s="967">
        <f t="shared" si="6"/>
        <v>0.311</v>
      </c>
      <c r="L32" s="967">
        <f t="shared" si="7"/>
        <v>0.1555</v>
      </c>
      <c r="M32" s="967">
        <f t="shared" si="8"/>
        <v>1.7174024999999999</v>
      </c>
      <c r="N32" s="54">
        <f t="shared" si="9"/>
        <v>500</v>
      </c>
      <c r="O32" s="968">
        <f t="shared" si="10"/>
        <v>0.21199999999999999</v>
      </c>
      <c r="P32" s="968">
        <f t="shared" si="11"/>
        <v>0.106</v>
      </c>
      <c r="Q32" s="969">
        <f t="shared" si="12"/>
        <v>0.89633600000000002</v>
      </c>
      <c r="R32" s="247">
        <f t="shared" si="13"/>
        <v>500</v>
      </c>
      <c r="S32" s="24">
        <f t="shared" si="14"/>
        <v>1121</v>
      </c>
      <c r="T32" s="970">
        <f t="shared" si="15"/>
        <v>0.5605</v>
      </c>
      <c r="U32" s="971">
        <f t="shared" si="16"/>
        <v>4.9960180000000003</v>
      </c>
    </row>
    <row r="33" spans="1:21" x14ac:dyDescent="0.2">
      <c r="A33" s="33">
        <f t="shared" si="0"/>
        <v>2020</v>
      </c>
      <c r="B33" s="403">
        <v>500</v>
      </c>
      <c r="C33" s="64">
        <f t="shared" si="1"/>
        <v>13724</v>
      </c>
      <c r="D33" s="965">
        <f t="shared" si="2"/>
        <v>0.311</v>
      </c>
      <c r="E33" s="966">
        <f t="shared" si="2"/>
        <v>0.21199999999999999</v>
      </c>
      <c r="F33" s="790">
        <f t="shared" si="2"/>
        <v>1121</v>
      </c>
      <c r="G33" s="473">
        <f t="shared" si="3"/>
        <v>0.1555</v>
      </c>
      <c r="H33" s="474">
        <f t="shared" si="3"/>
        <v>0.106</v>
      </c>
      <c r="I33" s="474">
        <f t="shared" si="4"/>
        <v>0.5605</v>
      </c>
      <c r="J33" s="61">
        <f t="shared" si="5"/>
        <v>500</v>
      </c>
      <c r="K33" s="967">
        <f t="shared" si="6"/>
        <v>0.311</v>
      </c>
      <c r="L33" s="967">
        <f t="shared" si="7"/>
        <v>0.1555</v>
      </c>
      <c r="M33" s="967">
        <f t="shared" si="8"/>
        <v>1.8729024999999999</v>
      </c>
      <c r="N33" s="54">
        <f t="shared" si="9"/>
        <v>500</v>
      </c>
      <c r="O33" s="968">
        <f t="shared" si="10"/>
        <v>0.21199999999999999</v>
      </c>
      <c r="P33" s="968">
        <f t="shared" si="11"/>
        <v>0.106</v>
      </c>
      <c r="Q33" s="969">
        <f t="shared" si="12"/>
        <v>1.0023360000000001</v>
      </c>
      <c r="R33" s="247">
        <f t="shared" si="13"/>
        <v>500</v>
      </c>
      <c r="S33" s="24">
        <f t="shared" si="14"/>
        <v>1121</v>
      </c>
      <c r="T33" s="970">
        <f t="shared" si="15"/>
        <v>0.5605</v>
      </c>
      <c r="U33" s="971">
        <f t="shared" si="16"/>
        <v>5.5565180000000005</v>
      </c>
    </row>
    <row r="34" spans="1:21" x14ac:dyDescent="0.2">
      <c r="A34" s="33">
        <f t="shared" si="0"/>
        <v>2021</v>
      </c>
      <c r="B34" s="403">
        <v>500</v>
      </c>
      <c r="C34" s="64">
        <f t="shared" si="1"/>
        <v>14224</v>
      </c>
      <c r="D34" s="965">
        <f t="shared" si="2"/>
        <v>0.311</v>
      </c>
      <c r="E34" s="966">
        <f t="shared" si="2"/>
        <v>0.21199999999999999</v>
      </c>
      <c r="F34" s="790">
        <f t="shared" si="2"/>
        <v>1121</v>
      </c>
      <c r="G34" s="473">
        <f t="shared" si="3"/>
        <v>0.1555</v>
      </c>
      <c r="H34" s="474">
        <f t="shared" si="3"/>
        <v>0.106</v>
      </c>
      <c r="I34" s="474">
        <f t="shared" si="4"/>
        <v>0.5605</v>
      </c>
      <c r="J34" s="61">
        <f t="shared" si="5"/>
        <v>500</v>
      </c>
      <c r="K34" s="967">
        <f t="shared" si="6"/>
        <v>0.311</v>
      </c>
      <c r="L34" s="967">
        <f t="shared" si="7"/>
        <v>0.1555</v>
      </c>
      <c r="M34" s="967">
        <f t="shared" si="8"/>
        <v>2.0284024999999999</v>
      </c>
      <c r="N34" s="54">
        <f t="shared" si="9"/>
        <v>500</v>
      </c>
      <c r="O34" s="968">
        <f t="shared" si="10"/>
        <v>0.21199999999999999</v>
      </c>
      <c r="P34" s="968">
        <f t="shared" si="11"/>
        <v>0.106</v>
      </c>
      <c r="Q34" s="969">
        <f t="shared" si="12"/>
        <v>1.1083360000000002</v>
      </c>
      <c r="R34" s="247">
        <f t="shared" si="13"/>
        <v>500</v>
      </c>
      <c r="S34" s="24">
        <f t="shared" si="14"/>
        <v>1121</v>
      </c>
      <c r="T34" s="970">
        <f t="shared" si="15"/>
        <v>0.5605</v>
      </c>
      <c r="U34" s="971">
        <f t="shared" si="16"/>
        <v>6.1170180000000007</v>
      </c>
    </row>
    <row r="35" spans="1:21" x14ac:dyDescent="0.2">
      <c r="A35" s="33">
        <f t="shared" si="0"/>
        <v>2022</v>
      </c>
      <c r="B35" s="403">
        <v>500</v>
      </c>
      <c r="C35" s="64">
        <f t="shared" si="1"/>
        <v>14724</v>
      </c>
      <c r="D35" s="965">
        <f t="shared" si="2"/>
        <v>0.311</v>
      </c>
      <c r="E35" s="966">
        <f t="shared" si="2"/>
        <v>0.21199999999999999</v>
      </c>
      <c r="F35" s="790">
        <f t="shared" si="2"/>
        <v>1121</v>
      </c>
      <c r="G35" s="473">
        <f t="shared" si="3"/>
        <v>0.1555</v>
      </c>
      <c r="H35" s="474">
        <f t="shared" si="3"/>
        <v>0.106</v>
      </c>
      <c r="I35" s="474">
        <f t="shared" si="4"/>
        <v>0.5605</v>
      </c>
      <c r="J35" s="61">
        <f t="shared" si="5"/>
        <v>500</v>
      </c>
      <c r="K35" s="967">
        <f t="shared" si="6"/>
        <v>0.311</v>
      </c>
      <c r="L35" s="967">
        <f t="shared" si="7"/>
        <v>0.1555</v>
      </c>
      <c r="M35" s="967">
        <f t="shared" si="8"/>
        <v>2.1839024999999999</v>
      </c>
      <c r="N35" s="54">
        <f t="shared" si="9"/>
        <v>500</v>
      </c>
      <c r="O35" s="968">
        <f t="shared" si="10"/>
        <v>0.21199999999999999</v>
      </c>
      <c r="P35" s="968">
        <f t="shared" si="11"/>
        <v>0.106</v>
      </c>
      <c r="Q35" s="969">
        <f t="shared" si="12"/>
        <v>1.2143360000000003</v>
      </c>
      <c r="R35" s="247">
        <f t="shared" si="13"/>
        <v>500</v>
      </c>
      <c r="S35" s="24">
        <f t="shared" si="14"/>
        <v>1121</v>
      </c>
      <c r="T35" s="970">
        <f t="shared" si="15"/>
        <v>0.5605</v>
      </c>
      <c r="U35" s="971">
        <f t="shared" si="16"/>
        <v>6.677518000000001</v>
      </c>
    </row>
    <row r="36" spans="1:21" x14ac:dyDescent="0.2">
      <c r="A36" s="33">
        <f t="shared" si="0"/>
        <v>2023</v>
      </c>
      <c r="B36" s="403">
        <v>500</v>
      </c>
      <c r="C36" s="64">
        <f t="shared" si="1"/>
        <v>15224</v>
      </c>
      <c r="D36" s="965">
        <f t="shared" si="2"/>
        <v>0.311</v>
      </c>
      <c r="E36" s="966">
        <f t="shared" si="2"/>
        <v>0.21199999999999999</v>
      </c>
      <c r="F36" s="790">
        <f t="shared" si="2"/>
        <v>1121</v>
      </c>
      <c r="G36" s="473">
        <f t="shared" si="3"/>
        <v>0.1555</v>
      </c>
      <c r="H36" s="474">
        <f t="shared" si="3"/>
        <v>0.106</v>
      </c>
      <c r="I36" s="474">
        <f t="shared" si="4"/>
        <v>0.5605</v>
      </c>
      <c r="J36" s="61">
        <f t="shared" si="5"/>
        <v>500</v>
      </c>
      <c r="K36" s="967">
        <f t="shared" si="6"/>
        <v>0.311</v>
      </c>
      <c r="L36" s="967">
        <f t="shared" si="7"/>
        <v>0.1555</v>
      </c>
      <c r="M36" s="967">
        <f t="shared" si="8"/>
        <v>2.3394024999999998</v>
      </c>
      <c r="N36" s="54">
        <f t="shared" si="9"/>
        <v>500</v>
      </c>
      <c r="O36" s="968">
        <f t="shared" si="10"/>
        <v>0.21199999999999999</v>
      </c>
      <c r="P36" s="968">
        <f t="shared" si="11"/>
        <v>0.106</v>
      </c>
      <c r="Q36" s="969">
        <f t="shared" si="12"/>
        <v>1.3203360000000004</v>
      </c>
      <c r="R36" s="247">
        <f t="shared" si="13"/>
        <v>500</v>
      </c>
      <c r="S36" s="24">
        <f t="shared" si="14"/>
        <v>1121</v>
      </c>
      <c r="T36" s="970">
        <f t="shared" si="15"/>
        <v>0.5605</v>
      </c>
      <c r="U36" s="971">
        <f t="shared" si="16"/>
        <v>7.2380180000000012</v>
      </c>
    </row>
    <row r="37" spans="1:21" x14ac:dyDescent="0.2">
      <c r="A37" s="447">
        <f t="shared" si="0"/>
        <v>2024</v>
      </c>
      <c r="B37" s="403">
        <v>500</v>
      </c>
      <c r="C37" s="64">
        <f t="shared" si="1"/>
        <v>15724</v>
      </c>
      <c r="D37" s="965">
        <f t="shared" si="2"/>
        <v>0.311</v>
      </c>
      <c r="E37" s="966">
        <f t="shared" si="2"/>
        <v>0.21199999999999999</v>
      </c>
      <c r="F37" s="790">
        <f t="shared" si="2"/>
        <v>1121</v>
      </c>
      <c r="G37" s="473">
        <f t="shared" si="3"/>
        <v>0.1555</v>
      </c>
      <c r="H37" s="474">
        <f t="shared" si="3"/>
        <v>0.106</v>
      </c>
      <c r="I37" s="474">
        <f t="shared" si="4"/>
        <v>0.5605</v>
      </c>
      <c r="J37" s="61">
        <f t="shared" si="5"/>
        <v>500</v>
      </c>
      <c r="K37" s="967">
        <f t="shared" si="6"/>
        <v>0.311</v>
      </c>
      <c r="L37" s="967">
        <f t="shared" si="7"/>
        <v>0.1555</v>
      </c>
      <c r="M37" s="967">
        <f t="shared" si="8"/>
        <v>2.4949024999999998</v>
      </c>
      <c r="N37" s="54">
        <f t="shared" si="9"/>
        <v>500</v>
      </c>
      <c r="O37" s="968">
        <f t="shared" si="10"/>
        <v>0.21199999999999999</v>
      </c>
      <c r="P37" s="968">
        <f t="shared" si="11"/>
        <v>0.106</v>
      </c>
      <c r="Q37" s="969">
        <f t="shared" si="12"/>
        <v>1.4263360000000005</v>
      </c>
      <c r="R37" s="247">
        <f t="shared" si="13"/>
        <v>500</v>
      </c>
      <c r="S37" s="24">
        <f t="shared" si="14"/>
        <v>1121</v>
      </c>
      <c r="T37" s="970">
        <f t="shared" si="15"/>
        <v>0.5605</v>
      </c>
      <c r="U37" s="971">
        <f t="shared" si="16"/>
        <v>7.7985180000000014</v>
      </c>
    </row>
    <row r="38" spans="1:21" x14ac:dyDescent="0.2">
      <c r="A38" s="447">
        <f t="shared" si="0"/>
        <v>2025</v>
      </c>
      <c r="B38" s="403">
        <v>500</v>
      </c>
      <c r="C38" s="64">
        <f t="shared" si="1"/>
        <v>16224</v>
      </c>
      <c r="D38" s="965">
        <f t="shared" si="2"/>
        <v>0.311</v>
      </c>
      <c r="E38" s="966">
        <f t="shared" si="2"/>
        <v>0.21199999999999999</v>
      </c>
      <c r="F38" s="790">
        <f t="shared" si="2"/>
        <v>1121</v>
      </c>
      <c r="G38" s="473">
        <f t="shared" si="3"/>
        <v>0.1555</v>
      </c>
      <c r="H38" s="474">
        <f t="shared" si="3"/>
        <v>0.106</v>
      </c>
      <c r="I38" s="474">
        <f t="shared" si="4"/>
        <v>0.5605</v>
      </c>
      <c r="J38" s="61">
        <f t="shared" si="5"/>
        <v>500</v>
      </c>
      <c r="K38" s="967">
        <f t="shared" si="6"/>
        <v>0.311</v>
      </c>
      <c r="L38" s="967">
        <f t="shared" si="7"/>
        <v>0.1555</v>
      </c>
      <c r="M38" s="967">
        <f t="shared" si="8"/>
        <v>2.6504024999999998</v>
      </c>
      <c r="N38" s="54">
        <f t="shared" si="9"/>
        <v>500</v>
      </c>
      <c r="O38" s="968">
        <f t="shared" si="10"/>
        <v>0.21199999999999999</v>
      </c>
      <c r="P38" s="968">
        <f t="shared" si="11"/>
        <v>0.106</v>
      </c>
      <c r="Q38" s="969">
        <f t="shared" si="12"/>
        <v>1.5323360000000006</v>
      </c>
      <c r="R38" s="247">
        <f t="shared" si="13"/>
        <v>500</v>
      </c>
      <c r="S38" s="24">
        <f t="shared" si="14"/>
        <v>1121</v>
      </c>
      <c r="T38" s="970">
        <f t="shared" si="15"/>
        <v>0.5605</v>
      </c>
      <c r="U38" s="971">
        <f t="shared" si="16"/>
        <v>8.3590180000000007</v>
      </c>
    </row>
    <row r="39" spans="1:21" x14ac:dyDescent="0.2">
      <c r="A39" s="447">
        <f t="shared" si="0"/>
        <v>2026</v>
      </c>
      <c r="B39" s="403">
        <v>500</v>
      </c>
      <c r="C39" s="64">
        <f t="shared" si="1"/>
        <v>16724</v>
      </c>
      <c r="D39" s="965">
        <f t="shared" ref="D39:F42" si="18">+D38</f>
        <v>0.311</v>
      </c>
      <c r="E39" s="966">
        <f t="shared" si="18"/>
        <v>0.21199999999999999</v>
      </c>
      <c r="F39" s="790">
        <f t="shared" si="18"/>
        <v>1121</v>
      </c>
      <c r="G39" s="473">
        <f t="shared" si="3"/>
        <v>0.1555</v>
      </c>
      <c r="H39" s="474">
        <f t="shared" si="3"/>
        <v>0.106</v>
      </c>
      <c r="I39" s="474">
        <f t="shared" si="4"/>
        <v>0.5605</v>
      </c>
      <c r="J39" s="61">
        <f t="shared" si="5"/>
        <v>500</v>
      </c>
      <c r="K39" s="967">
        <f t="shared" si="6"/>
        <v>0.311</v>
      </c>
      <c r="L39" s="967">
        <f t="shared" si="7"/>
        <v>0.1555</v>
      </c>
      <c r="M39" s="967">
        <f t="shared" si="8"/>
        <v>2.8059024999999997</v>
      </c>
      <c r="N39" s="54">
        <f t="shared" si="9"/>
        <v>500</v>
      </c>
      <c r="O39" s="968">
        <f t="shared" si="10"/>
        <v>0.21199999999999999</v>
      </c>
      <c r="P39" s="968">
        <f t="shared" si="11"/>
        <v>0.106</v>
      </c>
      <c r="Q39" s="969">
        <f t="shared" si="12"/>
        <v>1.6383360000000007</v>
      </c>
      <c r="R39" s="247">
        <f>+(B39+B38)/2</f>
        <v>500</v>
      </c>
      <c r="S39" s="24">
        <f>+F39</f>
        <v>1121</v>
      </c>
      <c r="T39" s="970">
        <f>+R39*S39/1000000</f>
        <v>0.5605</v>
      </c>
      <c r="U39" s="971">
        <f t="shared" si="16"/>
        <v>8.9195180000000001</v>
      </c>
    </row>
    <row r="40" spans="1:21" x14ac:dyDescent="0.2">
      <c r="A40" s="447">
        <f>+A39+1</f>
        <v>2027</v>
      </c>
      <c r="B40" s="403">
        <v>500</v>
      </c>
      <c r="C40" s="64">
        <f>+C39+B40</f>
        <v>17224</v>
      </c>
      <c r="D40" s="965">
        <f t="shared" si="18"/>
        <v>0.311</v>
      </c>
      <c r="E40" s="966">
        <f t="shared" si="18"/>
        <v>0.21199999999999999</v>
      </c>
      <c r="F40" s="790">
        <f t="shared" si="18"/>
        <v>1121</v>
      </c>
      <c r="G40" s="473">
        <f t="shared" ref="G40:H42" si="19">+$B40*D40/1000</f>
        <v>0.1555</v>
      </c>
      <c r="H40" s="474">
        <f t="shared" si="19"/>
        <v>0.106</v>
      </c>
      <c r="I40" s="474">
        <f>+$B40*F40/1000000</f>
        <v>0.5605</v>
      </c>
      <c r="J40" s="61">
        <f>+(B40+B39)/2</f>
        <v>500</v>
      </c>
      <c r="K40" s="967">
        <f>+D40</f>
        <v>0.311</v>
      </c>
      <c r="L40" s="967">
        <f>+J40*K40/1000</f>
        <v>0.1555</v>
      </c>
      <c r="M40" s="967">
        <f>+M39+L40</f>
        <v>2.9614024999999997</v>
      </c>
      <c r="N40" s="54">
        <f>+B39</f>
        <v>500</v>
      </c>
      <c r="O40" s="968">
        <f>+E40</f>
        <v>0.21199999999999999</v>
      </c>
      <c r="P40" s="968">
        <f>+N40*O40/1000</f>
        <v>0.106</v>
      </c>
      <c r="Q40" s="969">
        <f>+Q39+P40</f>
        <v>1.7443360000000008</v>
      </c>
      <c r="R40" s="247">
        <f>+(B40+B39)/2</f>
        <v>500</v>
      </c>
      <c r="S40" s="24">
        <f>+F40</f>
        <v>1121</v>
      </c>
      <c r="T40" s="970">
        <f>+R40*S40/1000000</f>
        <v>0.5605</v>
      </c>
      <c r="U40" s="971">
        <f>+U39+T40</f>
        <v>9.4800179999999994</v>
      </c>
    </row>
    <row r="41" spans="1:21" x14ac:dyDescent="0.2">
      <c r="A41" s="447">
        <f t="shared" si="0"/>
        <v>2028</v>
      </c>
      <c r="B41" s="403">
        <v>500</v>
      </c>
      <c r="C41" s="64">
        <f>+C40+B41</f>
        <v>17724</v>
      </c>
      <c r="D41" s="965">
        <f>+D40</f>
        <v>0.311</v>
      </c>
      <c r="E41" s="966">
        <f>+E40</f>
        <v>0.21199999999999999</v>
      </c>
      <c r="F41" s="790">
        <f>+F40</f>
        <v>1121</v>
      </c>
      <c r="G41" s="473">
        <f t="shared" si="19"/>
        <v>0.1555</v>
      </c>
      <c r="H41" s="474">
        <f t="shared" si="19"/>
        <v>0.106</v>
      </c>
      <c r="I41" s="474">
        <f>+$B41*F41/1000000</f>
        <v>0.5605</v>
      </c>
      <c r="J41" s="61">
        <f>+(B41+B40)/2</f>
        <v>500</v>
      </c>
      <c r="K41" s="967">
        <f>+D41</f>
        <v>0.311</v>
      </c>
      <c r="L41" s="967">
        <f>+J41*K41/1000</f>
        <v>0.1555</v>
      </c>
      <c r="M41" s="967">
        <f>+M40+L41</f>
        <v>3.1169024999999997</v>
      </c>
      <c r="N41" s="54">
        <f>+B40</f>
        <v>500</v>
      </c>
      <c r="O41" s="968">
        <f>+E41</f>
        <v>0.21199999999999999</v>
      </c>
      <c r="P41" s="968">
        <f>+N41*O41/1000</f>
        <v>0.106</v>
      </c>
      <c r="Q41" s="969">
        <f>+Q40+P41</f>
        <v>1.8503360000000009</v>
      </c>
      <c r="R41" s="247">
        <f>+(B41+B40)/2</f>
        <v>500</v>
      </c>
      <c r="S41" s="24">
        <f>+F41</f>
        <v>1121</v>
      </c>
      <c r="T41" s="970">
        <f>+R41*S41/1000000</f>
        <v>0.5605</v>
      </c>
      <c r="U41" s="971">
        <f>+U40+T41</f>
        <v>10.040517999999999</v>
      </c>
    </row>
    <row r="42" spans="1:21" x14ac:dyDescent="0.2">
      <c r="A42" s="447">
        <f t="shared" si="0"/>
        <v>2029</v>
      </c>
      <c r="B42" s="403">
        <v>500</v>
      </c>
      <c r="C42" s="64">
        <f>+C41+B42</f>
        <v>18224</v>
      </c>
      <c r="D42" s="965">
        <f t="shared" si="18"/>
        <v>0.311</v>
      </c>
      <c r="E42" s="966">
        <f t="shared" si="18"/>
        <v>0.21199999999999999</v>
      </c>
      <c r="F42" s="790">
        <f t="shared" si="18"/>
        <v>1121</v>
      </c>
      <c r="G42" s="473">
        <f t="shared" si="19"/>
        <v>0.1555</v>
      </c>
      <c r="H42" s="474">
        <f t="shared" si="19"/>
        <v>0.106</v>
      </c>
      <c r="I42" s="474">
        <f>+$B42*F42/1000000</f>
        <v>0.5605</v>
      </c>
      <c r="J42" s="61">
        <f>+(B42+B41)/2</f>
        <v>500</v>
      </c>
      <c r="K42" s="967">
        <f>+D42</f>
        <v>0.311</v>
      </c>
      <c r="L42" s="967">
        <f>+J42*K42/1000</f>
        <v>0.1555</v>
      </c>
      <c r="M42" s="967">
        <f>+M41+L42</f>
        <v>3.2724024999999997</v>
      </c>
      <c r="N42" s="54">
        <f>+B41</f>
        <v>500</v>
      </c>
      <c r="O42" s="968">
        <f>+E42</f>
        <v>0.21199999999999999</v>
      </c>
      <c r="P42" s="968">
        <f>+N42*O42/1000</f>
        <v>0.106</v>
      </c>
      <c r="Q42" s="969">
        <f>+Q41+P42</f>
        <v>1.956336000000001</v>
      </c>
      <c r="R42" s="247">
        <f>+(B42+B41)/2</f>
        <v>500</v>
      </c>
      <c r="S42" s="24">
        <f>+F42</f>
        <v>1121</v>
      </c>
      <c r="T42" s="970">
        <f>+R42*S42/1000000</f>
        <v>0.5605</v>
      </c>
      <c r="U42" s="971">
        <f>+U41+T42</f>
        <v>10.601017999999998</v>
      </c>
    </row>
    <row r="43" spans="1:21" x14ac:dyDescent="0.2">
      <c r="A43" s="447">
        <f t="shared" si="0"/>
        <v>2030</v>
      </c>
      <c r="B43" s="403">
        <v>500</v>
      </c>
      <c r="C43" s="64">
        <f t="shared" ref="C43:C47" si="20">+C42+B43</f>
        <v>18724</v>
      </c>
      <c r="D43" s="965">
        <f t="shared" ref="D43:F43" si="21">+D42</f>
        <v>0.311</v>
      </c>
      <c r="E43" s="966">
        <f t="shared" si="21"/>
        <v>0.21199999999999999</v>
      </c>
      <c r="F43" s="790">
        <f t="shared" si="21"/>
        <v>1121</v>
      </c>
      <c r="G43" s="473">
        <f t="shared" ref="G43:G47" si="22">+$B43*D43/1000</f>
        <v>0.1555</v>
      </c>
      <c r="H43" s="474">
        <f t="shared" ref="H43:H47" si="23">+$B43*E43/1000</f>
        <v>0.106</v>
      </c>
      <c r="I43" s="474">
        <f t="shared" ref="I43:I47" si="24">+$B43*F43/1000000</f>
        <v>0.5605</v>
      </c>
      <c r="J43" s="61">
        <f t="shared" ref="J43:J47" si="25">+(B43+B42)/2</f>
        <v>500</v>
      </c>
      <c r="K43" s="967">
        <f t="shared" ref="K43:K47" si="26">+D43</f>
        <v>0.311</v>
      </c>
      <c r="L43" s="967">
        <f t="shared" ref="L43:L47" si="27">+J43*K43/1000</f>
        <v>0.1555</v>
      </c>
      <c r="M43" s="967">
        <f t="shared" ref="M43:M47" si="28">+M42+L43</f>
        <v>3.4279024999999996</v>
      </c>
      <c r="N43" s="54">
        <f t="shared" ref="N43:N47" si="29">+B42</f>
        <v>500</v>
      </c>
      <c r="O43" s="968">
        <f t="shared" ref="O43:O47" si="30">+E43</f>
        <v>0.21199999999999999</v>
      </c>
      <c r="P43" s="968">
        <f t="shared" ref="P43:P47" si="31">+N43*O43/1000</f>
        <v>0.106</v>
      </c>
      <c r="Q43" s="969">
        <f t="shared" ref="Q43:Q47" si="32">+Q42+P43</f>
        <v>2.0623360000000011</v>
      </c>
      <c r="R43" s="247">
        <f t="shared" ref="R43:R47" si="33">+(B43+B42)/2</f>
        <v>500</v>
      </c>
      <c r="S43" s="24">
        <f t="shared" ref="S43:S47" si="34">+F43</f>
        <v>1121</v>
      </c>
      <c r="T43" s="970">
        <f t="shared" ref="T43:T47" si="35">+R43*S43/1000000</f>
        <v>0.5605</v>
      </c>
      <c r="U43" s="971">
        <f t="shared" ref="U43:U47" si="36">+U42+T43</f>
        <v>11.161517999999997</v>
      </c>
    </row>
    <row r="44" spans="1:21" x14ac:dyDescent="0.2">
      <c r="A44" s="447">
        <f t="shared" si="0"/>
        <v>2031</v>
      </c>
      <c r="B44" s="403">
        <v>500</v>
      </c>
      <c r="C44" s="64">
        <f t="shared" si="20"/>
        <v>19224</v>
      </c>
      <c r="D44" s="965">
        <f t="shared" ref="D44:F44" si="37">+D43</f>
        <v>0.311</v>
      </c>
      <c r="E44" s="966">
        <f t="shared" si="37"/>
        <v>0.21199999999999999</v>
      </c>
      <c r="F44" s="790">
        <f t="shared" si="37"/>
        <v>1121</v>
      </c>
      <c r="G44" s="473">
        <f t="shared" si="22"/>
        <v>0.1555</v>
      </c>
      <c r="H44" s="474">
        <f t="shared" si="23"/>
        <v>0.106</v>
      </c>
      <c r="I44" s="474">
        <f t="shared" si="24"/>
        <v>0.5605</v>
      </c>
      <c r="J44" s="61">
        <f t="shared" si="25"/>
        <v>500</v>
      </c>
      <c r="K44" s="967">
        <f t="shared" si="26"/>
        <v>0.311</v>
      </c>
      <c r="L44" s="967">
        <f t="shared" si="27"/>
        <v>0.1555</v>
      </c>
      <c r="M44" s="967">
        <f t="shared" si="28"/>
        <v>3.5834024999999996</v>
      </c>
      <c r="N44" s="54">
        <f t="shared" si="29"/>
        <v>500</v>
      </c>
      <c r="O44" s="968">
        <f t="shared" si="30"/>
        <v>0.21199999999999999</v>
      </c>
      <c r="P44" s="968">
        <f t="shared" si="31"/>
        <v>0.106</v>
      </c>
      <c r="Q44" s="969">
        <f t="shared" si="32"/>
        <v>2.1683360000000009</v>
      </c>
      <c r="R44" s="247">
        <f t="shared" si="33"/>
        <v>500</v>
      </c>
      <c r="S44" s="24">
        <f t="shared" si="34"/>
        <v>1121</v>
      </c>
      <c r="T44" s="970">
        <f t="shared" si="35"/>
        <v>0.5605</v>
      </c>
      <c r="U44" s="971">
        <f t="shared" si="36"/>
        <v>11.722017999999997</v>
      </c>
    </row>
    <row r="45" spans="1:21" x14ac:dyDescent="0.2">
      <c r="A45" s="447">
        <f t="shared" si="0"/>
        <v>2032</v>
      </c>
      <c r="B45" s="403">
        <v>500</v>
      </c>
      <c r="C45" s="64">
        <f t="shared" si="20"/>
        <v>19724</v>
      </c>
      <c r="D45" s="965">
        <f t="shared" ref="D45:F45" si="38">+D44</f>
        <v>0.311</v>
      </c>
      <c r="E45" s="966">
        <f t="shared" si="38"/>
        <v>0.21199999999999999</v>
      </c>
      <c r="F45" s="790">
        <f t="shared" si="38"/>
        <v>1121</v>
      </c>
      <c r="G45" s="473">
        <f t="shared" si="22"/>
        <v>0.1555</v>
      </c>
      <c r="H45" s="474">
        <f t="shared" si="23"/>
        <v>0.106</v>
      </c>
      <c r="I45" s="474">
        <f t="shared" si="24"/>
        <v>0.5605</v>
      </c>
      <c r="J45" s="61">
        <f t="shared" si="25"/>
        <v>500</v>
      </c>
      <c r="K45" s="967">
        <f t="shared" si="26"/>
        <v>0.311</v>
      </c>
      <c r="L45" s="967">
        <f t="shared" si="27"/>
        <v>0.1555</v>
      </c>
      <c r="M45" s="967">
        <f t="shared" si="28"/>
        <v>3.7389024999999996</v>
      </c>
      <c r="N45" s="54">
        <f t="shared" si="29"/>
        <v>500</v>
      </c>
      <c r="O45" s="968">
        <f t="shared" si="30"/>
        <v>0.21199999999999999</v>
      </c>
      <c r="P45" s="968">
        <f t="shared" si="31"/>
        <v>0.106</v>
      </c>
      <c r="Q45" s="969">
        <f t="shared" si="32"/>
        <v>2.2743360000000008</v>
      </c>
      <c r="R45" s="247">
        <f t="shared" si="33"/>
        <v>500</v>
      </c>
      <c r="S45" s="24">
        <f t="shared" si="34"/>
        <v>1121</v>
      </c>
      <c r="T45" s="970">
        <f t="shared" si="35"/>
        <v>0.5605</v>
      </c>
      <c r="U45" s="971">
        <f t="shared" si="36"/>
        <v>12.282517999999996</v>
      </c>
    </row>
    <row r="46" spans="1:21" x14ac:dyDescent="0.2">
      <c r="A46" s="447">
        <f t="shared" si="0"/>
        <v>2033</v>
      </c>
      <c r="B46" s="403">
        <v>500</v>
      </c>
      <c r="C46" s="64">
        <f t="shared" si="20"/>
        <v>20224</v>
      </c>
      <c r="D46" s="965">
        <f t="shared" ref="D46:F46" si="39">+D45</f>
        <v>0.311</v>
      </c>
      <c r="E46" s="966">
        <f t="shared" si="39"/>
        <v>0.21199999999999999</v>
      </c>
      <c r="F46" s="790">
        <f t="shared" si="39"/>
        <v>1121</v>
      </c>
      <c r="G46" s="473">
        <f t="shared" si="22"/>
        <v>0.1555</v>
      </c>
      <c r="H46" s="474">
        <f t="shared" si="23"/>
        <v>0.106</v>
      </c>
      <c r="I46" s="474">
        <f t="shared" si="24"/>
        <v>0.5605</v>
      </c>
      <c r="J46" s="61">
        <f t="shared" si="25"/>
        <v>500</v>
      </c>
      <c r="K46" s="967">
        <f t="shared" si="26"/>
        <v>0.311</v>
      </c>
      <c r="L46" s="967">
        <f t="shared" si="27"/>
        <v>0.1555</v>
      </c>
      <c r="M46" s="967">
        <f t="shared" si="28"/>
        <v>3.8944024999999995</v>
      </c>
      <c r="N46" s="54">
        <f t="shared" si="29"/>
        <v>500</v>
      </c>
      <c r="O46" s="968">
        <f t="shared" si="30"/>
        <v>0.21199999999999999</v>
      </c>
      <c r="P46" s="968">
        <f t="shared" si="31"/>
        <v>0.106</v>
      </c>
      <c r="Q46" s="969">
        <f t="shared" si="32"/>
        <v>2.3803360000000007</v>
      </c>
      <c r="R46" s="247">
        <f t="shared" si="33"/>
        <v>500</v>
      </c>
      <c r="S46" s="24">
        <f t="shared" si="34"/>
        <v>1121</v>
      </c>
      <c r="T46" s="970">
        <f t="shared" si="35"/>
        <v>0.5605</v>
      </c>
      <c r="U46" s="971">
        <f t="shared" si="36"/>
        <v>12.843017999999995</v>
      </c>
    </row>
    <row r="47" spans="1:21" x14ac:dyDescent="0.2">
      <c r="A47" s="960">
        <v>2034</v>
      </c>
      <c r="B47" s="403">
        <v>500</v>
      </c>
      <c r="C47" s="64">
        <f t="shared" si="20"/>
        <v>20724</v>
      </c>
      <c r="D47" s="965">
        <f t="shared" ref="D47:F47" si="40">+D46</f>
        <v>0.311</v>
      </c>
      <c r="E47" s="966">
        <f t="shared" si="40"/>
        <v>0.21199999999999999</v>
      </c>
      <c r="F47" s="790">
        <f t="shared" si="40"/>
        <v>1121</v>
      </c>
      <c r="G47" s="473">
        <f t="shared" si="22"/>
        <v>0.1555</v>
      </c>
      <c r="H47" s="474">
        <f t="shared" si="23"/>
        <v>0.106</v>
      </c>
      <c r="I47" s="474">
        <f t="shared" si="24"/>
        <v>0.5605</v>
      </c>
      <c r="J47" s="61">
        <f t="shared" si="25"/>
        <v>500</v>
      </c>
      <c r="K47" s="967">
        <f t="shared" si="26"/>
        <v>0.311</v>
      </c>
      <c r="L47" s="967">
        <f t="shared" si="27"/>
        <v>0.1555</v>
      </c>
      <c r="M47" s="967">
        <f t="shared" si="28"/>
        <v>4.0499025</v>
      </c>
      <c r="N47" s="54">
        <f t="shared" si="29"/>
        <v>500</v>
      </c>
      <c r="O47" s="968">
        <f t="shared" si="30"/>
        <v>0.21199999999999999</v>
      </c>
      <c r="P47" s="968">
        <f t="shared" si="31"/>
        <v>0.106</v>
      </c>
      <c r="Q47" s="969">
        <f t="shared" si="32"/>
        <v>2.4863360000000005</v>
      </c>
      <c r="R47" s="247">
        <f t="shared" si="33"/>
        <v>500</v>
      </c>
      <c r="S47" s="24">
        <f t="shared" si="34"/>
        <v>1121</v>
      </c>
      <c r="T47" s="970">
        <f t="shared" si="35"/>
        <v>0.5605</v>
      </c>
      <c r="U47" s="971">
        <f t="shared" si="36"/>
        <v>13.403517999999995</v>
      </c>
    </row>
    <row r="48" spans="1:21" x14ac:dyDescent="0.2">
      <c r="A48" s="960">
        <f t="shared" si="0"/>
        <v>2035</v>
      </c>
      <c r="B48" s="403">
        <f>B47</f>
        <v>500</v>
      </c>
      <c r="C48" s="64">
        <f t="shared" ref="C48:C54" si="41">+C47+B48</f>
        <v>21224</v>
      </c>
      <c r="D48" s="965">
        <f t="shared" ref="D48:F48" si="42">+D47</f>
        <v>0.311</v>
      </c>
      <c r="E48" s="966">
        <f t="shared" si="42"/>
        <v>0.21199999999999999</v>
      </c>
      <c r="F48" s="790">
        <f t="shared" si="42"/>
        <v>1121</v>
      </c>
      <c r="G48" s="473">
        <f t="shared" ref="G48:G54" si="43">+$B48*D48/1000</f>
        <v>0.1555</v>
      </c>
      <c r="H48" s="474">
        <f t="shared" ref="H48:H54" si="44">+$B48*E48/1000</f>
        <v>0.106</v>
      </c>
      <c r="I48" s="474">
        <f t="shared" ref="I48:I54" si="45">+$B48*F48/1000000</f>
        <v>0.5605</v>
      </c>
      <c r="J48" s="61">
        <f t="shared" ref="J48:J54" si="46">+(B48+B47)/2</f>
        <v>500</v>
      </c>
      <c r="K48" s="967">
        <f t="shared" ref="K48:K54" si="47">+D48</f>
        <v>0.311</v>
      </c>
      <c r="L48" s="967">
        <f t="shared" ref="L48:L54" si="48">+J48*K48/1000</f>
        <v>0.1555</v>
      </c>
      <c r="M48" s="967">
        <f t="shared" ref="M48:M54" si="49">+M47+L48</f>
        <v>4.2054024999999999</v>
      </c>
      <c r="N48" s="54">
        <f t="shared" ref="N48:N54" si="50">+B47</f>
        <v>500</v>
      </c>
      <c r="O48" s="968">
        <f t="shared" ref="O48:O54" si="51">+E48</f>
        <v>0.21199999999999999</v>
      </c>
      <c r="P48" s="968">
        <f t="shared" ref="P48:P54" si="52">+N48*O48/1000</f>
        <v>0.106</v>
      </c>
      <c r="Q48" s="969">
        <f t="shared" ref="Q48:Q54" si="53">+Q47+P48</f>
        <v>2.5923360000000004</v>
      </c>
      <c r="R48" s="247">
        <f t="shared" ref="R48:R54" si="54">+(B48+B47)/2</f>
        <v>500</v>
      </c>
      <c r="S48" s="24">
        <f t="shared" ref="S48:S54" si="55">+F48</f>
        <v>1121</v>
      </c>
      <c r="T48" s="970">
        <f t="shared" ref="T48:T54" si="56">+R48*S48/1000000</f>
        <v>0.5605</v>
      </c>
      <c r="U48" s="971">
        <f t="shared" ref="U48:U54" si="57">+U47+T48</f>
        <v>13.964017999999994</v>
      </c>
    </row>
    <row r="49" spans="1:21" x14ac:dyDescent="0.2">
      <c r="A49" s="447">
        <f t="shared" si="0"/>
        <v>2036</v>
      </c>
      <c r="B49" s="403">
        <f t="shared" ref="B49:B54" si="58">B48</f>
        <v>500</v>
      </c>
      <c r="C49" s="64">
        <f t="shared" si="41"/>
        <v>21724</v>
      </c>
      <c r="D49" s="965">
        <f t="shared" ref="D49:F49" si="59">+D48</f>
        <v>0.311</v>
      </c>
      <c r="E49" s="966">
        <f t="shared" si="59"/>
        <v>0.21199999999999999</v>
      </c>
      <c r="F49" s="790">
        <f t="shared" si="59"/>
        <v>1121</v>
      </c>
      <c r="G49" s="473">
        <f t="shared" si="43"/>
        <v>0.1555</v>
      </c>
      <c r="H49" s="474">
        <f t="shared" si="44"/>
        <v>0.106</v>
      </c>
      <c r="I49" s="474">
        <f t="shared" si="45"/>
        <v>0.5605</v>
      </c>
      <c r="J49" s="61">
        <f t="shared" si="46"/>
        <v>500</v>
      </c>
      <c r="K49" s="967">
        <f t="shared" si="47"/>
        <v>0.311</v>
      </c>
      <c r="L49" s="967">
        <f t="shared" si="48"/>
        <v>0.1555</v>
      </c>
      <c r="M49" s="967">
        <f t="shared" si="49"/>
        <v>4.3609024999999999</v>
      </c>
      <c r="N49" s="54">
        <f t="shared" si="50"/>
        <v>500</v>
      </c>
      <c r="O49" s="968">
        <f t="shared" si="51"/>
        <v>0.21199999999999999</v>
      </c>
      <c r="P49" s="968">
        <f t="shared" si="52"/>
        <v>0.106</v>
      </c>
      <c r="Q49" s="969">
        <f t="shared" si="53"/>
        <v>2.6983360000000003</v>
      </c>
      <c r="R49" s="247">
        <f t="shared" si="54"/>
        <v>500</v>
      </c>
      <c r="S49" s="24">
        <f t="shared" si="55"/>
        <v>1121</v>
      </c>
      <c r="T49" s="970">
        <f t="shared" si="56"/>
        <v>0.5605</v>
      </c>
      <c r="U49" s="971">
        <f t="shared" si="57"/>
        <v>14.524517999999993</v>
      </c>
    </row>
    <row r="50" spans="1:21" x14ac:dyDescent="0.2">
      <c r="A50" s="960">
        <v>2034</v>
      </c>
      <c r="B50" s="403">
        <f t="shared" si="58"/>
        <v>500</v>
      </c>
      <c r="C50" s="64">
        <f t="shared" si="41"/>
        <v>22224</v>
      </c>
      <c r="D50" s="965">
        <f t="shared" ref="D50:F50" si="60">+D49</f>
        <v>0.311</v>
      </c>
      <c r="E50" s="966">
        <f t="shared" si="60"/>
        <v>0.21199999999999999</v>
      </c>
      <c r="F50" s="790">
        <f t="shared" si="60"/>
        <v>1121</v>
      </c>
      <c r="G50" s="473">
        <f t="shared" si="43"/>
        <v>0.1555</v>
      </c>
      <c r="H50" s="474">
        <f t="shared" si="44"/>
        <v>0.106</v>
      </c>
      <c r="I50" s="474">
        <f t="shared" si="45"/>
        <v>0.5605</v>
      </c>
      <c r="J50" s="61">
        <f t="shared" si="46"/>
        <v>500</v>
      </c>
      <c r="K50" s="967">
        <f t="shared" si="47"/>
        <v>0.311</v>
      </c>
      <c r="L50" s="967">
        <f t="shared" si="48"/>
        <v>0.1555</v>
      </c>
      <c r="M50" s="967">
        <f t="shared" si="49"/>
        <v>4.5164024999999999</v>
      </c>
      <c r="N50" s="54">
        <f t="shared" si="50"/>
        <v>500</v>
      </c>
      <c r="O50" s="968">
        <f t="shared" si="51"/>
        <v>0.21199999999999999</v>
      </c>
      <c r="P50" s="968">
        <f t="shared" si="52"/>
        <v>0.106</v>
      </c>
      <c r="Q50" s="969">
        <f t="shared" si="53"/>
        <v>2.8043360000000002</v>
      </c>
      <c r="R50" s="247">
        <f t="shared" si="54"/>
        <v>500</v>
      </c>
      <c r="S50" s="24">
        <f t="shared" si="55"/>
        <v>1121</v>
      </c>
      <c r="T50" s="970">
        <f t="shared" si="56"/>
        <v>0.5605</v>
      </c>
      <c r="U50" s="971">
        <f t="shared" si="57"/>
        <v>15.085017999999993</v>
      </c>
    </row>
    <row r="51" spans="1:21" x14ac:dyDescent="0.2">
      <c r="A51" s="960">
        <f t="shared" si="0"/>
        <v>2035</v>
      </c>
      <c r="B51" s="403">
        <f t="shared" si="58"/>
        <v>500</v>
      </c>
      <c r="C51" s="64">
        <f t="shared" si="41"/>
        <v>22724</v>
      </c>
      <c r="D51" s="965">
        <f t="shared" ref="D51:F51" si="61">+D50</f>
        <v>0.311</v>
      </c>
      <c r="E51" s="966">
        <f t="shared" si="61"/>
        <v>0.21199999999999999</v>
      </c>
      <c r="F51" s="790">
        <f t="shared" si="61"/>
        <v>1121</v>
      </c>
      <c r="G51" s="473">
        <f t="shared" si="43"/>
        <v>0.1555</v>
      </c>
      <c r="H51" s="474">
        <f t="shared" si="44"/>
        <v>0.106</v>
      </c>
      <c r="I51" s="474">
        <f t="shared" si="45"/>
        <v>0.5605</v>
      </c>
      <c r="J51" s="61">
        <f t="shared" si="46"/>
        <v>500</v>
      </c>
      <c r="K51" s="967">
        <f t="shared" si="47"/>
        <v>0.311</v>
      </c>
      <c r="L51" s="967">
        <f t="shared" si="48"/>
        <v>0.1555</v>
      </c>
      <c r="M51" s="967">
        <f t="shared" si="49"/>
        <v>4.6719024999999998</v>
      </c>
      <c r="N51" s="54">
        <f t="shared" si="50"/>
        <v>500</v>
      </c>
      <c r="O51" s="968">
        <f t="shared" si="51"/>
        <v>0.21199999999999999</v>
      </c>
      <c r="P51" s="968">
        <f t="shared" si="52"/>
        <v>0.106</v>
      </c>
      <c r="Q51" s="969">
        <f t="shared" si="53"/>
        <v>2.910336</v>
      </c>
      <c r="R51" s="247">
        <f t="shared" si="54"/>
        <v>500</v>
      </c>
      <c r="S51" s="24">
        <f t="shared" si="55"/>
        <v>1121</v>
      </c>
      <c r="T51" s="970">
        <f t="shared" si="56"/>
        <v>0.5605</v>
      </c>
      <c r="U51" s="971">
        <f t="shared" si="57"/>
        <v>15.645517999999992</v>
      </c>
    </row>
    <row r="52" spans="1:21" x14ac:dyDescent="0.2">
      <c r="A52" s="447">
        <f t="shared" si="0"/>
        <v>2036</v>
      </c>
      <c r="B52" s="403">
        <f t="shared" si="58"/>
        <v>500</v>
      </c>
      <c r="C52" s="64">
        <f t="shared" si="41"/>
        <v>23224</v>
      </c>
      <c r="D52" s="965">
        <f t="shared" ref="D52:F52" si="62">+D51</f>
        <v>0.311</v>
      </c>
      <c r="E52" s="966">
        <f t="shared" si="62"/>
        <v>0.21199999999999999</v>
      </c>
      <c r="F52" s="790">
        <f t="shared" si="62"/>
        <v>1121</v>
      </c>
      <c r="G52" s="473">
        <f t="shared" si="43"/>
        <v>0.1555</v>
      </c>
      <c r="H52" s="474">
        <f t="shared" si="44"/>
        <v>0.106</v>
      </c>
      <c r="I52" s="474">
        <f t="shared" si="45"/>
        <v>0.5605</v>
      </c>
      <c r="J52" s="61">
        <f t="shared" si="46"/>
        <v>500</v>
      </c>
      <c r="K52" s="967">
        <f t="shared" si="47"/>
        <v>0.311</v>
      </c>
      <c r="L52" s="967">
        <f t="shared" si="48"/>
        <v>0.1555</v>
      </c>
      <c r="M52" s="967">
        <f t="shared" si="49"/>
        <v>4.8274024999999998</v>
      </c>
      <c r="N52" s="54">
        <f t="shared" si="50"/>
        <v>500</v>
      </c>
      <c r="O52" s="968">
        <f t="shared" si="51"/>
        <v>0.21199999999999999</v>
      </c>
      <c r="P52" s="968">
        <f t="shared" si="52"/>
        <v>0.106</v>
      </c>
      <c r="Q52" s="969">
        <f t="shared" si="53"/>
        <v>3.0163359999999999</v>
      </c>
      <c r="R52" s="247">
        <f t="shared" si="54"/>
        <v>500</v>
      </c>
      <c r="S52" s="24">
        <f t="shared" si="55"/>
        <v>1121</v>
      </c>
      <c r="T52" s="970">
        <f t="shared" si="56"/>
        <v>0.5605</v>
      </c>
      <c r="U52" s="971">
        <f t="shared" si="57"/>
        <v>16.206017999999993</v>
      </c>
    </row>
    <row r="53" spans="1:21" x14ac:dyDescent="0.2">
      <c r="A53" s="960">
        <v>2034</v>
      </c>
      <c r="B53" s="403">
        <f t="shared" si="58"/>
        <v>500</v>
      </c>
      <c r="C53" s="64">
        <f t="shared" si="41"/>
        <v>23724</v>
      </c>
      <c r="D53" s="965">
        <f t="shared" ref="D53:F53" si="63">+D52</f>
        <v>0.311</v>
      </c>
      <c r="E53" s="966">
        <f t="shared" si="63"/>
        <v>0.21199999999999999</v>
      </c>
      <c r="F53" s="790">
        <f t="shared" si="63"/>
        <v>1121</v>
      </c>
      <c r="G53" s="473">
        <f t="shared" si="43"/>
        <v>0.1555</v>
      </c>
      <c r="H53" s="474">
        <f t="shared" si="44"/>
        <v>0.106</v>
      </c>
      <c r="I53" s="474">
        <f t="shared" si="45"/>
        <v>0.5605</v>
      </c>
      <c r="J53" s="61">
        <f t="shared" si="46"/>
        <v>500</v>
      </c>
      <c r="K53" s="967">
        <f t="shared" si="47"/>
        <v>0.311</v>
      </c>
      <c r="L53" s="967">
        <f t="shared" si="48"/>
        <v>0.1555</v>
      </c>
      <c r="M53" s="967">
        <f t="shared" si="49"/>
        <v>4.9829024999999998</v>
      </c>
      <c r="N53" s="54">
        <f t="shared" si="50"/>
        <v>500</v>
      </c>
      <c r="O53" s="968">
        <f t="shared" si="51"/>
        <v>0.21199999999999999</v>
      </c>
      <c r="P53" s="968">
        <f t="shared" si="52"/>
        <v>0.106</v>
      </c>
      <c r="Q53" s="969">
        <f t="shared" si="53"/>
        <v>3.1223359999999998</v>
      </c>
      <c r="R53" s="247">
        <f t="shared" si="54"/>
        <v>500</v>
      </c>
      <c r="S53" s="24">
        <f t="shared" si="55"/>
        <v>1121</v>
      </c>
      <c r="T53" s="970">
        <f t="shared" si="56"/>
        <v>0.5605</v>
      </c>
      <c r="U53" s="971">
        <f t="shared" si="57"/>
        <v>16.766517999999994</v>
      </c>
    </row>
    <row r="54" spans="1:21" x14ac:dyDescent="0.2">
      <c r="A54" s="960">
        <f t="shared" si="0"/>
        <v>2035</v>
      </c>
      <c r="B54" s="403">
        <f t="shared" si="58"/>
        <v>500</v>
      </c>
      <c r="C54" s="64">
        <f t="shared" si="41"/>
        <v>24224</v>
      </c>
      <c r="D54" s="965">
        <f t="shared" ref="D54:F54" si="64">+D53</f>
        <v>0.311</v>
      </c>
      <c r="E54" s="966">
        <f t="shared" si="64"/>
        <v>0.21199999999999999</v>
      </c>
      <c r="F54" s="790">
        <f t="shared" si="64"/>
        <v>1121</v>
      </c>
      <c r="G54" s="473">
        <f t="shared" si="43"/>
        <v>0.1555</v>
      </c>
      <c r="H54" s="474">
        <f t="shared" si="44"/>
        <v>0.106</v>
      </c>
      <c r="I54" s="474">
        <f t="shared" si="45"/>
        <v>0.5605</v>
      </c>
      <c r="J54" s="61">
        <f t="shared" si="46"/>
        <v>500</v>
      </c>
      <c r="K54" s="967">
        <f t="shared" si="47"/>
        <v>0.311</v>
      </c>
      <c r="L54" s="967">
        <f t="shared" si="48"/>
        <v>0.1555</v>
      </c>
      <c r="M54" s="967">
        <f t="shared" si="49"/>
        <v>5.1384024999999998</v>
      </c>
      <c r="N54" s="54">
        <f t="shared" si="50"/>
        <v>500</v>
      </c>
      <c r="O54" s="968">
        <f t="shared" si="51"/>
        <v>0.21199999999999999</v>
      </c>
      <c r="P54" s="968">
        <f t="shared" si="52"/>
        <v>0.106</v>
      </c>
      <c r="Q54" s="969">
        <f t="shared" si="53"/>
        <v>3.2283359999999997</v>
      </c>
      <c r="R54" s="247">
        <f t="shared" si="54"/>
        <v>500</v>
      </c>
      <c r="S54" s="24">
        <f t="shared" si="55"/>
        <v>1121</v>
      </c>
      <c r="T54" s="970">
        <f t="shared" si="56"/>
        <v>0.5605</v>
      </c>
      <c r="U54" s="971">
        <f t="shared" si="57"/>
        <v>17.327017999999995</v>
      </c>
    </row>
    <row r="56" spans="1:21" x14ac:dyDescent="0.2">
      <c r="A56" s="69" t="s">
        <v>38</v>
      </c>
    </row>
    <row r="57" spans="1:21" x14ac:dyDescent="0.2">
      <c r="A57" s="69" t="s">
        <v>39</v>
      </c>
    </row>
    <row r="58" spans="1:21" x14ac:dyDescent="0.2">
      <c r="A58" s="86" t="s">
        <v>57</v>
      </c>
    </row>
    <row r="59" spans="1:21" x14ac:dyDescent="0.2">
      <c r="A59" s="86" t="s">
        <v>58</v>
      </c>
    </row>
    <row r="61" spans="1:21" x14ac:dyDescent="0.2">
      <c r="B61" s="956" t="s">
        <v>386</v>
      </c>
    </row>
    <row r="62" spans="1:21" x14ac:dyDescent="0.2">
      <c r="B62">
        <v>2015</v>
      </c>
      <c r="D62">
        <f>1212.71/B28</f>
        <v>0.6696355604638321</v>
      </c>
      <c r="E62">
        <f>672.95/B28</f>
        <v>0.3715902816123689</v>
      </c>
      <c r="F62">
        <f>1982491/B28</f>
        <v>1094.6940916620651</v>
      </c>
    </row>
  </sheetData>
  <mergeCells count="5">
    <mergeCell ref="G3:I3"/>
    <mergeCell ref="B4:I4"/>
    <mergeCell ref="J4:M4"/>
    <mergeCell ref="N4:Q4"/>
    <mergeCell ref="R4:U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1CBE06"/>
    <pageSetUpPr fitToPage="1"/>
  </sheetPr>
  <dimension ref="A1:X71"/>
  <sheetViews>
    <sheetView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249"/>
      <c r="K1" s="4"/>
      <c r="L1" s="4"/>
      <c r="M1" s="4"/>
      <c r="N1" s="4"/>
    </row>
    <row r="2" spans="1:24" ht="16.5" thickBot="1" x14ac:dyDescent="0.3">
      <c r="A2" s="5" t="s">
        <v>1</v>
      </c>
      <c r="B2" s="27" t="s">
        <v>324</v>
      </c>
      <c r="C2" s="27"/>
      <c r="D2" s="27"/>
      <c r="E2" s="27"/>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5224</v>
      </c>
      <c r="D6" s="628"/>
      <c r="E6" s="15"/>
      <c r="F6" s="31"/>
      <c r="G6" s="208"/>
      <c r="H6" s="15"/>
      <c r="I6" s="31"/>
      <c r="J6" s="37"/>
      <c r="K6" s="59">
        <f>+M6/C6*1000</f>
        <v>2.0290964777947931</v>
      </c>
      <c r="L6" s="6"/>
      <c r="M6" s="46">
        <v>10.6</v>
      </c>
      <c r="N6" s="40"/>
      <c r="O6" s="55">
        <f>+Q6/C6*1000</f>
        <v>4.3912710566615623</v>
      </c>
      <c r="P6" s="57"/>
      <c r="Q6" s="41">
        <v>22.94</v>
      </c>
      <c r="R6" s="43"/>
      <c r="S6" s="24">
        <f>+U6/C6*1000000</f>
        <v>702.52679938744257</v>
      </c>
      <c r="T6" s="21"/>
      <c r="U6" s="47">
        <v>3.67</v>
      </c>
      <c r="V6" s="3"/>
    </row>
    <row r="7" spans="1:24" s="1" customFormat="1" ht="15.75" customHeight="1" x14ac:dyDescent="0.2">
      <c r="A7" s="68" t="s">
        <v>63</v>
      </c>
      <c r="B7" s="30"/>
      <c r="C7" s="659">
        <f>4282+C6</f>
        <v>9506</v>
      </c>
      <c r="D7" s="628"/>
      <c r="E7" s="15"/>
      <c r="F7" s="31"/>
      <c r="G7" s="208"/>
      <c r="H7" s="15"/>
      <c r="I7" s="31"/>
      <c r="J7" s="37"/>
      <c r="K7" s="59">
        <f>+(M7-M6)/($C7-$C6)*1000</f>
        <v>0.38066324147594599</v>
      </c>
      <c r="L7" s="6"/>
      <c r="M7" s="46">
        <f>+M6+1.63</f>
        <v>12.23</v>
      </c>
      <c r="N7" s="40"/>
      <c r="O7" s="55">
        <f>+(Q7-Q6)/($C7-$C6)*1000</f>
        <v>1.7118169079869225</v>
      </c>
      <c r="P7" s="57"/>
      <c r="Q7" s="41">
        <f>+Q6+7.33</f>
        <v>30.270000000000003</v>
      </c>
      <c r="R7" s="43"/>
      <c r="S7" s="24">
        <f>+(U7-U6)/($C7-$C6)*1000000</f>
        <v>2587.5758991125645</v>
      </c>
      <c r="T7" s="21"/>
      <c r="U7" s="47">
        <f>+U6+11.08</f>
        <v>14.75</v>
      </c>
      <c r="V7" s="3"/>
    </row>
    <row r="8" spans="1:24" x14ac:dyDescent="0.2">
      <c r="A8" s="33">
        <v>1995</v>
      </c>
      <c r="B8" s="30">
        <v>1676</v>
      </c>
      <c r="C8" s="660">
        <f>+C7+B8</f>
        <v>11182</v>
      </c>
      <c r="D8" s="662">
        <v>0.3818615751789976</v>
      </c>
      <c r="E8" s="663">
        <v>1.7124105011933175</v>
      </c>
      <c r="F8" s="617">
        <v>2565.6324582338902</v>
      </c>
      <c r="G8" s="626">
        <f t="shared" ref="G8:G23" si="0">+$B8*D8/1000</f>
        <v>0.64</v>
      </c>
      <c r="H8" s="72">
        <f t="shared" ref="H8:H23" si="1">+$B8*E8/1000</f>
        <v>2.87</v>
      </c>
      <c r="I8" s="630">
        <f t="shared" ref="I8:I23" si="2">+$B8*F8/1000000</f>
        <v>4.3</v>
      </c>
      <c r="J8" s="61">
        <f>+(B8+N8)/2</f>
        <v>1309.5</v>
      </c>
      <c r="K8" s="188">
        <f>+D8</f>
        <v>0.3818615751789976</v>
      </c>
      <c r="L8" s="188">
        <f>+J8*K8/1000</f>
        <v>0.5000477326968974</v>
      </c>
      <c r="M8" s="188">
        <f>+M7+L8</f>
        <v>12.730047732696898</v>
      </c>
      <c r="N8" s="51">
        <v>943</v>
      </c>
      <c r="O8" s="670">
        <f>+E8</f>
        <v>1.7124105011933175</v>
      </c>
      <c r="P8" s="670">
        <f>+N8*O8/1000</f>
        <v>1.6148031026252985</v>
      </c>
      <c r="Q8" s="670">
        <f>+Q7+P8</f>
        <v>31.884803102625302</v>
      </c>
      <c r="R8" s="247">
        <f>J8</f>
        <v>1309.5</v>
      </c>
      <c r="S8" s="24">
        <f>+F8</f>
        <v>2565.6324582338902</v>
      </c>
      <c r="T8" s="25">
        <f>+R8*S8/1000000</f>
        <v>3.3596957040572795</v>
      </c>
      <c r="U8" s="654">
        <f>+U7+T8</f>
        <v>18.10969570405728</v>
      </c>
      <c r="V8" s="9"/>
      <c r="X8" s="1"/>
    </row>
    <row r="9" spans="1:24" x14ac:dyDescent="0.2">
      <c r="A9" s="33">
        <v>1996</v>
      </c>
      <c r="B9" s="30">
        <v>729</v>
      </c>
      <c r="C9" s="660">
        <f t="shared" ref="C9:C37" si="3">+C8+B9</f>
        <v>11911</v>
      </c>
      <c r="D9" s="662">
        <v>0.08</v>
      </c>
      <c r="E9" s="663">
        <v>6.0000000000000005E-2</v>
      </c>
      <c r="F9" s="617">
        <v>341</v>
      </c>
      <c r="G9" s="626">
        <f t="shared" si="0"/>
        <v>5.8319999999999997E-2</v>
      </c>
      <c r="H9" s="72">
        <f t="shared" si="1"/>
        <v>4.3740000000000001E-2</v>
      </c>
      <c r="I9" s="630">
        <f t="shared" si="2"/>
        <v>0.248589</v>
      </c>
      <c r="J9" s="61">
        <f t="shared" ref="J9:J37" si="4">+(B9+B8)/2</f>
        <v>1202.5</v>
      </c>
      <c r="K9" s="188">
        <f t="shared" ref="K9:K37" si="5">+D9</f>
        <v>0.08</v>
      </c>
      <c r="L9" s="188">
        <f t="shared" ref="L9:L37" si="6">+J9*K9/1000</f>
        <v>9.6200000000000008E-2</v>
      </c>
      <c r="M9" s="188">
        <f t="shared" ref="M9:M37" si="7">+M8+L9</f>
        <v>12.826247732696897</v>
      </c>
      <c r="N9" s="54">
        <f>+B8</f>
        <v>1676</v>
      </c>
      <c r="O9" s="670">
        <f t="shared" ref="O9:O37" si="8">+E9</f>
        <v>6.0000000000000005E-2</v>
      </c>
      <c r="P9" s="670">
        <f t="shared" ref="P9:P37" si="9">+N9*O9/1000</f>
        <v>0.10056</v>
      </c>
      <c r="Q9" s="670">
        <f t="shared" ref="Q9:Q37" si="10">+Q8+P9</f>
        <v>31.985363102625303</v>
      </c>
      <c r="R9" s="247">
        <f t="shared" ref="R9:R37" si="11">+(B9+B8)/2</f>
        <v>1202.5</v>
      </c>
      <c r="S9" s="24">
        <f t="shared" ref="S9:S37" si="12">+F9</f>
        <v>341</v>
      </c>
      <c r="T9" s="25">
        <f t="shared" ref="T9:T37" si="13">+R9*S9/1000000</f>
        <v>0.41005249999999999</v>
      </c>
      <c r="U9" s="654">
        <f t="shared" ref="U9:U37" si="14">+U8+T9</f>
        <v>18.519748204057279</v>
      </c>
      <c r="V9" s="10"/>
      <c r="X9" s="1"/>
    </row>
    <row r="10" spans="1:24" x14ac:dyDescent="0.2">
      <c r="A10" s="33">
        <v>1997</v>
      </c>
      <c r="B10" s="30">
        <v>263</v>
      </c>
      <c r="C10" s="660">
        <f t="shared" si="3"/>
        <v>12174</v>
      </c>
      <c r="D10" s="662">
        <v>0.08</v>
      </c>
      <c r="E10" s="663">
        <v>0.06</v>
      </c>
      <c r="F10" s="617">
        <v>341</v>
      </c>
      <c r="G10" s="626">
        <f t="shared" si="0"/>
        <v>2.104E-2</v>
      </c>
      <c r="H10" s="72">
        <f t="shared" si="1"/>
        <v>1.5779999999999999E-2</v>
      </c>
      <c r="I10" s="630">
        <f t="shared" si="2"/>
        <v>8.9682999999999999E-2</v>
      </c>
      <c r="J10" s="61">
        <f t="shared" si="4"/>
        <v>496</v>
      </c>
      <c r="K10" s="188">
        <f t="shared" si="5"/>
        <v>0.08</v>
      </c>
      <c r="L10" s="188">
        <f t="shared" si="6"/>
        <v>3.968E-2</v>
      </c>
      <c r="M10" s="188">
        <f t="shared" si="7"/>
        <v>12.865927732696898</v>
      </c>
      <c r="N10" s="54">
        <f t="shared" ref="N10:N37" si="15">+B9</f>
        <v>729</v>
      </c>
      <c r="O10" s="670">
        <f t="shared" si="8"/>
        <v>0.06</v>
      </c>
      <c r="P10" s="670">
        <f t="shared" si="9"/>
        <v>4.3739999999999994E-2</v>
      </c>
      <c r="Q10" s="670">
        <f t="shared" si="10"/>
        <v>32.029103102625307</v>
      </c>
      <c r="R10" s="247">
        <f t="shared" si="11"/>
        <v>496</v>
      </c>
      <c r="S10" s="24">
        <f t="shared" si="12"/>
        <v>341</v>
      </c>
      <c r="T10" s="25">
        <f t="shared" si="13"/>
        <v>0.16913600000000001</v>
      </c>
      <c r="U10" s="654">
        <f t="shared" si="14"/>
        <v>18.688884204057281</v>
      </c>
      <c r="V10" s="10"/>
      <c r="X10" s="1"/>
    </row>
    <row r="11" spans="1:24" x14ac:dyDescent="0.2">
      <c r="A11" s="33">
        <v>1998</v>
      </c>
      <c r="B11" s="30">
        <v>259</v>
      </c>
      <c r="C11" s="660">
        <f t="shared" si="3"/>
        <v>12433</v>
      </c>
      <c r="D11" s="662">
        <v>0.08</v>
      </c>
      <c r="E11" s="663">
        <v>0.06</v>
      </c>
      <c r="F11" s="617">
        <v>341</v>
      </c>
      <c r="G11" s="626">
        <f t="shared" si="0"/>
        <v>2.0719999999999999E-2</v>
      </c>
      <c r="H11" s="72">
        <f t="shared" si="1"/>
        <v>1.554E-2</v>
      </c>
      <c r="I11" s="630">
        <f t="shared" si="2"/>
        <v>8.8318999999999995E-2</v>
      </c>
      <c r="J11" s="61">
        <f t="shared" si="4"/>
        <v>261</v>
      </c>
      <c r="K11" s="188">
        <f t="shared" si="5"/>
        <v>0.08</v>
      </c>
      <c r="L11" s="188">
        <f t="shared" si="6"/>
        <v>2.0879999999999999E-2</v>
      </c>
      <c r="M11" s="188">
        <f t="shared" si="7"/>
        <v>12.886807732696898</v>
      </c>
      <c r="N11" s="54">
        <f t="shared" si="15"/>
        <v>263</v>
      </c>
      <c r="O11" s="670">
        <f t="shared" si="8"/>
        <v>0.06</v>
      </c>
      <c r="P11" s="670">
        <f t="shared" si="9"/>
        <v>1.5779999999999999E-2</v>
      </c>
      <c r="Q11" s="670">
        <f t="shared" si="10"/>
        <v>32.044883102625306</v>
      </c>
      <c r="R11" s="247">
        <f t="shared" si="11"/>
        <v>261</v>
      </c>
      <c r="S11" s="24">
        <f t="shared" si="12"/>
        <v>341</v>
      </c>
      <c r="T11" s="25">
        <f t="shared" si="13"/>
        <v>8.9000999999999997E-2</v>
      </c>
      <c r="U11" s="654">
        <f t="shared" si="14"/>
        <v>18.777885204057281</v>
      </c>
      <c r="V11" s="10"/>
      <c r="X11" s="1"/>
    </row>
    <row r="12" spans="1:24" x14ac:dyDescent="0.2">
      <c r="A12" s="33">
        <v>1999</v>
      </c>
      <c r="B12" s="30">
        <v>431</v>
      </c>
      <c r="C12" s="660">
        <f t="shared" si="3"/>
        <v>12864</v>
      </c>
      <c r="D12" s="662">
        <v>7.9999999999999988E-2</v>
      </c>
      <c r="E12" s="663">
        <v>0.06</v>
      </c>
      <c r="F12" s="617">
        <v>341</v>
      </c>
      <c r="G12" s="626">
        <f t="shared" si="0"/>
        <v>3.4479999999999997E-2</v>
      </c>
      <c r="H12" s="72">
        <f t="shared" si="1"/>
        <v>2.5860000000000001E-2</v>
      </c>
      <c r="I12" s="630">
        <f t="shared" si="2"/>
        <v>0.14697099999999999</v>
      </c>
      <c r="J12" s="61">
        <f t="shared" si="4"/>
        <v>345</v>
      </c>
      <c r="K12" s="188">
        <f t="shared" si="5"/>
        <v>7.9999999999999988E-2</v>
      </c>
      <c r="L12" s="188">
        <f t="shared" si="6"/>
        <v>2.7599999999999993E-2</v>
      </c>
      <c r="M12" s="188">
        <f t="shared" si="7"/>
        <v>12.914407732696898</v>
      </c>
      <c r="N12" s="54">
        <f t="shared" si="15"/>
        <v>259</v>
      </c>
      <c r="O12" s="670">
        <f t="shared" si="8"/>
        <v>0.06</v>
      </c>
      <c r="P12" s="670">
        <f t="shared" si="9"/>
        <v>1.554E-2</v>
      </c>
      <c r="Q12" s="670">
        <f t="shared" si="10"/>
        <v>32.060423102625307</v>
      </c>
      <c r="R12" s="247">
        <f t="shared" si="11"/>
        <v>345</v>
      </c>
      <c r="S12" s="24">
        <f t="shared" si="12"/>
        <v>341</v>
      </c>
      <c r="T12" s="25">
        <f t="shared" si="13"/>
        <v>0.117645</v>
      </c>
      <c r="U12" s="654">
        <f t="shared" si="14"/>
        <v>18.89553020405728</v>
      </c>
      <c r="V12" s="10"/>
      <c r="X12" s="1"/>
    </row>
    <row r="13" spans="1:24" x14ac:dyDescent="0.2">
      <c r="A13" s="33">
        <v>2000</v>
      </c>
      <c r="B13" s="30">
        <v>413</v>
      </c>
      <c r="C13" s="660">
        <f t="shared" si="3"/>
        <v>13277</v>
      </c>
      <c r="D13" s="662">
        <v>0.08</v>
      </c>
      <c r="E13" s="663">
        <v>6.0000000000000005E-2</v>
      </c>
      <c r="F13" s="617">
        <v>341</v>
      </c>
      <c r="G13" s="626">
        <f t="shared" si="0"/>
        <v>3.304E-2</v>
      </c>
      <c r="H13" s="72">
        <f t="shared" si="1"/>
        <v>2.478E-2</v>
      </c>
      <c r="I13" s="630">
        <f t="shared" si="2"/>
        <v>0.14083300000000001</v>
      </c>
      <c r="J13" s="61">
        <f t="shared" si="4"/>
        <v>422</v>
      </c>
      <c r="K13" s="188">
        <f t="shared" si="5"/>
        <v>0.08</v>
      </c>
      <c r="L13" s="188">
        <f t="shared" si="6"/>
        <v>3.3759999999999998E-2</v>
      </c>
      <c r="M13" s="188">
        <f t="shared" si="7"/>
        <v>12.948167732696897</v>
      </c>
      <c r="N13" s="54">
        <f t="shared" si="15"/>
        <v>431</v>
      </c>
      <c r="O13" s="670">
        <f t="shared" si="8"/>
        <v>6.0000000000000005E-2</v>
      </c>
      <c r="P13" s="670">
        <f t="shared" si="9"/>
        <v>2.5860000000000005E-2</v>
      </c>
      <c r="Q13" s="670">
        <f t="shared" si="10"/>
        <v>32.086283102625309</v>
      </c>
      <c r="R13" s="247">
        <f t="shared" si="11"/>
        <v>422</v>
      </c>
      <c r="S13" s="24">
        <f t="shared" si="12"/>
        <v>341</v>
      </c>
      <c r="T13" s="25">
        <f t="shared" si="13"/>
        <v>0.143902</v>
      </c>
      <c r="U13" s="654">
        <f t="shared" si="14"/>
        <v>19.039432204057281</v>
      </c>
      <c r="V13" s="9"/>
      <c r="X13" s="1"/>
    </row>
    <row r="14" spans="1:24" x14ac:dyDescent="0.2">
      <c r="A14" s="33">
        <v>2001</v>
      </c>
      <c r="B14" s="30">
        <v>575</v>
      </c>
      <c r="C14" s="660">
        <f t="shared" si="3"/>
        <v>13852</v>
      </c>
      <c r="D14" s="662">
        <v>0.08</v>
      </c>
      <c r="E14" s="663">
        <v>0.06</v>
      </c>
      <c r="F14" s="617">
        <v>341</v>
      </c>
      <c r="G14" s="626">
        <f t="shared" si="0"/>
        <v>4.5999999999999999E-2</v>
      </c>
      <c r="H14" s="72">
        <f t="shared" si="1"/>
        <v>3.4500000000000003E-2</v>
      </c>
      <c r="I14" s="630">
        <f t="shared" si="2"/>
        <v>0.196075</v>
      </c>
      <c r="J14" s="61">
        <f t="shared" si="4"/>
        <v>494</v>
      </c>
      <c r="K14" s="188">
        <f t="shared" si="5"/>
        <v>0.08</v>
      </c>
      <c r="L14" s="188">
        <f t="shared" si="6"/>
        <v>3.9520000000000007E-2</v>
      </c>
      <c r="M14" s="188">
        <f t="shared" si="7"/>
        <v>12.987687732696896</v>
      </c>
      <c r="N14" s="54">
        <f t="shared" si="15"/>
        <v>413</v>
      </c>
      <c r="O14" s="670">
        <f t="shared" si="8"/>
        <v>0.06</v>
      </c>
      <c r="P14" s="670">
        <f t="shared" si="9"/>
        <v>2.4779999999999996E-2</v>
      </c>
      <c r="Q14" s="670">
        <f t="shared" si="10"/>
        <v>32.111063102625309</v>
      </c>
      <c r="R14" s="247">
        <f t="shared" si="11"/>
        <v>494</v>
      </c>
      <c r="S14" s="24">
        <f t="shared" si="12"/>
        <v>341</v>
      </c>
      <c r="T14" s="25">
        <f t="shared" si="13"/>
        <v>0.16845399999999999</v>
      </c>
      <c r="U14" s="654">
        <f t="shared" si="14"/>
        <v>19.207886204057282</v>
      </c>
      <c r="V14" s="9"/>
      <c r="X14" s="1"/>
    </row>
    <row r="15" spans="1:24" x14ac:dyDescent="0.2">
      <c r="A15" s="33">
        <v>2002</v>
      </c>
      <c r="B15" s="30">
        <v>510</v>
      </c>
      <c r="C15" s="660">
        <f t="shared" si="3"/>
        <v>14362</v>
      </c>
      <c r="D15" s="662">
        <v>0.08</v>
      </c>
      <c r="E15" s="663">
        <v>0.06</v>
      </c>
      <c r="F15" s="617">
        <v>341</v>
      </c>
      <c r="G15" s="626">
        <f t="shared" si="0"/>
        <v>4.0800000000000003E-2</v>
      </c>
      <c r="H15" s="72">
        <f t="shared" si="1"/>
        <v>3.0599999999999999E-2</v>
      </c>
      <c r="I15" s="630">
        <f t="shared" si="2"/>
        <v>0.17391000000000001</v>
      </c>
      <c r="J15" s="61">
        <f t="shared" si="4"/>
        <v>542.5</v>
      </c>
      <c r="K15" s="188">
        <f t="shared" si="5"/>
        <v>0.08</v>
      </c>
      <c r="L15" s="188">
        <f t="shared" si="6"/>
        <v>4.3400000000000001E-2</v>
      </c>
      <c r="M15" s="188">
        <f t="shared" si="7"/>
        <v>13.031087732696896</v>
      </c>
      <c r="N15" s="54">
        <f t="shared" si="15"/>
        <v>575</v>
      </c>
      <c r="O15" s="670">
        <f t="shared" si="8"/>
        <v>0.06</v>
      </c>
      <c r="P15" s="670">
        <f t="shared" si="9"/>
        <v>3.4500000000000003E-2</v>
      </c>
      <c r="Q15" s="670">
        <f t="shared" si="10"/>
        <v>32.14556310262531</v>
      </c>
      <c r="R15" s="247">
        <f t="shared" si="11"/>
        <v>542.5</v>
      </c>
      <c r="S15" s="24">
        <f t="shared" si="12"/>
        <v>341</v>
      </c>
      <c r="T15" s="25">
        <f t="shared" si="13"/>
        <v>0.1849925</v>
      </c>
      <c r="U15" s="654">
        <f t="shared" si="14"/>
        <v>19.392878704057281</v>
      </c>
      <c r="V15" s="9"/>
      <c r="X15" s="1"/>
    </row>
    <row r="16" spans="1:24" x14ac:dyDescent="0.2">
      <c r="A16" s="33">
        <v>2003</v>
      </c>
      <c r="B16" s="30">
        <v>469</v>
      </c>
      <c r="C16" s="660">
        <f t="shared" si="3"/>
        <v>14831</v>
      </c>
      <c r="D16" s="662">
        <v>7.9999999999999988E-2</v>
      </c>
      <c r="E16" s="663">
        <v>5.9999999999999991E-2</v>
      </c>
      <c r="F16" s="617">
        <v>341</v>
      </c>
      <c r="G16" s="626">
        <f t="shared" si="0"/>
        <v>3.7519999999999998E-2</v>
      </c>
      <c r="H16" s="72">
        <f t="shared" si="1"/>
        <v>2.8139999999999998E-2</v>
      </c>
      <c r="I16" s="630">
        <f t="shared" si="2"/>
        <v>0.15992899999999999</v>
      </c>
      <c r="J16" s="61">
        <f t="shared" si="4"/>
        <v>489.5</v>
      </c>
      <c r="K16" s="188">
        <f t="shared" si="5"/>
        <v>7.9999999999999988E-2</v>
      </c>
      <c r="L16" s="188">
        <f t="shared" si="6"/>
        <v>3.9159999999999993E-2</v>
      </c>
      <c r="M16" s="188">
        <f t="shared" si="7"/>
        <v>13.070247732696897</v>
      </c>
      <c r="N16" s="54">
        <f t="shared" si="15"/>
        <v>510</v>
      </c>
      <c r="O16" s="670">
        <f t="shared" si="8"/>
        <v>5.9999999999999991E-2</v>
      </c>
      <c r="P16" s="670">
        <f t="shared" si="9"/>
        <v>3.0599999999999995E-2</v>
      </c>
      <c r="Q16" s="670">
        <f t="shared" si="10"/>
        <v>32.17616310262531</v>
      </c>
      <c r="R16" s="247">
        <f t="shared" si="11"/>
        <v>489.5</v>
      </c>
      <c r="S16" s="24">
        <f t="shared" si="12"/>
        <v>341</v>
      </c>
      <c r="T16" s="25">
        <f t="shared" si="13"/>
        <v>0.1669195</v>
      </c>
      <c r="U16" s="654">
        <f t="shared" si="14"/>
        <v>19.55979820405728</v>
      </c>
      <c r="V16" s="9"/>
      <c r="X16" s="1"/>
    </row>
    <row r="17" spans="1:24" x14ac:dyDescent="0.2">
      <c r="A17" s="33">
        <f>+A16+1</f>
        <v>2004</v>
      </c>
      <c r="B17" s="30">
        <v>647</v>
      </c>
      <c r="C17" s="660">
        <f t="shared" si="3"/>
        <v>15478</v>
      </c>
      <c r="D17" s="662">
        <v>0.08</v>
      </c>
      <c r="E17" s="663">
        <v>0.06</v>
      </c>
      <c r="F17" s="617">
        <v>341</v>
      </c>
      <c r="G17" s="626">
        <f t="shared" si="0"/>
        <v>5.176E-2</v>
      </c>
      <c r="H17" s="72">
        <f t="shared" si="1"/>
        <v>3.882E-2</v>
      </c>
      <c r="I17" s="630">
        <f t="shared" si="2"/>
        <v>0.22062699999999999</v>
      </c>
      <c r="J17" s="61">
        <f t="shared" si="4"/>
        <v>558</v>
      </c>
      <c r="K17" s="188">
        <f t="shared" si="5"/>
        <v>0.08</v>
      </c>
      <c r="L17" s="188">
        <f t="shared" si="6"/>
        <v>4.4639999999999999E-2</v>
      </c>
      <c r="M17" s="188">
        <f t="shared" si="7"/>
        <v>13.114887732696896</v>
      </c>
      <c r="N17" s="54">
        <f t="shared" si="15"/>
        <v>469</v>
      </c>
      <c r="O17" s="670">
        <f t="shared" si="8"/>
        <v>0.06</v>
      </c>
      <c r="P17" s="670">
        <f t="shared" si="9"/>
        <v>2.8140000000000002E-2</v>
      </c>
      <c r="Q17" s="670">
        <f t="shared" si="10"/>
        <v>32.20430310262531</v>
      </c>
      <c r="R17" s="247">
        <f t="shared" si="11"/>
        <v>558</v>
      </c>
      <c r="S17" s="24">
        <f t="shared" si="12"/>
        <v>341</v>
      </c>
      <c r="T17" s="25">
        <f t="shared" si="13"/>
        <v>0.190278</v>
      </c>
      <c r="U17" s="654">
        <f t="shared" si="14"/>
        <v>19.750076204057279</v>
      </c>
      <c r="V17" s="9"/>
      <c r="X17" s="1"/>
    </row>
    <row r="18" spans="1:24" x14ac:dyDescent="0.2">
      <c r="A18" s="33">
        <f t="shared" ref="A18:A38" si="16">+A17+1</f>
        <v>2005</v>
      </c>
      <c r="B18" s="30">
        <v>493</v>
      </c>
      <c r="C18" s="660">
        <f t="shared" si="3"/>
        <v>15971</v>
      </c>
      <c r="D18" s="662">
        <v>8.0000000000000016E-2</v>
      </c>
      <c r="E18" s="663">
        <v>0.06</v>
      </c>
      <c r="F18" s="617">
        <v>341</v>
      </c>
      <c r="G18" s="626">
        <f t="shared" si="0"/>
        <v>3.9440000000000003E-2</v>
      </c>
      <c r="H18" s="72">
        <f t="shared" si="1"/>
        <v>2.9579999999999999E-2</v>
      </c>
      <c r="I18" s="630">
        <f t="shared" si="2"/>
        <v>0.16811300000000001</v>
      </c>
      <c r="J18" s="61">
        <f t="shared" si="4"/>
        <v>570</v>
      </c>
      <c r="K18" s="188">
        <f t="shared" si="5"/>
        <v>8.0000000000000016E-2</v>
      </c>
      <c r="L18" s="188">
        <f t="shared" si="6"/>
        <v>4.5600000000000009E-2</v>
      </c>
      <c r="M18" s="188">
        <f t="shared" si="7"/>
        <v>13.160487732696897</v>
      </c>
      <c r="N18" s="54">
        <f t="shared" si="15"/>
        <v>647</v>
      </c>
      <c r="O18" s="670">
        <f t="shared" si="8"/>
        <v>0.06</v>
      </c>
      <c r="P18" s="670">
        <f t="shared" si="9"/>
        <v>3.882E-2</v>
      </c>
      <c r="Q18" s="670">
        <f t="shared" si="10"/>
        <v>32.243123102625312</v>
      </c>
      <c r="R18" s="247">
        <f t="shared" si="11"/>
        <v>570</v>
      </c>
      <c r="S18" s="24">
        <f t="shared" si="12"/>
        <v>341</v>
      </c>
      <c r="T18" s="25">
        <f t="shared" si="13"/>
        <v>0.19436999999999999</v>
      </c>
      <c r="U18" s="654">
        <f t="shared" si="14"/>
        <v>19.944446204057279</v>
      </c>
      <c r="V18" s="9"/>
      <c r="X18" s="1"/>
    </row>
    <row r="19" spans="1:24" x14ac:dyDescent="0.2">
      <c r="A19" s="33">
        <f t="shared" si="16"/>
        <v>2006</v>
      </c>
      <c r="B19" s="30">
        <v>599</v>
      </c>
      <c r="C19" s="660">
        <f t="shared" si="3"/>
        <v>16570</v>
      </c>
      <c r="D19" s="662">
        <v>7.9999999999999988E-2</v>
      </c>
      <c r="E19" s="663">
        <v>0.06</v>
      </c>
      <c r="F19" s="617">
        <v>341</v>
      </c>
      <c r="G19" s="626">
        <f t="shared" si="0"/>
        <v>4.7919999999999997E-2</v>
      </c>
      <c r="H19" s="72">
        <f t="shared" si="1"/>
        <v>3.594E-2</v>
      </c>
      <c r="I19" s="630">
        <f t="shared" si="2"/>
        <v>0.204259</v>
      </c>
      <c r="J19" s="61">
        <f t="shared" si="4"/>
        <v>546</v>
      </c>
      <c r="K19" s="188">
        <f t="shared" si="5"/>
        <v>7.9999999999999988E-2</v>
      </c>
      <c r="L19" s="188">
        <f t="shared" si="6"/>
        <v>4.367999999999999E-2</v>
      </c>
      <c r="M19" s="188">
        <f t="shared" si="7"/>
        <v>13.204167732696897</v>
      </c>
      <c r="N19" s="54">
        <f t="shared" si="15"/>
        <v>493</v>
      </c>
      <c r="O19" s="670">
        <f t="shared" si="8"/>
        <v>0.06</v>
      </c>
      <c r="P19" s="670">
        <f t="shared" si="9"/>
        <v>2.9579999999999999E-2</v>
      </c>
      <c r="Q19" s="670">
        <f t="shared" si="10"/>
        <v>32.272703102625314</v>
      </c>
      <c r="R19" s="247">
        <f t="shared" si="11"/>
        <v>546</v>
      </c>
      <c r="S19" s="24">
        <f t="shared" si="12"/>
        <v>341</v>
      </c>
      <c r="T19" s="25">
        <f t="shared" si="13"/>
        <v>0.18618599999999999</v>
      </c>
      <c r="U19" s="654">
        <f t="shared" si="14"/>
        <v>20.130632204057278</v>
      </c>
      <c r="V19" s="8"/>
      <c r="X19" s="1"/>
    </row>
    <row r="20" spans="1:24" x14ac:dyDescent="0.2">
      <c r="A20" s="33">
        <f t="shared" si="16"/>
        <v>2007</v>
      </c>
      <c r="B20" s="30">
        <v>618</v>
      </c>
      <c r="C20" s="660">
        <f t="shared" si="3"/>
        <v>17188</v>
      </c>
      <c r="D20" s="662">
        <v>0.08</v>
      </c>
      <c r="E20" s="663">
        <v>0.06</v>
      </c>
      <c r="F20" s="617">
        <v>341</v>
      </c>
      <c r="G20" s="626">
        <f t="shared" si="0"/>
        <v>4.9439999999999998E-2</v>
      </c>
      <c r="H20" s="72">
        <f t="shared" si="1"/>
        <v>3.7079999999999995E-2</v>
      </c>
      <c r="I20" s="630">
        <f t="shared" si="2"/>
        <v>0.21073800000000001</v>
      </c>
      <c r="J20" s="61">
        <f t="shared" si="4"/>
        <v>608.5</v>
      </c>
      <c r="K20" s="188">
        <f t="shared" si="5"/>
        <v>0.08</v>
      </c>
      <c r="L20" s="188">
        <f t="shared" si="6"/>
        <v>4.8680000000000001E-2</v>
      </c>
      <c r="M20" s="188">
        <f t="shared" si="7"/>
        <v>13.252847732696896</v>
      </c>
      <c r="N20" s="54">
        <f t="shared" si="15"/>
        <v>599</v>
      </c>
      <c r="O20" s="670">
        <f t="shared" si="8"/>
        <v>0.06</v>
      </c>
      <c r="P20" s="670">
        <f t="shared" si="9"/>
        <v>3.594E-2</v>
      </c>
      <c r="Q20" s="670">
        <f t="shared" si="10"/>
        <v>32.308643102625311</v>
      </c>
      <c r="R20" s="247">
        <f t="shared" si="11"/>
        <v>608.5</v>
      </c>
      <c r="S20" s="24">
        <f t="shared" si="12"/>
        <v>341</v>
      </c>
      <c r="T20" s="25">
        <f t="shared" si="13"/>
        <v>0.2074985</v>
      </c>
      <c r="U20" s="654">
        <f t="shared" si="14"/>
        <v>20.338130704057278</v>
      </c>
    </row>
    <row r="21" spans="1:24" x14ac:dyDescent="0.2">
      <c r="A21" s="33">
        <f t="shared" si="16"/>
        <v>2008</v>
      </c>
      <c r="B21" s="30">
        <v>970</v>
      </c>
      <c r="C21" s="660">
        <f t="shared" si="3"/>
        <v>18158</v>
      </c>
      <c r="D21" s="662">
        <v>0.08</v>
      </c>
      <c r="E21" s="663">
        <v>0.06</v>
      </c>
      <c r="F21" s="617">
        <v>341</v>
      </c>
      <c r="G21" s="626">
        <f t="shared" si="0"/>
        <v>7.7600000000000002E-2</v>
      </c>
      <c r="H21" s="72">
        <f t="shared" si="1"/>
        <v>5.8199999999999995E-2</v>
      </c>
      <c r="I21" s="630">
        <f t="shared" si="2"/>
        <v>0.33077000000000001</v>
      </c>
      <c r="J21" s="61">
        <f t="shared" si="4"/>
        <v>794</v>
      </c>
      <c r="K21" s="188">
        <f t="shared" si="5"/>
        <v>0.08</v>
      </c>
      <c r="L21" s="188">
        <f t="shared" si="6"/>
        <v>6.3520000000000007E-2</v>
      </c>
      <c r="M21" s="188">
        <f t="shared" si="7"/>
        <v>13.316367732696897</v>
      </c>
      <c r="N21" s="54">
        <f t="shared" si="15"/>
        <v>618</v>
      </c>
      <c r="O21" s="670">
        <f t="shared" si="8"/>
        <v>0.06</v>
      </c>
      <c r="P21" s="670">
        <f t="shared" si="9"/>
        <v>3.7079999999999995E-2</v>
      </c>
      <c r="Q21" s="670">
        <f t="shared" si="10"/>
        <v>32.345723102625314</v>
      </c>
      <c r="R21" s="247">
        <f t="shared" si="11"/>
        <v>794</v>
      </c>
      <c r="S21" s="24">
        <f t="shared" si="12"/>
        <v>341</v>
      </c>
      <c r="T21" s="25">
        <f t="shared" si="13"/>
        <v>0.27075399999999999</v>
      </c>
      <c r="U21" s="654">
        <f t="shared" si="14"/>
        <v>20.608884704057278</v>
      </c>
    </row>
    <row r="22" spans="1:24" x14ac:dyDescent="0.2">
      <c r="A22" s="33">
        <f t="shared" si="16"/>
        <v>2009</v>
      </c>
      <c r="B22" s="30">
        <v>1009</v>
      </c>
      <c r="C22" s="660">
        <f t="shared" si="3"/>
        <v>19167</v>
      </c>
      <c r="D22" s="662">
        <v>0.08</v>
      </c>
      <c r="E22" s="663">
        <v>0.06</v>
      </c>
      <c r="F22" s="617">
        <v>341</v>
      </c>
      <c r="G22" s="626">
        <f t="shared" si="0"/>
        <v>8.072E-2</v>
      </c>
      <c r="H22" s="72">
        <f t="shared" si="1"/>
        <v>6.0539999999999997E-2</v>
      </c>
      <c r="I22" s="630">
        <f t="shared" si="2"/>
        <v>0.34406900000000001</v>
      </c>
      <c r="J22" s="61">
        <f t="shared" si="4"/>
        <v>989.5</v>
      </c>
      <c r="K22" s="188">
        <f t="shared" si="5"/>
        <v>0.08</v>
      </c>
      <c r="L22" s="188">
        <f t="shared" si="6"/>
        <v>7.9159999999999994E-2</v>
      </c>
      <c r="M22" s="188">
        <f t="shared" si="7"/>
        <v>13.395527732696896</v>
      </c>
      <c r="N22" s="54">
        <f t="shared" si="15"/>
        <v>970</v>
      </c>
      <c r="O22" s="670">
        <f t="shared" si="8"/>
        <v>0.06</v>
      </c>
      <c r="P22" s="670">
        <f t="shared" si="9"/>
        <v>5.8199999999999995E-2</v>
      </c>
      <c r="Q22" s="670">
        <f t="shared" si="10"/>
        <v>32.403923102625313</v>
      </c>
      <c r="R22" s="247">
        <f t="shared" si="11"/>
        <v>989.5</v>
      </c>
      <c r="S22" s="24">
        <f t="shared" si="12"/>
        <v>341</v>
      </c>
      <c r="T22" s="25">
        <f t="shared" si="13"/>
        <v>0.33741949999999998</v>
      </c>
      <c r="U22" s="654">
        <f t="shared" si="14"/>
        <v>20.946304204057277</v>
      </c>
    </row>
    <row r="23" spans="1:24" x14ac:dyDescent="0.2">
      <c r="A23" s="33">
        <f t="shared" si="16"/>
        <v>2010</v>
      </c>
      <c r="B23" s="30">
        <v>652</v>
      </c>
      <c r="C23" s="661">
        <f t="shared" si="3"/>
        <v>19819</v>
      </c>
      <c r="D23" s="662">
        <v>0.08</v>
      </c>
      <c r="E23" s="663">
        <v>0.06</v>
      </c>
      <c r="F23" s="617">
        <v>341</v>
      </c>
      <c r="G23" s="626">
        <f t="shared" si="0"/>
        <v>5.2160000000000005E-2</v>
      </c>
      <c r="H23" s="72">
        <f t="shared" si="1"/>
        <v>3.9119999999999995E-2</v>
      </c>
      <c r="I23" s="630">
        <f t="shared" si="2"/>
        <v>0.222332</v>
      </c>
      <c r="J23" s="61">
        <f t="shared" si="4"/>
        <v>830.5</v>
      </c>
      <c r="K23" s="188">
        <f t="shared" si="5"/>
        <v>0.08</v>
      </c>
      <c r="L23" s="188">
        <f t="shared" si="6"/>
        <v>6.6439999999999999E-2</v>
      </c>
      <c r="M23" s="188">
        <f t="shared" si="7"/>
        <v>13.461967732696897</v>
      </c>
      <c r="N23" s="54">
        <f t="shared" si="15"/>
        <v>1009</v>
      </c>
      <c r="O23" s="670">
        <f t="shared" si="8"/>
        <v>0.06</v>
      </c>
      <c r="P23" s="670">
        <f t="shared" si="9"/>
        <v>6.0539999999999997E-2</v>
      </c>
      <c r="Q23" s="670">
        <f t="shared" si="10"/>
        <v>32.464463102625317</v>
      </c>
      <c r="R23" s="247">
        <f t="shared" si="11"/>
        <v>830.5</v>
      </c>
      <c r="S23" s="24">
        <f t="shared" si="12"/>
        <v>341</v>
      </c>
      <c r="T23" s="25">
        <f t="shared" si="13"/>
        <v>0.28320050000000002</v>
      </c>
      <c r="U23" s="654">
        <f t="shared" si="14"/>
        <v>21.229504704057277</v>
      </c>
    </row>
    <row r="24" spans="1:24" x14ac:dyDescent="0.2">
      <c r="A24" s="33">
        <f t="shared" si="16"/>
        <v>2011</v>
      </c>
      <c r="B24" s="30">
        <v>505</v>
      </c>
      <c r="C24" s="661">
        <f t="shared" si="3"/>
        <v>20324</v>
      </c>
      <c r="D24" s="662">
        <v>0.09</v>
      </c>
      <c r="E24" s="663">
        <v>0.08</v>
      </c>
      <c r="F24" s="617">
        <v>597</v>
      </c>
      <c r="G24" s="626">
        <f t="shared" ref="G24:H37" si="17">+$B24*D24/1000</f>
        <v>4.5449999999999997E-2</v>
      </c>
      <c r="H24" s="72">
        <f t="shared" si="17"/>
        <v>4.0399999999999998E-2</v>
      </c>
      <c r="I24" s="630">
        <f t="shared" ref="I24:I37" si="18">+$B24*F24/1000000</f>
        <v>0.301485</v>
      </c>
      <c r="J24" s="61">
        <f t="shared" si="4"/>
        <v>578.5</v>
      </c>
      <c r="K24" s="188">
        <f t="shared" si="5"/>
        <v>0.09</v>
      </c>
      <c r="L24" s="188">
        <f t="shared" si="6"/>
        <v>5.2065E-2</v>
      </c>
      <c r="M24" s="188">
        <f t="shared" si="7"/>
        <v>13.514032732696897</v>
      </c>
      <c r="N24" s="54">
        <f t="shared" si="15"/>
        <v>652</v>
      </c>
      <c r="O24" s="670">
        <f t="shared" si="8"/>
        <v>0.08</v>
      </c>
      <c r="P24" s="670">
        <f t="shared" si="9"/>
        <v>5.2160000000000005E-2</v>
      </c>
      <c r="Q24" s="670">
        <f t="shared" si="10"/>
        <v>32.516623102625317</v>
      </c>
      <c r="R24" s="247">
        <f t="shared" si="11"/>
        <v>578.5</v>
      </c>
      <c r="S24" s="24">
        <f t="shared" si="12"/>
        <v>597</v>
      </c>
      <c r="T24" s="25">
        <f t="shared" si="13"/>
        <v>0.34536450000000002</v>
      </c>
      <c r="U24" s="654">
        <f t="shared" si="14"/>
        <v>21.574869204057276</v>
      </c>
    </row>
    <row r="25" spans="1:24" x14ac:dyDescent="0.2">
      <c r="A25" s="33">
        <f t="shared" si="16"/>
        <v>2012</v>
      </c>
      <c r="B25" s="30">
        <v>587</v>
      </c>
      <c r="C25" s="661">
        <f t="shared" si="3"/>
        <v>20911</v>
      </c>
      <c r="D25" s="662">
        <v>0.1</v>
      </c>
      <c r="E25" s="663">
        <v>0.09</v>
      </c>
      <c r="F25" s="617">
        <v>748</v>
      </c>
      <c r="G25" s="626">
        <f t="shared" si="17"/>
        <v>5.8700000000000002E-2</v>
      </c>
      <c r="H25" s="72">
        <f t="shared" si="17"/>
        <v>5.2829999999999995E-2</v>
      </c>
      <c r="I25" s="630">
        <f t="shared" si="18"/>
        <v>0.43907600000000002</v>
      </c>
      <c r="J25" s="61">
        <f t="shared" si="4"/>
        <v>546</v>
      </c>
      <c r="K25" s="188">
        <f t="shared" si="5"/>
        <v>0.1</v>
      </c>
      <c r="L25" s="188">
        <f t="shared" si="6"/>
        <v>5.4600000000000003E-2</v>
      </c>
      <c r="M25" s="188">
        <f t="shared" si="7"/>
        <v>13.568632732696898</v>
      </c>
      <c r="N25" s="54">
        <f t="shared" si="15"/>
        <v>505</v>
      </c>
      <c r="O25" s="670">
        <f t="shared" si="8"/>
        <v>0.09</v>
      </c>
      <c r="P25" s="670">
        <f t="shared" si="9"/>
        <v>4.5449999999999997E-2</v>
      </c>
      <c r="Q25" s="670">
        <f t="shared" si="10"/>
        <v>32.56207310262532</v>
      </c>
      <c r="R25" s="247">
        <f t="shared" si="11"/>
        <v>546</v>
      </c>
      <c r="S25" s="24">
        <f t="shared" si="12"/>
        <v>748</v>
      </c>
      <c r="T25" s="25">
        <f t="shared" si="13"/>
        <v>0.40840799999999999</v>
      </c>
      <c r="U25" s="654">
        <f t="shared" si="14"/>
        <v>21.983277204057277</v>
      </c>
    </row>
    <row r="26" spans="1:24" s="831" customFormat="1" x14ac:dyDescent="0.2">
      <c r="A26" s="33">
        <f t="shared" si="16"/>
        <v>2013</v>
      </c>
      <c r="B26" s="30">
        <v>897</v>
      </c>
      <c r="C26" s="619">
        <f t="shared" si="3"/>
        <v>21808</v>
      </c>
      <c r="D26" s="807">
        <v>0.1</v>
      </c>
      <c r="E26" s="808">
        <v>0.09</v>
      </c>
      <c r="F26" s="806">
        <v>748</v>
      </c>
      <c r="G26" s="626">
        <f t="shared" si="17"/>
        <v>8.9700000000000002E-2</v>
      </c>
      <c r="H26" s="72">
        <f t="shared" si="17"/>
        <v>8.073000000000001E-2</v>
      </c>
      <c r="I26" s="630">
        <f t="shared" si="18"/>
        <v>0.670956</v>
      </c>
      <c r="J26" s="61">
        <f t="shared" si="4"/>
        <v>742</v>
      </c>
      <c r="K26" s="188">
        <f t="shared" si="5"/>
        <v>0.1</v>
      </c>
      <c r="L26" s="188">
        <f t="shared" si="6"/>
        <v>7.4200000000000002E-2</v>
      </c>
      <c r="M26" s="829">
        <f t="shared" si="7"/>
        <v>13.642832732696897</v>
      </c>
      <c r="N26" s="54">
        <f t="shared" si="15"/>
        <v>587</v>
      </c>
      <c r="O26" s="670">
        <f t="shared" si="8"/>
        <v>0.09</v>
      </c>
      <c r="P26" s="670">
        <f t="shared" si="9"/>
        <v>5.2829999999999995E-2</v>
      </c>
      <c r="Q26" s="671">
        <f t="shared" si="10"/>
        <v>32.61490310262532</v>
      </c>
      <c r="R26" s="247">
        <f t="shared" si="11"/>
        <v>742</v>
      </c>
      <c r="S26" s="24">
        <f t="shared" si="12"/>
        <v>748</v>
      </c>
      <c r="T26" s="25">
        <f t="shared" si="13"/>
        <v>0.55501599999999995</v>
      </c>
      <c r="U26" s="654">
        <f t="shared" si="14"/>
        <v>22.538293204057275</v>
      </c>
      <c r="V26" s="830"/>
    </row>
    <row r="27" spans="1:24" s="831" customFormat="1" x14ac:dyDescent="0.2">
      <c r="A27" s="33">
        <f t="shared" si="16"/>
        <v>2014</v>
      </c>
      <c r="B27" s="30">
        <v>713</v>
      </c>
      <c r="C27" s="619">
        <f t="shared" si="3"/>
        <v>22521</v>
      </c>
      <c r="D27" s="807">
        <f t="shared" ref="D27:E47" si="19">+D26</f>
        <v>0.1</v>
      </c>
      <c r="E27" s="808">
        <f t="shared" si="19"/>
        <v>0.09</v>
      </c>
      <c r="F27" s="806">
        <f t="shared" ref="F27:F54" si="20">+F26</f>
        <v>748</v>
      </c>
      <c r="G27" s="626">
        <f t="shared" si="17"/>
        <v>7.1300000000000002E-2</v>
      </c>
      <c r="H27" s="72">
        <f t="shared" si="17"/>
        <v>6.4170000000000005E-2</v>
      </c>
      <c r="I27" s="630">
        <f t="shared" si="18"/>
        <v>0.53332400000000002</v>
      </c>
      <c r="J27" s="61">
        <f t="shared" si="4"/>
        <v>805</v>
      </c>
      <c r="K27" s="188">
        <f t="shared" si="5"/>
        <v>0.1</v>
      </c>
      <c r="L27" s="188">
        <f t="shared" si="6"/>
        <v>8.0500000000000002E-2</v>
      </c>
      <c r="M27" s="829">
        <f t="shared" si="7"/>
        <v>13.723332732696898</v>
      </c>
      <c r="N27" s="54">
        <f t="shared" si="15"/>
        <v>897</v>
      </c>
      <c r="O27" s="670">
        <f t="shared" si="8"/>
        <v>0.09</v>
      </c>
      <c r="P27" s="670">
        <f t="shared" si="9"/>
        <v>8.073000000000001E-2</v>
      </c>
      <c r="Q27" s="671">
        <f t="shared" si="10"/>
        <v>32.695633102625322</v>
      </c>
      <c r="R27" s="247">
        <f t="shared" si="11"/>
        <v>805</v>
      </c>
      <c r="S27" s="24">
        <f t="shared" si="12"/>
        <v>748</v>
      </c>
      <c r="T27" s="25">
        <f t="shared" si="13"/>
        <v>0.60214000000000001</v>
      </c>
      <c r="U27" s="654">
        <f t="shared" si="14"/>
        <v>23.140433204057274</v>
      </c>
      <c r="V27" s="830"/>
    </row>
    <row r="28" spans="1:24" s="831" customFormat="1" x14ac:dyDescent="0.2">
      <c r="A28" s="33">
        <f t="shared" si="16"/>
        <v>2015</v>
      </c>
      <c r="B28" s="30">
        <v>913</v>
      </c>
      <c r="C28" s="619">
        <f t="shared" si="3"/>
        <v>23434</v>
      </c>
      <c r="D28" s="807">
        <v>0</v>
      </c>
      <c r="E28" s="808">
        <v>0</v>
      </c>
      <c r="F28" s="806">
        <v>0</v>
      </c>
      <c r="G28" s="626">
        <f t="shared" si="17"/>
        <v>0</v>
      </c>
      <c r="H28" s="72">
        <f t="shared" si="17"/>
        <v>0</v>
      </c>
      <c r="I28" s="630">
        <f t="shared" si="18"/>
        <v>0</v>
      </c>
      <c r="J28" s="61">
        <f t="shared" si="4"/>
        <v>813</v>
      </c>
      <c r="K28" s="188">
        <f t="shared" si="5"/>
        <v>0</v>
      </c>
      <c r="L28" s="188">
        <f t="shared" si="6"/>
        <v>0</v>
      </c>
      <c r="M28" s="829">
        <f t="shared" si="7"/>
        <v>13.723332732696898</v>
      </c>
      <c r="N28" s="54">
        <f t="shared" si="15"/>
        <v>713</v>
      </c>
      <c r="O28" s="670">
        <f t="shared" si="8"/>
        <v>0</v>
      </c>
      <c r="P28" s="670">
        <f t="shared" si="9"/>
        <v>0</v>
      </c>
      <c r="Q28" s="671">
        <f t="shared" si="10"/>
        <v>32.695633102625322</v>
      </c>
      <c r="R28" s="247">
        <f t="shared" si="11"/>
        <v>813</v>
      </c>
      <c r="S28" s="24">
        <f t="shared" si="12"/>
        <v>0</v>
      </c>
      <c r="T28" s="25">
        <f t="shared" si="13"/>
        <v>0</v>
      </c>
      <c r="U28" s="654">
        <f t="shared" si="14"/>
        <v>23.140433204057274</v>
      </c>
      <c r="V28" s="830"/>
    </row>
    <row r="29" spans="1:24" ht="13.5" thickBot="1" x14ac:dyDescent="0.25">
      <c r="A29" s="701">
        <f t="shared" si="16"/>
        <v>2016</v>
      </c>
      <c r="B29" s="702">
        <v>764</v>
      </c>
      <c r="C29" s="703">
        <f t="shared" si="3"/>
        <v>24198</v>
      </c>
      <c r="D29" s="835"/>
      <c r="E29" s="836"/>
      <c r="F29" s="705"/>
      <c r="G29" s="823">
        <f t="shared" si="17"/>
        <v>0</v>
      </c>
      <c r="H29" s="707">
        <f t="shared" si="17"/>
        <v>0</v>
      </c>
      <c r="I29" s="824">
        <f t="shared" si="18"/>
        <v>0</v>
      </c>
      <c r="J29" s="708">
        <f t="shared" si="4"/>
        <v>838.5</v>
      </c>
      <c r="K29" s="825">
        <f t="shared" si="5"/>
        <v>0</v>
      </c>
      <c r="L29" s="825">
        <f t="shared" si="6"/>
        <v>0</v>
      </c>
      <c r="M29" s="826">
        <f t="shared" si="7"/>
        <v>13.723332732696898</v>
      </c>
      <c r="N29" s="711">
        <f t="shared" si="15"/>
        <v>913</v>
      </c>
      <c r="O29" s="827">
        <f t="shared" si="8"/>
        <v>0</v>
      </c>
      <c r="P29" s="827">
        <f t="shared" si="9"/>
        <v>0</v>
      </c>
      <c r="Q29" s="828">
        <f t="shared" si="10"/>
        <v>32.695633102625322</v>
      </c>
      <c r="R29" s="714">
        <f t="shared" si="11"/>
        <v>838.5</v>
      </c>
      <c r="S29" s="715">
        <f t="shared" si="12"/>
        <v>0</v>
      </c>
      <c r="T29" s="716">
        <f t="shared" si="13"/>
        <v>0</v>
      </c>
      <c r="U29" s="717">
        <f t="shared" si="14"/>
        <v>23.140433204057274</v>
      </c>
    </row>
    <row r="30" spans="1:24" x14ac:dyDescent="0.2">
      <c r="A30" s="33">
        <f t="shared" si="16"/>
        <v>2017</v>
      </c>
      <c r="B30" s="787">
        <v>750</v>
      </c>
      <c r="C30" s="565">
        <f t="shared" si="3"/>
        <v>24948</v>
      </c>
      <c r="D30" s="1053">
        <f t="shared" si="19"/>
        <v>0</v>
      </c>
      <c r="E30" s="1054">
        <f t="shared" ref="E30" si="21">+E29</f>
        <v>0</v>
      </c>
      <c r="F30" s="1055">
        <f t="shared" si="20"/>
        <v>0</v>
      </c>
      <c r="G30" s="473">
        <f t="shared" si="17"/>
        <v>0</v>
      </c>
      <c r="H30" s="474">
        <f t="shared" si="17"/>
        <v>0</v>
      </c>
      <c r="I30" s="474">
        <f t="shared" si="18"/>
        <v>0</v>
      </c>
      <c r="J30" s="61">
        <f t="shared" si="4"/>
        <v>757</v>
      </c>
      <c r="K30" s="967">
        <f t="shared" si="5"/>
        <v>0</v>
      </c>
      <c r="L30" s="967">
        <f t="shared" si="6"/>
        <v>0</v>
      </c>
      <c r="M30" s="967">
        <f t="shared" si="7"/>
        <v>13.723332732696898</v>
      </c>
      <c r="N30" s="54">
        <f t="shared" si="15"/>
        <v>764</v>
      </c>
      <c r="O30" s="968">
        <f t="shared" si="8"/>
        <v>0</v>
      </c>
      <c r="P30" s="968">
        <f t="shared" si="9"/>
        <v>0</v>
      </c>
      <c r="Q30" s="969">
        <f t="shared" si="10"/>
        <v>32.695633102625322</v>
      </c>
      <c r="R30" s="247">
        <f t="shared" si="11"/>
        <v>757</v>
      </c>
      <c r="S30" s="24">
        <f t="shared" si="12"/>
        <v>0</v>
      </c>
      <c r="T30" s="970">
        <f t="shared" si="13"/>
        <v>0</v>
      </c>
      <c r="U30" s="971">
        <f t="shared" si="14"/>
        <v>23.140433204057274</v>
      </c>
    </row>
    <row r="31" spans="1:24" x14ac:dyDescent="0.2">
      <c r="A31" s="33">
        <f t="shared" si="16"/>
        <v>2018</v>
      </c>
      <c r="B31" s="787">
        <v>800</v>
      </c>
      <c r="C31" s="565">
        <f t="shared" si="3"/>
        <v>25748</v>
      </c>
      <c r="D31" s="1053">
        <f t="shared" si="19"/>
        <v>0</v>
      </c>
      <c r="E31" s="1054">
        <f t="shared" ref="E31" si="22">+E30</f>
        <v>0</v>
      </c>
      <c r="F31" s="1055">
        <f t="shared" si="20"/>
        <v>0</v>
      </c>
      <c r="G31" s="473">
        <f t="shared" si="17"/>
        <v>0</v>
      </c>
      <c r="H31" s="474">
        <f t="shared" si="17"/>
        <v>0</v>
      </c>
      <c r="I31" s="474">
        <f t="shared" si="18"/>
        <v>0</v>
      </c>
      <c r="J31" s="61">
        <f t="shared" si="4"/>
        <v>775</v>
      </c>
      <c r="K31" s="967">
        <f t="shared" si="5"/>
        <v>0</v>
      </c>
      <c r="L31" s="967">
        <f t="shared" si="6"/>
        <v>0</v>
      </c>
      <c r="M31" s="967">
        <f t="shared" si="7"/>
        <v>13.723332732696898</v>
      </c>
      <c r="N31" s="54">
        <f t="shared" si="15"/>
        <v>750</v>
      </c>
      <c r="O31" s="968">
        <f t="shared" si="8"/>
        <v>0</v>
      </c>
      <c r="P31" s="968">
        <f t="shared" si="9"/>
        <v>0</v>
      </c>
      <c r="Q31" s="969">
        <f t="shared" si="10"/>
        <v>32.695633102625322</v>
      </c>
      <c r="R31" s="247">
        <f t="shared" si="11"/>
        <v>775</v>
      </c>
      <c r="S31" s="24">
        <f t="shared" si="12"/>
        <v>0</v>
      </c>
      <c r="T31" s="970">
        <f t="shared" si="13"/>
        <v>0</v>
      </c>
      <c r="U31" s="971">
        <f t="shared" si="14"/>
        <v>23.140433204057274</v>
      </c>
    </row>
    <row r="32" spans="1:24" x14ac:dyDescent="0.2">
      <c r="A32" s="33">
        <f t="shared" si="16"/>
        <v>2019</v>
      </c>
      <c r="B32" s="787">
        <f t="shared" ref="B32:B47" si="23">B31</f>
        <v>800</v>
      </c>
      <c r="C32" s="565">
        <f t="shared" si="3"/>
        <v>26548</v>
      </c>
      <c r="D32" s="1053">
        <f t="shared" si="19"/>
        <v>0</v>
      </c>
      <c r="E32" s="1054">
        <f t="shared" ref="E32" si="24">+E31</f>
        <v>0</v>
      </c>
      <c r="F32" s="1055">
        <f t="shared" si="20"/>
        <v>0</v>
      </c>
      <c r="G32" s="473">
        <f t="shared" si="17"/>
        <v>0</v>
      </c>
      <c r="H32" s="474">
        <f t="shared" si="17"/>
        <v>0</v>
      </c>
      <c r="I32" s="474">
        <f t="shared" si="18"/>
        <v>0</v>
      </c>
      <c r="J32" s="61">
        <f t="shared" si="4"/>
        <v>800</v>
      </c>
      <c r="K32" s="967">
        <f t="shared" si="5"/>
        <v>0</v>
      </c>
      <c r="L32" s="967">
        <f t="shared" si="6"/>
        <v>0</v>
      </c>
      <c r="M32" s="967">
        <f t="shared" si="7"/>
        <v>13.723332732696898</v>
      </c>
      <c r="N32" s="54">
        <f t="shared" si="15"/>
        <v>800</v>
      </c>
      <c r="O32" s="968">
        <f t="shared" si="8"/>
        <v>0</v>
      </c>
      <c r="P32" s="968">
        <f t="shared" si="9"/>
        <v>0</v>
      </c>
      <c r="Q32" s="969">
        <f t="shared" si="10"/>
        <v>32.695633102625322</v>
      </c>
      <c r="R32" s="247">
        <f t="shared" si="11"/>
        <v>800</v>
      </c>
      <c r="S32" s="24">
        <f t="shared" si="12"/>
        <v>0</v>
      </c>
      <c r="T32" s="970">
        <f t="shared" si="13"/>
        <v>0</v>
      </c>
      <c r="U32" s="971">
        <f t="shared" si="14"/>
        <v>23.140433204057274</v>
      </c>
    </row>
    <row r="33" spans="1:21" x14ac:dyDescent="0.2">
      <c r="A33" s="33">
        <f t="shared" si="16"/>
        <v>2020</v>
      </c>
      <c r="B33" s="787">
        <f t="shared" si="23"/>
        <v>800</v>
      </c>
      <c r="C33" s="565">
        <f t="shared" si="3"/>
        <v>27348</v>
      </c>
      <c r="D33" s="1053">
        <f t="shared" si="19"/>
        <v>0</v>
      </c>
      <c r="E33" s="1054">
        <f t="shared" ref="E33" si="25">+E32</f>
        <v>0</v>
      </c>
      <c r="F33" s="1055">
        <f t="shared" si="20"/>
        <v>0</v>
      </c>
      <c r="G33" s="473">
        <f t="shared" si="17"/>
        <v>0</v>
      </c>
      <c r="H33" s="474">
        <f t="shared" si="17"/>
        <v>0</v>
      </c>
      <c r="I33" s="474">
        <f t="shared" si="18"/>
        <v>0</v>
      </c>
      <c r="J33" s="61">
        <f t="shared" si="4"/>
        <v>800</v>
      </c>
      <c r="K33" s="967">
        <f t="shared" si="5"/>
        <v>0</v>
      </c>
      <c r="L33" s="967">
        <f t="shared" si="6"/>
        <v>0</v>
      </c>
      <c r="M33" s="967">
        <f t="shared" si="7"/>
        <v>13.723332732696898</v>
      </c>
      <c r="N33" s="54">
        <f t="shared" si="15"/>
        <v>800</v>
      </c>
      <c r="O33" s="968">
        <f t="shared" si="8"/>
        <v>0</v>
      </c>
      <c r="P33" s="968">
        <f t="shared" si="9"/>
        <v>0</v>
      </c>
      <c r="Q33" s="969">
        <f t="shared" si="10"/>
        <v>32.695633102625322</v>
      </c>
      <c r="R33" s="247">
        <f t="shared" si="11"/>
        <v>800</v>
      </c>
      <c r="S33" s="24">
        <f t="shared" si="12"/>
        <v>0</v>
      </c>
      <c r="T33" s="970">
        <f t="shared" si="13"/>
        <v>0</v>
      </c>
      <c r="U33" s="971">
        <f t="shared" si="14"/>
        <v>23.140433204057274</v>
      </c>
    </row>
    <row r="34" spans="1:21" x14ac:dyDescent="0.2">
      <c r="A34" s="33">
        <f t="shared" si="16"/>
        <v>2021</v>
      </c>
      <c r="B34" s="787">
        <f t="shared" si="23"/>
        <v>800</v>
      </c>
      <c r="C34" s="565">
        <f t="shared" si="3"/>
        <v>28148</v>
      </c>
      <c r="D34" s="1053">
        <f t="shared" si="19"/>
        <v>0</v>
      </c>
      <c r="E34" s="1054">
        <f t="shared" ref="E34" si="26">+E33</f>
        <v>0</v>
      </c>
      <c r="F34" s="1055">
        <f t="shared" si="20"/>
        <v>0</v>
      </c>
      <c r="G34" s="473">
        <f t="shared" si="17"/>
        <v>0</v>
      </c>
      <c r="H34" s="474">
        <f t="shared" si="17"/>
        <v>0</v>
      </c>
      <c r="I34" s="474">
        <f t="shared" si="18"/>
        <v>0</v>
      </c>
      <c r="J34" s="61">
        <f t="shared" si="4"/>
        <v>800</v>
      </c>
      <c r="K34" s="967">
        <f t="shared" si="5"/>
        <v>0</v>
      </c>
      <c r="L34" s="967">
        <f t="shared" si="6"/>
        <v>0</v>
      </c>
      <c r="M34" s="967">
        <f t="shared" si="7"/>
        <v>13.723332732696898</v>
      </c>
      <c r="N34" s="54">
        <f t="shared" si="15"/>
        <v>800</v>
      </c>
      <c r="O34" s="968">
        <f t="shared" si="8"/>
        <v>0</v>
      </c>
      <c r="P34" s="968">
        <f t="shared" si="9"/>
        <v>0</v>
      </c>
      <c r="Q34" s="969">
        <f t="shared" si="10"/>
        <v>32.695633102625322</v>
      </c>
      <c r="R34" s="247">
        <f t="shared" si="11"/>
        <v>800</v>
      </c>
      <c r="S34" s="24">
        <f t="shared" si="12"/>
        <v>0</v>
      </c>
      <c r="T34" s="970">
        <f t="shared" si="13"/>
        <v>0</v>
      </c>
      <c r="U34" s="971">
        <f t="shared" si="14"/>
        <v>23.140433204057274</v>
      </c>
    </row>
    <row r="35" spans="1:21" x14ac:dyDescent="0.2">
      <c r="A35" s="33">
        <f t="shared" si="16"/>
        <v>2022</v>
      </c>
      <c r="B35" s="787">
        <f t="shared" si="23"/>
        <v>800</v>
      </c>
      <c r="C35" s="565">
        <f t="shared" si="3"/>
        <v>28948</v>
      </c>
      <c r="D35" s="1053">
        <f t="shared" si="19"/>
        <v>0</v>
      </c>
      <c r="E35" s="1054">
        <f t="shared" ref="E35" si="27">+E34</f>
        <v>0</v>
      </c>
      <c r="F35" s="1055">
        <f t="shared" si="20"/>
        <v>0</v>
      </c>
      <c r="G35" s="473">
        <f t="shared" si="17"/>
        <v>0</v>
      </c>
      <c r="H35" s="474">
        <f t="shared" si="17"/>
        <v>0</v>
      </c>
      <c r="I35" s="474">
        <f t="shared" si="18"/>
        <v>0</v>
      </c>
      <c r="J35" s="61">
        <f t="shared" si="4"/>
        <v>800</v>
      </c>
      <c r="K35" s="967">
        <f t="shared" si="5"/>
        <v>0</v>
      </c>
      <c r="L35" s="967">
        <f t="shared" si="6"/>
        <v>0</v>
      </c>
      <c r="M35" s="967">
        <f t="shared" si="7"/>
        <v>13.723332732696898</v>
      </c>
      <c r="N35" s="54">
        <f t="shared" si="15"/>
        <v>800</v>
      </c>
      <c r="O35" s="968">
        <f t="shared" si="8"/>
        <v>0</v>
      </c>
      <c r="P35" s="968">
        <f t="shared" si="9"/>
        <v>0</v>
      </c>
      <c r="Q35" s="969">
        <f t="shared" si="10"/>
        <v>32.695633102625322</v>
      </c>
      <c r="R35" s="247">
        <f t="shared" si="11"/>
        <v>800</v>
      </c>
      <c r="S35" s="24">
        <f t="shared" si="12"/>
        <v>0</v>
      </c>
      <c r="T35" s="970">
        <f t="shared" si="13"/>
        <v>0</v>
      </c>
      <c r="U35" s="971">
        <f t="shared" si="14"/>
        <v>23.140433204057274</v>
      </c>
    </row>
    <row r="36" spans="1:21" x14ac:dyDescent="0.2">
      <c r="A36" s="33">
        <f t="shared" si="16"/>
        <v>2023</v>
      </c>
      <c r="B36" s="787">
        <f t="shared" si="23"/>
        <v>800</v>
      </c>
      <c r="C36" s="565">
        <f t="shared" si="3"/>
        <v>29748</v>
      </c>
      <c r="D36" s="1053">
        <f t="shared" si="19"/>
        <v>0</v>
      </c>
      <c r="E36" s="1054">
        <f t="shared" ref="E36" si="28">+E35</f>
        <v>0</v>
      </c>
      <c r="F36" s="1055">
        <f t="shared" si="20"/>
        <v>0</v>
      </c>
      <c r="G36" s="473">
        <f t="shared" si="17"/>
        <v>0</v>
      </c>
      <c r="H36" s="474">
        <f t="shared" si="17"/>
        <v>0</v>
      </c>
      <c r="I36" s="474">
        <f t="shared" si="18"/>
        <v>0</v>
      </c>
      <c r="J36" s="61">
        <f t="shared" si="4"/>
        <v>800</v>
      </c>
      <c r="K36" s="967">
        <f t="shared" si="5"/>
        <v>0</v>
      </c>
      <c r="L36" s="967">
        <f t="shared" si="6"/>
        <v>0</v>
      </c>
      <c r="M36" s="967">
        <f t="shared" si="7"/>
        <v>13.723332732696898</v>
      </c>
      <c r="N36" s="54">
        <f t="shared" si="15"/>
        <v>800</v>
      </c>
      <c r="O36" s="968">
        <f t="shared" si="8"/>
        <v>0</v>
      </c>
      <c r="P36" s="968">
        <f t="shared" si="9"/>
        <v>0</v>
      </c>
      <c r="Q36" s="969">
        <f t="shared" si="10"/>
        <v>32.695633102625322</v>
      </c>
      <c r="R36" s="247">
        <f t="shared" si="11"/>
        <v>800</v>
      </c>
      <c r="S36" s="24">
        <f t="shared" si="12"/>
        <v>0</v>
      </c>
      <c r="T36" s="970">
        <f t="shared" si="13"/>
        <v>0</v>
      </c>
      <c r="U36" s="971">
        <f t="shared" si="14"/>
        <v>23.140433204057274</v>
      </c>
    </row>
    <row r="37" spans="1:21" x14ac:dyDescent="0.2">
      <c r="A37" s="33">
        <f t="shared" si="16"/>
        <v>2024</v>
      </c>
      <c r="B37" s="787">
        <f t="shared" si="23"/>
        <v>800</v>
      </c>
      <c r="C37" s="565">
        <f t="shared" si="3"/>
        <v>30548</v>
      </c>
      <c r="D37" s="1053">
        <f t="shared" si="19"/>
        <v>0</v>
      </c>
      <c r="E37" s="1054">
        <f t="shared" ref="E37" si="29">+E36</f>
        <v>0</v>
      </c>
      <c r="F37" s="1055">
        <f t="shared" si="20"/>
        <v>0</v>
      </c>
      <c r="G37" s="473">
        <f t="shared" si="17"/>
        <v>0</v>
      </c>
      <c r="H37" s="474">
        <f t="shared" si="17"/>
        <v>0</v>
      </c>
      <c r="I37" s="474">
        <f t="shared" si="18"/>
        <v>0</v>
      </c>
      <c r="J37" s="61">
        <f t="shared" si="4"/>
        <v>800</v>
      </c>
      <c r="K37" s="967">
        <f t="shared" si="5"/>
        <v>0</v>
      </c>
      <c r="L37" s="967">
        <f t="shared" si="6"/>
        <v>0</v>
      </c>
      <c r="M37" s="967">
        <f t="shared" si="7"/>
        <v>13.723332732696898</v>
      </c>
      <c r="N37" s="54">
        <f t="shared" si="15"/>
        <v>800</v>
      </c>
      <c r="O37" s="968">
        <f t="shared" si="8"/>
        <v>0</v>
      </c>
      <c r="P37" s="968">
        <f t="shared" si="9"/>
        <v>0</v>
      </c>
      <c r="Q37" s="969">
        <f t="shared" si="10"/>
        <v>32.695633102625322</v>
      </c>
      <c r="R37" s="247">
        <f t="shared" si="11"/>
        <v>800</v>
      </c>
      <c r="S37" s="24">
        <f t="shared" si="12"/>
        <v>0</v>
      </c>
      <c r="T37" s="970">
        <f t="shared" si="13"/>
        <v>0</v>
      </c>
      <c r="U37" s="971">
        <f t="shared" si="14"/>
        <v>23.140433204057274</v>
      </c>
    </row>
    <row r="38" spans="1:21" x14ac:dyDescent="0.2">
      <c r="A38" s="33">
        <f t="shared" si="16"/>
        <v>2025</v>
      </c>
      <c r="B38" s="787">
        <f t="shared" si="23"/>
        <v>800</v>
      </c>
      <c r="C38" s="565">
        <f t="shared" ref="C38:C42" si="30">+C37+B38</f>
        <v>31348</v>
      </c>
      <c r="D38" s="1053">
        <f t="shared" si="19"/>
        <v>0</v>
      </c>
      <c r="E38" s="1054">
        <f t="shared" ref="E38" si="31">+E37</f>
        <v>0</v>
      </c>
      <c r="F38" s="1055">
        <f t="shared" si="20"/>
        <v>0</v>
      </c>
      <c r="G38" s="473">
        <f t="shared" ref="G38:H40" si="32">+$B38*D38/1000</f>
        <v>0</v>
      </c>
      <c r="H38" s="474">
        <f t="shared" si="32"/>
        <v>0</v>
      </c>
      <c r="I38" s="474">
        <f t="shared" ref="I38:I42" si="33">+$B38*F38/1000000</f>
        <v>0</v>
      </c>
      <c r="J38" s="61">
        <f t="shared" ref="J38:J42" si="34">+(B38+B37)/2</f>
        <v>800</v>
      </c>
      <c r="K38" s="967">
        <f t="shared" ref="K38:K42" si="35">+D38</f>
        <v>0</v>
      </c>
      <c r="L38" s="967">
        <f t="shared" ref="L38:L42" si="36">+J38*K38/1000</f>
        <v>0</v>
      </c>
      <c r="M38" s="967">
        <f t="shared" ref="M38:M42" si="37">+M37+L38</f>
        <v>13.723332732696898</v>
      </c>
      <c r="N38" s="54">
        <f t="shared" ref="N38:N42" si="38">+B37</f>
        <v>800</v>
      </c>
      <c r="O38" s="968">
        <f t="shared" ref="O38:O42" si="39">+E38</f>
        <v>0</v>
      </c>
      <c r="P38" s="968">
        <f t="shared" ref="P38:P42" si="40">+N38*O38/1000</f>
        <v>0</v>
      </c>
      <c r="Q38" s="969">
        <f t="shared" ref="Q38:Q42" si="41">+Q37+P38</f>
        <v>32.695633102625322</v>
      </c>
      <c r="R38" s="247">
        <f t="shared" ref="R38:R42" si="42">+(B38+B37)/2</f>
        <v>800</v>
      </c>
      <c r="S38" s="24">
        <f t="shared" ref="S38:S42" si="43">+F38</f>
        <v>0</v>
      </c>
      <c r="T38" s="970">
        <f t="shared" ref="T38:T42" si="44">+R38*S38/1000000</f>
        <v>0</v>
      </c>
      <c r="U38" s="971">
        <f t="shared" ref="U38:U42" si="45">+U37+T38</f>
        <v>23.140433204057274</v>
      </c>
    </row>
    <row r="39" spans="1:21" x14ac:dyDescent="0.2">
      <c r="A39" s="33">
        <f>+A38+1</f>
        <v>2026</v>
      </c>
      <c r="B39" s="787">
        <f t="shared" si="23"/>
        <v>800</v>
      </c>
      <c r="C39" s="565">
        <f t="shared" si="30"/>
        <v>32148</v>
      </c>
      <c r="D39" s="1053">
        <f t="shared" si="19"/>
        <v>0</v>
      </c>
      <c r="E39" s="1054">
        <f t="shared" ref="E39" si="46">+E38</f>
        <v>0</v>
      </c>
      <c r="F39" s="1055">
        <f t="shared" si="20"/>
        <v>0</v>
      </c>
      <c r="G39" s="473">
        <f t="shared" si="32"/>
        <v>0</v>
      </c>
      <c r="H39" s="474">
        <f t="shared" si="32"/>
        <v>0</v>
      </c>
      <c r="I39" s="474">
        <f t="shared" si="33"/>
        <v>0</v>
      </c>
      <c r="J39" s="61">
        <f t="shared" si="34"/>
        <v>800</v>
      </c>
      <c r="K39" s="967">
        <f t="shared" si="35"/>
        <v>0</v>
      </c>
      <c r="L39" s="967">
        <f t="shared" si="36"/>
        <v>0</v>
      </c>
      <c r="M39" s="967">
        <f t="shared" si="37"/>
        <v>13.723332732696898</v>
      </c>
      <c r="N39" s="54">
        <f t="shared" si="38"/>
        <v>800</v>
      </c>
      <c r="O39" s="968">
        <f t="shared" si="39"/>
        <v>0</v>
      </c>
      <c r="P39" s="968">
        <f t="shared" si="40"/>
        <v>0</v>
      </c>
      <c r="Q39" s="969">
        <f t="shared" si="41"/>
        <v>32.695633102625322</v>
      </c>
      <c r="R39" s="247">
        <f t="shared" si="42"/>
        <v>800</v>
      </c>
      <c r="S39" s="24">
        <f t="shared" si="43"/>
        <v>0</v>
      </c>
      <c r="T39" s="970">
        <f t="shared" si="44"/>
        <v>0</v>
      </c>
      <c r="U39" s="971">
        <f t="shared" si="45"/>
        <v>23.140433204057274</v>
      </c>
    </row>
    <row r="40" spans="1:21" x14ac:dyDescent="0.2">
      <c r="A40" s="33">
        <f>+A39+1</f>
        <v>2027</v>
      </c>
      <c r="B40" s="787">
        <f t="shared" si="23"/>
        <v>800</v>
      </c>
      <c r="C40" s="565">
        <f t="shared" si="30"/>
        <v>32948</v>
      </c>
      <c r="D40" s="1053">
        <f t="shared" si="19"/>
        <v>0</v>
      </c>
      <c r="E40" s="1054">
        <f t="shared" ref="E40" si="47">+E39</f>
        <v>0</v>
      </c>
      <c r="F40" s="1055">
        <f t="shared" si="20"/>
        <v>0</v>
      </c>
      <c r="G40" s="473">
        <f t="shared" si="32"/>
        <v>0</v>
      </c>
      <c r="H40" s="474">
        <f t="shared" si="32"/>
        <v>0</v>
      </c>
      <c r="I40" s="474">
        <f t="shared" si="33"/>
        <v>0</v>
      </c>
      <c r="J40" s="61">
        <f t="shared" si="34"/>
        <v>800</v>
      </c>
      <c r="K40" s="967">
        <f t="shared" si="35"/>
        <v>0</v>
      </c>
      <c r="L40" s="967">
        <f t="shared" si="36"/>
        <v>0</v>
      </c>
      <c r="M40" s="967">
        <f t="shared" si="37"/>
        <v>13.723332732696898</v>
      </c>
      <c r="N40" s="54">
        <f t="shared" si="38"/>
        <v>800</v>
      </c>
      <c r="O40" s="968">
        <f t="shared" si="39"/>
        <v>0</v>
      </c>
      <c r="P40" s="968">
        <f t="shared" si="40"/>
        <v>0</v>
      </c>
      <c r="Q40" s="969">
        <f t="shared" si="41"/>
        <v>32.695633102625322</v>
      </c>
      <c r="R40" s="247">
        <f t="shared" si="42"/>
        <v>800</v>
      </c>
      <c r="S40" s="24">
        <f t="shared" si="43"/>
        <v>0</v>
      </c>
      <c r="T40" s="970">
        <f t="shared" si="44"/>
        <v>0</v>
      </c>
      <c r="U40" s="971">
        <f t="shared" si="45"/>
        <v>23.140433204057274</v>
      </c>
    </row>
    <row r="41" spans="1:21" x14ac:dyDescent="0.2">
      <c r="A41" s="33">
        <f t="shared" ref="A41:A54" si="48">+A40+1</f>
        <v>2028</v>
      </c>
      <c r="B41" s="787">
        <f t="shared" si="23"/>
        <v>800</v>
      </c>
      <c r="C41" s="565">
        <f t="shared" si="30"/>
        <v>33748</v>
      </c>
      <c r="D41" s="1053">
        <f t="shared" si="19"/>
        <v>0</v>
      </c>
      <c r="E41" s="1054">
        <f t="shared" ref="E41" si="49">+E40</f>
        <v>0</v>
      </c>
      <c r="F41" s="1055">
        <f t="shared" si="20"/>
        <v>0</v>
      </c>
      <c r="G41" s="473">
        <f t="shared" ref="G41:H42" si="50">+$B41*D41/1000</f>
        <v>0</v>
      </c>
      <c r="H41" s="474">
        <f t="shared" si="50"/>
        <v>0</v>
      </c>
      <c r="I41" s="474">
        <f t="shared" si="33"/>
        <v>0</v>
      </c>
      <c r="J41" s="61">
        <f t="shared" si="34"/>
        <v>800</v>
      </c>
      <c r="K41" s="967">
        <f t="shared" si="35"/>
        <v>0</v>
      </c>
      <c r="L41" s="967">
        <f t="shared" si="36"/>
        <v>0</v>
      </c>
      <c r="M41" s="967">
        <f t="shared" si="37"/>
        <v>13.723332732696898</v>
      </c>
      <c r="N41" s="54">
        <f t="shared" si="38"/>
        <v>800</v>
      </c>
      <c r="O41" s="968">
        <f t="shared" si="39"/>
        <v>0</v>
      </c>
      <c r="P41" s="968">
        <f t="shared" si="40"/>
        <v>0</v>
      </c>
      <c r="Q41" s="969">
        <f t="shared" si="41"/>
        <v>32.695633102625322</v>
      </c>
      <c r="R41" s="247">
        <f t="shared" si="42"/>
        <v>800</v>
      </c>
      <c r="S41" s="24">
        <f t="shared" si="43"/>
        <v>0</v>
      </c>
      <c r="T41" s="970">
        <f t="shared" si="44"/>
        <v>0</v>
      </c>
      <c r="U41" s="971">
        <f t="shared" si="45"/>
        <v>23.140433204057274</v>
      </c>
    </row>
    <row r="42" spans="1:21" x14ac:dyDescent="0.2">
      <c r="A42" s="33">
        <f t="shared" si="48"/>
        <v>2029</v>
      </c>
      <c r="B42" s="787">
        <f t="shared" si="23"/>
        <v>800</v>
      </c>
      <c r="C42" s="565">
        <f t="shared" si="30"/>
        <v>34548</v>
      </c>
      <c r="D42" s="1053">
        <f t="shared" si="19"/>
        <v>0</v>
      </c>
      <c r="E42" s="1054">
        <f t="shared" ref="E42" si="51">+E41</f>
        <v>0</v>
      </c>
      <c r="F42" s="1055">
        <f t="shared" si="20"/>
        <v>0</v>
      </c>
      <c r="G42" s="473">
        <f t="shared" si="50"/>
        <v>0</v>
      </c>
      <c r="H42" s="474">
        <f t="shared" si="50"/>
        <v>0</v>
      </c>
      <c r="I42" s="474">
        <f t="shared" si="33"/>
        <v>0</v>
      </c>
      <c r="J42" s="61">
        <f t="shared" si="34"/>
        <v>800</v>
      </c>
      <c r="K42" s="967">
        <f t="shared" si="35"/>
        <v>0</v>
      </c>
      <c r="L42" s="967">
        <f t="shared" si="36"/>
        <v>0</v>
      </c>
      <c r="M42" s="967">
        <f t="shared" si="37"/>
        <v>13.723332732696898</v>
      </c>
      <c r="N42" s="54">
        <f t="shared" si="38"/>
        <v>800</v>
      </c>
      <c r="O42" s="968">
        <f t="shared" si="39"/>
        <v>0</v>
      </c>
      <c r="P42" s="968">
        <f t="shared" si="40"/>
        <v>0</v>
      </c>
      <c r="Q42" s="969">
        <f t="shared" si="41"/>
        <v>32.695633102625322</v>
      </c>
      <c r="R42" s="247">
        <f t="shared" si="42"/>
        <v>800</v>
      </c>
      <c r="S42" s="24">
        <f t="shared" si="43"/>
        <v>0</v>
      </c>
      <c r="T42" s="970">
        <f t="shared" si="44"/>
        <v>0</v>
      </c>
      <c r="U42" s="971">
        <f t="shared" si="45"/>
        <v>23.140433204057274</v>
      </c>
    </row>
    <row r="43" spans="1:21" x14ac:dyDescent="0.2">
      <c r="A43" s="33">
        <f t="shared" si="48"/>
        <v>2030</v>
      </c>
      <c r="B43" s="787">
        <f t="shared" si="23"/>
        <v>800</v>
      </c>
      <c r="C43" s="565">
        <f t="shared" ref="C43:C47" si="52">+C42+B43</f>
        <v>35348</v>
      </c>
      <c r="D43" s="1053">
        <f t="shared" si="19"/>
        <v>0</v>
      </c>
      <c r="E43" s="1054">
        <f t="shared" ref="E43" si="53">+E42</f>
        <v>0</v>
      </c>
      <c r="F43" s="1055">
        <f t="shared" si="20"/>
        <v>0</v>
      </c>
      <c r="G43" s="473">
        <f t="shared" ref="G43:G47" si="54">+$B43*D43/1000</f>
        <v>0</v>
      </c>
      <c r="H43" s="474">
        <f t="shared" ref="H43:H47" si="55">+$B43*E43/1000</f>
        <v>0</v>
      </c>
      <c r="I43" s="474">
        <f t="shared" ref="I43:I47" si="56">+$B43*F43/1000000</f>
        <v>0</v>
      </c>
      <c r="J43" s="61">
        <f t="shared" ref="J43:J47" si="57">+(B43+B42)/2</f>
        <v>800</v>
      </c>
      <c r="K43" s="967">
        <f t="shared" ref="K43:K47" si="58">+D43</f>
        <v>0</v>
      </c>
      <c r="L43" s="967">
        <f t="shared" ref="L43:L47" si="59">+J43*K43/1000</f>
        <v>0</v>
      </c>
      <c r="M43" s="967">
        <f t="shared" ref="M43:M47" si="60">+M42+L43</f>
        <v>13.723332732696898</v>
      </c>
      <c r="N43" s="54">
        <f t="shared" ref="N43:N47" si="61">+B42</f>
        <v>800</v>
      </c>
      <c r="O43" s="968">
        <f t="shared" ref="O43:O47" si="62">+E43</f>
        <v>0</v>
      </c>
      <c r="P43" s="968">
        <f t="shared" ref="P43:P47" si="63">+N43*O43/1000</f>
        <v>0</v>
      </c>
      <c r="Q43" s="969">
        <f t="shared" ref="Q43:Q47" si="64">+Q42+P43</f>
        <v>32.695633102625322</v>
      </c>
      <c r="R43" s="247">
        <f t="shared" ref="R43:R47" si="65">+(B43+B42)/2</f>
        <v>800</v>
      </c>
      <c r="S43" s="24">
        <f t="shared" ref="S43:S47" si="66">+F43</f>
        <v>0</v>
      </c>
      <c r="T43" s="970">
        <f t="shared" ref="T43:T47" si="67">+R43*S43/1000000</f>
        <v>0</v>
      </c>
      <c r="U43" s="971">
        <f t="shared" ref="U43:U47" si="68">+U42+T43</f>
        <v>23.140433204057274</v>
      </c>
    </row>
    <row r="44" spans="1:21" x14ac:dyDescent="0.2">
      <c r="A44" s="33">
        <f t="shared" si="48"/>
        <v>2031</v>
      </c>
      <c r="B44" s="787">
        <f t="shared" si="23"/>
        <v>800</v>
      </c>
      <c r="C44" s="565">
        <f t="shared" si="52"/>
        <v>36148</v>
      </c>
      <c r="D44" s="1053">
        <f t="shared" si="19"/>
        <v>0</v>
      </c>
      <c r="E44" s="1054">
        <f t="shared" ref="E44" si="69">+E43</f>
        <v>0</v>
      </c>
      <c r="F44" s="1055">
        <f t="shared" si="20"/>
        <v>0</v>
      </c>
      <c r="G44" s="473">
        <f t="shared" si="54"/>
        <v>0</v>
      </c>
      <c r="H44" s="474">
        <f t="shared" si="55"/>
        <v>0</v>
      </c>
      <c r="I44" s="474">
        <f t="shared" si="56"/>
        <v>0</v>
      </c>
      <c r="J44" s="61">
        <f t="shared" si="57"/>
        <v>800</v>
      </c>
      <c r="K44" s="967">
        <f t="shared" si="58"/>
        <v>0</v>
      </c>
      <c r="L44" s="967">
        <f t="shared" si="59"/>
        <v>0</v>
      </c>
      <c r="M44" s="967">
        <f t="shared" si="60"/>
        <v>13.723332732696898</v>
      </c>
      <c r="N44" s="54">
        <f t="shared" si="61"/>
        <v>800</v>
      </c>
      <c r="O44" s="968">
        <f t="shared" si="62"/>
        <v>0</v>
      </c>
      <c r="P44" s="968">
        <f t="shared" si="63"/>
        <v>0</v>
      </c>
      <c r="Q44" s="969">
        <f t="shared" si="64"/>
        <v>32.695633102625322</v>
      </c>
      <c r="R44" s="247">
        <f t="shared" si="65"/>
        <v>800</v>
      </c>
      <c r="S44" s="24">
        <f t="shared" si="66"/>
        <v>0</v>
      </c>
      <c r="T44" s="970">
        <f t="shared" si="67"/>
        <v>0</v>
      </c>
      <c r="U44" s="971">
        <f t="shared" si="68"/>
        <v>23.140433204057274</v>
      </c>
    </row>
    <row r="45" spans="1:21" x14ac:dyDescent="0.2">
      <c r="A45" s="33">
        <f t="shared" si="48"/>
        <v>2032</v>
      </c>
      <c r="B45" s="787">
        <f t="shared" si="23"/>
        <v>800</v>
      </c>
      <c r="C45" s="565">
        <f t="shared" si="52"/>
        <v>36948</v>
      </c>
      <c r="D45" s="1053">
        <f t="shared" si="19"/>
        <v>0</v>
      </c>
      <c r="E45" s="1054">
        <f t="shared" ref="E45" si="70">+E44</f>
        <v>0</v>
      </c>
      <c r="F45" s="1055">
        <f t="shared" si="20"/>
        <v>0</v>
      </c>
      <c r="G45" s="473">
        <f t="shared" si="54"/>
        <v>0</v>
      </c>
      <c r="H45" s="474">
        <f t="shared" si="55"/>
        <v>0</v>
      </c>
      <c r="I45" s="474">
        <f t="shared" si="56"/>
        <v>0</v>
      </c>
      <c r="J45" s="61">
        <f t="shared" si="57"/>
        <v>800</v>
      </c>
      <c r="K45" s="967">
        <f t="shared" si="58"/>
        <v>0</v>
      </c>
      <c r="L45" s="967">
        <f t="shared" si="59"/>
        <v>0</v>
      </c>
      <c r="M45" s="967">
        <f t="shared" si="60"/>
        <v>13.723332732696898</v>
      </c>
      <c r="N45" s="54">
        <f t="shared" si="61"/>
        <v>800</v>
      </c>
      <c r="O45" s="968">
        <f t="shared" si="62"/>
        <v>0</v>
      </c>
      <c r="P45" s="968">
        <f t="shared" si="63"/>
        <v>0</v>
      </c>
      <c r="Q45" s="969">
        <f t="shared" si="64"/>
        <v>32.695633102625322</v>
      </c>
      <c r="R45" s="247">
        <f t="shared" si="65"/>
        <v>800</v>
      </c>
      <c r="S45" s="24">
        <f t="shared" si="66"/>
        <v>0</v>
      </c>
      <c r="T45" s="970">
        <f t="shared" si="67"/>
        <v>0</v>
      </c>
      <c r="U45" s="971">
        <f t="shared" si="68"/>
        <v>23.140433204057274</v>
      </c>
    </row>
    <row r="46" spans="1:21" x14ac:dyDescent="0.2">
      <c r="A46" s="33">
        <f t="shared" si="48"/>
        <v>2033</v>
      </c>
      <c r="B46" s="787">
        <f t="shared" si="23"/>
        <v>800</v>
      </c>
      <c r="C46" s="565">
        <f t="shared" si="52"/>
        <v>37748</v>
      </c>
      <c r="D46" s="1053">
        <f t="shared" si="19"/>
        <v>0</v>
      </c>
      <c r="E46" s="1054">
        <f t="shared" ref="E46" si="71">+E45</f>
        <v>0</v>
      </c>
      <c r="F46" s="1055">
        <f t="shared" si="20"/>
        <v>0</v>
      </c>
      <c r="G46" s="473">
        <f t="shared" si="54"/>
        <v>0</v>
      </c>
      <c r="H46" s="474">
        <f t="shared" si="55"/>
        <v>0</v>
      </c>
      <c r="I46" s="474">
        <f t="shared" si="56"/>
        <v>0</v>
      </c>
      <c r="J46" s="61">
        <f t="shared" si="57"/>
        <v>800</v>
      </c>
      <c r="K46" s="967">
        <f t="shared" si="58"/>
        <v>0</v>
      </c>
      <c r="L46" s="967">
        <f t="shared" si="59"/>
        <v>0</v>
      </c>
      <c r="M46" s="967">
        <f t="shared" si="60"/>
        <v>13.723332732696898</v>
      </c>
      <c r="N46" s="54">
        <f t="shared" si="61"/>
        <v>800</v>
      </c>
      <c r="O46" s="968">
        <f t="shared" si="62"/>
        <v>0</v>
      </c>
      <c r="P46" s="968">
        <f t="shared" si="63"/>
        <v>0</v>
      </c>
      <c r="Q46" s="969">
        <f t="shared" si="64"/>
        <v>32.695633102625322</v>
      </c>
      <c r="R46" s="247">
        <f t="shared" si="65"/>
        <v>800</v>
      </c>
      <c r="S46" s="24">
        <f t="shared" si="66"/>
        <v>0</v>
      </c>
      <c r="T46" s="970">
        <f t="shared" si="67"/>
        <v>0</v>
      </c>
      <c r="U46" s="971">
        <f t="shared" si="68"/>
        <v>23.140433204057274</v>
      </c>
    </row>
    <row r="47" spans="1:21" x14ac:dyDescent="0.2">
      <c r="A47" s="33">
        <f t="shared" si="48"/>
        <v>2034</v>
      </c>
      <c r="B47" s="787">
        <f t="shared" si="23"/>
        <v>800</v>
      </c>
      <c r="C47" s="565">
        <f t="shared" si="52"/>
        <v>38548</v>
      </c>
      <c r="D47" s="1053">
        <f t="shared" si="19"/>
        <v>0</v>
      </c>
      <c r="E47" s="1054">
        <f t="shared" ref="E47:E54" si="72">+E46</f>
        <v>0</v>
      </c>
      <c r="F47" s="1055">
        <f t="shared" si="20"/>
        <v>0</v>
      </c>
      <c r="G47" s="473">
        <f t="shared" si="54"/>
        <v>0</v>
      </c>
      <c r="H47" s="474">
        <f t="shared" si="55"/>
        <v>0</v>
      </c>
      <c r="I47" s="474">
        <f t="shared" si="56"/>
        <v>0</v>
      </c>
      <c r="J47" s="61">
        <f t="shared" si="57"/>
        <v>800</v>
      </c>
      <c r="K47" s="967">
        <f t="shared" si="58"/>
        <v>0</v>
      </c>
      <c r="L47" s="967">
        <f t="shared" si="59"/>
        <v>0</v>
      </c>
      <c r="M47" s="967">
        <f t="shared" si="60"/>
        <v>13.723332732696898</v>
      </c>
      <c r="N47" s="54">
        <f t="shared" si="61"/>
        <v>800</v>
      </c>
      <c r="O47" s="968">
        <f t="shared" si="62"/>
        <v>0</v>
      </c>
      <c r="P47" s="968">
        <f t="shared" si="63"/>
        <v>0</v>
      </c>
      <c r="Q47" s="969">
        <f t="shared" si="64"/>
        <v>32.695633102625322</v>
      </c>
      <c r="R47" s="247">
        <f t="shared" si="65"/>
        <v>800</v>
      </c>
      <c r="S47" s="24">
        <f t="shared" si="66"/>
        <v>0</v>
      </c>
      <c r="T47" s="970">
        <f t="shared" si="67"/>
        <v>0</v>
      </c>
      <c r="U47" s="971">
        <f t="shared" si="68"/>
        <v>23.140433204057274</v>
      </c>
    </row>
    <row r="48" spans="1:21" x14ac:dyDescent="0.2">
      <c r="A48" s="33">
        <f t="shared" si="48"/>
        <v>2035</v>
      </c>
      <c r="B48" s="787">
        <f>B47</f>
        <v>800</v>
      </c>
      <c r="C48" s="565">
        <f t="shared" ref="C48:C54" si="73">+C47+B48</f>
        <v>39348</v>
      </c>
      <c r="D48" s="1053">
        <f t="shared" ref="D48" si="74">+D47</f>
        <v>0</v>
      </c>
      <c r="E48" s="1054">
        <f t="shared" si="72"/>
        <v>0</v>
      </c>
      <c r="F48" s="1055">
        <f t="shared" si="20"/>
        <v>0</v>
      </c>
      <c r="G48" s="473">
        <f t="shared" ref="G48:G54" si="75">+$B48*D48/1000</f>
        <v>0</v>
      </c>
      <c r="H48" s="474">
        <f t="shared" ref="H48:H54" si="76">+$B48*E48/1000</f>
        <v>0</v>
      </c>
      <c r="I48" s="474">
        <f t="shared" ref="I48:I54" si="77">+$B48*F48/1000000</f>
        <v>0</v>
      </c>
      <c r="J48" s="61">
        <f t="shared" ref="J48:J54" si="78">+(B48+B47)/2</f>
        <v>800</v>
      </c>
      <c r="K48" s="967">
        <f t="shared" ref="K48:K54" si="79">+D48</f>
        <v>0</v>
      </c>
      <c r="L48" s="967">
        <f t="shared" ref="L48:L54" si="80">+J48*K48/1000</f>
        <v>0</v>
      </c>
      <c r="M48" s="967">
        <f t="shared" ref="M48:M54" si="81">+M47+L48</f>
        <v>13.723332732696898</v>
      </c>
      <c r="N48" s="54">
        <f t="shared" ref="N48:N54" si="82">+B47</f>
        <v>800</v>
      </c>
      <c r="O48" s="968">
        <f t="shared" ref="O48:O54" si="83">+E48</f>
        <v>0</v>
      </c>
      <c r="P48" s="968">
        <f t="shared" ref="P48:P54" si="84">+N48*O48/1000</f>
        <v>0</v>
      </c>
      <c r="Q48" s="969">
        <f t="shared" ref="Q48:Q54" si="85">+Q47+P48</f>
        <v>32.695633102625322</v>
      </c>
      <c r="R48" s="247">
        <f t="shared" ref="R48:R54" si="86">+(B48+B47)/2</f>
        <v>800</v>
      </c>
      <c r="S48" s="24">
        <f t="shared" ref="S48:S54" si="87">+F48</f>
        <v>0</v>
      </c>
      <c r="T48" s="970">
        <f t="shared" ref="T48:T54" si="88">+R48*S48/1000000</f>
        <v>0</v>
      </c>
      <c r="U48" s="971">
        <f t="shared" ref="U48:U54" si="89">+U47+T48</f>
        <v>23.140433204057274</v>
      </c>
    </row>
    <row r="49" spans="1:21" x14ac:dyDescent="0.2">
      <c r="A49" s="33">
        <f t="shared" si="48"/>
        <v>2036</v>
      </c>
      <c r="B49" s="787">
        <f t="shared" ref="B49:B54" si="90">B48</f>
        <v>800</v>
      </c>
      <c r="C49" s="565">
        <f t="shared" si="73"/>
        <v>40148</v>
      </c>
      <c r="D49" s="1053">
        <f t="shared" ref="D49" si="91">+D48</f>
        <v>0</v>
      </c>
      <c r="E49" s="1054">
        <f t="shared" si="72"/>
        <v>0</v>
      </c>
      <c r="F49" s="1055">
        <f t="shared" si="20"/>
        <v>0</v>
      </c>
      <c r="G49" s="473">
        <f t="shared" si="75"/>
        <v>0</v>
      </c>
      <c r="H49" s="474">
        <f t="shared" si="76"/>
        <v>0</v>
      </c>
      <c r="I49" s="474">
        <f t="shared" si="77"/>
        <v>0</v>
      </c>
      <c r="J49" s="61">
        <f t="shared" si="78"/>
        <v>800</v>
      </c>
      <c r="K49" s="967">
        <f t="shared" si="79"/>
        <v>0</v>
      </c>
      <c r="L49" s="967">
        <f t="shared" si="80"/>
        <v>0</v>
      </c>
      <c r="M49" s="967">
        <f t="shared" si="81"/>
        <v>13.723332732696898</v>
      </c>
      <c r="N49" s="54">
        <f t="shared" si="82"/>
        <v>800</v>
      </c>
      <c r="O49" s="968">
        <f t="shared" si="83"/>
        <v>0</v>
      </c>
      <c r="P49" s="968">
        <f t="shared" si="84"/>
        <v>0</v>
      </c>
      <c r="Q49" s="969">
        <f t="shared" si="85"/>
        <v>32.695633102625322</v>
      </c>
      <c r="R49" s="247">
        <f t="shared" si="86"/>
        <v>800</v>
      </c>
      <c r="S49" s="24">
        <f t="shared" si="87"/>
        <v>0</v>
      </c>
      <c r="T49" s="970">
        <f t="shared" si="88"/>
        <v>0</v>
      </c>
      <c r="U49" s="971">
        <f t="shared" si="89"/>
        <v>23.140433204057274</v>
      </c>
    </row>
    <row r="50" spans="1:21" x14ac:dyDescent="0.2">
      <c r="A50" s="33">
        <f t="shared" si="48"/>
        <v>2037</v>
      </c>
      <c r="B50" s="787">
        <f t="shared" si="90"/>
        <v>800</v>
      </c>
      <c r="C50" s="565">
        <f t="shared" si="73"/>
        <v>40948</v>
      </c>
      <c r="D50" s="1053">
        <f t="shared" ref="D50" si="92">+D49</f>
        <v>0</v>
      </c>
      <c r="E50" s="1054">
        <f t="shared" si="72"/>
        <v>0</v>
      </c>
      <c r="F50" s="1055">
        <f t="shared" si="20"/>
        <v>0</v>
      </c>
      <c r="G50" s="473">
        <f t="shared" si="75"/>
        <v>0</v>
      </c>
      <c r="H50" s="474">
        <f t="shared" si="76"/>
        <v>0</v>
      </c>
      <c r="I50" s="474">
        <f t="shared" si="77"/>
        <v>0</v>
      </c>
      <c r="J50" s="61">
        <f t="shared" si="78"/>
        <v>800</v>
      </c>
      <c r="K50" s="967">
        <f t="shared" si="79"/>
        <v>0</v>
      </c>
      <c r="L50" s="967">
        <f t="shared" si="80"/>
        <v>0</v>
      </c>
      <c r="M50" s="967">
        <f t="shared" si="81"/>
        <v>13.723332732696898</v>
      </c>
      <c r="N50" s="54">
        <f t="shared" si="82"/>
        <v>800</v>
      </c>
      <c r="O50" s="968">
        <f t="shared" si="83"/>
        <v>0</v>
      </c>
      <c r="P50" s="968">
        <f t="shared" si="84"/>
        <v>0</v>
      </c>
      <c r="Q50" s="969">
        <f t="shared" si="85"/>
        <v>32.695633102625322</v>
      </c>
      <c r="R50" s="247">
        <f t="shared" si="86"/>
        <v>800</v>
      </c>
      <c r="S50" s="24">
        <f t="shared" si="87"/>
        <v>0</v>
      </c>
      <c r="T50" s="970">
        <f t="shared" si="88"/>
        <v>0</v>
      </c>
      <c r="U50" s="971">
        <f t="shared" si="89"/>
        <v>23.140433204057274</v>
      </c>
    </row>
    <row r="51" spans="1:21" x14ac:dyDescent="0.2">
      <c r="A51" s="33">
        <f t="shared" si="48"/>
        <v>2038</v>
      </c>
      <c r="B51" s="787">
        <f t="shared" si="90"/>
        <v>800</v>
      </c>
      <c r="C51" s="565">
        <f t="shared" si="73"/>
        <v>41748</v>
      </c>
      <c r="D51" s="1053">
        <f t="shared" ref="D51" si="93">+D50</f>
        <v>0</v>
      </c>
      <c r="E51" s="1054">
        <f t="shared" si="72"/>
        <v>0</v>
      </c>
      <c r="F51" s="1055">
        <f t="shared" si="20"/>
        <v>0</v>
      </c>
      <c r="G51" s="473">
        <f t="shared" si="75"/>
        <v>0</v>
      </c>
      <c r="H51" s="474">
        <f t="shared" si="76"/>
        <v>0</v>
      </c>
      <c r="I51" s="474">
        <f t="shared" si="77"/>
        <v>0</v>
      </c>
      <c r="J51" s="61">
        <f t="shared" si="78"/>
        <v>800</v>
      </c>
      <c r="K51" s="967">
        <f t="shared" si="79"/>
        <v>0</v>
      </c>
      <c r="L51" s="967">
        <f t="shared" si="80"/>
        <v>0</v>
      </c>
      <c r="M51" s="967">
        <f t="shared" si="81"/>
        <v>13.723332732696898</v>
      </c>
      <c r="N51" s="54">
        <f t="shared" si="82"/>
        <v>800</v>
      </c>
      <c r="O51" s="968">
        <f t="shared" si="83"/>
        <v>0</v>
      </c>
      <c r="P51" s="968">
        <f t="shared" si="84"/>
        <v>0</v>
      </c>
      <c r="Q51" s="969">
        <f t="shared" si="85"/>
        <v>32.695633102625322</v>
      </c>
      <c r="R51" s="247">
        <f t="shared" si="86"/>
        <v>800</v>
      </c>
      <c r="S51" s="24">
        <f t="shared" si="87"/>
        <v>0</v>
      </c>
      <c r="T51" s="970">
        <f t="shared" si="88"/>
        <v>0</v>
      </c>
      <c r="U51" s="971">
        <f t="shared" si="89"/>
        <v>23.140433204057274</v>
      </c>
    </row>
    <row r="52" spans="1:21" x14ac:dyDescent="0.2">
      <c r="A52" s="33">
        <f t="shared" si="48"/>
        <v>2039</v>
      </c>
      <c r="B52" s="787">
        <f t="shared" si="90"/>
        <v>800</v>
      </c>
      <c r="C52" s="565">
        <f t="shared" si="73"/>
        <v>42548</v>
      </c>
      <c r="D52" s="1053">
        <f t="shared" ref="D52" si="94">+D51</f>
        <v>0</v>
      </c>
      <c r="E52" s="1054">
        <f t="shared" si="72"/>
        <v>0</v>
      </c>
      <c r="F52" s="1055">
        <f t="shared" si="20"/>
        <v>0</v>
      </c>
      <c r="G52" s="473">
        <f t="shared" si="75"/>
        <v>0</v>
      </c>
      <c r="H52" s="474">
        <f t="shared" si="76"/>
        <v>0</v>
      </c>
      <c r="I52" s="474">
        <f t="shared" si="77"/>
        <v>0</v>
      </c>
      <c r="J52" s="61">
        <f t="shared" si="78"/>
        <v>800</v>
      </c>
      <c r="K52" s="967">
        <f t="shared" si="79"/>
        <v>0</v>
      </c>
      <c r="L52" s="967">
        <f t="shared" si="80"/>
        <v>0</v>
      </c>
      <c r="M52" s="967">
        <f t="shared" si="81"/>
        <v>13.723332732696898</v>
      </c>
      <c r="N52" s="54">
        <f t="shared" si="82"/>
        <v>800</v>
      </c>
      <c r="O52" s="968">
        <f t="shared" si="83"/>
        <v>0</v>
      </c>
      <c r="P52" s="968">
        <f t="shared" si="84"/>
        <v>0</v>
      </c>
      <c r="Q52" s="969">
        <f t="shared" si="85"/>
        <v>32.695633102625322</v>
      </c>
      <c r="R52" s="247">
        <f t="shared" si="86"/>
        <v>800</v>
      </c>
      <c r="S52" s="24">
        <f t="shared" si="87"/>
        <v>0</v>
      </c>
      <c r="T52" s="970">
        <f t="shared" si="88"/>
        <v>0</v>
      </c>
      <c r="U52" s="971">
        <f t="shared" si="89"/>
        <v>23.140433204057274</v>
      </c>
    </row>
    <row r="53" spans="1:21" x14ac:dyDescent="0.2">
      <c r="A53" s="33">
        <f t="shared" si="48"/>
        <v>2040</v>
      </c>
      <c r="B53" s="787">
        <f t="shared" si="90"/>
        <v>800</v>
      </c>
      <c r="C53" s="565">
        <f t="shared" si="73"/>
        <v>43348</v>
      </c>
      <c r="D53" s="1053">
        <f t="shared" ref="D53" si="95">+D52</f>
        <v>0</v>
      </c>
      <c r="E53" s="1054">
        <f t="shared" si="72"/>
        <v>0</v>
      </c>
      <c r="F53" s="1055">
        <f t="shared" si="20"/>
        <v>0</v>
      </c>
      <c r="G53" s="473">
        <f t="shared" si="75"/>
        <v>0</v>
      </c>
      <c r="H53" s="474">
        <f t="shared" si="76"/>
        <v>0</v>
      </c>
      <c r="I53" s="474">
        <f t="shared" si="77"/>
        <v>0</v>
      </c>
      <c r="J53" s="61">
        <f t="shared" si="78"/>
        <v>800</v>
      </c>
      <c r="K53" s="967">
        <f t="shared" si="79"/>
        <v>0</v>
      </c>
      <c r="L53" s="967">
        <f t="shared" si="80"/>
        <v>0</v>
      </c>
      <c r="M53" s="967">
        <f t="shared" si="81"/>
        <v>13.723332732696898</v>
      </c>
      <c r="N53" s="54">
        <f t="shared" si="82"/>
        <v>800</v>
      </c>
      <c r="O53" s="968">
        <f t="shared" si="83"/>
        <v>0</v>
      </c>
      <c r="P53" s="968">
        <f t="shared" si="84"/>
        <v>0</v>
      </c>
      <c r="Q53" s="969">
        <f t="shared" si="85"/>
        <v>32.695633102625322</v>
      </c>
      <c r="R53" s="247">
        <f t="shared" si="86"/>
        <v>800</v>
      </c>
      <c r="S53" s="24">
        <f t="shared" si="87"/>
        <v>0</v>
      </c>
      <c r="T53" s="970">
        <f t="shared" si="88"/>
        <v>0</v>
      </c>
      <c r="U53" s="971">
        <f t="shared" si="89"/>
        <v>23.140433204057274</v>
      </c>
    </row>
    <row r="54" spans="1:21" x14ac:dyDescent="0.2">
      <c r="A54" s="33">
        <f t="shared" si="48"/>
        <v>2041</v>
      </c>
      <c r="B54" s="787">
        <f t="shared" si="90"/>
        <v>800</v>
      </c>
      <c r="C54" s="565">
        <f t="shared" si="73"/>
        <v>44148</v>
      </c>
      <c r="D54" s="1053">
        <f t="shared" ref="D54" si="96">+D53</f>
        <v>0</v>
      </c>
      <c r="E54" s="1054">
        <f t="shared" si="72"/>
        <v>0</v>
      </c>
      <c r="F54" s="1055">
        <f t="shared" si="20"/>
        <v>0</v>
      </c>
      <c r="G54" s="473">
        <f t="shared" si="75"/>
        <v>0</v>
      </c>
      <c r="H54" s="474">
        <f t="shared" si="76"/>
        <v>0</v>
      </c>
      <c r="I54" s="474">
        <f t="shared" si="77"/>
        <v>0</v>
      </c>
      <c r="J54" s="61">
        <f t="shared" si="78"/>
        <v>800</v>
      </c>
      <c r="K54" s="967">
        <f t="shared" si="79"/>
        <v>0</v>
      </c>
      <c r="L54" s="967">
        <f t="shared" si="80"/>
        <v>0</v>
      </c>
      <c r="M54" s="967">
        <f t="shared" si="81"/>
        <v>13.723332732696898</v>
      </c>
      <c r="N54" s="54">
        <f t="shared" si="82"/>
        <v>800</v>
      </c>
      <c r="O54" s="968">
        <f t="shared" si="83"/>
        <v>0</v>
      </c>
      <c r="P54" s="968">
        <f t="shared" si="84"/>
        <v>0</v>
      </c>
      <c r="Q54" s="969">
        <f t="shared" si="85"/>
        <v>32.695633102625322</v>
      </c>
      <c r="R54" s="247">
        <f t="shared" si="86"/>
        <v>800</v>
      </c>
      <c r="S54" s="24">
        <f t="shared" si="87"/>
        <v>0</v>
      </c>
      <c r="T54" s="970">
        <f t="shared" si="88"/>
        <v>0</v>
      </c>
      <c r="U54" s="971">
        <f t="shared" si="89"/>
        <v>23.140433204057274</v>
      </c>
    </row>
    <row r="55" spans="1:21" s="2" customFormat="1" x14ac:dyDescent="0.2">
      <c r="A55" s="491"/>
      <c r="B55" s="501"/>
      <c r="C55" s="493"/>
      <c r="D55" s="494"/>
      <c r="E55" s="494"/>
      <c r="F55" s="493"/>
      <c r="G55" s="495"/>
      <c r="H55" s="495"/>
      <c r="I55" s="495"/>
      <c r="J55" s="498"/>
      <c r="K55" s="497"/>
      <c r="L55" s="497"/>
      <c r="M55" s="497"/>
      <c r="N55" s="498"/>
      <c r="O55" s="497"/>
      <c r="P55" s="497"/>
      <c r="Q55" s="497"/>
      <c r="R55" s="9"/>
      <c r="S55" s="499"/>
      <c r="T55" s="500"/>
      <c r="U55" s="497"/>
    </row>
    <row r="56" spans="1:21" x14ac:dyDescent="0.2">
      <c r="A56" s="69" t="s">
        <v>38</v>
      </c>
    </row>
    <row r="57" spans="1:21" x14ac:dyDescent="0.2">
      <c r="A57" s="69" t="s">
        <v>39</v>
      </c>
    </row>
    <row r="58" spans="1:21" x14ac:dyDescent="0.2">
      <c r="A58" s="86" t="s">
        <v>57</v>
      </c>
    </row>
    <row r="59" spans="1:21" x14ac:dyDescent="0.2">
      <c r="A59" s="86" t="s">
        <v>58</v>
      </c>
    </row>
    <row r="62" spans="1:21" ht="15" x14ac:dyDescent="0.2">
      <c r="B62" s="253">
        <v>493</v>
      </c>
    </row>
    <row r="63" spans="1:21" ht="15" x14ac:dyDescent="0.2">
      <c r="B63" s="253">
        <v>599</v>
      </c>
    </row>
    <row r="64" spans="1:21" ht="15" x14ac:dyDescent="0.2">
      <c r="B64" s="253">
        <f t="shared" ref="B64:B70" si="97">+B63-50</f>
        <v>549</v>
      </c>
    </row>
    <row r="65" spans="2:2" ht="15" x14ac:dyDescent="0.2">
      <c r="B65" s="253">
        <f t="shared" si="97"/>
        <v>499</v>
      </c>
    </row>
    <row r="66" spans="2:2" ht="15" x14ac:dyDescent="0.2">
      <c r="B66" s="253">
        <f t="shared" si="97"/>
        <v>449</v>
      </c>
    </row>
    <row r="67" spans="2:2" ht="15" x14ac:dyDescent="0.2">
      <c r="B67" s="253">
        <f t="shared" si="97"/>
        <v>399</v>
      </c>
    </row>
    <row r="68" spans="2:2" ht="15" x14ac:dyDescent="0.2">
      <c r="B68" s="253">
        <f t="shared" si="97"/>
        <v>349</v>
      </c>
    </row>
    <row r="69" spans="2:2" ht="15" x14ac:dyDescent="0.2">
      <c r="B69" s="253">
        <f t="shared" si="97"/>
        <v>299</v>
      </c>
    </row>
    <row r="70" spans="2:2" ht="15" x14ac:dyDescent="0.2">
      <c r="B70" s="253">
        <f t="shared" si="97"/>
        <v>249</v>
      </c>
    </row>
    <row r="71" spans="2:2" ht="15.75" thickBot="1" x14ac:dyDescent="0.25">
      <c r="B71" s="254">
        <f>+B70-50</f>
        <v>199</v>
      </c>
    </row>
  </sheetData>
  <mergeCells count="5">
    <mergeCell ref="R4:U4"/>
    <mergeCell ref="G3:I3"/>
    <mergeCell ref="B4:I4"/>
    <mergeCell ref="J4:M4"/>
    <mergeCell ref="N4:Q4"/>
  </mergeCells>
  <phoneticPr fontId="7" type="noConversion"/>
  <pageMargins left="0.75" right="0.75" top="1" bottom="1" header="0.5" footer="0.5"/>
  <pageSetup scale="5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tabColor rgb="FF1CBE06"/>
    <pageSetUpPr fitToPage="1"/>
  </sheetPr>
  <dimension ref="A1:X59"/>
  <sheetViews>
    <sheetView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249"/>
      <c r="K1" s="4"/>
      <c r="L1" s="4"/>
      <c r="M1" s="4"/>
      <c r="N1" s="4"/>
    </row>
    <row r="2" spans="1:24" ht="16.5" thickBot="1" x14ac:dyDescent="0.3">
      <c r="A2" s="5" t="s">
        <v>1</v>
      </c>
      <c r="B2" s="27" t="s">
        <v>103</v>
      </c>
      <c r="C2" s="27"/>
      <c r="D2" s="27"/>
      <c r="E2" s="27"/>
      <c r="F2" s="23"/>
      <c r="J2" s="4"/>
      <c r="K2" s="4"/>
      <c r="L2" s="4"/>
      <c r="M2" s="4"/>
      <c r="N2" s="4"/>
    </row>
    <row r="3" spans="1:24" ht="16.5" thickBot="1" x14ac:dyDescent="0.3">
      <c r="A3" s="4"/>
      <c r="B3" s="178"/>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193</v>
      </c>
      <c r="D6" s="628"/>
      <c r="E6" s="15"/>
      <c r="F6" s="31"/>
      <c r="G6" s="208"/>
      <c r="H6" s="15"/>
      <c r="I6" s="31"/>
      <c r="J6" s="37"/>
      <c r="K6" s="59">
        <f>+M6/C6*1000</f>
        <v>2.0207253886010363</v>
      </c>
      <c r="L6" s="6"/>
      <c r="M6" s="46">
        <v>0.39</v>
      </c>
      <c r="N6" s="40"/>
      <c r="O6" s="55">
        <f>+Q6/C6*1000</f>
        <v>4.4041450777202069</v>
      </c>
      <c r="P6" s="57"/>
      <c r="Q6" s="41">
        <v>0.85</v>
      </c>
      <c r="R6" s="43"/>
      <c r="S6" s="24">
        <f>+U6/C6*1000000</f>
        <v>725.38860103626951</v>
      </c>
      <c r="T6" s="21"/>
      <c r="U6" s="47">
        <v>0.14000000000000001</v>
      </c>
      <c r="V6" s="3"/>
    </row>
    <row r="7" spans="1:24" s="1" customFormat="1" ht="15.75" customHeight="1" x14ac:dyDescent="0.2">
      <c r="A7" s="68" t="s">
        <v>63</v>
      </c>
      <c r="B7" s="30"/>
      <c r="C7" s="659">
        <f>20+C6</f>
        <v>213</v>
      </c>
      <c r="D7" s="628"/>
      <c r="E7" s="15"/>
      <c r="F7" s="31"/>
      <c r="G7" s="208"/>
      <c r="H7" s="15"/>
      <c r="I7" s="31"/>
      <c r="J7" s="37"/>
      <c r="K7" s="59">
        <f>+(M7-M6)/($C7-$C6)*1000</f>
        <v>0</v>
      </c>
      <c r="L7" s="6"/>
      <c r="M7" s="46">
        <f>+M6+0</f>
        <v>0.39</v>
      </c>
      <c r="N7" s="40"/>
      <c r="O7" s="55">
        <f>+(Q7-Q6)/($C7-$C6)*1000</f>
        <v>2.0000000000000018</v>
      </c>
      <c r="P7" s="57"/>
      <c r="Q7" s="41">
        <f>+Q6+0.04</f>
        <v>0.89</v>
      </c>
      <c r="R7" s="43"/>
      <c r="S7" s="24">
        <f>+(U7-U6)/($C7-$C6)*1000000</f>
        <v>2499.9999999999995</v>
      </c>
      <c r="T7" s="21"/>
      <c r="U7" s="47">
        <f>+U6+0.05</f>
        <v>0.19</v>
      </c>
      <c r="V7" s="3"/>
    </row>
    <row r="8" spans="1:24" x14ac:dyDescent="0.2">
      <c r="A8" s="33">
        <v>1995</v>
      </c>
      <c r="B8" s="30">
        <v>8</v>
      </c>
      <c r="C8" s="660">
        <f>+C7+B8</f>
        <v>221</v>
      </c>
      <c r="D8" s="662">
        <v>0.38</v>
      </c>
      <c r="E8" s="663">
        <v>1.71</v>
      </c>
      <c r="F8" s="617">
        <v>2588</v>
      </c>
      <c r="G8" s="626">
        <f t="shared" ref="G8:G23" si="0">+$B8*D8/1000</f>
        <v>3.0400000000000002E-3</v>
      </c>
      <c r="H8" s="72">
        <f t="shared" ref="H8:H23" si="1">+$B8*E8/1000</f>
        <v>1.3679999999999999E-2</v>
      </c>
      <c r="I8" s="630">
        <f t="shared" ref="I8:I23" si="2">+$B8*F8/1000000</f>
        <v>2.0704E-2</v>
      </c>
      <c r="J8" s="61">
        <f>+(B8+N8)/2</f>
        <v>11</v>
      </c>
      <c r="K8" s="188">
        <f>+D8</f>
        <v>0.38</v>
      </c>
      <c r="L8" s="188">
        <f>+J8*K8/1000</f>
        <v>4.1799999999999997E-3</v>
      </c>
      <c r="M8" s="188">
        <f>+M7+L8</f>
        <v>0.39418000000000003</v>
      </c>
      <c r="N8" s="51">
        <v>14</v>
      </c>
      <c r="O8" s="670">
        <f>+E8</f>
        <v>1.71</v>
      </c>
      <c r="P8" s="670">
        <f>+N8*O8/1000</f>
        <v>2.3939999999999996E-2</v>
      </c>
      <c r="Q8" s="670">
        <f>+Q7+P8</f>
        <v>0.91393999999999997</v>
      </c>
      <c r="R8" s="247">
        <f>J8</f>
        <v>11</v>
      </c>
      <c r="S8" s="24">
        <f>+F8</f>
        <v>2588</v>
      </c>
      <c r="T8" s="25">
        <f>+R8*S8/1000000</f>
        <v>2.8468E-2</v>
      </c>
      <c r="U8" s="654">
        <f>+U7+T8</f>
        <v>0.218468</v>
      </c>
      <c r="V8" s="9"/>
      <c r="X8" s="1"/>
    </row>
    <row r="9" spans="1:24" x14ac:dyDescent="0.2">
      <c r="A9" s="33">
        <v>1996</v>
      </c>
      <c r="B9" s="30">
        <v>2</v>
      </c>
      <c r="C9" s="660">
        <f t="shared" ref="C9:C37" si="3">+C8+B9</f>
        <v>223</v>
      </c>
      <c r="D9" s="662">
        <v>0.08</v>
      </c>
      <c r="E9" s="663">
        <v>0.06</v>
      </c>
      <c r="F9" s="617">
        <v>341</v>
      </c>
      <c r="G9" s="626">
        <f t="shared" si="0"/>
        <v>1.6000000000000001E-4</v>
      </c>
      <c r="H9" s="72">
        <f t="shared" si="1"/>
        <v>1.1999999999999999E-4</v>
      </c>
      <c r="I9" s="630">
        <f t="shared" si="2"/>
        <v>6.8199999999999999E-4</v>
      </c>
      <c r="J9" s="61">
        <f t="shared" ref="J9:J37" si="4">+(B9+B8)/2</f>
        <v>5</v>
      </c>
      <c r="K9" s="188">
        <f t="shared" ref="K9:K37" si="5">+D9</f>
        <v>0.08</v>
      </c>
      <c r="L9" s="188">
        <f t="shared" ref="L9:L37" si="6">+J9*K9/1000</f>
        <v>4.0000000000000002E-4</v>
      </c>
      <c r="M9" s="188">
        <f t="shared" ref="M9:M37" si="7">+M8+L9</f>
        <v>0.39458000000000004</v>
      </c>
      <c r="N9" s="54">
        <f>+B8</f>
        <v>8</v>
      </c>
      <c r="O9" s="670">
        <f t="shared" ref="O9:O37" si="8">+E9</f>
        <v>0.06</v>
      </c>
      <c r="P9" s="670">
        <f t="shared" ref="P9:P37" si="9">+N9*O9/1000</f>
        <v>4.7999999999999996E-4</v>
      </c>
      <c r="Q9" s="670">
        <f t="shared" ref="Q9:Q37" si="10">+Q8+P9</f>
        <v>0.91442000000000001</v>
      </c>
      <c r="R9" s="247">
        <f t="shared" ref="R9:R37" si="11">+(B9+B8)/2</f>
        <v>5</v>
      </c>
      <c r="S9" s="24">
        <f t="shared" ref="S9:S37" si="12">+F9</f>
        <v>341</v>
      </c>
      <c r="T9" s="25">
        <f t="shared" ref="T9:T37" si="13">+R9*S9/1000000</f>
        <v>1.7049999999999999E-3</v>
      </c>
      <c r="U9" s="654">
        <f t="shared" ref="U9:U37" si="14">+U8+T9</f>
        <v>0.22017300000000001</v>
      </c>
      <c r="V9" s="10"/>
      <c r="X9" s="1"/>
    </row>
    <row r="10" spans="1:24" x14ac:dyDescent="0.2">
      <c r="A10" s="33">
        <v>1997</v>
      </c>
      <c r="B10" s="30">
        <v>0</v>
      </c>
      <c r="C10" s="660">
        <f t="shared" si="3"/>
        <v>223</v>
      </c>
      <c r="D10" s="662">
        <v>0</v>
      </c>
      <c r="E10" s="663">
        <v>0</v>
      </c>
      <c r="F10" s="617">
        <v>0</v>
      </c>
      <c r="G10" s="626">
        <f t="shared" si="0"/>
        <v>0</v>
      </c>
      <c r="H10" s="72">
        <f t="shared" si="1"/>
        <v>0</v>
      </c>
      <c r="I10" s="630">
        <f t="shared" si="2"/>
        <v>0</v>
      </c>
      <c r="J10" s="61">
        <f t="shared" si="4"/>
        <v>1</v>
      </c>
      <c r="K10" s="188">
        <f t="shared" si="5"/>
        <v>0</v>
      </c>
      <c r="L10" s="188">
        <f t="shared" si="6"/>
        <v>0</v>
      </c>
      <c r="M10" s="188">
        <f t="shared" si="7"/>
        <v>0.39458000000000004</v>
      </c>
      <c r="N10" s="54">
        <f t="shared" ref="N10:N37" si="15">+B9</f>
        <v>2</v>
      </c>
      <c r="O10" s="670">
        <f t="shared" si="8"/>
        <v>0</v>
      </c>
      <c r="P10" s="670">
        <f t="shared" si="9"/>
        <v>0</v>
      </c>
      <c r="Q10" s="670">
        <f t="shared" si="10"/>
        <v>0.91442000000000001</v>
      </c>
      <c r="R10" s="247">
        <f t="shared" si="11"/>
        <v>1</v>
      </c>
      <c r="S10" s="24">
        <f t="shared" si="12"/>
        <v>0</v>
      </c>
      <c r="T10" s="25">
        <f t="shared" si="13"/>
        <v>0</v>
      </c>
      <c r="U10" s="654">
        <f t="shared" si="14"/>
        <v>0.22017300000000001</v>
      </c>
      <c r="V10" s="10"/>
      <c r="X10" s="1"/>
    </row>
    <row r="11" spans="1:24" x14ac:dyDescent="0.2">
      <c r="A11" s="33">
        <v>1998</v>
      </c>
      <c r="B11" s="30">
        <v>0</v>
      </c>
      <c r="C11" s="660">
        <f t="shared" si="3"/>
        <v>223</v>
      </c>
      <c r="D11" s="662">
        <v>0</v>
      </c>
      <c r="E11" s="663">
        <v>0</v>
      </c>
      <c r="F11" s="617">
        <v>0</v>
      </c>
      <c r="G11" s="626">
        <f t="shared" si="0"/>
        <v>0</v>
      </c>
      <c r="H11" s="72">
        <f t="shared" si="1"/>
        <v>0</v>
      </c>
      <c r="I11" s="630">
        <f t="shared" si="2"/>
        <v>0</v>
      </c>
      <c r="J11" s="61">
        <f t="shared" si="4"/>
        <v>0</v>
      </c>
      <c r="K11" s="188">
        <f t="shared" si="5"/>
        <v>0</v>
      </c>
      <c r="L11" s="188">
        <f t="shared" si="6"/>
        <v>0</v>
      </c>
      <c r="M11" s="188">
        <f t="shared" si="7"/>
        <v>0.39458000000000004</v>
      </c>
      <c r="N11" s="54">
        <f t="shared" si="15"/>
        <v>0</v>
      </c>
      <c r="O11" s="670">
        <f t="shared" si="8"/>
        <v>0</v>
      </c>
      <c r="P11" s="670">
        <f t="shared" si="9"/>
        <v>0</v>
      </c>
      <c r="Q11" s="670">
        <f t="shared" si="10"/>
        <v>0.91442000000000001</v>
      </c>
      <c r="R11" s="247">
        <f t="shared" si="11"/>
        <v>0</v>
      </c>
      <c r="S11" s="24">
        <f t="shared" si="12"/>
        <v>0</v>
      </c>
      <c r="T11" s="25">
        <f t="shared" si="13"/>
        <v>0</v>
      </c>
      <c r="U11" s="654">
        <f t="shared" si="14"/>
        <v>0.22017300000000001</v>
      </c>
      <c r="V11" s="10"/>
      <c r="X11" s="1"/>
    </row>
    <row r="12" spans="1:24" x14ac:dyDescent="0.2">
      <c r="A12" s="33">
        <v>1999</v>
      </c>
      <c r="B12" s="30">
        <v>0</v>
      </c>
      <c r="C12" s="660">
        <f t="shared" si="3"/>
        <v>223</v>
      </c>
      <c r="D12" s="662">
        <v>0</v>
      </c>
      <c r="E12" s="663">
        <v>0</v>
      </c>
      <c r="F12" s="617">
        <v>0</v>
      </c>
      <c r="G12" s="626">
        <f t="shared" si="0"/>
        <v>0</v>
      </c>
      <c r="H12" s="72">
        <f t="shared" si="1"/>
        <v>0</v>
      </c>
      <c r="I12" s="630">
        <f t="shared" si="2"/>
        <v>0</v>
      </c>
      <c r="J12" s="61">
        <f t="shared" si="4"/>
        <v>0</v>
      </c>
      <c r="K12" s="188">
        <f t="shared" si="5"/>
        <v>0</v>
      </c>
      <c r="L12" s="188">
        <f t="shared" si="6"/>
        <v>0</v>
      </c>
      <c r="M12" s="188">
        <f t="shared" si="7"/>
        <v>0.39458000000000004</v>
      </c>
      <c r="N12" s="54">
        <f t="shared" si="15"/>
        <v>0</v>
      </c>
      <c r="O12" s="670">
        <f t="shared" si="8"/>
        <v>0</v>
      </c>
      <c r="P12" s="670">
        <f t="shared" si="9"/>
        <v>0</v>
      </c>
      <c r="Q12" s="670">
        <f t="shared" si="10"/>
        <v>0.91442000000000001</v>
      </c>
      <c r="R12" s="247">
        <f t="shared" si="11"/>
        <v>0</v>
      </c>
      <c r="S12" s="24">
        <f t="shared" si="12"/>
        <v>0</v>
      </c>
      <c r="T12" s="25">
        <f t="shared" si="13"/>
        <v>0</v>
      </c>
      <c r="U12" s="654">
        <f t="shared" si="14"/>
        <v>0.22017300000000001</v>
      </c>
      <c r="V12" s="10"/>
      <c r="X12" s="1"/>
    </row>
    <row r="13" spans="1:24" x14ac:dyDescent="0.2">
      <c r="A13" s="33">
        <v>2000</v>
      </c>
      <c r="B13" s="30">
        <v>0</v>
      </c>
      <c r="C13" s="660">
        <f t="shared" si="3"/>
        <v>223</v>
      </c>
      <c r="D13" s="662">
        <v>0</v>
      </c>
      <c r="E13" s="663">
        <v>0</v>
      </c>
      <c r="F13" s="617">
        <v>0</v>
      </c>
      <c r="G13" s="626">
        <f t="shared" si="0"/>
        <v>0</v>
      </c>
      <c r="H13" s="72">
        <f t="shared" si="1"/>
        <v>0</v>
      </c>
      <c r="I13" s="630">
        <f t="shared" si="2"/>
        <v>0</v>
      </c>
      <c r="J13" s="61">
        <f t="shared" si="4"/>
        <v>0</v>
      </c>
      <c r="K13" s="188">
        <f t="shared" si="5"/>
        <v>0</v>
      </c>
      <c r="L13" s="188">
        <f t="shared" si="6"/>
        <v>0</v>
      </c>
      <c r="M13" s="188">
        <f t="shared" si="7"/>
        <v>0.39458000000000004</v>
      </c>
      <c r="N13" s="54">
        <f t="shared" si="15"/>
        <v>0</v>
      </c>
      <c r="O13" s="670">
        <f t="shared" si="8"/>
        <v>0</v>
      </c>
      <c r="P13" s="670">
        <f t="shared" si="9"/>
        <v>0</v>
      </c>
      <c r="Q13" s="670">
        <f t="shared" si="10"/>
        <v>0.91442000000000001</v>
      </c>
      <c r="R13" s="247">
        <f t="shared" si="11"/>
        <v>0</v>
      </c>
      <c r="S13" s="24">
        <f t="shared" si="12"/>
        <v>0</v>
      </c>
      <c r="T13" s="25">
        <f t="shared" si="13"/>
        <v>0</v>
      </c>
      <c r="U13" s="654">
        <f t="shared" si="14"/>
        <v>0.22017300000000001</v>
      </c>
      <c r="V13" s="9"/>
      <c r="X13" s="1"/>
    </row>
    <row r="14" spans="1:24" x14ac:dyDescent="0.2">
      <c r="A14" s="33">
        <v>2001</v>
      </c>
      <c r="B14" s="30">
        <v>3</v>
      </c>
      <c r="C14" s="660">
        <f t="shared" si="3"/>
        <v>226</v>
      </c>
      <c r="D14" s="662">
        <v>0.08</v>
      </c>
      <c r="E14" s="663">
        <v>6.0000000000000005E-2</v>
      </c>
      <c r="F14" s="617">
        <v>341</v>
      </c>
      <c r="G14" s="626">
        <f t="shared" si="0"/>
        <v>2.3999999999999998E-4</v>
      </c>
      <c r="H14" s="72">
        <f t="shared" si="1"/>
        <v>1.8000000000000001E-4</v>
      </c>
      <c r="I14" s="630">
        <f t="shared" si="2"/>
        <v>1.023E-3</v>
      </c>
      <c r="J14" s="61">
        <f t="shared" si="4"/>
        <v>1.5</v>
      </c>
      <c r="K14" s="188">
        <f t="shared" si="5"/>
        <v>0.08</v>
      </c>
      <c r="L14" s="188">
        <f t="shared" si="6"/>
        <v>1.1999999999999999E-4</v>
      </c>
      <c r="M14" s="188">
        <f t="shared" si="7"/>
        <v>0.39470000000000005</v>
      </c>
      <c r="N14" s="54">
        <f t="shared" si="15"/>
        <v>0</v>
      </c>
      <c r="O14" s="670">
        <f t="shared" si="8"/>
        <v>6.0000000000000005E-2</v>
      </c>
      <c r="P14" s="670">
        <f t="shared" si="9"/>
        <v>0</v>
      </c>
      <c r="Q14" s="670">
        <f t="shared" si="10"/>
        <v>0.91442000000000001</v>
      </c>
      <c r="R14" s="247">
        <f t="shared" si="11"/>
        <v>1.5</v>
      </c>
      <c r="S14" s="24">
        <f t="shared" si="12"/>
        <v>341</v>
      </c>
      <c r="T14" s="25">
        <f t="shared" si="13"/>
        <v>5.1150000000000002E-4</v>
      </c>
      <c r="U14" s="654">
        <f t="shared" si="14"/>
        <v>0.22068450000000001</v>
      </c>
      <c r="V14" s="9"/>
      <c r="X14" s="1"/>
    </row>
    <row r="15" spans="1:24" x14ac:dyDescent="0.2">
      <c r="A15" s="33">
        <v>2002</v>
      </c>
      <c r="B15" s="30">
        <v>0</v>
      </c>
      <c r="C15" s="660">
        <f t="shared" si="3"/>
        <v>226</v>
      </c>
      <c r="D15" s="662">
        <v>0</v>
      </c>
      <c r="E15" s="663">
        <v>0</v>
      </c>
      <c r="F15" s="617">
        <v>0</v>
      </c>
      <c r="G15" s="626">
        <f t="shared" si="0"/>
        <v>0</v>
      </c>
      <c r="H15" s="72">
        <f t="shared" si="1"/>
        <v>0</v>
      </c>
      <c r="I15" s="630">
        <f t="shared" si="2"/>
        <v>0</v>
      </c>
      <c r="J15" s="61">
        <f t="shared" si="4"/>
        <v>1.5</v>
      </c>
      <c r="K15" s="188">
        <f t="shared" si="5"/>
        <v>0</v>
      </c>
      <c r="L15" s="188">
        <f t="shared" si="6"/>
        <v>0</v>
      </c>
      <c r="M15" s="188">
        <f t="shared" si="7"/>
        <v>0.39470000000000005</v>
      </c>
      <c r="N15" s="54">
        <f t="shared" si="15"/>
        <v>3</v>
      </c>
      <c r="O15" s="670">
        <f t="shared" si="8"/>
        <v>0</v>
      </c>
      <c r="P15" s="670">
        <f t="shared" si="9"/>
        <v>0</v>
      </c>
      <c r="Q15" s="670">
        <f t="shared" si="10"/>
        <v>0.91442000000000001</v>
      </c>
      <c r="R15" s="247">
        <f t="shared" si="11"/>
        <v>1.5</v>
      </c>
      <c r="S15" s="24">
        <f t="shared" si="12"/>
        <v>0</v>
      </c>
      <c r="T15" s="25">
        <f t="shared" si="13"/>
        <v>0</v>
      </c>
      <c r="U15" s="654">
        <f t="shared" si="14"/>
        <v>0.22068450000000001</v>
      </c>
      <c r="V15" s="9"/>
      <c r="X15" s="1"/>
    </row>
    <row r="16" spans="1:24" x14ac:dyDescent="0.2">
      <c r="A16" s="33">
        <v>2003</v>
      </c>
      <c r="B16" s="30">
        <v>0</v>
      </c>
      <c r="C16" s="660">
        <f t="shared" si="3"/>
        <v>226</v>
      </c>
      <c r="D16" s="662">
        <v>0</v>
      </c>
      <c r="E16" s="663">
        <v>0</v>
      </c>
      <c r="F16" s="617">
        <v>0</v>
      </c>
      <c r="G16" s="626">
        <f t="shared" si="0"/>
        <v>0</v>
      </c>
      <c r="H16" s="72">
        <f t="shared" si="1"/>
        <v>0</v>
      </c>
      <c r="I16" s="630">
        <f t="shared" si="2"/>
        <v>0</v>
      </c>
      <c r="J16" s="61">
        <f t="shared" si="4"/>
        <v>0</v>
      </c>
      <c r="K16" s="188">
        <f t="shared" si="5"/>
        <v>0</v>
      </c>
      <c r="L16" s="188">
        <f t="shared" si="6"/>
        <v>0</v>
      </c>
      <c r="M16" s="188">
        <f t="shared" si="7"/>
        <v>0.39470000000000005</v>
      </c>
      <c r="N16" s="54">
        <f t="shared" si="15"/>
        <v>0</v>
      </c>
      <c r="O16" s="670">
        <f t="shared" si="8"/>
        <v>0</v>
      </c>
      <c r="P16" s="670">
        <f t="shared" si="9"/>
        <v>0</v>
      </c>
      <c r="Q16" s="670">
        <f t="shared" si="10"/>
        <v>0.91442000000000001</v>
      </c>
      <c r="R16" s="247">
        <f t="shared" si="11"/>
        <v>0</v>
      </c>
      <c r="S16" s="24">
        <f t="shared" si="12"/>
        <v>0</v>
      </c>
      <c r="T16" s="25">
        <f t="shared" si="13"/>
        <v>0</v>
      </c>
      <c r="U16" s="654">
        <f t="shared" si="14"/>
        <v>0.22068450000000001</v>
      </c>
      <c r="V16" s="9"/>
      <c r="X16" s="1"/>
    </row>
    <row r="17" spans="1:24" x14ac:dyDescent="0.2">
      <c r="A17" s="33">
        <f>+A16+1</f>
        <v>2004</v>
      </c>
      <c r="B17" s="30">
        <v>0</v>
      </c>
      <c r="C17" s="660">
        <f t="shared" si="3"/>
        <v>226</v>
      </c>
      <c r="D17" s="662">
        <v>0</v>
      </c>
      <c r="E17" s="663">
        <v>0</v>
      </c>
      <c r="F17" s="617">
        <v>0</v>
      </c>
      <c r="G17" s="626">
        <f t="shared" si="0"/>
        <v>0</v>
      </c>
      <c r="H17" s="72">
        <f t="shared" si="1"/>
        <v>0</v>
      </c>
      <c r="I17" s="630">
        <f t="shared" si="2"/>
        <v>0</v>
      </c>
      <c r="J17" s="61">
        <f t="shared" si="4"/>
        <v>0</v>
      </c>
      <c r="K17" s="188">
        <f t="shared" si="5"/>
        <v>0</v>
      </c>
      <c r="L17" s="188">
        <f t="shared" si="6"/>
        <v>0</v>
      </c>
      <c r="M17" s="188">
        <f t="shared" si="7"/>
        <v>0.39470000000000005</v>
      </c>
      <c r="N17" s="54">
        <f t="shared" si="15"/>
        <v>0</v>
      </c>
      <c r="O17" s="670">
        <f t="shared" si="8"/>
        <v>0</v>
      </c>
      <c r="P17" s="670">
        <f t="shared" si="9"/>
        <v>0</v>
      </c>
      <c r="Q17" s="670">
        <f t="shared" si="10"/>
        <v>0.91442000000000001</v>
      </c>
      <c r="R17" s="247">
        <f t="shared" si="11"/>
        <v>0</v>
      </c>
      <c r="S17" s="24">
        <f t="shared" si="12"/>
        <v>0</v>
      </c>
      <c r="T17" s="25">
        <f t="shared" si="13"/>
        <v>0</v>
      </c>
      <c r="U17" s="654">
        <f t="shared" si="14"/>
        <v>0.22068450000000001</v>
      </c>
      <c r="V17" s="9"/>
      <c r="X17" s="1"/>
    </row>
    <row r="18" spans="1:24" x14ac:dyDescent="0.2">
      <c r="A18" s="33">
        <f t="shared" ref="A18:A54" si="16">+A17+1</f>
        <v>2005</v>
      </c>
      <c r="B18" s="30">
        <v>0</v>
      </c>
      <c r="C18" s="660">
        <f t="shared" si="3"/>
        <v>226</v>
      </c>
      <c r="D18" s="662">
        <v>0</v>
      </c>
      <c r="E18" s="663">
        <v>0</v>
      </c>
      <c r="F18" s="617">
        <v>0</v>
      </c>
      <c r="G18" s="626">
        <f t="shared" si="0"/>
        <v>0</v>
      </c>
      <c r="H18" s="72">
        <f t="shared" si="1"/>
        <v>0</v>
      </c>
      <c r="I18" s="630">
        <f t="shared" si="2"/>
        <v>0</v>
      </c>
      <c r="J18" s="61">
        <f t="shared" si="4"/>
        <v>0</v>
      </c>
      <c r="K18" s="188">
        <f t="shared" si="5"/>
        <v>0</v>
      </c>
      <c r="L18" s="188">
        <f t="shared" si="6"/>
        <v>0</v>
      </c>
      <c r="M18" s="188">
        <f t="shared" si="7"/>
        <v>0.39470000000000005</v>
      </c>
      <c r="N18" s="54">
        <f t="shared" si="15"/>
        <v>0</v>
      </c>
      <c r="O18" s="670">
        <f t="shared" si="8"/>
        <v>0</v>
      </c>
      <c r="P18" s="670">
        <f t="shared" si="9"/>
        <v>0</v>
      </c>
      <c r="Q18" s="670">
        <f t="shared" si="10"/>
        <v>0.91442000000000001</v>
      </c>
      <c r="R18" s="247">
        <f t="shared" si="11"/>
        <v>0</v>
      </c>
      <c r="S18" s="24">
        <f t="shared" si="12"/>
        <v>0</v>
      </c>
      <c r="T18" s="25">
        <f t="shared" si="13"/>
        <v>0</v>
      </c>
      <c r="U18" s="654">
        <f t="shared" si="14"/>
        <v>0.22068450000000001</v>
      </c>
      <c r="V18" s="9"/>
      <c r="X18" s="1"/>
    </row>
    <row r="19" spans="1:24" x14ac:dyDescent="0.2">
      <c r="A19" s="33">
        <f t="shared" si="16"/>
        <v>2006</v>
      </c>
      <c r="B19" s="30">
        <v>0</v>
      </c>
      <c r="C19" s="660">
        <f t="shared" si="3"/>
        <v>226</v>
      </c>
      <c r="D19" s="662">
        <v>0</v>
      </c>
      <c r="E19" s="663">
        <v>0</v>
      </c>
      <c r="F19" s="617">
        <v>0</v>
      </c>
      <c r="G19" s="626">
        <f t="shared" si="0"/>
        <v>0</v>
      </c>
      <c r="H19" s="72">
        <f t="shared" si="1"/>
        <v>0</v>
      </c>
      <c r="I19" s="630">
        <f t="shared" si="2"/>
        <v>0</v>
      </c>
      <c r="J19" s="61">
        <f t="shared" si="4"/>
        <v>0</v>
      </c>
      <c r="K19" s="188">
        <f t="shared" si="5"/>
        <v>0</v>
      </c>
      <c r="L19" s="188">
        <f t="shared" si="6"/>
        <v>0</v>
      </c>
      <c r="M19" s="188">
        <f t="shared" si="7"/>
        <v>0.39470000000000005</v>
      </c>
      <c r="N19" s="54">
        <f t="shared" si="15"/>
        <v>0</v>
      </c>
      <c r="O19" s="670">
        <f t="shared" si="8"/>
        <v>0</v>
      </c>
      <c r="P19" s="670">
        <f t="shared" si="9"/>
        <v>0</v>
      </c>
      <c r="Q19" s="670">
        <f t="shared" si="10"/>
        <v>0.91442000000000001</v>
      </c>
      <c r="R19" s="247">
        <f t="shared" si="11"/>
        <v>0</v>
      </c>
      <c r="S19" s="24">
        <f t="shared" si="12"/>
        <v>0</v>
      </c>
      <c r="T19" s="25">
        <f t="shared" si="13"/>
        <v>0</v>
      </c>
      <c r="U19" s="654">
        <f t="shared" si="14"/>
        <v>0.22068450000000001</v>
      </c>
      <c r="V19" s="8"/>
      <c r="X19" s="1"/>
    </row>
    <row r="20" spans="1:24" x14ac:dyDescent="0.2">
      <c r="A20" s="33">
        <f t="shared" si="16"/>
        <v>2007</v>
      </c>
      <c r="B20" s="30">
        <v>0</v>
      </c>
      <c r="C20" s="660">
        <f t="shared" si="3"/>
        <v>226</v>
      </c>
      <c r="D20" s="662">
        <v>0</v>
      </c>
      <c r="E20" s="663">
        <v>0</v>
      </c>
      <c r="F20" s="617">
        <v>0</v>
      </c>
      <c r="G20" s="626">
        <f t="shared" si="0"/>
        <v>0</v>
      </c>
      <c r="H20" s="72">
        <f t="shared" si="1"/>
        <v>0</v>
      </c>
      <c r="I20" s="630">
        <f t="shared" si="2"/>
        <v>0</v>
      </c>
      <c r="J20" s="61">
        <f t="shared" si="4"/>
        <v>0</v>
      </c>
      <c r="K20" s="188">
        <f t="shared" si="5"/>
        <v>0</v>
      </c>
      <c r="L20" s="188">
        <f t="shared" si="6"/>
        <v>0</v>
      </c>
      <c r="M20" s="188">
        <f t="shared" si="7"/>
        <v>0.39470000000000005</v>
      </c>
      <c r="N20" s="54">
        <f t="shared" si="15"/>
        <v>0</v>
      </c>
      <c r="O20" s="670">
        <f t="shared" si="8"/>
        <v>0</v>
      </c>
      <c r="P20" s="670">
        <f t="shared" si="9"/>
        <v>0</v>
      </c>
      <c r="Q20" s="670">
        <f t="shared" si="10"/>
        <v>0.91442000000000001</v>
      </c>
      <c r="R20" s="247">
        <f t="shared" si="11"/>
        <v>0</v>
      </c>
      <c r="S20" s="24">
        <f t="shared" si="12"/>
        <v>0</v>
      </c>
      <c r="T20" s="25">
        <f t="shared" si="13"/>
        <v>0</v>
      </c>
      <c r="U20" s="654">
        <f t="shared" si="14"/>
        <v>0.22068450000000001</v>
      </c>
    </row>
    <row r="21" spans="1:24" x14ac:dyDescent="0.2">
      <c r="A21" s="33">
        <f t="shared" si="16"/>
        <v>2008</v>
      </c>
      <c r="B21" s="30">
        <v>0</v>
      </c>
      <c r="C21" s="660">
        <f t="shared" si="3"/>
        <v>226</v>
      </c>
      <c r="D21" s="662">
        <v>0</v>
      </c>
      <c r="E21" s="663">
        <v>0</v>
      </c>
      <c r="F21" s="617">
        <v>0</v>
      </c>
      <c r="G21" s="626">
        <f t="shared" si="0"/>
        <v>0</v>
      </c>
      <c r="H21" s="72">
        <f t="shared" si="1"/>
        <v>0</v>
      </c>
      <c r="I21" s="630">
        <f t="shared" si="2"/>
        <v>0</v>
      </c>
      <c r="J21" s="61">
        <f t="shared" si="4"/>
        <v>0</v>
      </c>
      <c r="K21" s="188">
        <f t="shared" si="5"/>
        <v>0</v>
      </c>
      <c r="L21" s="188">
        <f t="shared" si="6"/>
        <v>0</v>
      </c>
      <c r="M21" s="188">
        <f t="shared" si="7"/>
        <v>0.39470000000000005</v>
      </c>
      <c r="N21" s="54">
        <f t="shared" si="15"/>
        <v>0</v>
      </c>
      <c r="O21" s="670">
        <f t="shared" si="8"/>
        <v>0</v>
      </c>
      <c r="P21" s="670">
        <f t="shared" si="9"/>
        <v>0</v>
      </c>
      <c r="Q21" s="670">
        <f t="shared" si="10"/>
        <v>0.91442000000000001</v>
      </c>
      <c r="R21" s="247">
        <f t="shared" si="11"/>
        <v>0</v>
      </c>
      <c r="S21" s="24">
        <f t="shared" si="12"/>
        <v>0</v>
      </c>
      <c r="T21" s="25">
        <f t="shared" si="13"/>
        <v>0</v>
      </c>
      <c r="U21" s="654">
        <f t="shared" si="14"/>
        <v>0.22068450000000001</v>
      </c>
    </row>
    <row r="22" spans="1:24" x14ac:dyDescent="0.2">
      <c r="A22" s="33">
        <f t="shared" si="16"/>
        <v>2009</v>
      </c>
      <c r="B22" s="30">
        <v>0</v>
      </c>
      <c r="C22" s="660">
        <f t="shared" si="3"/>
        <v>226</v>
      </c>
      <c r="D22" s="662">
        <v>0.08</v>
      </c>
      <c r="E22" s="663">
        <v>0.06</v>
      </c>
      <c r="F22" s="617">
        <v>341</v>
      </c>
      <c r="G22" s="626">
        <f t="shared" si="0"/>
        <v>0</v>
      </c>
      <c r="H22" s="72">
        <f t="shared" si="1"/>
        <v>0</v>
      </c>
      <c r="I22" s="630">
        <f t="shared" si="2"/>
        <v>0</v>
      </c>
      <c r="J22" s="61">
        <f t="shared" si="4"/>
        <v>0</v>
      </c>
      <c r="K22" s="188">
        <f t="shared" si="5"/>
        <v>0.08</v>
      </c>
      <c r="L22" s="188">
        <f t="shared" si="6"/>
        <v>0</v>
      </c>
      <c r="M22" s="188">
        <f t="shared" si="7"/>
        <v>0.39470000000000005</v>
      </c>
      <c r="N22" s="54">
        <f t="shared" si="15"/>
        <v>0</v>
      </c>
      <c r="O22" s="670">
        <f t="shared" si="8"/>
        <v>0.06</v>
      </c>
      <c r="P22" s="670">
        <f t="shared" si="9"/>
        <v>0</v>
      </c>
      <c r="Q22" s="670">
        <f t="shared" si="10"/>
        <v>0.91442000000000001</v>
      </c>
      <c r="R22" s="247">
        <f t="shared" si="11"/>
        <v>0</v>
      </c>
      <c r="S22" s="24">
        <f t="shared" si="12"/>
        <v>341</v>
      </c>
      <c r="T22" s="25">
        <f t="shared" si="13"/>
        <v>0</v>
      </c>
      <c r="U22" s="654">
        <f t="shared" si="14"/>
        <v>0.22068450000000001</v>
      </c>
    </row>
    <row r="23" spans="1:24" x14ac:dyDescent="0.2">
      <c r="A23" s="33">
        <f t="shared" si="16"/>
        <v>2010</v>
      </c>
      <c r="B23" s="30">
        <v>0</v>
      </c>
      <c r="C23" s="661">
        <f t="shared" si="3"/>
        <v>226</v>
      </c>
      <c r="D23" s="662">
        <v>0.1</v>
      </c>
      <c r="E23" s="663">
        <v>0.09</v>
      </c>
      <c r="F23" s="617">
        <v>748</v>
      </c>
      <c r="G23" s="626">
        <f t="shared" si="0"/>
        <v>0</v>
      </c>
      <c r="H23" s="72">
        <f t="shared" si="1"/>
        <v>0</v>
      </c>
      <c r="I23" s="630">
        <f t="shared" si="2"/>
        <v>0</v>
      </c>
      <c r="J23" s="61">
        <f t="shared" si="4"/>
        <v>0</v>
      </c>
      <c r="K23" s="188">
        <f t="shared" si="5"/>
        <v>0.1</v>
      </c>
      <c r="L23" s="188">
        <f t="shared" si="6"/>
        <v>0</v>
      </c>
      <c r="M23" s="188">
        <f t="shared" si="7"/>
        <v>0.39470000000000005</v>
      </c>
      <c r="N23" s="54">
        <f t="shared" si="15"/>
        <v>0</v>
      </c>
      <c r="O23" s="670">
        <f t="shared" si="8"/>
        <v>0.09</v>
      </c>
      <c r="P23" s="670">
        <f t="shared" si="9"/>
        <v>0</v>
      </c>
      <c r="Q23" s="670">
        <f t="shared" si="10"/>
        <v>0.91442000000000001</v>
      </c>
      <c r="R23" s="247">
        <f t="shared" si="11"/>
        <v>0</v>
      </c>
      <c r="S23" s="24">
        <f t="shared" si="12"/>
        <v>748</v>
      </c>
      <c r="T23" s="25">
        <f t="shared" si="13"/>
        <v>0</v>
      </c>
      <c r="U23" s="654">
        <f t="shared" si="14"/>
        <v>0.22068450000000001</v>
      </c>
    </row>
    <row r="24" spans="1:24" x14ac:dyDescent="0.2">
      <c r="A24" s="33">
        <f t="shared" si="16"/>
        <v>2011</v>
      </c>
      <c r="B24" s="30">
        <v>0</v>
      </c>
      <c r="C24" s="661">
        <f t="shared" si="3"/>
        <v>226</v>
      </c>
      <c r="D24" s="662">
        <v>0.1</v>
      </c>
      <c r="E24" s="663">
        <v>0.09</v>
      </c>
      <c r="F24" s="617">
        <v>748</v>
      </c>
      <c r="G24" s="626">
        <f t="shared" ref="G24:H37" si="17">+$B24*D24/1000</f>
        <v>0</v>
      </c>
      <c r="H24" s="72">
        <f t="shared" si="17"/>
        <v>0</v>
      </c>
      <c r="I24" s="630">
        <f t="shared" ref="I24:I37" si="18">+$B24*F24/1000000</f>
        <v>0</v>
      </c>
      <c r="J24" s="61">
        <f t="shared" si="4"/>
        <v>0</v>
      </c>
      <c r="K24" s="188">
        <f t="shared" si="5"/>
        <v>0.1</v>
      </c>
      <c r="L24" s="188">
        <f t="shared" si="6"/>
        <v>0</v>
      </c>
      <c r="M24" s="188">
        <f t="shared" si="7"/>
        <v>0.39470000000000005</v>
      </c>
      <c r="N24" s="54">
        <f t="shared" si="15"/>
        <v>0</v>
      </c>
      <c r="O24" s="670">
        <f t="shared" si="8"/>
        <v>0.09</v>
      </c>
      <c r="P24" s="670">
        <f t="shared" si="9"/>
        <v>0</v>
      </c>
      <c r="Q24" s="670">
        <f t="shared" si="10"/>
        <v>0.91442000000000001</v>
      </c>
      <c r="R24" s="247">
        <f t="shared" si="11"/>
        <v>0</v>
      </c>
      <c r="S24" s="24">
        <f t="shared" si="12"/>
        <v>748</v>
      </c>
      <c r="T24" s="25">
        <f t="shared" si="13"/>
        <v>0</v>
      </c>
      <c r="U24" s="654">
        <f t="shared" si="14"/>
        <v>0.22068450000000001</v>
      </c>
    </row>
    <row r="25" spans="1:24" x14ac:dyDescent="0.2">
      <c r="A25" s="33">
        <f t="shared" si="16"/>
        <v>2012</v>
      </c>
      <c r="B25" s="30">
        <v>0</v>
      </c>
      <c r="C25" s="661">
        <f t="shared" si="3"/>
        <v>226</v>
      </c>
      <c r="D25" s="662">
        <v>0.1</v>
      </c>
      <c r="E25" s="663">
        <v>0.09</v>
      </c>
      <c r="F25" s="617">
        <v>748</v>
      </c>
      <c r="G25" s="626">
        <f t="shared" si="17"/>
        <v>0</v>
      </c>
      <c r="H25" s="72">
        <f t="shared" si="17"/>
        <v>0</v>
      </c>
      <c r="I25" s="630">
        <f t="shared" si="18"/>
        <v>0</v>
      </c>
      <c r="J25" s="61">
        <f t="shared" si="4"/>
        <v>0</v>
      </c>
      <c r="K25" s="188">
        <f t="shared" si="5"/>
        <v>0.1</v>
      </c>
      <c r="L25" s="188">
        <f t="shared" si="6"/>
        <v>0</v>
      </c>
      <c r="M25" s="188">
        <f t="shared" si="7"/>
        <v>0.39470000000000005</v>
      </c>
      <c r="N25" s="54">
        <f t="shared" si="15"/>
        <v>0</v>
      </c>
      <c r="O25" s="670">
        <f t="shared" si="8"/>
        <v>0.09</v>
      </c>
      <c r="P25" s="670">
        <f t="shared" si="9"/>
        <v>0</v>
      </c>
      <c r="Q25" s="670">
        <f t="shared" si="10"/>
        <v>0.91442000000000001</v>
      </c>
      <c r="R25" s="247">
        <f t="shared" si="11"/>
        <v>0</v>
      </c>
      <c r="S25" s="24">
        <f t="shared" si="12"/>
        <v>748</v>
      </c>
      <c r="T25" s="25">
        <f t="shared" si="13"/>
        <v>0</v>
      </c>
      <c r="U25" s="654">
        <f t="shared" si="14"/>
        <v>0.22068450000000001</v>
      </c>
    </row>
    <row r="26" spans="1:24" s="831" customFormat="1" x14ac:dyDescent="0.2">
      <c r="A26" s="33">
        <f t="shared" si="16"/>
        <v>2013</v>
      </c>
      <c r="B26" s="30">
        <v>3</v>
      </c>
      <c r="C26" s="619">
        <f t="shared" si="3"/>
        <v>229</v>
      </c>
      <c r="D26" s="807">
        <v>0.1</v>
      </c>
      <c r="E26" s="808">
        <v>0.09</v>
      </c>
      <c r="F26" s="806">
        <v>748</v>
      </c>
      <c r="G26" s="626">
        <f t="shared" si="17"/>
        <v>3.0000000000000003E-4</v>
      </c>
      <c r="H26" s="72">
        <f t="shared" si="17"/>
        <v>2.7E-4</v>
      </c>
      <c r="I26" s="630">
        <f t="shared" si="18"/>
        <v>2.2439999999999999E-3</v>
      </c>
      <c r="J26" s="61">
        <f t="shared" si="4"/>
        <v>1.5</v>
      </c>
      <c r="K26" s="188">
        <f t="shared" si="5"/>
        <v>0.1</v>
      </c>
      <c r="L26" s="188">
        <f t="shared" si="6"/>
        <v>1.5000000000000001E-4</v>
      </c>
      <c r="M26" s="829">
        <f t="shared" si="7"/>
        <v>0.39485000000000003</v>
      </c>
      <c r="N26" s="54">
        <f t="shared" si="15"/>
        <v>0</v>
      </c>
      <c r="O26" s="670">
        <f t="shared" si="8"/>
        <v>0.09</v>
      </c>
      <c r="P26" s="670">
        <f t="shared" si="9"/>
        <v>0</v>
      </c>
      <c r="Q26" s="671">
        <f t="shared" si="10"/>
        <v>0.91442000000000001</v>
      </c>
      <c r="R26" s="247">
        <f t="shared" si="11"/>
        <v>1.5</v>
      </c>
      <c r="S26" s="24">
        <f t="shared" si="12"/>
        <v>748</v>
      </c>
      <c r="T26" s="25">
        <f t="shared" si="13"/>
        <v>1.122E-3</v>
      </c>
      <c r="U26" s="654">
        <f t="shared" si="14"/>
        <v>0.22180650000000002</v>
      </c>
      <c r="V26" s="830"/>
    </row>
    <row r="27" spans="1:24" s="831" customFormat="1" x14ac:dyDescent="0.2">
      <c r="A27" s="33">
        <f t="shared" si="16"/>
        <v>2014</v>
      </c>
      <c r="B27" s="30">
        <v>3</v>
      </c>
      <c r="C27" s="619">
        <f t="shared" si="3"/>
        <v>232</v>
      </c>
      <c r="D27" s="807">
        <f t="shared" ref="D27" si="19">+D26</f>
        <v>0.1</v>
      </c>
      <c r="E27" s="808">
        <f t="shared" ref="E27" si="20">+E26</f>
        <v>0.09</v>
      </c>
      <c r="F27" s="806">
        <f t="shared" ref="F27" si="21">+F26</f>
        <v>748</v>
      </c>
      <c r="G27" s="626">
        <f t="shared" si="17"/>
        <v>3.0000000000000003E-4</v>
      </c>
      <c r="H27" s="72">
        <f t="shared" si="17"/>
        <v>2.7E-4</v>
      </c>
      <c r="I27" s="630">
        <f t="shared" si="18"/>
        <v>2.2439999999999999E-3</v>
      </c>
      <c r="J27" s="61">
        <f t="shared" si="4"/>
        <v>3</v>
      </c>
      <c r="K27" s="188">
        <f t="shared" si="5"/>
        <v>0.1</v>
      </c>
      <c r="L27" s="188">
        <f t="shared" si="6"/>
        <v>3.0000000000000003E-4</v>
      </c>
      <c r="M27" s="829">
        <f t="shared" si="7"/>
        <v>0.39515000000000006</v>
      </c>
      <c r="N27" s="54">
        <f t="shared" si="15"/>
        <v>3</v>
      </c>
      <c r="O27" s="670">
        <f t="shared" si="8"/>
        <v>0.09</v>
      </c>
      <c r="P27" s="670">
        <f t="shared" si="9"/>
        <v>2.7E-4</v>
      </c>
      <c r="Q27" s="671">
        <f t="shared" si="10"/>
        <v>0.91469</v>
      </c>
      <c r="R27" s="247">
        <f t="shared" si="11"/>
        <v>3</v>
      </c>
      <c r="S27" s="24">
        <f t="shared" si="12"/>
        <v>748</v>
      </c>
      <c r="T27" s="25">
        <f t="shared" si="13"/>
        <v>2.2439999999999999E-3</v>
      </c>
      <c r="U27" s="654">
        <f t="shared" si="14"/>
        <v>0.22405050000000001</v>
      </c>
      <c r="V27" s="830"/>
    </row>
    <row r="28" spans="1:24" s="831" customFormat="1" x14ac:dyDescent="0.2">
      <c r="A28" s="33">
        <f t="shared" si="16"/>
        <v>2015</v>
      </c>
      <c r="B28" s="30">
        <v>1</v>
      </c>
      <c r="C28" s="619">
        <f t="shared" si="3"/>
        <v>233</v>
      </c>
      <c r="D28" s="807">
        <v>0</v>
      </c>
      <c r="E28" s="808">
        <v>0</v>
      </c>
      <c r="F28" s="806">
        <v>0</v>
      </c>
      <c r="G28" s="626">
        <f t="shared" si="17"/>
        <v>0</v>
      </c>
      <c r="H28" s="72">
        <f t="shared" si="17"/>
        <v>0</v>
      </c>
      <c r="I28" s="630">
        <f t="shared" si="18"/>
        <v>0</v>
      </c>
      <c r="J28" s="61">
        <f t="shared" si="4"/>
        <v>2</v>
      </c>
      <c r="K28" s="188">
        <f t="shared" si="5"/>
        <v>0</v>
      </c>
      <c r="L28" s="188">
        <f t="shared" si="6"/>
        <v>0</v>
      </c>
      <c r="M28" s="829">
        <f t="shared" si="7"/>
        <v>0.39515000000000006</v>
      </c>
      <c r="N28" s="54">
        <f t="shared" si="15"/>
        <v>3</v>
      </c>
      <c r="O28" s="670">
        <f t="shared" si="8"/>
        <v>0</v>
      </c>
      <c r="P28" s="670">
        <f t="shared" si="9"/>
        <v>0</v>
      </c>
      <c r="Q28" s="671">
        <f t="shared" si="10"/>
        <v>0.91469</v>
      </c>
      <c r="R28" s="247">
        <f t="shared" si="11"/>
        <v>2</v>
      </c>
      <c r="S28" s="24">
        <f t="shared" si="12"/>
        <v>0</v>
      </c>
      <c r="T28" s="25">
        <f t="shared" si="13"/>
        <v>0</v>
      </c>
      <c r="U28" s="654">
        <f t="shared" si="14"/>
        <v>0.22405050000000001</v>
      </c>
      <c r="V28" s="830"/>
    </row>
    <row r="29" spans="1:24" ht="13.5" thickBot="1" x14ac:dyDescent="0.25">
      <c r="A29" s="701">
        <f t="shared" si="16"/>
        <v>2016</v>
      </c>
      <c r="B29" s="702">
        <v>4</v>
      </c>
      <c r="C29" s="703">
        <f t="shared" si="3"/>
        <v>237</v>
      </c>
      <c r="D29" s="835"/>
      <c r="E29" s="836"/>
      <c r="F29" s="705"/>
      <c r="G29" s="823">
        <f t="shared" si="17"/>
        <v>0</v>
      </c>
      <c r="H29" s="707">
        <f t="shared" si="17"/>
        <v>0</v>
      </c>
      <c r="I29" s="824">
        <f t="shared" si="18"/>
        <v>0</v>
      </c>
      <c r="J29" s="708">
        <f t="shared" si="4"/>
        <v>2.5</v>
      </c>
      <c r="K29" s="825">
        <f t="shared" si="5"/>
        <v>0</v>
      </c>
      <c r="L29" s="825">
        <f t="shared" si="6"/>
        <v>0</v>
      </c>
      <c r="M29" s="826">
        <f t="shared" si="7"/>
        <v>0.39515000000000006</v>
      </c>
      <c r="N29" s="711">
        <f t="shared" si="15"/>
        <v>1</v>
      </c>
      <c r="O29" s="827">
        <f t="shared" si="8"/>
        <v>0</v>
      </c>
      <c r="P29" s="827">
        <f t="shared" si="9"/>
        <v>0</v>
      </c>
      <c r="Q29" s="828">
        <f t="shared" si="10"/>
        <v>0.91469</v>
      </c>
      <c r="R29" s="714">
        <f t="shared" si="11"/>
        <v>2.5</v>
      </c>
      <c r="S29" s="715">
        <f t="shared" si="12"/>
        <v>0</v>
      </c>
      <c r="T29" s="716">
        <f t="shared" si="13"/>
        <v>0</v>
      </c>
      <c r="U29" s="717">
        <f t="shared" si="14"/>
        <v>0.22405050000000001</v>
      </c>
    </row>
    <row r="30" spans="1:24" x14ac:dyDescent="0.2">
      <c r="A30" s="33">
        <f t="shared" si="16"/>
        <v>2017</v>
      </c>
      <c r="B30" s="787">
        <v>4</v>
      </c>
      <c r="C30" s="565">
        <f t="shared" si="3"/>
        <v>241</v>
      </c>
      <c r="D30" s="1053"/>
      <c r="E30" s="1054"/>
      <c r="F30" s="1055"/>
      <c r="G30" s="473">
        <f t="shared" si="17"/>
        <v>0</v>
      </c>
      <c r="H30" s="474">
        <f t="shared" si="17"/>
        <v>0</v>
      </c>
      <c r="I30" s="474">
        <f t="shared" si="18"/>
        <v>0</v>
      </c>
      <c r="J30" s="61">
        <f t="shared" si="4"/>
        <v>4</v>
      </c>
      <c r="K30" s="967">
        <f t="shared" si="5"/>
        <v>0</v>
      </c>
      <c r="L30" s="967">
        <f t="shared" si="6"/>
        <v>0</v>
      </c>
      <c r="M30" s="967">
        <f t="shared" si="7"/>
        <v>0.39515000000000006</v>
      </c>
      <c r="N30" s="54">
        <f t="shared" si="15"/>
        <v>4</v>
      </c>
      <c r="O30" s="968">
        <f t="shared" si="8"/>
        <v>0</v>
      </c>
      <c r="P30" s="968">
        <f t="shared" si="9"/>
        <v>0</v>
      </c>
      <c r="Q30" s="969">
        <f t="shared" si="10"/>
        <v>0.91469</v>
      </c>
      <c r="R30" s="247">
        <f t="shared" si="11"/>
        <v>4</v>
      </c>
      <c r="S30" s="24">
        <f t="shared" si="12"/>
        <v>0</v>
      </c>
      <c r="T30" s="970">
        <f t="shared" si="13"/>
        <v>0</v>
      </c>
      <c r="U30" s="971">
        <f t="shared" si="14"/>
        <v>0.22405050000000001</v>
      </c>
    </row>
    <row r="31" spans="1:24" x14ac:dyDescent="0.2">
      <c r="A31" s="33">
        <f t="shared" si="16"/>
        <v>2018</v>
      </c>
      <c r="B31" s="787">
        <v>4</v>
      </c>
      <c r="C31" s="565">
        <f t="shared" si="3"/>
        <v>245</v>
      </c>
      <c r="D31" s="1053"/>
      <c r="E31" s="1054"/>
      <c r="F31" s="1055"/>
      <c r="G31" s="473">
        <f t="shared" si="17"/>
        <v>0</v>
      </c>
      <c r="H31" s="474">
        <f t="shared" si="17"/>
        <v>0</v>
      </c>
      <c r="I31" s="474">
        <f t="shared" si="18"/>
        <v>0</v>
      </c>
      <c r="J31" s="61">
        <f t="shared" si="4"/>
        <v>4</v>
      </c>
      <c r="K31" s="967">
        <f t="shared" si="5"/>
        <v>0</v>
      </c>
      <c r="L31" s="967">
        <f t="shared" si="6"/>
        <v>0</v>
      </c>
      <c r="M31" s="967">
        <f t="shared" si="7"/>
        <v>0.39515000000000006</v>
      </c>
      <c r="N31" s="54">
        <f t="shared" si="15"/>
        <v>4</v>
      </c>
      <c r="O31" s="968">
        <f t="shared" si="8"/>
        <v>0</v>
      </c>
      <c r="P31" s="968">
        <f t="shared" si="9"/>
        <v>0</v>
      </c>
      <c r="Q31" s="969">
        <f t="shared" si="10"/>
        <v>0.91469</v>
      </c>
      <c r="R31" s="247">
        <f t="shared" si="11"/>
        <v>4</v>
      </c>
      <c r="S31" s="24">
        <f t="shared" si="12"/>
        <v>0</v>
      </c>
      <c r="T31" s="970">
        <f t="shared" si="13"/>
        <v>0</v>
      </c>
      <c r="U31" s="971">
        <f t="shared" si="14"/>
        <v>0.22405050000000001</v>
      </c>
    </row>
    <row r="32" spans="1:24" x14ac:dyDescent="0.2">
      <c r="A32" s="33">
        <f t="shared" si="16"/>
        <v>2019</v>
      </c>
      <c r="B32" s="787">
        <v>4</v>
      </c>
      <c r="C32" s="565">
        <f t="shared" si="3"/>
        <v>249</v>
      </c>
      <c r="D32" s="1053"/>
      <c r="E32" s="1054"/>
      <c r="F32" s="1055"/>
      <c r="G32" s="473">
        <f t="shared" si="17"/>
        <v>0</v>
      </c>
      <c r="H32" s="474">
        <f t="shared" si="17"/>
        <v>0</v>
      </c>
      <c r="I32" s="474">
        <f t="shared" si="18"/>
        <v>0</v>
      </c>
      <c r="J32" s="61">
        <f t="shared" si="4"/>
        <v>4</v>
      </c>
      <c r="K32" s="967">
        <f t="shared" si="5"/>
        <v>0</v>
      </c>
      <c r="L32" s="967">
        <f t="shared" si="6"/>
        <v>0</v>
      </c>
      <c r="M32" s="967">
        <f t="shared" si="7"/>
        <v>0.39515000000000006</v>
      </c>
      <c r="N32" s="54">
        <f t="shared" si="15"/>
        <v>4</v>
      </c>
      <c r="O32" s="968">
        <f t="shared" si="8"/>
        <v>0</v>
      </c>
      <c r="P32" s="968">
        <f t="shared" si="9"/>
        <v>0</v>
      </c>
      <c r="Q32" s="969">
        <f t="shared" si="10"/>
        <v>0.91469</v>
      </c>
      <c r="R32" s="247">
        <f t="shared" si="11"/>
        <v>4</v>
      </c>
      <c r="S32" s="24">
        <f t="shared" si="12"/>
        <v>0</v>
      </c>
      <c r="T32" s="970">
        <f t="shared" si="13"/>
        <v>0</v>
      </c>
      <c r="U32" s="971">
        <f t="shared" si="14"/>
        <v>0.22405050000000001</v>
      </c>
    </row>
    <row r="33" spans="1:21" x14ac:dyDescent="0.2">
      <c r="A33" s="33">
        <f t="shared" si="16"/>
        <v>2020</v>
      </c>
      <c r="B33" s="787">
        <v>4</v>
      </c>
      <c r="C33" s="565">
        <f t="shared" si="3"/>
        <v>253</v>
      </c>
      <c r="D33" s="1053"/>
      <c r="E33" s="1054"/>
      <c r="F33" s="1055"/>
      <c r="G33" s="473">
        <f t="shared" si="17"/>
        <v>0</v>
      </c>
      <c r="H33" s="474">
        <f t="shared" si="17"/>
        <v>0</v>
      </c>
      <c r="I33" s="474">
        <f t="shared" si="18"/>
        <v>0</v>
      </c>
      <c r="J33" s="61">
        <f t="shared" si="4"/>
        <v>4</v>
      </c>
      <c r="K33" s="967">
        <f t="shared" si="5"/>
        <v>0</v>
      </c>
      <c r="L33" s="967">
        <f t="shared" si="6"/>
        <v>0</v>
      </c>
      <c r="M33" s="967">
        <f t="shared" si="7"/>
        <v>0.39515000000000006</v>
      </c>
      <c r="N33" s="54">
        <f t="shared" si="15"/>
        <v>4</v>
      </c>
      <c r="O33" s="968">
        <f t="shared" si="8"/>
        <v>0</v>
      </c>
      <c r="P33" s="968">
        <f t="shared" si="9"/>
        <v>0</v>
      </c>
      <c r="Q33" s="969">
        <f t="shared" si="10"/>
        <v>0.91469</v>
      </c>
      <c r="R33" s="247">
        <f t="shared" si="11"/>
        <v>4</v>
      </c>
      <c r="S33" s="24">
        <f t="shared" si="12"/>
        <v>0</v>
      </c>
      <c r="T33" s="970">
        <f t="shared" si="13"/>
        <v>0</v>
      </c>
      <c r="U33" s="971">
        <f t="shared" si="14"/>
        <v>0.22405050000000001</v>
      </c>
    </row>
    <row r="34" spans="1:21" x14ac:dyDescent="0.2">
      <c r="A34" s="33">
        <f t="shared" si="16"/>
        <v>2021</v>
      </c>
      <c r="B34" s="787">
        <v>4</v>
      </c>
      <c r="C34" s="565">
        <f t="shared" si="3"/>
        <v>257</v>
      </c>
      <c r="D34" s="1053"/>
      <c r="E34" s="1054"/>
      <c r="F34" s="1055"/>
      <c r="G34" s="473">
        <f t="shared" si="17"/>
        <v>0</v>
      </c>
      <c r="H34" s="474">
        <f t="shared" si="17"/>
        <v>0</v>
      </c>
      <c r="I34" s="474">
        <f t="shared" si="18"/>
        <v>0</v>
      </c>
      <c r="J34" s="61">
        <f t="shared" si="4"/>
        <v>4</v>
      </c>
      <c r="K34" s="967">
        <f t="shared" si="5"/>
        <v>0</v>
      </c>
      <c r="L34" s="967">
        <f t="shared" si="6"/>
        <v>0</v>
      </c>
      <c r="M34" s="967">
        <f t="shared" si="7"/>
        <v>0.39515000000000006</v>
      </c>
      <c r="N34" s="54">
        <f t="shared" si="15"/>
        <v>4</v>
      </c>
      <c r="O34" s="968">
        <f t="shared" si="8"/>
        <v>0</v>
      </c>
      <c r="P34" s="968">
        <f t="shared" si="9"/>
        <v>0</v>
      </c>
      <c r="Q34" s="969">
        <f t="shared" si="10"/>
        <v>0.91469</v>
      </c>
      <c r="R34" s="247">
        <f t="shared" si="11"/>
        <v>4</v>
      </c>
      <c r="S34" s="24">
        <f t="shared" si="12"/>
        <v>0</v>
      </c>
      <c r="T34" s="970">
        <f t="shared" si="13"/>
        <v>0</v>
      </c>
      <c r="U34" s="971">
        <f t="shared" si="14"/>
        <v>0.22405050000000001</v>
      </c>
    </row>
    <row r="35" spans="1:21" x14ac:dyDescent="0.2">
      <c r="A35" s="33">
        <f t="shared" si="16"/>
        <v>2022</v>
      </c>
      <c r="B35" s="787">
        <v>4</v>
      </c>
      <c r="C35" s="565">
        <f t="shared" si="3"/>
        <v>261</v>
      </c>
      <c r="D35" s="1053"/>
      <c r="E35" s="1054"/>
      <c r="F35" s="1055"/>
      <c r="G35" s="473">
        <f t="shared" si="17"/>
        <v>0</v>
      </c>
      <c r="H35" s="474">
        <f t="shared" si="17"/>
        <v>0</v>
      </c>
      <c r="I35" s="474">
        <f t="shared" si="18"/>
        <v>0</v>
      </c>
      <c r="J35" s="61">
        <f t="shared" si="4"/>
        <v>4</v>
      </c>
      <c r="K35" s="967">
        <f t="shared" si="5"/>
        <v>0</v>
      </c>
      <c r="L35" s="967">
        <f t="shared" si="6"/>
        <v>0</v>
      </c>
      <c r="M35" s="967">
        <f t="shared" si="7"/>
        <v>0.39515000000000006</v>
      </c>
      <c r="N35" s="54">
        <f t="shared" si="15"/>
        <v>4</v>
      </c>
      <c r="O35" s="968">
        <f t="shared" si="8"/>
        <v>0</v>
      </c>
      <c r="P35" s="968">
        <f t="shared" si="9"/>
        <v>0</v>
      </c>
      <c r="Q35" s="969">
        <f t="shared" si="10"/>
        <v>0.91469</v>
      </c>
      <c r="R35" s="247">
        <f t="shared" si="11"/>
        <v>4</v>
      </c>
      <c r="S35" s="24">
        <f t="shared" si="12"/>
        <v>0</v>
      </c>
      <c r="T35" s="970">
        <f t="shared" si="13"/>
        <v>0</v>
      </c>
      <c r="U35" s="971">
        <f t="shared" si="14"/>
        <v>0.22405050000000001</v>
      </c>
    </row>
    <row r="36" spans="1:21" x14ac:dyDescent="0.2">
      <c r="A36" s="33">
        <f t="shared" si="16"/>
        <v>2023</v>
      </c>
      <c r="B36" s="787">
        <v>4</v>
      </c>
      <c r="C36" s="565">
        <f t="shared" si="3"/>
        <v>265</v>
      </c>
      <c r="D36" s="1053"/>
      <c r="E36" s="1054"/>
      <c r="F36" s="1055"/>
      <c r="G36" s="473">
        <f t="shared" si="17"/>
        <v>0</v>
      </c>
      <c r="H36" s="474">
        <f t="shared" si="17"/>
        <v>0</v>
      </c>
      <c r="I36" s="474">
        <f t="shared" si="18"/>
        <v>0</v>
      </c>
      <c r="J36" s="61">
        <f t="shared" si="4"/>
        <v>4</v>
      </c>
      <c r="K36" s="967">
        <f t="shared" si="5"/>
        <v>0</v>
      </c>
      <c r="L36" s="967">
        <f t="shared" si="6"/>
        <v>0</v>
      </c>
      <c r="M36" s="967">
        <f t="shared" si="7"/>
        <v>0.39515000000000006</v>
      </c>
      <c r="N36" s="54">
        <f t="shared" si="15"/>
        <v>4</v>
      </c>
      <c r="O36" s="968">
        <f t="shared" si="8"/>
        <v>0</v>
      </c>
      <c r="P36" s="968">
        <f t="shared" si="9"/>
        <v>0</v>
      </c>
      <c r="Q36" s="969">
        <f t="shared" si="10"/>
        <v>0.91469</v>
      </c>
      <c r="R36" s="247">
        <f t="shared" si="11"/>
        <v>4</v>
      </c>
      <c r="S36" s="24">
        <f t="shared" si="12"/>
        <v>0</v>
      </c>
      <c r="T36" s="970">
        <f t="shared" si="13"/>
        <v>0</v>
      </c>
      <c r="U36" s="971">
        <f t="shared" si="14"/>
        <v>0.22405050000000001</v>
      </c>
    </row>
    <row r="37" spans="1:21" x14ac:dyDescent="0.2">
      <c r="A37" s="33">
        <f t="shared" si="16"/>
        <v>2024</v>
      </c>
      <c r="B37" s="787">
        <v>4</v>
      </c>
      <c r="C37" s="565">
        <f t="shared" si="3"/>
        <v>269</v>
      </c>
      <c r="D37" s="1053"/>
      <c r="E37" s="1054"/>
      <c r="F37" s="1055"/>
      <c r="G37" s="473">
        <f t="shared" si="17"/>
        <v>0</v>
      </c>
      <c r="H37" s="474">
        <f t="shared" si="17"/>
        <v>0</v>
      </c>
      <c r="I37" s="474">
        <f t="shared" si="18"/>
        <v>0</v>
      </c>
      <c r="J37" s="61">
        <f t="shared" si="4"/>
        <v>4</v>
      </c>
      <c r="K37" s="967">
        <f t="shared" si="5"/>
        <v>0</v>
      </c>
      <c r="L37" s="967">
        <f t="shared" si="6"/>
        <v>0</v>
      </c>
      <c r="M37" s="967">
        <f t="shared" si="7"/>
        <v>0.39515000000000006</v>
      </c>
      <c r="N37" s="54">
        <f t="shared" si="15"/>
        <v>4</v>
      </c>
      <c r="O37" s="968">
        <f t="shared" si="8"/>
        <v>0</v>
      </c>
      <c r="P37" s="968">
        <f t="shared" si="9"/>
        <v>0</v>
      </c>
      <c r="Q37" s="969">
        <f t="shared" si="10"/>
        <v>0.91469</v>
      </c>
      <c r="R37" s="247">
        <f t="shared" si="11"/>
        <v>4</v>
      </c>
      <c r="S37" s="24">
        <f t="shared" si="12"/>
        <v>0</v>
      </c>
      <c r="T37" s="970">
        <f t="shared" si="13"/>
        <v>0</v>
      </c>
      <c r="U37" s="971">
        <f t="shared" si="14"/>
        <v>0.22405050000000001</v>
      </c>
    </row>
    <row r="38" spans="1:21" x14ac:dyDescent="0.2">
      <c r="A38" s="33">
        <f t="shared" si="16"/>
        <v>2025</v>
      </c>
      <c r="B38" s="787">
        <v>4</v>
      </c>
      <c r="C38" s="565">
        <f t="shared" ref="C38:C42" si="22">+C37+B38</f>
        <v>273</v>
      </c>
      <c r="D38" s="1053"/>
      <c r="E38" s="1054"/>
      <c r="F38" s="1055"/>
      <c r="G38" s="473">
        <f t="shared" ref="G38:H40" si="23">+$B38*D38/1000</f>
        <v>0</v>
      </c>
      <c r="H38" s="474">
        <f t="shared" si="23"/>
        <v>0</v>
      </c>
      <c r="I38" s="474">
        <f t="shared" ref="I38:I42" si="24">+$B38*F38/1000000</f>
        <v>0</v>
      </c>
      <c r="J38" s="61">
        <f t="shared" ref="J38:J42" si="25">+(B38+B37)/2</f>
        <v>4</v>
      </c>
      <c r="K38" s="967">
        <f t="shared" ref="K38:K42" si="26">+D38</f>
        <v>0</v>
      </c>
      <c r="L38" s="967">
        <f t="shared" ref="L38:L42" si="27">+J38*K38/1000</f>
        <v>0</v>
      </c>
      <c r="M38" s="967">
        <f t="shared" ref="M38:M42" si="28">+M37+L38</f>
        <v>0.39515000000000006</v>
      </c>
      <c r="N38" s="54">
        <f t="shared" ref="N38:N42" si="29">+B37</f>
        <v>4</v>
      </c>
      <c r="O38" s="968">
        <f t="shared" ref="O38:O42" si="30">+E38</f>
        <v>0</v>
      </c>
      <c r="P38" s="968">
        <f t="shared" ref="P38:P42" si="31">+N38*O38/1000</f>
        <v>0</v>
      </c>
      <c r="Q38" s="969">
        <f t="shared" ref="Q38:Q42" si="32">+Q37+P38</f>
        <v>0.91469</v>
      </c>
      <c r="R38" s="247">
        <f t="shared" ref="R38:R42" si="33">+(B38+B37)/2</f>
        <v>4</v>
      </c>
      <c r="S38" s="24">
        <f t="shared" ref="S38:S42" si="34">+F38</f>
        <v>0</v>
      </c>
      <c r="T38" s="970">
        <f t="shared" ref="T38:T42" si="35">+R38*S38/1000000</f>
        <v>0</v>
      </c>
      <c r="U38" s="971">
        <f t="shared" ref="U38:U42" si="36">+U37+T38</f>
        <v>0.22405050000000001</v>
      </c>
    </row>
    <row r="39" spans="1:21" x14ac:dyDescent="0.2">
      <c r="A39" s="33">
        <f t="shared" si="16"/>
        <v>2026</v>
      </c>
      <c r="B39" s="787">
        <v>4</v>
      </c>
      <c r="C39" s="565">
        <f t="shared" si="22"/>
        <v>277</v>
      </c>
      <c r="D39" s="1053"/>
      <c r="E39" s="1054"/>
      <c r="F39" s="1055"/>
      <c r="G39" s="473">
        <f t="shared" si="23"/>
        <v>0</v>
      </c>
      <c r="H39" s="474">
        <f t="shared" si="23"/>
        <v>0</v>
      </c>
      <c r="I39" s="474">
        <f t="shared" si="24"/>
        <v>0</v>
      </c>
      <c r="J39" s="61">
        <f t="shared" si="25"/>
        <v>4</v>
      </c>
      <c r="K39" s="967">
        <f t="shared" si="26"/>
        <v>0</v>
      </c>
      <c r="L39" s="967">
        <f t="shared" si="27"/>
        <v>0</v>
      </c>
      <c r="M39" s="967">
        <f t="shared" si="28"/>
        <v>0.39515000000000006</v>
      </c>
      <c r="N39" s="54">
        <f t="shared" si="29"/>
        <v>4</v>
      </c>
      <c r="O39" s="968">
        <f t="shared" si="30"/>
        <v>0</v>
      </c>
      <c r="P39" s="968">
        <f t="shared" si="31"/>
        <v>0</v>
      </c>
      <c r="Q39" s="969">
        <f t="shared" si="32"/>
        <v>0.91469</v>
      </c>
      <c r="R39" s="247">
        <f t="shared" si="33"/>
        <v>4</v>
      </c>
      <c r="S39" s="24">
        <f t="shared" si="34"/>
        <v>0</v>
      </c>
      <c r="T39" s="970">
        <f t="shared" si="35"/>
        <v>0</v>
      </c>
      <c r="U39" s="971">
        <f t="shared" si="36"/>
        <v>0.22405050000000001</v>
      </c>
    </row>
    <row r="40" spans="1:21" x14ac:dyDescent="0.2">
      <c r="A40" s="33">
        <f t="shared" si="16"/>
        <v>2027</v>
      </c>
      <c r="B40" s="787">
        <v>4</v>
      </c>
      <c r="C40" s="565">
        <f t="shared" si="22"/>
        <v>281</v>
      </c>
      <c r="D40" s="1053"/>
      <c r="E40" s="1054"/>
      <c r="F40" s="1055"/>
      <c r="G40" s="473">
        <f t="shared" si="23"/>
        <v>0</v>
      </c>
      <c r="H40" s="474">
        <f t="shared" si="23"/>
        <v>0</v>
      </c>
      <c r="I40" s="474">
        <f t="shared" si="24"/>
        <v>0</v>
      </c>
      <c r="J40" s="61">
        <f t="shared" si="25"/>
        <v>4</v>
      </c>
      <c r="K40" s="967">
        <f t="shared" si="26"/>
        <v>0</v>
      </c>
      <c r="L40" s="967">
        <f t="shared" si="27"/>
        <v>0</v>
      </c>
      <c r="M40" s="967">
        <f t="shared" si="28"/>
        <v>0.39515000000000006</v>
      </c>
      <c r="N40" s="54">
        <f t="shared" si="29"/>
        <v>4</v>
      </c>
      <c r="O40" s="968">
        <f t="shared" si="30"/>
        <v>0</v>
      </c>
      <c r="P40" s="968">
        <f t="shared" si="31"/>
        <v>0</v>
      </c>
      <c r="Q40" s="969">
        <f t="shared" si="32"/>
        <v>0.91469</v>
      </c>
      <c r="R40" s="247">
        <f t="shared" si="33"/>
        <v>4</v>
      </c>
      <c r="S40" s="24">
        <f t="shared" si="34"/>
        <v>0</v>
      </c>
      <c r="T40" s="970">
        <f t="shared" si="35"/>
        <v>0</v>
      </c>
      <c r="U40" s="971">
        <f t="shared" si="36"/>
        <v>0.22405050000000001</v>
      </c>
    </row>
    <row r="41" spans="1:21" x14ac:dyDescent="0.2">
      <c r="A41" s="33">
        <f t="shared" si="16"/>
        <v>2028</v>
      </c>
      <c r="B41" s="787">
        <v>4</v>
      </c>
      <c r="C41" s="565">
        <f t="shared" si="22"/>
        <v>285</v>
      </c>
      <c r="D41" s="1053"/>
      <c r="E41" s="1054"/>
      <c r="F41" s="1055"/>
      <c r="G41" s="473">
        <f t="shared" ref="G41:H42" si="37">+$B41*D41/1000</f>
        <v>0</v>
      </c>
      <c r="H41" s="474">
        <f t="shared" si="37"/>
        <v>0</v>
      </c>
      <c r="I41" s="474">
        <f t="shared" si="24"/>
        <v>0</v>
      </c>
      <c r="J41" s="61">
        <f t="shared" si="25"/>
        <v>4</v>
      </c>
      <c r="K41" s="967">
        <f t="shared" si="26"/>
        <v>0</v>
      </c>
      <c r="L41" s="967">
        <f t="shared" si="27"/>
        <v>0</v>
      </c>
      <c r="M41" s="967">
        <f t="shared" si="28"/>
        <v>0.39515000000000006</v>
      </c>
      <c r="N41" s="54">
        <f t="shared" si="29"/>
        <v>4</v>
      </c>
      <c r="O41" s="968">
        <f t="shared" si="30"/>
        <v>0</v>
      </c>
      <c r="P41" s="968">
        <f t="shared" si="31"/>
        <v>0</v>
      </c>
      <c r="Q41" s="969">
        <f t="shared" si="32"/>
        <v>0.91469</v>
      </c>
      <c r="R41" s="247">
        <f t="shared" si="33"/>
        <v>4</v>
      </c>
      <c r="S41" s="24">
        <f t="shared" si="34"/>
        <v>0</v>
      </c>
      <c r="T41" s="970">
        <f t="shared" si="35"/>
        <v>0</v>
      </c>
      <c r="U41" s="971">
        <f t="shared" si="36"/>
        <v>0.22405050000000001</v>
      </c>
    </row>
    <row r="42" spans="1:21" x14ac:dyDescent="0.2">
      <c r="A42" s="33">
        <f t="shared" si="16"/>
        <v>2029</v>
      </c>
      <c r="B42" s="787">
        <v>4</v>
      </c>
      <c r="C42" s="565">
        <f t="shared" si="22"/>
        <v>289</v>
      </c>
      <c r="D42" s="1053"/>
      <c r="E42" s="1054"/>
      <c r="F42" s="1055"/>
      <c r="G42" s="473">
        <f t="shared" si="37"/>
        <v>0</v>
      </c>
      <c r="H42" s="474">
        <f t="shared" si="37"/>
        <v>0</v>
      </c>
      <c r="I42" s="474">
        <f t="shared" si="24"/>
        <v>0</v>
      </c>
      <c r="J42" s="61">
        <f t="shared" si="25"/>
        <v>4</v>
      </c>
      <c r="K42" s="967">
        <f t="shared" si="26"/>
        <v>0</v>
      </c>
      <c r="L42" s="967">
        <f t="shared" si="27"/>
        <v>0</v>
      </c>
      <c r="M42" s="967">
        <f t="shared" si="28"/>
        <v>0.39515000000000006</v>
      </c>
      <c r="N42" s="54">
        <f t="shared" si="29"/>
        <v>4</v>
      </c>
      <c r="O42" s="968">
        <f t="shared" si="30"/>
        <v>0</v>
      </c>
      <c r="P42" s="968">
        <f t="shared" si="31"/>
        <v>0</v>
      </c>
      <c r="Q42" s="969">
        <f t="shared" si="32"/>
        <v>0.91469</v>
      </c>
      <c r="R42" s="247">
        <f t="shared" si="33"/>
        <v>4</v>
      </c>
      <c r="S42" s="24">
        <f t="shared" si="34"/>
        <v>0</v>
      </c>
      <c r="T42" s="970">
        <f t="shared" si="35"/>
        <v>0</v>
      </c>
      <c r="U42" s="971">
        <f t="shared" si="36"/>
        <v>0.22405050000000001</v>
      </c>
    </row>
    <row r="43" spans="1:21" x14ac:dyDescent="0.2">
      <c r="A43" s="33">
        <f t="shared" si="16"/>
        <v>2030</v>
      </c>
      <c r="B43" s="787">
        <v>4</v>
      </c>
      <c r="C43" s="565">
        <f t="shared" ref="C43:C47" si="38">+C42+B43</f>
        <v>293</v>
      </c>
      <c r="D43" s="1053"/>
      <c r="E43" s="1054"/>
      <c r="F43" s="1055"/>
      <c r="G43" s="473">
        <f t="shared" ref="G43:G47" si="39">+$B43*D43/1000</f>
        <v>0</v>
      </c>
      <c r="H43" s="474">
        <f t="shared" ref="H43:H47" si="40">+$B43*E43/1000</f>
        <v>0</v>
      </c>
      <c r="I43" s="474">
        <f t="shared" ref="I43:I47" si="41">+$B43*F43/1000000</f>
        <v>0</v>
      </c>
      <c r="J43" s="61">
        <f t="shared" ref="J43:J47" si="42">+(B43+B42)/2</f>
        <v>4</v>
      </c>
      <c r="K43" s="967">
        <f t="shared" ref="K43:K47" si="43">+D43</f>
        <v>0</v>
      </c>
      <c r="L43" s="967">
        <f t="shared" ref="L43:L47" si="44">+J43*K43/1000</f>
        <v>0</v>
      </c>
      <c r="M43" s="967">
        <f t="shared" ref="M43:M47" si="45">+M42+L43</f>
        <v>0.39515000000000006</v>
      </c>
      <c r="N43" s="54">
        <f t="shared" ref="N43:N47" si="46">+B42</f>
        <v>4</v>
      </c>
      <c r="O43" s="968">
        <f t="shared" ref="O43:O47" si="47">+E43</f>
        <v>0</v>
      </c>
      <c r="P43" s="968">
        <f t="shared" ref="P43:P47" si="48">+N43*O43/1000</f>
        <v>0</v>
      </c>
      <c r="Q43" s="969">
        <f t="shared" ref="Q43:Q47" si="49">+Q42+P43</f>
        <v>0.91469</v>
      </c>
      <c r="R43" s="247">
        <f t="shared" ref="R43:R47" si="50">+(B43+B42)/2</f>
        <v>4</v>
      </c>
      <c r="S43" s="24">
        <f t="shared" ref="S43:S47" si="51">+F43</f>
        <v>0</v>
      </c>
      <c r="T43" s="970">
        <f t="shared" ref="T43:T47" si="52">+R43*S43/1000000</f>
        <v>0</v>
      </c>
      <c r="U43" s="971">
        <f t="shared" ref="U43:U47" si="53">+U42+T43</f>
        <v>0.22405050000000001</v>
      </c>
    </row>
    <row r="44" spans="1:21" x14ac:dyDescent="0.2">
      <c r="A44" s="33">
        <f t="shared" si="16"/>
        <v>2031</v>
      </c>
      <c r="B44" s="787">
        <v>4</v>
      </c>
      <c r="C44" s="565">
        <f t="shared" si="38"/>
        <v>297</v>
      </c>
      <c r="D44" s="1053"/>
      <c r="E44" s="1054"/>
      <c r="F44" s="1055"/>
      <c r="G44" s="473">
        <f t="shared" si="39"/>
        <v>0</v>
      </c>
      <c r="H44" s="474">
        <f t="shared" si="40"/>
        <v>0</v>
      </c>
      <c r="I44" s="474">
        <f t="shared" si="41"/>
        <v>0</v>
      </c>
      <c r="J44" s="61">
        <f t="shared" si="42"/>
        <v>4</v>
      </c>
      <c r="K44" s="967">
        <f t="shared" si="43"/>
        <v>0</v>
      </c>
      <c r="L44" s="967">
        <f t="shared" si="44"/>
        <v>0</v>
      </c>
      <c r="M44" s="967">
        <f t="shared" si="45"/>
        <v>0.39515000000000006</v>
      </c>
      <c r="N44" s="54">
        <f t="shared" si="46"/>
        <v>4</v>
      </c>
      <c r="O44" s="968">
        <f t="shared" si="47"/>
        <v>0</v>
      </c>
      <c r="P44" s="968">
        <f t="shared" si="48"/>
        <v>0</v>
      </c>
      <c r="Q44" s="969">
        <f t="shared" si="49"/>
        <v>0.91469</v>
      </c>
      <c r="R44" s="247">
        <f t="shared" si="50"/>
        <v>4</v>
      </c>
      <c r="S44" s="24">
        <f t="shared" si="51"/>
        <v>0</v>
      </c>
      <c r="T44" s="970">
        <f t="shared" si="52"/>
        <v>0</v>
      </c>
      <c r="U44" s="971">
        <f t="shared" si="53"/>
        <v>0.22405050000000001</v>
      </c>
    </row>
    <row r="45" spans="1:21" x14ac:dyDescent="0.2">
      <c r="A45" s="33">
        <f t="shared" si="16"/>
        <v>2032</v>
      </c>
      <c r="B45" s="787">
        <v>4</v>
      </c>
      <c r="C45" s="565">
        <f t="shared" si="38"/>
        <v>301</v>
      </c>
      <c r="D45" s="1053"/>
      <c r="E45" s="1054"/>
      <c r="F45" s="1055"/>
      <c r="G45" s="473">
        <f t="shared" si="39"/>
        <v>0</v>
      </c>
      <c r="H45" s="474">
        <f t="shared" si="40"/>
        <v>0</v>
      </c>
      <c r="I45" s="474">
        <f t="shared" si="41"/>
        <v>0</v>
      </c>
      <c r="J45" s="61">
        <f t="shared" si="42"/>
        <v>4</v>
      </c>
      <c r="K45" s="967">
        <f t="shared" si="43"/>
        <v>0</v>
      </c>
      <c r="L45" s="967">
        <f t="shared" si="44"/>
        <v>0</v>
      </c>
      <c r="M45" s="967">
        <f t="shared" si="45"/>
        <v>0.39515000000000006</v>
      </c>
      <c r="N45" s="54">
        <f t="shared" si="46"/>
        <v>4</v>
      </c>
      <c r="O45" s="968">
        <f t="shared" si="47"/>
        <v>0</v>
      </c>
      <c r="P45" s="968">
        <f t="shared" si="48"/>
        <v>0</v>
      </c>
      <c r="Q45" s="969">
        <f t="shared" si="49"/>
        <v>0.91469</v>
      </c>
      <c r="R45" s="247">
        <f t="shared" si="50"/>
        <v>4</v>
      </c>
      <c r="S45" s="24">
        <f t="shared" si="51"/>
        <v>0</v>
      </c>
      <c r="T45" s="970">
        <f t="shared" si="52"/>
        <v>0</v>
      </c>
      <c r="U45" s="971">
        <f t="shared" si="53"/>
        <v>0.22405050000000001</v>
      </c>
    </row>
    <row r="46" spans="1:21" x14ac:dyDescent="0.2">
      <c r="A46" s="33">
        <f t="shared" si="16"/>
        <v>2033</v>
      </c>
      <c r="B46" s="787">
        <v>4</v>
      </c>
      <c r="C46" s="565">
        <f t="shared" si="38"/>
        <v>305</v>
      </c>
      <c r="D46" s="1053"/>
      <c r="E46" s="1054"/>
      <c r="F46" s="1055"/>
      <c r="G46" s="473">
        <f t="shared" si="39"/>
        <v>0</v>
      </c>
      <c r="H46" s="474">
        <f t="shared" si="40"/>
        <v>0</v>
      </c>
      <c r="I46" s="474">
        <f t="shared" si="41"/>
        <v>0</v>
      </c>
      <c r="J46" s="61">
        <f t="shared" si="42"/>
        <v>4</v>
      </c>
      <c r="K46" s="967">
        <f t="shared" si="43"/>
        <v>0</v>
      </c>
      <c r="L46" s="967">
        <f t="shared" si="44"/>
        <v>0</v>
      </c>
      <c r="M46" s="967">
        <f t="shared" si="45"/>
        <v>0.39515000000000006</v>
      </c>
      <c r="N46" s="54">
        <f t="shared" si="46"/>
        <v>4</v>
      </c>
      <c r="O46" s="968">
        <f t="shared" si="47"/>
        <v>0</v>
      </c>
      <c r="P46" s="968">
        <f t="shared" si="48"/>
        <v>0</v>
      </c>
      <c r="Q46" s="969">
        <f t="shared" si="49"/>
        <v>0.91469</v>
      </c>
      <c r="R46" s="247">
        <f t="shared" si="50"/>
        <v>4</v>
      </c>
      <c r="S46" s="24">
        <f t="shared" si="51"/>
        <v>0</v>
      </c>
      <c r="T46" s="970">
        <f t="shared" si="52"/>
        <v>0</v>
      </c>
      <c r="U46" s="971">
        <f t="shared" si="53"/>
        <v>0.22405050000000001</v>
      </c>
    </row>
    <row r="47" spans="1:21" x14ac:dyDescent="0.2">
      <c r="A47" s="33">
        <f t="shared" si="16"/>
        <v>2034</v>
      </c>
      <c r="B47" s="787">
        <v>4</v>
      </c>
      <c r="C47" s="565">
        <f t="shared" si="38"/>
        <v>309</v>
      </c>
      <c r="D47" s="1053"/>
      <c r="E47" s="1054"/>
      <c r="F47" s="1055"/>
      <c r="G47" s="473">
        <f t="shared" si="39"/>
        <v>0</v>
      </c>
      <c r="H47" s="474">
        <f t="shared" si="40"/>
        <v>0</v>
      </c>
      <c r="I47" s="474">
        <f t="shared" si="41"/>
        <v>0</v>
      </c>
      <c r="J47" s="61">
        <f t="shared" si="42"/>
        <v>4</v>
      </c>
      <c r="K47" s="967">
        <f t="shared" si="43"/>
        <v>0</v>
      </c>
      <c r="L47" s="967">
        <f t="shared" si="44"/>
        <v>0</v>
      </c>
      <c r="M47" s="967">
        <f t="shared" si="45"/>
        <v>0.39515000000000006</v>
      </c>
      <c r="N47" s="54">
        <f t="shared" si="46"/>
        <v>4</v>
      </c>
      <c r="O47" s="968">
        <f t="shared" si="47"/>
        <v>0</v>
      </c>
      <c r="P47" s="968">
        <f t="shared" si="48"/>
        <v>0</v>
      </c>
      <c r="Q47" s="969">
        <f t="shared" si="49"/>
        <v>0.91469</v>
      </c>
      <c r="R47" s="247">
        <f t="shared" si="50"/>
        <v>4</v>
      </c>
      <c r="S47" s="24">
        <f t="shared" si="51"/>
        <v>0</v>
      </c>
      <c r="T47" s="970">
        <f t="shared" si="52"/>
        <v>0</v>
      </c>
      <c r="U47" s="971">
        <f t="shared" si="53"/>
        <v>0.22405050000000001</v>
      </c>
    </row>
    <row r="48" spans="1:21" x14ac:dyDescent="0.2">
      <c r="A48" s="33">
        <f t="shared" si="16"/>
        <v>2035</v>
      </c>
      <c r="B48" s="787">
        <f>B47</f>
        <v>4</v>
      </c>
      <c r="C48" s="565">
        <f t="shared" ref="C48:C54" si="54">+C47+B48</f>
        <v>313</v>
      </c>
      <c r="D48" s="1053"/>
      <c r="E48" s="1054"/>
      <c r="F48" s="1055"/>
      <c r="G48" s="473">
        <f t="shared" ref="G48:G54" si="55">+$B48*D48/1000</f>
        <v>0</v>
      </c>
      <c r="H48" s="474">
        <f t="shared" ref="H48:H54" si="56">+$B48*E48/1000</f>
        <v>0</v>
      </c>
      <c r="I48" s="474">
        <f t="shared" ref="I48:I54" si="57">+$B48*F48/1000000</f>
        <v>0</v>
      </c>
      <c r="J48" s="61">
        <f t="shared" ref="J48:J54" si="58">+(B48+B47)/2</f>
        <v>4</v>
      </c>
      <c r="K48" s="967">
        <f t="shared" ref="K48:K54" si="59">+D48</f>
        <v>0</v>
      </c>
      <c r="L48" s="967">
        <f t="shared" ref="L48:L54" si="60">+J48*K48/1000</f>
        <v>0</v>
      </c>
      <c r="M48" s="967">
        <f t="shared" ref="M48:M54" si="61">+M47+L48</f>
        <v>0.39515000000000006</v>
      </c>
      <c r="N48" s="54">
        <f t="shared" ref="N48:N54" si="62">+B47</f>
        <v>4</v>
      </c>
      <c r="O48" s="968">
        <f t="shared" ref="O48:O54" si="63">+E48</f>
        <v>0</v>
      </c>
      <c r="P48" s="968">
        <f t="shared" ref="P48:P54" si="64">+N48*O48/1000</f>
        <v>0</v>
      </c>
      <c r="Q48" s="969">
        <f t="shared" ref="Q48:Q54" si="65">+Q47+P48</f>
        <v>0.91469</v>
      </c>
      <c r="R48" s="247">
        <f t="shared" ref="R48:R54" si="66">+(B48+B47)/2</f>
        <v>4</v>
      </c>
      <c r="S48" s="24">
        <f t="shared" ref="S48:S54" si="67">+F48</f>
        <v>0</v>
      </c>
      <c r="T48" s="970">
        <f t="shared" ref="T48:T54" si="68">+R48*S48/1000000</f>
        <v>0</v>
      </c>
      <c r="U48" s="971">
        <f t="shared" ref="U48:U54" si="69">+U47+T48</f>
        <v>0.22405050000000001</v>
      </c>
    </row>
    <row r="49" spans="1:21" x14ac:dyDescent="0.2">
      <c r="A49" s="33">
        <f t="shared" si="16"/>
        <v>2036</v>
      </c>
      <c r="B49" s="787">
        <f t="shared" ref="B49:B54" si="70">B48</f>
        <v>4</v>
      </c>
      <c r="C49" s="565">
        <f t="shared" si="54"/>
        <v>317</v>
      </c>
      <c r="D49" s="1053"/>
      <c r="E49" s="1054"/>
      <c r="F49" s="1055"/>
      <c r="G49" s="473">
        <f t="shared" si="55"/>
        <v>0</v>
      </c>
      <c r="H49" s="474">
        <f t="shared" si="56"/>
        <v>0</v>
      </c>
      <c r="I49" s="474">
        <f t="shared" si="57"/>
        <v>0</v>
      </c>
      <c r="J49" s="61">
        <f t="shared" si="58"/>
        <v>4</v>
      </c>
      <c r="K49" s="967">
        <f t="shared" si="59"/>
        <v>0</v>
      </c>
      <c r="L49" s="967">
        <f t="shared" si="60"/>
        <v>0</v>
      </c>
      <c r="M49" s="967">
        <f t="shared" si="61"/>
        <v>0.39515000000000006</v>
      </c>
      <c r="N49" s="54">
        <f t="shared" si="62"/>
        <v>4</v>
      </c>
      <c r="O49" s="968">
        <f t="shared" si="63"/>
        <v>0</v>
      </c>
      <c r="P49" s="968">
        <f t="shared" si="64"/>
        <v>0</v>
      </c>
      <c r="Q49" s="969">
        <f t="shared" si="65"/>
        <v>0.91469</v>
      </c>
      <c r="R49" s="247">
        <f t="shared" si="66"/>
        <v>4</v>
      </c>
      <c r="S49" s="24">
        <f t="shared" si="67"/>
        <v>0</v>
      </c>
      <c r="T49" s="970">
        <f t="shared" si="68"/>
        <v>0</v>
      </c>
      <c r="U49" s="971">
        <f t="shared" si="69"/>
        <v>0.22405050000000001</v>
      </c>
    </row>
    <row r="50" spans="1:21" x14ac:dyDescent="0.2">
      <c r="A50" s="33">
        <f t="shared" si="16"/>
        <v>2037</v>
      </c>
      <c r="B50" s="787">
        <f t="shared" si="70"/>
        <v>4</v>
      </c>
      <c r="C50" s="565">
        <f t="shared" si="54"/>
        <v>321</v>
      </c>
      <c r="D50" s="1053"/>
      <c r="E50" s="1054"/>
      <c r="F50" s="1055"/>
      <c r="G50" s="473">
        <f t="shared" si="55"/>
        <v>0</v>
      </c>
      <c r="H50" s="474">
        <f t="shared" si="56"/>
        <v>0</v>
      </c>
      <c r="I50" s="474">
        <f t="shared" si="57"/>
        <v>0</v>
      </c>
      <c r="J50" s="61">
        <f t="shared" si="58"/>
        <v>4</v>
      </c>
      <c r="K50" s="967">
        <f t="shared" si="59"/>
        <v>0</v>
      </c>
      <c r="L50" s="967">
        <f t="shared" si="60"/>
        <v>0</v>
      </c>
      <c r="M50" s="967">
        <f t="shared" si="61"/>
        <v>0.39515000000000006</v>
      </c>
      <c r="N50" s="54">
        <f t="shared" si="62"/>
        <v>4</v>
      </c>
      <c r="O50" s="968">
        <f t="shared" si="63"/>
        <v>0</v>
      </c>
      <c r="P50" s="968">
        <f t="shared" si="64"/>
        <v>0</v>
      </c>
      <c r="Q50" s="969">
        <f t="shared" si="65"/>
        <v>0.91469</v>
      </c>
      <c r="R50" s="247">
        <f t="shared" si="66"/>
        <v>4</v>
      </c>
      <c r="S50" s="24">
        <f t="shared" si="67"/>
        <v>0</v>
      </c>
      <c r="T50" s="970">
        <f t="shared" si="68"/>
        <v>0</v>
      </c>
      <c r="U50" s="971">
        <f t="shared" si="69"/>
        <v>0.22405050000000001</v>
      </c>
    </row>
    <row r="51" spans="1:21" x14ac:dyDescent="0.2">
      <c r="A51" s="33">
        <f t="shared" si="16"/>
        <v>2038</v>
      </c>
      <c r="B51" s="787">
        <f t="shared" si="70"/>
        <v>4</v>
      </c>
      <c r="C51" s="565">
        <f t="shared" si="54"/>
        <v>325</v>
      </c>
      <c r="D51" s="1053"/>
      <c r="E51" s="1054"/>
      <c r="F51" s="1055"/>
      <c r="G51" s="473">
        <f t="shared" si="55"/>
        <v>0</v>
      </c>
      <c r="H51" s="474">
        <f t="shared" si="56"/>
        <v>0</v>
      </c>
      <c r="I51" s="474">
        <f t="shared" si="57"/>
        <v>0</v>
      </c>
      <c r="J51" s="61">
        <f t="shared" si="58"/>
        <v>4</v>
      </c>
      <c r="K51" s="967">
        <f t="shared" si="59"/>
        <v>0</v>
      </c>
      <c r="L51" s="967">
        <f t="shared" si="60"/>
        <v>0</v>
      </c>
      <c r="M51" s="967">
        <f t="shared" si="61"/>
        <v>0.39515000000000006</v>
      </c>
      <c r="N51" s="54">
        <f t="shared" si="62"/>
        <v>4</v>
      </c>
      <c r="O51" s="968">
        <f t="shared" si="63"/>
        <v>0</v>
      </c>
      <c r="P51" s="968">
        <f t="shared" si="64"/>
        <v>0</v>
      </c>
      <c r="Q51" s="969">
        <f t="shared" si="65"/>
        <v>0.91469</v>
      </c>
      <c r="R51" s="247">
        <f t="shared" si="66"/>
        <v>4</v>
      </c>
      <c r="S51" s="24">
        <f t="shared" si="67"/>
        <v>0</v>
      </c>
      <c r="T51" s="970">
        <f t="shared" si="68"/>
        <v>0</v>
      </c>
      <c r="U51" s="971">
        <f t="shared" si="69"/>
        <v>0.22405050000000001</v>
      </c>
    </row>
    <row r="52" spans="1:21" x14ac:dyDescent="0.2">
      <c r="A52" s="33">
        <f t="shared" si="16"/>
        <v>2039</v>
      </c>
      <c r="B52" s="787">
        <f t="shared" si="70"/>
        <v>4</v>
      </c>
      <c r="C52" s="565">
        <f t="shared" si="54"/>
        <v>329</v>
      </c>
      <c r="D52" s="1053"/>
      <c r="E52" s="1054"/>
      <c r="F52" s="1055"/>
      <c r="G52" s="473">
        <f t="shared" si="55"/>
        <v>0</v>
      </c>
      <c r="H52" s="474">
        <f t="shared" si="56"/>
        <v>0</v>
      </c>
      <c r="I52" s="474">
        <f t="shared" si="57"/>
        <v>0</v>
      </c>
      <c r="J52" s="61">
        <f t="shared" si="58"/>
        <v>4</v>
      </c>
      <c r="K52" s="967">
        <f t="shared" si="59"/>
        <v>0</v>
      </c>
      <c r="L52" s="967">
        <f t="shared" si="60"/>
        <v>0</v>
      </c>
      <c r="M52" s="967">
        <f t="shared" si="61"/>
        <v>0.39515000000000006</v>
      </c>
      <c r="N52" s="54">
        <f t="shared" si="62"/>
        <v>4</v>
      </c>
      <c r="O52" s="968">
        <f t="shared" si="63"/>
        <v>0</v>
      </c>
      <c r="P52" s="968">
        <f t="shared" si="64"/>
        <v>0</v>
      </c>
      <c r="Q52" s="969">
        <f t="shared" si="65"/>
        <v>0.91469</v>
      </c>
      <c r="R52" s="247">
        <f t="shared" si="66"/>
        <v>4</v>
      </c>
      <c r="S52" s="24">
        <f t="shared" si="67"/>
        <v>0</v>
      </c>
      <c r="T52" s="970">
        <f t="shared" si="68"/>
        <v>0</v>
      </c>
      <c r="U52" s="971">
        <f t="shared" si="69"/>
        <v>0.22405050000000001</v>
      </c>
    </row>
    <row r="53" spans="1:21" x14ac:dyDescent="0.2">
      <c r="A53" s="33">
        <f t="shared" si="16"/>
        <v>2040</v>
      </c>
      <c r="B53" s="787">
        <f t="shared" si="70"/>
        <v>4</v>
      </c>
      <c r="C53" s="565">
        <f t="shared" si="54"/>
        <v>333</v>
      </c>
      <c r="D53" s="1053"/>
      <c r="E53" s="1054"/>
      <c r="F53" s="1055"/>
      <c r="G53" s="473">
        <f t="shared" si="55"/>
        <v>0</v>
      </c>
      <c r="H53" s="474">
        <f t="shared" si="56"/>
        <v>0</v>
      </c>
      <c r="I53" s="474">
        <f t="shared" si="57"/>
        <v>0</v>
      </c>
      <c r="J53" s="61">
        <f t="shared" si="58"/>
        <v>4</v>
      </c>
      <c r="K53" s="967">
        <f t="shared" si="59"/>
        <v>0</v>
      </c>
      <c r="L53" s="967">
        <f t="shared" si="60"/>
        <v>0</v>
      </c>
      <c r="M53" s="967">
        <f t="shared" si="61"/>
        <v>0.39515000000000006</v>
      </c>
      <c r="N53" s="54">
        <f t="shared" si="62"/>
        <v>4</v>
      </c>
      <c r="O53" s="968">
        <f t="shared" si="63"/>
        <v>0</v>
      </c>
      <c r="P53" s="968">
        <f t="shared" si="64"/>
        <v>0</v>
      </c>
      <c r="Q53" s="969">
        <f t="shared" si="65"/>
        <v>0.91469</v>
      </c>
      <c r="R53" s="247">
        <f t="shared" si="66"/>
        <v>4</v>
      </c>
      <c r="S53" s="24">
        <f t="shared" si="67"/>
        <v>0</v>
      </c>
      <c r="T53" s="970">
        <f t="shared" si="68"/>
        <v>0</v>
      </c>
      <c r="U53" s="971">
        <f t="shared" si="69"/>
        <v>0.22405050000000001</v>
      </c>
    </row>
    <row r="54" spans="1:21" x14ac:dyDescent="0.2">
      <c r="A54" s="33">
        <f t="shared" si="16"/>
        <v>2041</v>
      </c>
      <c r="B54" s="787">
        <f t="shared" si="70"/>
        <v>4</v>
      </c>
      <c r="C54" s="565">
        <f t="shared" si="54"/>
        <v>337</v>
      </c>
      <c r="D54" s="1053"/>
      <c r="E54" s="1054"/>
      <c r="F54" s="1055"/>
      <c r="G54" s="473">
        <f t="shared" si="55"/>
        <v>0</v>
      </c>
      <c r="H54" s="474">
        <f t="shared" si="56"/>
        <v>0</v>
      </c>
      <c r="I54" s="474">
        <f t="shared" si="57"/>
        <v>0</v>
      </c>
      <c r="J54" s="61">
        <f t="shared" si="58"/>
        <v>4</v>
      </c>
      <c r="K54" s="967">
        <f t="shared" si="59"/>
        <v>0</v>
      </c>
      <c r="L54" s="967">
        <f t="shared" si="60"/>
        <v>0</v>
      </c>
      <c r="M54" s="967">
        <f t="shared" si="61"/>
        <v>0.39515000000000006</v>
      </c>
      <c r="N54" s="54">
        <f t="shared" si="62"/>
        <v>4</v>
      </c>
      <c r="O54" s="968">
        <f t="shared" si="63"/>
        <v>0</v>
      </c>
      <c r="P54" s="968">
        <f t="shared" si="64"/>
        <v>0</v>
      </c>
      <c r="Q54" s="969">
        <f t="shared" si="65"/>
        <v>0.91469</v>
      </c>
      <c r="R54" s="247">
        <f t="shared" si="66"/>
        <v>4</v>
      </c>
      <c r="S54" s="24">
        <f t="shared" si="67"/>
        <v>0</v>
      </c>
      <c r="T54" s="970">
        <f t="shared" si="68"/>
        <v>0</v>
      </c>
      <c r="U54" s="971">
        <f t="shared" si="69"/>
        <v>0.22405050000000001</v>
      </c>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R4:U4"/>
    <mergeCell ref="G3:I3"/>
    <mergeCell ref="B4:I4"/>
    <mergeCell ref="J4:M4"/>
    <mergeCell ref="N4:Q4"/>
  </mergeCells>
  <phoneticPr fontId="7" type="noConversion"/>
  <pageMargins left="0.75" right="0.75" top="1" bottom="1" header="0.5" footer="0.5"/>
  <pageSetup scale="4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1CBE06"/>
  </sheetPr>
  <dimension ref="A1:X61"/>
  <sheetViews>
    <sheetView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325</v>
      </c>
      <c r="C2" s="27" t="s">
        <v>326</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807"/>
      <c r="E8" s="808"/>
      <c r="F8" s="675"/>
      <c r="G8" s="626"/>
      <c r="H8" s="72"/>
      <c r="I8" s="630"/>
      <c r="J8" s="61"/>
      <c r="K8" s="188"/>
      <c r="L8" s="188"/>
      <c r="M8" s="188"/>
      <c r="N8" s="51"/>
      <c r="O8" s="670"/>
      <c r="P8" s="670"/>
      <c r="Q8" s="670"/>
      <c r="R8" s="247"/>
      <c r="S8" s="24"/>
      <c r="T8" s="25"/>
      <c r="U8" s="654"/>
      <c r="V8" s="248"/>
      <c r="X8" s="1"/>
    </row>
    <row r="9" spans="1:24" x14ac:dyDescent="0.2">
      <c r="A9" s="33">
        <v>1996</v>
      </c>
      <c r="B9" s="30"/>
      <c r="C9" s="660"/>
      <c r="D9" s="807"/>
      <c r="E9" s="808"/>
      <c r="F9" s="675"/>
      <c r="G9" s="626"/>
      <c r="H9" s="72"/>
      <c r="I9" s="630"/>
      <c r="J9" s="61"/>
      <c r="K9" s="188"/>
      <c r="L9" s="188"/>
      <c r="M9" s="188"/>
      <c r="N9" s="54"/>
      <c r="O9" s="670"/>
      <c r="P9" s="670"/>
      <c r="Q9" s="670"/>
      <c r="R9" s="247"/>
      <c r="S9" s="24"/>
      <c r="T9" s="25"/>
      <c r="U9" s="654"/>
      <c r="V9" s="10"/>
      <c r="X9" s="1"/>
    </row>
    <row r="10" spans="1:24" x14ac:dyDescent="0.2">
      <c r="A10" s="33">
        <v>1997</v>
      </c>
      <c r="B10" s="30"/>
      <c r="C10" s="660"/>
      <c r="D10" s="807"/>
      <c r="E10" s="808"/>
      <c r="F10" s="675"/>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807"/>
      <c r="E11" s="808"/>
      <c r="F11" s="675"/>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807"/>
      <c r="E12" s="808"/>
      <c r="F12" s="675"/>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807"/>
      <c r="E13" s="808"/>
      <c r="F13" s="675"/>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807"/>
      <c r="E14" s="808"/>
      <c r="F14" s="675"/>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807"/>
      <c r="E15" s="808"/>
      <c r="F15" s="675"/>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807"/>
      <c r="E16" s="808"/>
      <c r="F16" s="675"/>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807"/>
      <c r="E17" s="808"/>
      <c r="F17" s="675"/>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807"/>
      <c r="E18" s="808"/>
      <c r="F18" s="675"/>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807"/>
      <c r="E19" s="808"/>
      <c r="F19" s="675"/>
      <c r="G19" s="626"/>
      <c r="H19" s="72"/>
      <c r="I19" s="630"/>
      <c r="J19" s="61"/>
      <c r="K19" s="188"/>
      <c r="L19" s="188"/>
      <c r="M19" s="188"/>
      <c r="N19" s="54"/>
      <c r="O19" s="670"/>
      <c r="P19" s="670"/>
      <c r="Q19" s="670"/>
      <c r="R19" s="247"/>
      <c r="S19" s="24"/>
      <c r="T19" s="25"/>
      <c r="U19" s="654"/>
      <c r="V19" s="804"/>
      <c r="X19" s="1"/>
    </row>
    <row r="20" spans="1:24" x14ac:dyDescent="0.2">
      <c r="A20" s="33">
        <f t="shared" si="0"/>
        <v>2007</v>
      </c>
      <c r="B20" s="30"/>
      <c r="C20" s="660"/>
      <c r="D20" s="807"/>
      <c r="E20" s="808"/>
      <c r="F20" s="675"/>
      <c r="G20" s="626"/>
      <c r="H20" s="72"/>
      <c r="I20" s="630"/>
      <c r="J20" s="61"/>
      <c r="K20" s="188"/>
      <c r="L20" s="188"/>
      <c r="M20" s="188"/>
      <c r="N20" s="54"/>
      <c r="O20" s="670"/>
      <c r="P20" s="670"/>
      <c r="Q20" s="670"/>
      <c r="R20" s="247"/>
      <c r="S20" s="24"/>
      <c r="T20" s="25"/>
      <c r="U20" s="654"/>
    </row>
    <row r="21" spans="1:24" x14ac:dyDescent="0.2">
      <c r="A21" s="33">
        <f t="shared" si="0"/>
        <v>2008</v>
      </c>
      <c r="B21" s="30"/>
      <c r="C21" s="660"/>
      <c r="D21" s="807"/>
      <c r="E21" s="808"/>
      <c r="F21" s="806"/>
      <c r="G21" s="626"/>
      <c r="H21" s="72"/>
      <c r="I21" s="630"/>
      <c r="J21" s="61"/>
      <c r="K21" s="188"/>
      <c r="L21" s="188"/>
      <c r="M21" s="188"/>
      <c r="N21" s="54"/>
      <c r="O21" s="670"/>
      <c r="P21" s="670"/>
      <c r="Q21" s="670"/>
      <c r="R21" s="247"/>
      <c r="S21" s="24"/>
      <c r="T21" s="25"/>
      <c r="U21" s="654"/>
    </row>
    <row r="22" spans="1:24" x14ac:dyDescent="0.2">
      <c r="A22" s="33">
        <f t="shared" si="0"/>
        <v>2009</v>
      </c>
      <c r="B22" s="30"/>
      <c r="C22" s="660"/>
      <c r="D22" s="807">
        <v>0</v>
      </c>
      <c r="E22" s="808">
        <v>0</v>
      </c>
      <c r="F22" s="806">
        <v>0</v>
      </c>
      <c r="G22" s="626"/>
      <c r="H22" s="72"/>
      <c r="I22" s="630"/>
      <c r="J22" s="61"/>
      <c r="K22" s="188"/>
      <c r="L22" s="188"/>
      <c r="M22" s="188"/>
      <c r="N22" s="54"/>
      <c r="O22" s="670"/>
      <c r="P22" s="670"/>
      <c r="Q22" s="670"/>
      <c r="R22" s="247"/>
      <c r="S22" s="24"/>
      <c r="T22" s="25"/>
      <c r="U22" s="654"/>
    </row>
    <row r="23" spans="1:24" x14ac:dyDescent="0.2">
      <c r="A23" s="33">
        <f t="shared" si="0"/>
        <v>2010</v>
      </c>
      <c r="B23" s="605">
        <v>0</v>
      </c>
      <c r="C23" s="661">
        <f t="shared" ref="C23:C39" si="1">+C22+B23</f>
        <v>0</v>
      </c>
      <c r="D23" s="807">
        <f t="shared" ref="D23:F38" si="2">+D22</f>
        <v>0</v>
      </c>
      <c r="E23" s="808">
        <f t="shared" si="2"/>
        <v>0</v>
      </c>
      <c r="F23" s="806">
        <f t="shared" si="2"/>
        <v>0</v>
      </c>
      <c r="G23" s="626">
        <f t="shared" ref="G23:H39" si="3">+$B23*D23/1000</f>
        <v>0</v>
      </c>
      <c r="H23" s="72">
        <f t="shared" si="3"/>
        <v>0</v>
      </c>
      <c r="I23" s="630">
        <f t="shared" ref="I23:I39" si="4">+$B23*F23/1000000</f>
        <v>0</v>
      </c>
      <c r="J23" s="666">
        <f t="shared" ref="J23:J39" si="5">+(B23+B22)/2</f>
        <v>0</v>
      </c>
      <c r="K23" s="188">
        <f t="shared" ref="K23:K39" si="6">+D23</f>
        <v>0</v>
      </c>
      <c r="L23" s="188">
        <f t="shared" ref="L23:L39" si="7">+J23*K23/1000</f>
        <v>0</v>
      </c>
      <c r="M23" s="188">
        <f t="shared" ref="M23:M39" si="8">+M22+L23</f>
        <v>0</v>
      </c>
      <c r="N23" s="669">
        <f t="shared" ref="N23:N39" si="9">+B22</f>
        <v>0</v>
      </c>
      <c r="O23" s="670">
        <f t="shared" ref="O23:O39" si="10">+E23</f>
        <v>0</v>
      </c>
      <c r="P23" s="670">
        <f t="shared" ref="P23:P39" si="11">+N23*O23/1000</f>
        <v>0</v>
      </c>
      <c r="Q23" s="670">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605">
        <v>0</v>
      </c>
      <c r="C24" s="661">
        <f t="shared" si="1"/>
        <v>0</v>
      </c>
      <c r="D24" s="807">
        <f t="shared" si="2"/>
        <v>0</v>
      </c>
      <c r="E24" s="808">
        <f t="shared" si="2"/>
        <v>0</v>
      </c>
      <c r="F24" s="806">
        <f t="shared" si="2"/>
        <v>0</v>
      </c>
      <c r="G24" s="626">
        <f t="shared" si="3"/>
        <v>0</v>
      </c>
      <c r="H24" s="72">
        <f t="shared" si="3"/>
        <v>0</v>
      </c>
      <c r="I24" s="630">
        <f t="shared" si="4"/>
        <v>0</v>
      </c>
      <c r="J24" s="666">
        <f t="shared" si="5"/>
        <v>0</v>
      </c>
      <c r="K24" s="188">
        <f t="shared" si="6"/>
        <v>0</v>
      </c>
      <c r="L24" s="188">
        <f t="shared" si="7"/>
        <v>0</v>
      </c>
      <c r="M24" s="188">
        <f t="shared" si="8"/>
        <v>0</v>
      </c>
      <c r="N24" s="669">
        <f t="shared" si="9"/>
        <v>0</v>
      </c>
      <c r="O24" s="670">
        <f t="shared" si="10"/>
        <v>0</v>
      </c>
      <c r="P24" s="670">
        <f t="shared" si="11"/>
        <v>0</v>
      </c>
      <c r="Q24" s="670">
        <f t="shared" si="12"/>
        <v>0</v>
      </c>
      <c r="R24" s="247">
        <f t="shared" si="13"/>
        <v>0</v>
      </c>
      <c r="S24" s="24">
        <f t="shared" si="14"/>
        <v>0</v>
      </c>
      <c r="T24" s="25">
        <f t="shared" si="15"/>
        <v>0</v>
      </c>
      <c r="U24" s="654">
        <f t="shared" si="16"/>
        <v>0</v>
      </c>
    </row>
    <row r="25" spans="1:24" x14ac:dyDescent="0.2">
      <c r="A25" s="33">
        <f t="shared" si="0"/>
        <v>2012</v>
      </c>
      <c r="B25" s="30">
        <v>0</v>
      </c>
      <c r="C25" s="661">
        <f t="shared" si="1"/>
        <v>0</v>
      </c>
      <c r="D25" s="807">
        <f t="shared" si="2"/>
        <v>0</v>
      </c>
      <c r="E25" s="808">
        <f t="shared" si="2"/>
        <v>0</v>
      </c>
      <c r="F25" s="806">
        <f t="shared" si="2"/>
        <v>0</v>
      </c>
      <c r="G25" s="626">
        <f t="shared" si="3"/>
        <v>0</v>
      </c>
      <c r="H25" s="72">
        <f t="shared" si="3"/>
        <v>0</v>
      </c>
      <c r="I25" s="630">
        <f t="shared" si="4"/>
        <v>0</v>
      </c>
      <c r="J25" s="666">
        <f t="shared" si="5"/>
        <v>0</v>
      </c>
      <c r="K25" s="188">
        <f t="shared" si="6"/>
        <v>0</v>
      </c>
      <c r="L25" s="188">
        <f t="shared" si="7"/>
        <v>0</v>
      </c>
      <c r="M25" s="188">
        <f t="shared" si="8"/>
        <v>0</v>
      </c>
      <c r="N25" s="669">
        <f t="shared" si="9"/>
        <v>0</v>
      </c>
      <c r="O25" s="670">
        <f t="shared" si="10"/>
        <v>0</v>
      </c>
      <c r="P25" s="670">
        <f t="shared" si="11"/>
        <v>0</v>
      </c>
      <c r="Q25" s="670">
        <f t="shared" si="12"/>
        <v>0</v>
      </c>
      <c r="R25" s="247">
        <f t="shared" si="13"/>
        <v>0</v>
      </c>
      <c r="S25" s="24">
        <f t="shared" si="14"/>
        <v>0</v>
      </c>
      <c r="T25" s="25">
        <f t="shared" si="15"/>
        <v>0</v>
      </c>
      <c r="U25" s="654">
        <f t="shared" si="16"/>
        <v>0</v>
      </c>
    </row>
    <row r="26" spans="1:24" x14ac:dyDescent="0.2">
      <c r="A26" s="33">
        <f t="shared" si="0"/>
        <v>2013</v>
      </c>
      <c r="B26" s="30">
        <v>0</v>
      </c>
      <c r="C26" s="661">
        <f t="shared" si="1"/>
        <v>0</v>
      </c>
      <c r="D26" s="807">
        <f t="shared" si="2"/>
        <v>0</v>
      </c>
      <c r="E26" s="808">
        <f t="shared" si="2"/>
        <v>0</v>
      </c>
      <c r="F26" s="806">
        <f t="shared" si="2"/>
        <v>0</v>
      </c>
      <c r="G26" s="626">
        <f t="shared" si="3"/>
        <v>0</v>
      </c>
      <c r="H26" s="72">
        <f t="shared" si="3"/>
        <v>0</v>
      </c>
      <c r="I26" s="630">
        <f t="shared" si="4"/>
        <v>0</v>
      </c>
      <c r="J26" s="666">
        <f t="shared" si="5"/>
        <v>0</v>
      </c>
      <c r="K26" s="188">
        <f t="shared" si="6"/>
        <v>0</v>
      </c>
      <c r="L26" s="188">
        <f t="shared" si="7"/>
        <v>0</v>
      </c>
      <c r="M26" s="188">
        <f t="shared" si="8"/>
        <v>0</v>
      </c>
      <c r="N26" s="669">
        <f t="shared" si="9"/>
        <v>0</v>
      </c>
      <c r="O26" s="670">
        <f t="shared" si="10"/>
        <v>0</v>
      </c>
      <c r="P26" s="670">
        <f t="shared" si="11"/>
        <v>0</v>
      </c>
      <c r="Q26" s="670">
        <f t="shared" si="12"/>
        <v>0</v>
      </c>
      <c r="R26" s="247">
        <f t="shared" si="13"/>
        <v>0</v>
      </c>
      <c r="S26" s="24">
        <f t="shared" si="14"/>
        <v>0</v>
      </c>
      <c r="T26" s="25">
        <f t="shared" si="15"/>
        <v>0</v>
      </c>
      <c r="U26" s="654">
        <f t="shared" si="16"/>
        <v>0</v>
      </c>
    </row>
    <row r="27" spans="1:24" x14ac:dyDescent="0.2">
      <c r="A27" s="33">
        <f t="shared" si="0"/>
        <v>2014</v>
      </c>
      <c r="B27" s="30">
        <v>0</v>
      </c>
      <c r="C27" s="1249">
        <v>251</v>
      </c>
      <c r="D27" s="807">
        <f t="shared" si="2"/>
        <v>0</v>
      </c>
      <c r="E27" s="808">
        <f t="shared" si="2"/>
        <v>0</v>
      </c>
      <c r="F27" s="806">
        <f t="shared" si="2"/>
        <v>0</v>
      </c>
      <c r="G27" s="626">
        <f t="shared" si="3"/>
        <v>0</v>
      </c>
      <c r="H27" s="72">
        <f t="shared" si="3"/>
        <v>0</v>
      </c>
      <c r="I27" s="630">
        <f t="shared" si="4"/>
        <v>0</v>
      </c>
      <c r="J27" s="666">
        <f t="shared" si="5"/>
        <v>0</v>
      </c>
      <c r="K27" s="188">
        <f t="shared" si="6"/>
        <v>0</v>
      </c>
      <c r="L27" s="188">
        <f t="shared" si="7"/>
        <v>0</v>
      </c>
      <c r="M27" s="188">
        <f t="shared" si="8"/>
        <v>0</v>
      </c>
      <c r="N27" s="669">
        <f t="shared" si="9"/>
        <v>0</v>
      </c>
      <c r="O27" s="670">
        <f t="shared" si="10"/>
        <v>0</v>
      </c>
      <c r="P27" s="670">
        <f t="shared" si="11"/>
        <v>0</v>
      </c>
      <c r="Q27" s="670">
        <f t="shared" si="12"/>
        <v>0</v>
      </c>
      <c r="R27" s="247">
        <f t="shared" si="13"/>
        <v>0</v>
      </c>
      <c r="S27" s="24">
        <f t="shared" si="14"/>
        <v>0</v>
      </c>
      <c r="T27" s="25">
        <f t="shared" si="15"/>
        <v>0</v>
      </c>
      <c r="U27" s="654">
        <f t="shared" si="16"/>
        <v>0</v>
      </c>
    </row>
    <row r="28" spans="1:24" x14ac:dyDescent="0.2">
      <c r="A28" s="33">
        <f t="shared" si="0"/>
        <v>2015</v>
      </c>
      <c r="B28" s="30">
        <v>41</v>
      </c>
      <c r="C28" s="661">
        <f t="shared" si="1"/>
        <v>292</v>
      </c>
      <c r="D28" s="807">
        <f>D61</f>
        <v>0.72609756097560973</v>
      </c>
      <c r="E28" s="808">
        <f t="shared" ref="E28:F28" si="17">E61</f>
        <v>0.01</v>
      </c>
      <c r="F28" s="806">
        <f t="shared" si="17"/>
        <v>9494.4985365853663</v>
      </c>
      <c r="G28" s="626">
        <f t="shared" si="3"/>
        <v>2.9769999999999998E-2</v>
      </c>
      <c r="H28" s="72">
        <f t="shared" si="3"/>
        <v>4.1000000000000005E-4</v>
      </c>
      <c r="I28" s="630">
        <f t="shared" si="4"/>
        <v>0.38927444</v>
      </c>
      <c r="J28" s="666">
        <f t="shared" si="5"/>
        <v>20.5</v>
      </c>
      <c r="K28" s="188">
        <f t="shared" si="6"/>
        <v>0.72609756097560973</v>
      </c>
      <c r="L28" s="188">
        <f t="shared" si="7"/>
        <v>1.4884999999999999E-2</v>
      </c>
      <c r="M28" s="188">
        <f t="shared" si="8"/>
        <v>1.4884999999999999E-2</v>
      </c>
      <c r="N28" s="669">
        <f t="shared" si="9"/>
        <v>0</v>
      </c>
      <c r="O28" s="670">
        <f t="shared" si="10"/>
        <v>0.01</v>
      </c>
      <c r="P28" s="670">
        <f t="shared" si="11"/>
        <v>0</v>
      </c>
      <c r="Q28" s="670">
        <f t="shared" si="12"/>
        <v>0</v>
      </c>
      <c r="R28" s="247">
        <f t="shared" si="13"/>
        <v>20.5</v>
      </c>
      <c r="S28" s="24">
        <f t="shared" si="14"/>
        <v>9494.4985365853663</v>
      </c>
      <c r="T28" s="25">
        <f t="shared" si="15"/>
        <v>0.19463722</v>
      </c>
      <c r="U28" s="654">
        <f t="shared" si="16"/>
        <v>0.19463722</v>
      </c>
    </row>
    <row r="29" spans="1:24" ht="13.5" thickBot="1" x14ac:dyDescent="0.25">
      <c r="A29" s="34">
        <f t="shared" si="0"/>
        <v>2016</v>
      </c>
      <c r="B29" s="400">
        <v>14</v>
      </c>
      <c r="C29" s="1386">
        <f t="shared" si="1"/>
        <v>306</v>
      </c>
      <c r="D29" s="664">
        <v>0.75</v>
      </c>
      <c r="E29" s="665">
        <v>0.02</v>
      </c>
      <c r="F29" s="640">
        <v>9505</v>
      </c>
      <c r="G29" s="621">
        <f t="shared" si="3"/>
        <v>1.0500000000000001E-2</v>
      </c>
      <c r="H29" s="448">
        <f t="shared" si="3"/>
        <v>2.8000000000000003E-4</v>
      </c>
      <c r="I29" s="622">
        <f t="shared" si="4"/>
        <v>0.13306999999999999</v>
      </c>
      <c r="J29" s="667">
        <f t="shared" si="5"/>
        <v>27.5</v>
      </c>
      <c r="K29" s="287">
        <f t="shared" si="6"/>
        <v>0.75</v>
      </c>
      <c r="L29" s="287">
        <f t="shared" si="7"/>
        <v>2.0625000000000001E-2</v>
      </c>
      <c r="M29" s="287">
        <f t="shared" si="8"/>
        <v>3.551E-2</v>
      </c>
      <c r="N29" s="672">
        <f t="shared" si="9"/>
        <v>41</v>
      </c>
      <c r="O29" s="673">
        <f t="shared" si="10"/>
        <v>0.02</v>
      </c>
      <c r="P29" s="673">
        <f t="shared" si="11"/>
        <v>8.2000000000000009E-4</v>
      </c>
      <c r="Q29" s="673">
        <f t="shared" si="12"/>
        <v>8.2000000000000009E-4</v>
      </c>
      <c r="R29" s="401">
        <f t="shared" si="13"/>
        <v>27.5</v>
      </c>
      <c r="S29" s="156">
        <f t="shared" si="14"/>
        <v>9505</v>
      </c>
      <c r="T29" s="157">
        <f t="shared" si="15"/>
        <v>0.26138749999999999</v>
      </c>
      <c r="U29" s="655">
        <f t="shared" si="16"/>
        <v>0.45602471999999999</v>
      </c>
    </row>
    <row r="30" spans="1:24" x14ac:dyDescent="0.2">
      <c r="A30" s="283">
        <f t="shared" si="0"/>
        <v>2017</v>
      </c>
      <c r="B30" s="403">
        <v>50</v>
      </c>
      <c r="C30" s="284">
        <f t="shared" si="1"/>
        <v>356</v>
      </c>
      <c r="D30" s="1014">
        <f t="shared" si="2"/>
        <v>0.75</v>
      </c>
      <c r="E30" s="1015">
        <f t="shared" si="2"/>
        <v>0.02</v>
      </c>
      <c r="F30" s="1016">
        <f t="shared" si="2"/>
        <v>9505</v>
      </c>
      <c r="G30" s="1017">
        <f t="shared" si="3"/>
        <v>3.7499999999999999E-2</v>
      </c>
      <c r="H30" s="1018">
        <f t="shared" si="3"/>
        <v>1E-3</v>
      </c>
      <c r="I30" s="1018">
        <f t="shared" si="4"/>
        <v>0.47525000000000001</v>
      </c>
      <c r="J30" s="138">
        <f t="shared" si="5"/>
        <v>32</v>
      </c>
      <c r="K30" s="1019">
        <f t="shared" si="6"/>
        <v>0.75</v>
      </c>
      <c r="L30" s="1019">
        <f t="shared" si="7"/>
        <v>2.4E-2</v>
      </c>
      <c r="M30" s="1019">
        <f t="shared" si="8"/>
        <v>5.951E-2</v>
      </c>
      <c r="N30" s="141">
        <f t="shared" si="9"/>
        <v>14</v>
      </c>
      <c r="O30" s="1020">
        <f t="shared" si="10"/>
        <v>0.02</v>
      </c>
      <c r="P30" s="1020">
        <f t="shared" si="11"/>
        <v>2.8000000000000003E-4</v>
      </c>
      <c r="Q30" s="1021">
        <f t="shared" si="12"/>
        <v>1.1000000000000001E-3</v>
      </c>
      <c r="R30" s="891">
        <f t="shared" si="13"/>
        <v>32</v>
      </c>
      <c r="S30" s="145">
        <f t="shared" si="14"/>
        <v>9505</v>
      </c>
      <c r="T30" s="1022">
        <f t="shared" si="15"/>
        <v>0.30415999999999999</v>
      </c>
      <c r="U30" s="1023">
        <f t="shared" si="16"/>
        <v>0.76018472000000004</v>
      </c>
    </row>
    <row r="31" spans="1:24" x14ac:dyDescent="0.2">
      <c r="A31" s="33">
        <f t="shared" si="0"/>
        <v>2018</v>
      </c>
      <c r="B31" s="403">
        <v>50</v>
      </c>
      <c r="C31" s="64">
        <f t="shared" si="1"/>
        <v>406</v>
      </c>
      <c r="D31" s="965">
        <f t="shared" si="2"/>
        <v>0.75</v>
      </c>
      <c r="E31" s="966">
        <f t="shared" si="2"/>
        <v>0.02</v>
      </c>
      <c r="F31" s="790">
        <f t="shared" si="2"/>
        <v>9505</v>
      </c>
      <c r="G31" s="473">
        <f t="shared" si="3"/>
        <v>3.7499999999999999E-2</v>
      </c>
      <c r="H31" s="474">
        <f t="shared" si="3"/>
        <v>1E-3</v>
      </c>
      <c r="I31" s="474">
        <f t="shared" si="4"/>
        <v>0.47525000000000001</v>
      </c>
      <c r="J31" s="61">
        <f t="shared" si="5"/>
        <v>50</v>
      </c>
      <c r="K31" s="967">
        <f t="shared" si="6"/>
        <v>0.75</v>
      </c>
      <c r="L31" s="967">
        <f t="shared" si="7"/>
        <v>3.7499999999999999E-2</v>
      </c>
      <c r="M31" s="967">
        <f t="shared" si="8"/>
        <v>9.7009999999999999E-2</v>
      </c>
      <c r="N31" s="54">
        <f t="shared" si="9"/>
        <v>50</v>
      </c>
      <c r="O31" s="968">
        <f t="shared" si="10"/>
        <v>0.02</v>
      </c>
      <c r="P31" s="968">
        <f t="shared" si="11"/>
        <v>1E-3</v>
      </c>
      <c r="Q31" s="969">
        <f t="shared" si="12"/>
        <v>2.1000000000000003E-3</v>
      </c>
      <c r="R31" s="247">
        <f t="shared" si="13"/>
        <v>50</v>
      </c>
      <c r="S31" s="24">
        <f t="shared" si="14"/>
        <v>9505</v>
      </c>
      <c r="T31" s="970">
        <f t="shared" si="15"/>
        <v>0.47525000000000001</v>
      </c>
      <c r="U31" s="971">
        <f t="shared" si="16"/>
        <v>1.23543472</v>
      </c>
    </row>
    <row r="32" spans="1:24" x14ac:dyDescent="0.2">
      <c r="A32" s="33">
        <f t="shared" si="0"/>
        <v>2019</v>
      </c>
      <c r="B32" s="403">
        <v>50</v>
      </c>
      <c r="C32" s="64">
        <f t="shared" si="1"/>
        <v>456</v>
      </c>
      <c r="D32" s="965">
        <f t="shared" si="2"/>
        <v>0.75</v>
      </c>
      <c r="E32" s="966">
        <f t="shared" si="2"/>
        <v>0.02</v>
      </c>
      <c r="F32" s="790">
        <f t="shared" si="2"/>
        <v>9505</v>
      </c>
      <c r="G32" s="473">
        <f t="shared" si="3"/>
        <v>3.7499999999999999E-2</v>
      </c>
      <c r="H32" s="474">
        <f t="shared" si="3"/>
        <v>1E-3</v>
      </c>
      <c r="I32" s="474">
        <f t="shared" si="4"/>
        <v>0.47525000000000001</v>
      </c>
      <c r="J32" s="61">
        <f t="shared" si="5"/>
        <v>50</v>
      </c>
      <c r="K32" s="967">
        <f t="shared" si="6"/>
        <v>0.75</v>
      </c>
      <c r="L32" s="967">
        <f t="shared" si="7"/>
        <v>3.7499999999999999E-2</v>
      </c>
      <c r="M32" s="967">
        <f t="shared" si="8"/>
        <v>0.13450999999999999</v>
      </c>
      <c r="N32" s="54">
        <f t="shared" si="9"/>
        <v>50</v>
      </c>
      <c r="O32" s="968">
        <f t="shared" si="10"/>
        <v>0.02</v>
      </c>
      <c r="P32" s="968">
        <f t="shared" si="11"/>
        <v>1E-3</v>
      </c>
      <c r="Q32" s="969">
        <f t="shared" si="12"/>
        <v>3.1000000000000003E-3</v>
      </c>
      <c r="R32" s="247">
        <f t="shared" si="13"/>
        <v>50</v>
      </c>
      <c r="S32" s="24">
        <f t="shared" si="14"/>
        <v>9505</v>
      </c>
      <c r="T32" s="970">
        <f t="shared" si="15"/>
        <v>0.47525000000000001</v>
      </c>
      <c r="U32" s="971">
        <f t="shared" si="16"/>
        <v>1.7106847199999999</v>
      </c>
    </row>
    <row r="33" spans="1:21" x14ac:dyDescent="0.2">
      <c r="A33" s="33">
        <f t="shared" si="0"/>
        <v>2020</v>
      </c>
      <c r="B33" s="403">
        <v>50</v>
      </c>
      <c r="C33" s="64">
        <f t="shared" si="1"/>
        <v>506</v>
      </c>
      <c r="D33" s="965">
        <f t="shared" si="2"/>
        <v>0.75</v>
      </c>
      <c r="E33" s="966">
        <f t="shared" si="2"/>
        <v>0.02</v>
      </c>
      <c r="F33" s="790">
        <f t="shared" si="2"/>
        <v>9505</v>
      </c>
      <c r="G33" s="473">
        <f t="shared" si="3"/>
        <v>3.7499999999999999E-2</v>
      </c>
      <c r="H33" s="474">
        <f t="shared" si="3"/>
        <v>1E-3</v>
      </c>
      <c r="I33" s="474">
        <f t="shared" si="4"/>
        <v>0.47525000000000001</v>
      </c>
      <c r="J33" s="61">
        <f t="shared" si="5"/>
        <v>50</v>
      </c>
      <c r="K33" s="967">
        <f t="shared" si="6"/>
        <v>0.75</v>
      </c>
      <c r="L33" s="967">
        <f t="shared" si="7"/>
        <v>3.7499999999999999E-2</v>
      </c>
      <c r="M33" s="967">
        <f t="shared" si="8"/>
        <v>0.17201</v>
      </c>
      <c r="N33" s="54">
        <f t="shared" si="9"/>
        <v>50</v>
      </c>
      <c r="O33" s="968">
        <f t="shared" si="10"/>
        <v>0.02</v>
      </c>
      <c r="P33" s="968">
        <f t="shared" si="11"/>
        <v>1E-3</v>
      </c>
      <c r="Q33" s="969">
        <f t="shared" si="12"/>
        <v>4.1000000000000003E-3</v>
      </c>
      <c r="R33" s="247">
        <f t="shared" si="13"/>
        <v>50</v>
      </c>
      <c r="S33" s="24">
        <f t="shared" si="14"/>
        <v>9505</v>
      </c>
      <c r="T33" s="970">
        <f t="shared" si="15"/>
        <v>0.47525000000000001</v>
      </c>
      <c r="U33" s="971">
        <f t="shared" si="16"/>
        <v>2.1859347200000001</v>
      </c>
    </row>
    <row r="34" spans="1:21" x14ac:dyDescent="0.2">
      <c r="A34" s="33">
        <f t="shared" si="0"/>
        <v>2021</v>
      </c>
      <c r="B34" s="403">
        <v>50</v>
      </c>
      <c r="C34" s="64">
        <f t="shared" si="1"/>
        <v>556</v>
      </c>
      <c r="D34" s="965">
        <f t="shared" si="2"/>
        <v>0.75</v>
      </c>
      <c r="E34" s="966">
        <f t="shared" si="2"/>
        <v>0.02</v>
      </c>
      <c r="F34" s="790">
        <f t="shared" si="2"/>
        <v>9505</v>
      </c>
      <c r="G34" s="473">
        <f t="shared" si="3"/>
        <v>3.7499999999999999E-2</v>
      </c>
      <c r="H34" s="474">
        <f t="shared" si="3"/>
        <v>1E-3</v>
      </c>
      <c r="I34" s="474">
        <f t="shared" si="4"/>
        <v>0.47525000000000001</v>
      </c>
      <c r="J34" s="61">
        <f t="shared" si="5"/>
        <v>50</v>
      </c>
      <c r="K34" s="967">
        <f t="shared" si="6"/>
        <v>0.75</v>
      </c>
      <c r="L34" s="967">
        <f t="shared" si="7"/>
        <v>3.7499999999999999E-2</v>
      </c>
      <c r="M34" s="967">
        <f t="shared" si="8"/>
        <v>0.20951</v>
      </c>
      <c r="N34" s="54">
        <f t="shared" si="9"/>
        <v>50</v>
      </c>
      <c r="O34" s="968">
        <f t="shared" si="10"/>
        <v>0.02</v>
      </c>
      <c r="P34" s="968">
        <f t="shared" si="11"/>
        <v>1E-3</v>
      </c>
      <c r="Q34" s="969">
        <f t="shared" si="12"/>
        <v>5.1000000000000004E-3</v>
      </c>
      <c r="R34" s="247">
        <f t="shared" si="13"/>
        <v>50</v>
      </c>
      <c r="S34" s="24">
        <f t="shared" si="14"/>
        <v>9505</v>
      </c>
      <c r="T34" s="970">
        <f t="shared" si="15"/>
        <v>0.47525000000000001</v>
      </c>
      <c r="U34" s="971">
        <f t="shared" si="16"/>
        <v>2.6611847200000001</v>
      </c>
    </row>
    <row r="35" spans="1:21" x14ac:dyDescent="0.2">
      <c r="A35" s="33">
        <f t="shared" si="0"/>
        <v>2022</v>
      </c>
      <c r="B35" s="403">
        <v>50</v>
      </c>
      <c r="C35" s="64">
        <f t="shared" si="1"/>
        <v>606</v>
      </c>
      <c r="D35" s="965">
        <f t="shared" si="2"/>
        <v>0.75</v>
      </c>
      <c r="E35" s="966">
        <f t="shared" si="2"/>
        <v>0.02</v>
      </c>
      <c r="F35" s="790">
        <f t="shared" si="2"/>
        <v>9505</v>
      </c>
      <c r="G35" s="473">
        <f t="shared" si="3"/>
        <v>3.7499999999999999E-2</v>
      </c>
      <c r="H35" s="474">
        <f t="shared" si="3"/>
        <v>1E-3</v>
      </c>
      <c r="I35" s="474">
        <f t="shared" si="4"/>
        <v>0.47525000000000001</v>
      </c>
      <c r="J35" s="61">
        <f t="shared" si="5"/>
        <v>50</v>
      </c>
      <c r="K35" s="967">
        <f t="shared" si="6"/>
        <v>0.75</v>
      </c>
      <c r="L35" s="967">
        <f t="shared" si="7"/>
        <v>3.7499999999999999E-2</v>
      </c>
      <c r="M35" s="967">
        <f t="shared" si="8"/>
        <v>0.24701000000000001</v>
      </c>
      <c r="N35" s="54">
        <f t="shared" si="9"/>
        <v>50</v>
      </c>
      <c r="O35" s="968">
        <f t="shared" si="10"/>
        <v>0.02</v>
      </c>
      <c r="P35" s="968">
        <f t="shared" si="11"/>
        <v>1E-3</v>
      </c>
      <c r="Q35" s="969">
        <f t="shared" si="12"/>
        <v>6.1000000000000004E-3</v>
      </c>
      <c r="R35" s="247">
        <f t="shared" si="13"/>
        <v>50</v>
      </c>
      <c r="S35" s="24">
        <f t="shared" si="14"/>
        <v>9505</v>
      </c>
      <c r="T35" s="970">
        <f t="shared" si="15"/>
        <v>0.47525000000000001</v>
      </c>
      <c r="U35" s="971">
        <f t="shared" si="16"/>
        <v>3.13643472</v>
      </c>
    </row>
    <row r="36" spans="1:21" x14ac:dyDescent="0.2">
      <c r="A36" s="33">
        <f t="shared" si="0"/>
        <v>2023</v>
      </c>
      <c r="B36" s="403">
        <v>50</v>
      </c>
      <c r="C36" s="64">
        <f t="shared" si="1"/>
        <v>656</v>
      </c>
      <c r="D36" s="965">
        <f t="shared" si="2"/>
        <v>0.75</v>
      </c>
      <c r="E36" s="966">
        <f t="shared" si="2"/>
        <v>0.02</v>
      </c>
      <c r="F36" s="790">
        <f t="shared" si="2"/>
        <v>9505</v>
      </c>
      <c r="G36" s="473">
        <f t="shared" si="3"/>
        <v>3.7499999999999999E-2</v>
      </c>
      <c r="H36" s="474">
        <f t="shared" si="3"/>
        <v>1E-3</v>
      </c>
      <c r="I36" s="474">
        <f t="shared" si="4"/>
        <v>0.47525000000000001</v>
      </c>
      <c r="J36" s="61">
        <f t="shared" si="5"/>
        <v>50</v>
      </c>
      <c r="K36" s="967">
        <f t="shared" si="6"/>
        <v>0.75</v>
      </c>
      <c r="L36" s="967">
        <f t="shared" si="7"/>
        <v>3.7499999999999999E-2</v>
      </c>
      <c r="M36" s="967">
        <f t="shared" si="8"/>
        <v>0.28450999999999999</v>
      </c>
      <c r="N36" s="54">
        <f t="shared" si="9"/>
        <v>50</v>
      </c>
      <c r="O36" s="968">
        <f t="shared" si="10"/>
        <v>0.02</v>
      </c>
      <c r="P36" s="968">
        <f t="shared" si="11"/>
        <v>1E-3</v>
      </c>
      <c r="Q36" s="969">
        <f t="shared" si="12"/>
        <v>7.1000000000000004E-3</v>
      </c>
      <c r="R36" s="247">
        <f t="shared" si="13"/>
        <v>50</v>
      </c>
      <c r="S36" s="24">
        <f t="shared" si="14"/>
        <v>9505</v>
      </c>
      <c r="T36" s="970">
        <f t="shared" si="15"/>
        <v>0.47525000000000001</v>
      </c>
      <c r="U36" s="971">
        <f t="shared" si="16"/>
        <v>3.61168472</v>
      </c>
    </row>
    <row r="37" spans="1:21" x14ac:dyDescent="0.2">
      <c r="A37" s="447">
        <f t="shared" si="0"/>
        <v>2024</v>
      </c>
      <c r="B37" s="403">
        <v>50</v>
      </c>
      <c r="C37" s="64">
        <f t="shared" si="1"/>
        <v>706</v>
      </c>
      <c r="D37" s="965">
        <f t="shared" si="2"/>
        <v>0.75</v>
      </c>
      <c r="E37" s="966">
        <f t="shared" si="2"/>
        <v>0.02</v>
      </c>
      <c r="F37" s="790">
        <f t="shared" si="2"/>
        <v>9505</v>
      </c>
      <c r="G37" s="473">
        <f t="shared" si="3"/>
        <v>3.7499999999999999E-2</v>
      </c>
      <c r="H37" s="474">
        <f t="shared" si="3"/>
        <v>1E-3</v>
      </c>
      <c r="I37" s="474">
        <f t="shared" si="4"/>
        <v>0.47525000000000001</v>
      </c>
      <c r="J37" s="61">
        <f t="shared" si="5"/>
        <v>50</v>
      </c>
      <c r="K37" s="967">
        <f t="shared" si="6"/>
        <v>0.75</v>
      </c>
      <c r="L37" s="967">
        <f t="shared" si="7"/>
        <v>3.7499999999999999E-2</v>
      </c>
      <c r="M37" s="967">
        <f t="shared" si="8"/>
        <v>0.32200999999999996</v>
      </c>
      <c r="N37" s="54">
        <f t="shared" si="9"/>
        <v>50</v>
      </c>
      <c r="O37" s="968">
        <f t="shared" si="10"/>
        <v>0.02</v>
      </c>
      <c r="P37" s="968">
        <f t="shared" si="11"/>
        <v>1E-3</v>
      </c>
      <c r="Q37" s="969">
        <f t="shared" si="12"/>
        <v>8.0999999999999996E-3</v>
      </c>
      <c r="R37" s="247">
        <f t="shared" si="13"/>
        <v>50</v>
      </c>
      <c r="S37" s="24">
        <f t="shared" si="14"/>
        <v>9505</v>
      </c>
      <c r="T37" s="970">
        <f t="shared" si="15"/>
        <v>0.47525000000000001</v>
      </c>
      <c r="U37" s="971">
        <f t="shared" si="16"/>
        <v>4.0869347200000004</v>
      </c>
    </row>
    <row r="38" spans="1:21" x14ac:dyDescent="0.2">
      <c r="A38" s="447">
        <f t="shared" si="0"/>
        <v>2025</v>
      </c>
      <c r="B38" s="403">
        <v>50</v>
      </c>
      <c r="C38" s="64">
        <f t="shared" si="1"/>
        <v>756</v>
      </c>
      <c r="D38" s="965">
        <f t="shared" si="2"/>
        <v>0.75</v>
      </c>
      <c r="E38" s="966">
        <f t="shared" si="2"/>
        <v>0.02</v>
      </c>
      <c r="F38" s="790">
        <f t="shared" si="2"/>
        <v>9505</v>
      </c>
      <c r="G38" s="473">
        <f t="shared" si="3"/>
        <v>3.7499999999999999E-2</v>
      </c>
      <c r="H38" s="474">
        <f t="shared" si="3"/>
        <v>1E-3</v>
      </c>
      <c r="I38" s="474">
        <f t="shared" si="4"/>
        <v>0.47525000000000001</v>
      </c>
      <c r="J38" s="61">
        <f t="shared" si="5"/>
        <v>50</v>
      </c>
      <c r="K38" s="967">
        <f t="shared" si="6"/>
        <v>0.75</v>
      </c>
      <c r="L38" s="967">
        <f t="shared" si="7"/>
        <v>3.7499999999999999E-2</v>
      </c>
      <c r="M38" s="967">
        <f t="shared" si="8"/>
        <v>0.35950999999999994</v>
      </c>
      <c r="N38" s="54">
        <f t="shared" si="9"/>
        <v>50</v>
      </c>
      <c r="O38" s="968">
        <f t="shared" si="10"/>
        <v>0.02</v>
      </c>
      <c r="P38" s="968">
        <f t="shared" si="11"/>
        <v>1E-3</v>
      </c>
      <c r="Q38" s="969">
        <f t="shared" si="12"/>
        <v>9.1000000000000004E-3</v>
      </c>
      <c r="R38" s="247">
        <f t="shared" si="13"/>
        <v>50</v>
      </c>
      <c r="S38" s="24">
        <f t="shared" si="14"/>
        <v>9505</v>
      </c>
      <c r="T38" s="970">
        <f t="shared" si="15"/>
        <v>0.47525000000000001</v>
      </c>
      <c r="U38" s="971">
        <f t="shared" si="16"/>
        <v>4.5621847200000003</v>
      </c>
    </row>
    <row r="39" spans="1:21" x14ac:dyDescent="0.2">
      <c r="A39" s="447">
        <f t="shared" si="0"/>
        <v>2026</v>
      </c>
      <c r="B39" s="403">
        <v>50</v>
      </c>
      <c r="C39" s="64">
        <f t="shared" si="1"/>
        <v>806</v>
      </c>
      <c r="D39" s="965">
        <f t="shared" ref="D39:F42" si="18">+D38</f>
        <v>0.75</v>
      </c>
      <c r="E39" s="966">
        <f t="shared" si="18"/>
        <v>0.02</v>
      </c>
      <c r="F39" s="790">
        <f t="shared" si="18"/>
        <v>9505</v>
      </c>
      <c r="G39" s="473">
        <f t="shared" si="3"/>
        <v>3.7499999999999999E-2</v>
      </c>
      <c r="H39" s="474">
        <f t="shared" si="3"/>
        <v>1E-3</v>
      </c>
      <c r="I39" s="474">
        <f t="shared" si="4"/>
        <v>0.47525000000000001</v>
      </c>
      <c r="J39" s="61">
        <f t="shared" si="5"/>
        <v>50</v>
      </c>
      <c r="K39" s="967">
        <f t="shared" si="6"/>
        <v>0.75</v>
      </c>
      <c r="L39" s="967">
        <f t="shared" si="7"/>
        <v>3.7499999999999999E-2</v>
      </c>
      <c r="M39" s="967">
        <f t="shared" si="8"/>
        <v>0.39700999999999992</v>
      </c>
      <c r="N39" s="54">
        <f t="shared" si="9"/>
        <v>50</v>
      </c>
      <c r="O39" s="968">
        <f t="shared" si="10"/>
        <v>0.02</v>
      </c>
      <c r="P39" s="968">
        <f t="shared" si="11"/>
        <v>1E-3</v>
      </c>
      <c r="Q39" s="969">
        <f t="shared" si="12"/>
        <v>1.0100000000000001E-2</v>
      </c>
      <c r="R39" s="247">
        <f>+(B39+B38)/2</f>
        <v>50</v>
      </c>
      <c r="S39" s="24">
        <f>+F39</f>
        <v>9505</v>
      </c>
      <c r="T39" s="970">
        <f>+R39*S39/1000000</f>
        <v>0.47525000000000001</v>
      </c>
      <c r="U39" s="971">
        <f t="shared" si="16"/>
        <v>5.0374347200000003</v>
      </c>
    </row>
    <row r="40" spans="1:21" x14ac:dyDescent="0.2">
      <c r="A40" s="447">
        <f>+A39+1</f>
        <v>2027</v>
      </c>
      <c r="B40" s="403">
        <v>50</v>
      </c>
      <c r="C40" s="64">
        <f>+C39+B40</f>
        <v>856</v>
      </c>
      <c r="D40" s="965">
        <f t="shared" si="18"/>
        <v>0.75</v>
      </c>
      <c r="E40" s="966">
        <f t="shared" si="18"/>
        <v>0.02</v>
      </c>
      <c r="F40" s="790">
        <f t="shared" si="18"/>
        <v>9505</v>
      </c>
      <c r="G40" s="473">
        <f t="shared" ref="G40:H42" si="19">+$B40*D40/1000</f>
        <v>3.7499999999999999E-2</v>
      </c>
      <c r="H40" s="474">
        <f t="shared" si="19"/>
        <v>1E-3</v>
      </c>
      <c r="I40" s="474">
        <f>+$B40*F40/1000000</f>
        <v>0.47525000000000001</v>
      </c>
      <c r="J40" s="61">
        <f>+(B40+B39)/2</f>
        <v>50</v>
      </c>
      <c r="K40" s="967">
        <f>+D40</f>
        <v>0.75</v>
      </c>
      <c r="L40" s="967">
        <f>+J40*K40/1000</f>
        <v>3.7499999999999999E-2</v>
      </c>
      <c r="M40" s="967">
        <f>+M39+L40</f>
        <v>0.4345099999999999</v>
      </c>
      <c r="N40" s="54">
        <f>+B39</f>
        <v>50</v>
      </c>
      <c r="O40" s="968">
        <f>+E40</f>
        <v>0.02</v>
      </c>
      <c r="P40" s="968">
        <f>+N40*O40/1000</f>
        <v>1E-3</v>
      </c>
      <c r="Q40" s="969">
        <f>+Q39+P40</f>
        <v>1.1100000000000002E-2</v>
      </c>
      <c r="R40" s="247">
        <f>+(B40+B39)/2</f>
        <v>50</v>
      </c>
      <c r="S40" s="24">
        <f>+F40</f>
        <v>9505</v>
      </c>
      <c r="T40" s="970">
        <f>+R40*S40/1000000</f>
        <v>0.47525000000000001</v>
      </c>
      <c r="U40" s="971">
        <f>+U39+T40</f>
        <v>5.5126847200000002</v>
      </c>
    </row>
    <row r="41" spans="1:21" x14ac:dyDescent="0.2">
      <c r="A41" s="447">
        <f t="shared" si="0"/>
        <v>2028</v>
      </c>
      <c r="B41" s="403">
        <v>50</v>
      </c>
      <c r="C41" s="64">
        <f>+C40+B41</f>
        <v>906</v>
      </c>
      <c r="D41" s="965">
        <f>+D40</f>
        <v>0.75</v>
      </c>
      <c r="E41" s="966">
        <f>+E40</f>
        <v>0.02</v>
      </c>
      <c r="F41" s="790">
        <f>+F40</f>
        <v>9505</v>
      </c>
      <c r="G41" s="473">
        <f t="shared" si="19"/>
        <v>3.7499999999999999E-2</v>
      </c>
      <c r="H41" s="474">
        <f t="shared" si="19"/>
        <v>1E-3</v>
      </c>
      <c r="I41" s="474">
        <f>+$B41*F41/1000000</f>
        <v>0.47525000000000001</v>
      </c>
      <c r="J41" s="61">
        <f>+(B41+B40)/2</f>
        <v>50</v>
      </c>
      <c r="K41" s="967">
        <f>+D41</f>
        <v>0.75</v>
      </c>
      <c r="L41" s="967">
        <f>+J41*K41/1000</f>
        <v>3.7499999999999999E-2</v>
      </c>
      <c r="M41" s="967">
        <f>+M40+L41</f>
        <v>0.47200999999999987</v>
      </c>
      <c r="N41" s="54">
        <f>+B40</f>
        <v>50</v>
      </c>
      <c r="O41" s="968">
        <f>+E41</f>
        <v>0.02</v>
      </c>
      <c r="P41" s="968">
        <f>+N41*O41/1000</f>
        <v>1E-3</v>
      </c>
      <c r="Q41" s="969">
        <f>+Q40+P41</f>
        <v>1.2100000000000003E-2</v>
      </c>
      <c r="R41" s="247">
        <f>+(B41+B40)/2</f>
        <v>50</v>
      </c>
      <c r="S41" s="24">
        <f>+F41</f>
        <v>9505</v>
      </c>
      <c r="T41" s="970">
        <f>+R41*S41/1000000</f>
        <v>0.47525000000000001</v>
      </c>
      <c r="U41" s="971">
        <f>+U40+T41</f>
        <v>5.9879347200000002</v>
      </c>
    </row>
    <row r="42" spans="1:21" x14ac:dyDescent="0.2">
      <c r="A42" s="447">
        <f t="shared" si="0"/>
        <v>2029</v>
      </c>
      <c r="B42" s="403">
        <v>50</v>
      </c>
      <c r="C42" s="64">
        <f>+C41+B42</f>
        <v>956</v>
      </c>
      <c r="D42" s="965">
        <f t="shared" si="18"/>
        <v>0.75</v>
      </c>
      <c r="E42" s="966">
        <f t="shared" si="18"/>
        <v>0.02</v>
      </c>
      <c r="F42" s="790">
        <f t="shared" si="18"/>
        <v>9505</v>
      </c>
      <c r="G42" s="473">
        <f t="shared" si="19"/>
        <v>3.7499999999999999E-2</v>
      </c>
      <c r="H42" s="474">
        <f t="shared" si="19"/>
        <v>1E-3</v>
      </c>
      <c r="I42" s="474">
        <f>+$B42*F42/1000000</f>
        <v>0.47525000000000001</v>
      </c>
      <c r="J42" s="61">
        <f>+(B42+B41)/2</f>
        <v>50</v>
      </c>
      <c r="K42" s="967">
        <f>+D42</f>
        <v>0.75</v>
      </c>
      <c r="L42" s="967">
        <f>+J42*K42/1000</f>
        <v>3.7499999999999999E-2</v>
      </c>
      <c r="M42" s="967">
        <f>+M41+L42</f>
        <v>0.50950999999999991</v>
      </c>
      <c r="N42" s="54">
        <f>+B41</f>
        <v>50</v>
      </c>
      <c r="O42" s="968">
        <f>+E42</f>
        <v>0.02</v>
      </c>
      <c r="P42" s="968">
        <f>+N42*O42/1000</f>
        <v>1E-3</v>
      </c>
      <c r="Q42" s="969">
        <f>+Q41+P42</f>
        <v>1.3100000000000004E-2</v>
      </c>
      <c r="R42" s="247">
        <f>+(B42+B41)/2</f>
        <v>50</v>
      </c>
      <c r="S42" s="24">
        <f>+F42</f>
        <v>9505</v>
      </c>
      <c r="T42" s="970">
        <f>+R42*S42/1000000</f>
        <v>0.47525000000000001</v>
      </c>
      <c r="U42" s="971">
        <f>+U41+T42</f>
        <v>6.4631847200000001</v>
      </c>
    </row>
    <row r="43" spans="1:21" x14ac:dyDescent="0.2">
      <c r="A43" s="447">
        <f t="shared" si="0"/>
        <v>2030</v>
      </c>
      <c r="B43" s="403">
        <v>50</v>
      </c>
      <c r="C43" s="64">
        <f t="shared" ref="C43:C47" si="20">+C42+B43</f>
        <v>1006</v>
      </c>
      <c r="D43" s="965">
        <f t="shared" ref="D43:F43" si="21">+D42</f>
        <v>0.75</v>
      </c>
      <c r="E43" s="966">
        <f t="shared" si="21"/>
        <v>0.02</v>
      </c>
      <c r="F43" s="790">
        <f t="shared" si="21"/>
        <v>9505</v>
      </c>
      <c r="G43" s="473">
        <f t="shared" ref="G43:G47" si="22">+$B43*D43/1000</f>
        <v>3.7499999999999999E-2</v>
      </c>
      <c r="H43" s="474">
        <f t="shared" ref="H43:H47" si="23">+$B43*E43/1000</f>
        <v>1E-3</v>
      </c>
      <c r="I43" s="474">
        <f t="shared" ref="I43:I47" si="24">+$B43*F43/1000000</f>
        <v>0.47525000000000001</v>
      </c>
      <c r="J43" s="61">
        <f t="shared" ref="J43:J47" si="25">+(B43+B42)/2</f>
        <v>50</v>
      </c>
      <c r="K43" s="967">
        <f t="shared" ref="K43:K47" si="26">+D43</f>
        <v>0.75</v>
      </c>
      <c r="L43" s="967">
        <f t="shared" ref="L43:L47" si="27">+J43*K43/1000</f>
        <v>3.7499999999999999E-2</v>
      </c>
      <c r="M43" s="967">
        <f t="shared" ref="M43:M47" si="28">+M42+L43</f>
        <v>0.54700999999999989</v>
      </c>
      <c r="N43" s="54">
        <f t="shared" ref="N43:N47" si="29">+B42</f>
        <v>50</v>
      </c>
      <c r="O43" s="968">
        <f t="shared" ref="O43:O47" si="30">+E43</f>
        <v>0.02</v>
      </c>
      <c r="P43" s="968">
        <f t="shared" ref="P43:P47" si="31">+N43*O43/1000</f>
        <v>1E-3</v>
      </c>
      <c r="Q43" s="969">
        <f t="shared" ref="Q43:Q47" si="32">+Q42+P43</f>
        <v>1.4100000000000005E-2</v>
      </c>
      <c r="R43" s="247">
        <f t="shared" ref="R43:R47" si="33">+(B43+B42)/2</f>
        <v>50</v>
      </c>
      <c r="S43" s="24">
        <f t="shared" ref="S43:S47" si="34">+F43</f>
        <v>9505</v>
      </c>
      <c r="T43" s="970">
        <f t="shared" ref="T43:T47" si="35">+R43*S43/1000000</f>
        <v>0.47525000000000001</v>
      </c>
      <c r="U43" s="971">
        <f t="shared" ref="U43:U47" si="36">+U42+T43</f>
        <v>6.9384347200000001</v>
      </c>
    </row>
    <row r="44" spans="1:21" x14ac:dyDescent="0.2">
      <c r="A44" s="447">
        <f t="shared" si="0"/>
        <v>2031</v>
      </c>
      <c r="B44" s="403">
        <v>50</v>
      </c>
      <c r="C44" s="64">
        <f t="shared" si="20"/>
        <v>1056</v>
      </c>
      <c r="D44" s="965">
        <f t="shared" ref="D44:F44" si="37">+D43</f>
        <v>0.75</v>
      </c>
      <c r="E44" s="966">
        <f t="shared" si="37"/>
        <v>0.02</v>
      </c>
      <c r="F44" s="790">
        <f t="shared" si="37"/>
        <v>9505</v>
      </c>
      <c r="G44" s="473">
        <f t="shared" si="22"/>
        <v>3.7499999999999999E-2</v>
      </c>
      <c r="H44" s="474">
        <f t="shared" si="23"/>
        <v>1E-3</v>
      </c>
      <c r="I44" s="474">
        <f t="shared" si="24"/>
        <v>0.47525000000000001</v>
      </c>
      <c r="J44" s="61">
        <f t="shared" si="25"/>
        <v>50</v>
      </c>
      <c r="K44" s="967">
        <f t="shared" si="26"/>
        <v>0.75</v>
      </c>
      <c r="L44" s="967">
        <f t="shared" si="27"/>
        <v>3.7499999999999999E-2</v>
      </c>
      <c r="M44" s="967">
        <f t="shared" si="28"/>
        <v>0.58450999999999986</v>
      </c>
      <c r="N44" s="54">
        <f t="shared" si="29"/>
        <v>50</v>
      </c>
      <c r="O44" s="968">
        <f t="shared" si="30"/>
        <v>0.02</v>
      </c>
      <c r="P44" s="968">
        <f t="shared" si="31"/>
        <v>1E-3</v>
      </c>
      <c r="Q44" s="969">
        <f t="shared" si="32"/>
        <v>1.5100000000000006E-2</v>
      </c>
      <c r="R44" s="247">
        <f t="shared" si="33"/>
        <v>50</v>
      </c>
      <c r="S44" s="24">
        <f t="shared" si="34"/>
        <v>9505</v>
      </c>
      <c r="T44" s="970">
        <f t="shared" si="35"/>
        <v>0.47525000000000001</v>
      </c>
      <c r="U44" s="971">
        <f t="shared" si="36"/>
        <v>7.41368472</v>
      </c>
    </row>
    <row r="45" spans="1:21" x14ac:dyDescent="0.2">
      <c r="A45" s="447">
        <f t="shared" si="0"/>
        <v>2032</v>
      </c>
      <c r="B45" s="403">
        <v>50</v>
      </c>
      <c r="C45" s="64">
        <f t="shared" si="20"/>
        <v>1106</v>
      </c>
      <c r="D45" s="965">
        <f t="shared" ref="D45:F45" si="38">+D44</f>
        <v>0.75</v>
      </c>
      <c r="E45" s="966">
        <f t="shared" si="38"/>
        <v>0.02</v>
      </c>
      <c r="F45" s="790">
        <f t="shared" si="38"/>
        <v>9505</v>
      </c>
      <c r="G45" s="473">
        <f t="shared" si="22"/>
        <v>3.7499999999999999E-2</v>
      </c>
      <c r="H45" s="474">
        <f t="shared" si="23"/>
        <v>1E-3</v>
      </c>
      <c r="I45" s="474">
        <f t="shared" si="24"/>
        <v>0.47525000000000001</v>
      </c>
      <c r="J45" s="61">
        <f t="shared" si="25"/>
        <v>50</v>
      </c>
      <c r="K45" s="967">
        <f t="shared" si="26"/>
        <v>0.75</v>
      </c>
      <c r="L45" s="967">
        <f t="shared" si="27"/>
        <v>3.7499999999999999E-2</v>
      </c>
      <c r="M45" s="967">
        <f t="shared" si="28"/>
        <v>0.62200999999999984</v>
      </c>
      <c r="N45" s="54">
        <f t="shared" si="29"/>
        <v>50</v>
      </c>
      <c r="O45" s="968">
        <f t="shared" si="30"/>
        <v>0.02</v>
      </c>
      <c r="P45" s="968">
        <f t="shared" si="31"/>
        <v>1E-3</v>
      </c>
      <c r="Q45" s="969">
        <f t="shared" si="32"/>
        <v>1.6100000000000007E-2</v>
      </c>
      <c r="R45" s="247">
        <f t="shared" si="33"/>
        <v>50</v>
      </c>
      <c r="S45" s="24">
        <f t="shared" si="34"/>
        <v>9505</v>
      </c>
      <c r="T45" s="970">
        <f t="shared" si="35"/>
        <v>0.47525000000000001</v>
      </c>
      <c r="U45" s="971">
        <f t="shared" si="36"/>
        <v>7.88893472</v>
      </c>
    </row>
    <row r="46" spans="1:21" x14ac:dyDescent="0.2">
      <c r="A46" s="447">
        <f t="shared" si="0"/>
        <v>2033</v>
      </c>
      <c r="B46" s="403">
        <v>50</v>
      </c>
      <c r="C46" s="64">
        <f t="shared" si="20"/>
        <v>1156</v>
      </c>
      <c r="D46" s="965">
        <f t="shared" ref="D46:F46" si="39">+D45</f>
        <v>0.75</v>
      </c>
      <c r="E46" s="966">
        <f t="shared" si="39"/>
        <v>0.02</v>
      </c>
      <c r="F46" s="790">
        <f t="shared" si="39"/>
        <v>9505</v>
      </c>
      <c r="G46" s="473">
        <f t="shared" si="22"/>
        <v>3.7499999999999999E-2</v>
      </c>
      <c r="H46" s="474">
        <f t="shared" si="23"/>
        <v>1E-3</v>
      </c>
      <c r="I46" s="474">
        <f t="shared" si="24"/>
        <v>0.47525000000000001</v>
      </c>
      <c r="J46" s="61">
        <f t="shared" si="25"/>
        <v>50</v>
      </c>
      <c r="K46" s="967">
        <f t="shared" si="26"/>
        <v>0.75</v>
      </c>
      <c r="L46" s="967">
        <f t="shared" si="27"/>
        <v>3.7499999999999999E-2</v>
      </c>
      <c r="M46" s="967">
        <f t="shared" si="28"/>
        <v>0.65950999999999982</v>
      </c>
      <c r="N46" s="54">
        <f t="shared" si="29"/>
        <v>50</v>
      </c>
      <c r="O46" s="968">
        <f t="shared" si="30"/>
        <v>0.02</v>
      </c>
      <c r="P46" s="968">
        <f t="shared" si="31"/>
        <v>1E-3</v>
      </c>
      <c r="Q46" s="969">
        <f t="shared" si="32"/>
        <v>1.7100000000000008E-2</v>
      </c>
      <c r="R46" s="247">
        <f t="shared" si="33"/>
        <v>50</v>
      </c>
      <c r="S46" s="24">
        <f t="shared" si="34"/>
        <v>9505</v>
      </c>
      <c r="T46" s="970">
        <f t="shared" si="35"/>
        <v>0.47525000000000001</v>
      </c>
      <c r="U46" s="971">
        <f t="shared" si="36"/>
        <v>8.3641847200000008</v>
      </c>
    </row>
    <row r="47" spans="1:21" x14ac:dyDescent="0.2">
      <c r="A47" s="447">
        <f t="shared" si="0"/>
        <v>2034</v>
      </c>
      <c r="B47" s="403">
        <v>50</v>
      </c>
      <c r="C47" s="64">
        <f t="shared" si="20"/>
        <v>1206</v>
      </c>
      <c r="D47" s="965">
        <f t="shared" ref="D47:F47" si="40">+D46</f>
        <v>0.75</v>
      </c>
      <c r="E47" s="966">
        <f t="shared" si="40"/>
        <v>0.02</v>
      </c>
      <c r="F47" s="790">
        <f t="shared" si="40"/>
        <v>9505</v>
      </c>
      <c r="G47" s="473">
        <f t="shared" si="22"/>
        <v>3.7499999999999999E-2</v>
      </c>
      <c r="H47" s="474">
        <f t="shared" si="23"/>
        <v>1E-3</v>
      </c>
      <c r="I47" s="474">
        <f t="shared" si="24"/>
        <v>0.47525000000000001</v>
      </c>
      <c r="J47" s="61">
        <f t="shared" si="25"/>
        <v>50</v>
      </c>
      <c r="K47" s="967">
        <f t="shared" si="26"/>
        <v>0.75</v>
      </c>
      <c r="L47" s="967">
        <f t="shared" si="27"/>
        <v>3.7499999999999999E-2</v>
      </c>
      <c r="M47" s="967">
        <f t="shared" si="28"/>
        <v>0.6970099999999998</v>
      </c>
      <c r="N47" s="54">
        <f t="shared" si="29"/>
        <v>50</v>
      </c>
      <c r="O47" s="968">
        <f t="shared" si="30"/>
        <v>0.02</v>
      </c>
      <c r="P47" s="968">
        <f t="shared" si="31"/>
        <v>1E-3</v>
      </c>
      <c r="Q47" s="969">
        <f t="shared" si="32"/>
        <v>1.8100000000000008E-2</v>
      </c>
      <c r="R47" s="247">
        <f t="shared" si="33"/>
        <v>50</v>
      </c>
      <c r="S47" s="24">
        <f t="shared" si="34"/>
        <v>9505</v>
      </c>
      <c r="T47" s="970">
        <f t="shared" si="35"/>
        <v>0.47525000000000001</v>
      </c>
      <c r="U47" s="971">
        <f t="shared" si="36"/>
        <v>8.8394347200000016</v>
      </c>
    </row>
    <row r="48" spans="1:21" x14ac:dyDescent="0.2">
      <c r="A48" s="447">
        <f t="shared" si="0"/>
        <v>2035</v>
      </c>
      <c r="B48" s="403">
        <f>B47</f>
        <v>50</v>
      </c>
      <c r="C48" s="64">
        <f t="shared" ref="C48:C54" si="41">+C47+B48</f>
        <v>1256</v>
      </c>
      <c r="D48" s="965">
        <f t="shared" ref="D48:F48" si="42">+D47</f>
        <v>0.75</v>
      </c>
      <c r="E48" s="966">
        <f t="shared" si="42"/>
        <v>0.02</v>
      </c>
      <c r="F48" s="790">
        <f t="shared" si="42"/>
        <v>9505</v>
      </c>
      <c r="G48" s="473">
        <f t="shared" ref="G48:G54" si="43">+$B48*D48/1000</f>
        <v>3.7499999999999999E-2</v>
      </c>
      <c r="H48" s="474">
        <f t="shared" ref="H48:H54" si="44">+$B48*E48/1000</f>
        <v>1E-3</v>
      </c>
      <c r="I48" s="474">
        <f t="shared" ref="I48:I54" si="45">+$B48*F48/1000000</f>
        <v>0.47525000000000001</v>
      </c>
      <c r="J48" s="61">
        <f t="shared" ref="J48:J54" si="46">+(B48+B47)/2</f>
        <v>50</v>
      </c>
      <c r="K48" s="967">
        <f t="shared" ref="K48:K54" si="47">+D48</f>
        <v>0.75</v>
      </c>
      <c r="L48" s="967">
        <f t="shared" ref="L48:L54" si="48">+J48*K48/1000</f>
        <v>3.7499999999999999E-2</v>
      </c>
      <c r="M48" s="967">
        <f t="shared" ref="M48:M54" si="49">+M47+L48</f>
        <v>0.73450999999999977</v>
      </c>
      <c r="N48" s="54">
        <f t="shared" ref="N48:N54" si="50">+B47</f>
        <v>50</v>
      </c>
      <c r="O48" s="968">
        <f t="shared" ref="O48:O54" si="51">+E48</f>
        <v>0.02</v>
      </c>
      <c r="P48" s="968">
        <f t="shared" ref="P48:P54" si="52">+N48*O48/1000</f>
        <v>1E-3</v>
      </c>
      <c r="Q48" s="969">
        <f t="shared" ref="Q48:Q54" si="53">+Q47+P48</f>
        <v>1.9100000000000009E-2</v>
      </c>
      <c r="R48" s="247">
        <f t="shared" ref="R48:R54" si="54">+(B48+B47)/2</f>
        <v>50</v>
      </c>
      <c r="S48" s="24">
        <f t="shared" ref="S48:S54" si="55">+F48</f>
        <v>9505</v>
      </c>
      <c r="T48" s="970">
        <f t="shared" ref="T48:T54" si="56">+R48*S48/1000000</f>
        <v>0.47525000000000001</v>
      </c>
      <c r="U48" s="971">
        <f t="shared" ref="U48:U54" si="57">+U47+T48</f>
        <v>9.3146847200000025</v>
      </c>
    </row>
    <row r="49" spans="1:21" x14ac:dyDescent="0.2">
      <c r="A49" s="447">
        <f t="shared" si="0"/>
        <v>2036</v>
      </c>
      <c r="B49" s="403">
        <f t="shared" ref="B49:B54" si="58">B48</f>
        <v>50</v>
      </c>
      <c r="C49" s="64">
        <f t="shared" si="41"/>
        <v>1306</v>
      </c>
      <c r="D49" s="965">
        <f t="shared" ref="D49:F49" si="59">+D48</f>
        <v>0.75</v>
      </c>
      <c r="E49" s="966">
        <f t="shared" si="59"/>
        <v>0.02</v>
      </c>
      <c r="F49" s="790">
        <f t="shared" si="59"/>
        <v>9505</v>
      </c>
      <c r="G49" s="473">
        <f t="shared" si="43"/>
        <v>3.7499999999999999E-2</v>
      </c>
      <c r="H49" s="474">
        <f t="shared" si="44"/>
        <v>1E-3</v>
      </c>
      <c r="I49" s="474">
        <f t="shared" si="45"/>
        <v>0.47525000000000001</v>
      </c>
      <c r="J49" s="61">
        <f t="shared" si="46"/>
        <v>50</v>
      </c>
      <c r="K49" s="967">
        <f t="shared" si="47"/>
        <v>0.75</v>
      </c>
      <c r="L49" s="967">
        <f t="shared" si="48"/>
        <v>3.7499999999999999E-2</v>
      </c>
      <c r="M49" s="967">
        <f t="shared" si="49"/>
        <v>0.77200999999999975</v>
      </c>
      <c r="N49" s="54">
        <f t="shared" si="50"/>
        <v>50</v>
      </c>
      <c r="O49" s="968">
        <f t="shared" si="51"/>
        <v>0.02</v>
      </c>
      <c r="P49" s="968">
        <f t="shared" si="52"/>
        <v>1E-3</v>
      </c>
      <c r="Q49" s="969">
        <f t="shared" si="53"/>
        <v>2.010000000000001E-2</v>
      </c>
      <c r="R49" s="247">
        <f t="shared" si="54"/>
        <v>50</v>
      </c>
      <c r="S49" s="24">
        <f t="shared" si="55"/>
        <v>9505</v>
      </c>
      <c r="T49" s="970">
        <f t="shared" si="56"/>
        <v>0.47525000000000001</v>
      </c>
      <c r="U49" s="971">
        <f t="shared" si="57"/>
        <v>9.7899347200000033</v>
      </c>
    </row>
    <row r="50" spans="1:21" x14ac:dyDescent="0.2">
      <c r="A50" s="447">
        <f t="shared" si="0"/>
        <v>2037</v>
      </c>
      <c r="B50" s="403">
        <f t="shared" si="58"/>
        <v>50</v>
      </c>
      <c r="C50" s="64">
        <f t="shared" si="41"/>
        <v>1356</v>
      </c>
      <c r="D50" s="965">
        <f t="shared" ref="D50:F50" si="60">+D49</f>
        <v>0.75</v>
      </c>
      <c r="E50" s="966">
        <f t="shared" si="60"/>
        <v>0.02</v>
      </c>
      <c r="F50" s="790">
        <f t="shared" si="60"/>
        <v>9505</v>
      </c>
      <c r="G50" s="473">
        <f t="shared" si="43"/>
        <v>3.7499999999999999E-2</v>
      </c>
      <c r="H50" s="474">
        <f t="shared" si="44"/>
        <v>1E-3</v>
      </c>
      <c r="I50" s="474">
        <f t="shared" si="45"/>
        <v>0.47525000000000001</v>
      </c>
      <c r="J50" s="61">
        <f t="shared" si="46"/>
        <v>50</v>
      </c>
      <c r="K50" s="967">
        <f t="shared" si="47"/>
        <v>0.75</v>
      </c>
      <c r="L50" s="967">
        <f t="shared" si="48"/>
        <v>3.7499999999999999E-2</v>
      </c>
      <c r="M50" s="967">
        <f t="shared" si="49"/>
        <v>0.80950999999999973</v>
      </c>
      <c r="N50" s="54">
        <f t="shared" si="50"/>
        <v>50</v>
      </c>
      <c r="O50" s="968">
        <f t="shared" si="51"/>
        <v>0.02</v>
      </c>
      <c r="P50" s="968">
        <f t="shared" si="52"/>
        <v>1E-3</v>
      </c>
      <c r="Q50" s="969">
        <f t="shared" si="53"/>
        <v>2.1100000000000011E-2</v>
      </c>
      <c r="R50" s="247">
        <f t="shared" si="54"/>
        <v>50</v>
      </c>
      <c r="S50" s="24">
        <f t="shared" si="55"/>
        <v>9505</v>
      </c>
      <c r="T50" s="970">
        <f t="shared" si="56"/>
        <v>0.47525000000000001</v>
      </c>
      <c r="U50" s="971">
        <f t="shared" si="57"/>
        <v>10.265184720000004</v>
      </c>
    </row>
    <row r="51" spans="1:21" x14ac:dyDescent="0.2">
      <c r="A51" s="447">
        <f t="shared" si="0"/>
        <v>2038</v>
      </c>
      <c r="B51" s="403">
        <f t="shared" si="58"/>
        <v>50</v>
      </c>
      <c r="C51" s="64">
        <f t="shared" si="41"/>
        <v>1406</v>
      </c>
      <c r="D51" s="965">
        <f t="shared" ref="D51:F51" si="61">+D50</f>
        <v>0.75</v>
      </c>
      <c r="E51" s="966">
        <f t="shared" si="61"/>
        <v>0.02</v>
      </c>
      <c r="F51" s="790">
        <f t="shared" si="61"/>
        <v>9505</v>
      </c>
      <c r="G51" s="473">
        <f t="shared" si="43"/>
        <v>3.7499999999999999E-2</v>
      </c>
      <c r="H51" s="474">
        <f t="shared" si="44"/>
        <v>1E-3</v>
      </c>
      <c r="I51" s="474">
        <f t="shared" si="45"/>
        <v>0.47525000000000001</v>
      </c>
      <c r="J51" s="61">
        <f t="shared" si="46"/>
        <v>50</v>
      </c>
      <c r="K51" s="967">
        <f t="shared" si="47"/>
        <v>0.75</v>
      </c>
      <c r="L51" s="967">
        <f t="shared" si="48"/>
        <v>3.7499999999999999E-2</v>
      </c>
      <c r="M51" s="967">
        <f t="shared" si="49"/>
        <v>0.84700999999999971</v>
      </c>
      <c r="N51" s="54">
        <f t="shared" si="50"/>
        <v>50</v>
      </c>
      <c r="O51" s="968">
        <f t="shared" si="51"/>
        <v>0.02</v>
      </c>
      <c r="P51" s="968">
        <f t="shared" si="52"/>
        <v>1E-3</v>
      </c>
      <c r="Q51" s="969">
        <f t="shared" si="53"/>
        <v>2.2100000000000012E-2</v>
      </c>
      <c r="R51" s="247">
        <f t="shared" si="54"/>
        <v>50</v>
      </c>
      <c r="S51" s="24">
        <f t="shared" si="55"/>
        <v>9505</v>
      </c>
      <c r="T51" s="970">
        <f t="shared" si="56"/>
        <v>0.47525000000000001</v>
      </c>
      <c r="U51" s="971">
        <f t="shared" si="57"/>
        <v>10.740434720000005</v>
      </c>
    </row>
    <row r="52" spans="1:21" x14ac:dyDescent="0.2">
      <c r="A52" s="447">
        <f t="shared" si="0"/>
        <v>2039</v>
      </c>
      <c r="B52" s="403">
        <f t="shared" si="58"/>
        <v>50</v>
      </c>
      <c r="C52" s="64">
        <f t="shared" si="41"/>
        <v>1456</v>
      </c>
      <c r="D52" s="965">
        <f t="shared" ref="D52:F52" si="62">+D51</f>
        <v>0.75</v>
      </c>
      <c r="E52" s="966">
        <f t="shared" si="62"/>
        <v>0.02</v>
      </c>
      <c r="F52" s="790">
        <f t="shared" si="62"/>
        <v>9505</v>
      </c>
      <c r="G52" s="473">
        <f t="shared" si="43"/>
        <v>3.7499999999999999E-2</v>
      </c>
      <c r="H52" s="474">
        <f t="shared" si="44"/>
        <v>1E-3</v>
      </c>
      <c r="I52" s="474">
        <f t="shared" si="45"/>
        <v>0.47525000000000001</v>
      </c>
      <c r="J52" s="61">
        <f t="shared" si="46"/>
        <v>50</v>
      </c>
      <c r="K52" s="967">
        <f t="shared" si="47"/>
        <v>0.75</v>
      </c>
      <c r="L52" s="967">
        <f t="shared" si="48"/>
        <v>3.7499999999999999E-2</v>
      </c>
      <c r="M52" s="967">
        <f t="shared" si="49"/>
        <v>0.88450999999999969</v>
      </c>
      <c r="N52" s="54">
        <f t="shared" si="50"/>
        <v>50</v>
      </c>
      <c r="O52" s="968">
        <f t="shared" si="51"/>
        <v>0.02</v>
      </c>
      <c r="P52" s="968">
        <f t="shared" si="52"/>
        <v>1E-3</v>
      </c>
      <c r="Q52" s="969">
        <f t="shared" si="53"/>
        <v>2.3100000000000013E-2</v>
      </c>
      <c r="R52" s="247">
        <f t="shared" si="54"/>
        <v>50</v>
      </c>
      <c r="S52" s="24">
        <f t="shared" si="55"/>
        <v>9505</v>
      </c>
      <c r="T52" s="970">
        <f t="shared" si="56"/>
        <v>0.47525000000000001</v>
      </c>
      <c r="U52" s="971">
        <f t="shared" si="57"/>
        <v>11.215684720000006</v>
      </c>
    </row>
    <row r="53" spans="1:21" x14ac:dyDescent="0.2">
      <c r="A53" s="447">
        <f t="shared" si="0"/>
        <v>2040</v>
      </c>
      <c r="B53" s="403">
        <f t="shared" si="58"/>
        <v>50</v>
      </c>
      <c r="C53" s="64">
        <f t="shared" si="41"/>
        <v>1506</v>
      </c>
      <c r="D53" s="965">
        <f t="shared" ref="D53:F53" si="63">+D52</f>
        <v>0.75</v>
      </c>
      <c r="E53" s="966">
        <f t="shared" si="63"/>
        <v>0.02</v>
      </c>
      <c r="F53" s="790">
        <f t="shared" si="63"/>
        <v>9505</v>
      </c>
      <c r="G53" s="473">
        <f t="shared" si="43"/>
        <v>3.7499999999999999E-2</v>
      </c>
      <c r="H53" s="474">
        <f t="shared" si="44"/>
        <v>1E-3</v>
      </c>
      <c r="I53" s="474">
        <f t="shared" si="45"/>
        <v>0.47525000000000001</v>
      </c>
      <c r="J53" s="61">
        <f t="shared" si="46"/>
        <v>50</v>
      </c>
      <c r="K53" s="967">
        <f t="shared" si="47"/>
        <v>0.75</v>
      </c>
      <c r="L53" s="967">
        <f t="shared" si="48"/>
        <v>3.7499999999999999E-2</v>
      </c>
      <c r="M53" s="967">
        <f t="shared" si="49"/>
        <v>0.92200999999999966</v>
      </c>
      <c r="N53" s="54">
        <f t="shared" si="50"/>
        <v>50</v>
      </c>
      <c r="O53" s="968">
        <f t="shared" si="51"/>
        <v>0.02</v>
      </c>
      <c r="P53" s="968">
        <f t="shared" si="52"/>
        <v>1E-3</v>
      </c>
      <c r="Q53" s="969">
        <f t="shared" si="53"/>
        <v>2.4100000000000014E-2</v>
      </c>
      <c r="R53" s="247">
        <f t="shared" si="54"/>
        <v>50</v>
      </c>
      <c r="S53" s="24">
        <f t="shared" si="55"/>
        <v>9505</v>
      </c>
      <c r="T53" s="970">
        <f t="shared" si="56"/>
        <v>0.47525000000000001</v>
      </c>
      <c r="U53" s="971">
        <f t="shared" si="57"/>
        <v>11.690934720000007</v>
      </c>
    </row>
    <row r="54" spans="1:21" x14ac:dyDescent="0.2">
      <c r="A54" s="447">
        <f t="shared" si="0"/>
        <v>2041</v>
      </c>
      <c r="B54" s="403">
        <f t="shared" si="58"/>
        <v>50</v>
      </c>
      <c r="C54" s="64">
        <f t="shared" si="41"/>
        <v>1556</v>
      </c>
      <c r="D54" s="965">
        <f t="shared" ref="D54:F54" si="64">+D53</f>
        <v>0.75</v>
      </c>
      <c r="E54" s="966">
        <f t="shared" si="64"/>
        <v>0.02</v>
      </c>
      <c r="F54" s="790">
        <f t="shared" si="64"/>
        <v>9505</v>
      </c>
      <c r="G54" s="473">
        <f t="shared" si="43"/>
        <v>3.7499999999999999E-2</v>
      </c>
      <c r="H54" s="474">
        <f t="shared" si="44"/>
        <v>1E-3</v>
      </c>
      <c r="I54" s="474">
        <f t="shared" si="45"/>
        <v>0.47525000000000001</v>
      </c>
      <c r="J54" s="61">
        <f t="shared" si="46"/>
        <v>50</v>
      </c>
      <c r="K54" s="967">
        <f t="shared" si="47"/>
        <v>0.75</v>
      </c>
      <c r="L54" s="967">
        <f t="shared" si="48"/>
        <v>3.7499999999999999E-2</v>
      </c>
      <c r="M54" s="967">
        <f t="shared" si="49"/>
        <v>0.95950999999999964</v>
      </c>
      <c r="N54" s="54">
        <f t="shared" si="50"/>
        <v>50</v>
      </c>
      <c r="O54" s="968">
        <f t="shared" si="51"/>
        <v>0.02</v>
      </c>
      <c r="P54" s="968">
        <f t="shared" si="52"/>
        <v>1E-3</v>
      </c>
      <c r="Q54" s="969">
        <f t="shared" si="53"/>
        <v>2.5100000000000015E-2</v>
      </c>
      <c r="R54" s="247">
        <f t="shared" si="54"/>
        <v>50</v>
      </c>
      <c r="S54" s="24">
        <f t="shared" si="55"/>
        <v>9505</v>
      </c>
      <c r="T54" s="970">
        <f t="shared" si="56"/>
        <v>0.47525000000000001</v>
      </c>
      <c r="U54" s="971">
        <f t="shared" si="57"/>
        <v>12.166184720000008</v>
      </c>
    </row>
    <row r="55" spans="1:21" x14ac:dyDescent="0.2">
      <c r="D55" s="972"/>
      <c r="E55" s="972"/>
      <c r="F55" s="973"/>
      <c r="G55" s="974"/>
      <c r="H55" s="974"/>
      <c r="I55" s="974"/>
      <c r="J55" s="961"/>
      <c r="K55" s="975"/>
      <c r="L55" s="975"/>
      <c r="M55" s="975"/>
      <c r="N55" s="962"/>
      <c r="O55" s="976"/>
      <c r="P55" s="976"/>
      <c r="Q55" s="976"/>
      <c r="R55" s="963"/>
      <c r="S55" s="964"/>
      <c r="T55" s="977"/>
      <c r="U55" s="977"/>
    </row>
    <row r="56" spans="1:21" x14ac:dyDescent="0.2">
      <c r="A56" s="69" t="s">
        <v>38</v>
      </c>
    </row>
    <row r="57" spans="1:21" x14ac:dyDescent="0.2">
      <c r="A57" s="69" t="s">
        <v>39</v>
      </c>
    </row>
    <row r="58" spans="1:21" x14ac:dyDescent="0.2">
      <c r="A58" s="86" t="s">
        <v>57</v>
      </c>
    </row>
    <row r="59" spans="1:21" x14ac:dyDescent="0.2">
      <c r="A59" s="86" t="s">
        <v>58</v>
      </c>
    </row>
    <row r="60" spans="1:21" x14ac:dyDescent="0.2">
      <c r="B60" s="956" t="s">
        <v>386</v>
      </c>
    </row>
    <row r="61" spans="1:21" x14ac:dyDescent="0.2">
      <c r="B61">
        <v>2015</v>
      </c>
      <c r="D61">
        <f>29.77/B28</f>
        <v>0.72609756097560973</v>
      </c>
      <c r="E61">
        <f>0.41/B28</f>
        <v>0.01</v>
      </c>
      <c r="F61">
        <f>389274.44/B28</f>
        <v>9494.4985365853663</v>
      </c>
    </row>
  </sheetData>
  <mergeCells count="5">
    <mergeCell ref="G3:I3"/>
    <mergeCell ref="B4:I4"/>
    <mergeCell ref="J4:M4"/>
    <mergeCell ref="N4:Q4"/>
    <mergeCell ref="R4:U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rgb="FF1CBE06"/>
    <pageSetUpPr fitToPage="1"/>
  </sheetPr>
  <dimension ref="A1:X59"/>
  <sheetViews>
    <sheetView workbookViewId="0">
      <pane xSplit="1" ySplit="5" topLeftCell="B20"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7109375"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118</v>
      </c>
      <c r="C2" s="27"/>
      <c r="D2" s="27"/>
      <c r="E2" s="27"/>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62">
        <f t="shared" ref="D8:D19" si="1">IF($B8=0,0,(G8*1000)/$B8)</f>
        <v>0</v>
      </c>
      <c r="E8" s="663">
        <f t="shared" ref="E8:E19" si="2">IF($B8=0,0,(H8*1000)/$B8)</f>
        <v>0</v>
      </c>
      <c r="F8" s="675">
        <f t="shared" ref="F8:F19" si="3">IF($B8=0,0,(I8*1000000)/$B8)</f>
        <v>0</v>
      </c>
      <c r="G8" s="626">
        <v>0</v>
      </c>
      <c r="H8" s="72">
        <v>0</v>
      </c>
      <c r="I8" s="630">
        <v>0</v>
      </c>
      <c r="J8" s="61">
        <f>+(B8+N8)/2</f>
        <v>0</v>
      </c>
      <c r="K8" s="188">
        <f t="shared" ref="K8:K39" si="4">+D8</f>
        <v>0</v>
      </c>
      <c r="L8" s="188">
        <f t="shared" ref="L8:L39" si="5">+J8*K8/1000</f>
        <v>0</v>
      </c>
      <c r="M8" s="188">
        <f t="shared" ref="M8:M39" si="6">+M7+L8</f>
        <v>0</v>
      </c>
      <c r="N8" s="51">
        <v>0</v>
      </c>
      <c r="O8" s="670">
        <f t="shared" ref="O8:O39" si="7">+E8</f>
        <v>0</v>
      </c>
      <c r="P8" s="670">
        <f t="shared" ref="P8:P39" si="8">+N8*O8/1000</f>
        <v>0</v>
      </c>
      <c r="Q8" s="670">
        <f t="shared" ref="Q8:Q39" si="9">+Q7+P8</f>
        <v>0</v>
      </c>
      <c r="R8" s="247">
        <f>J8</f>
        <v>0</v>
      </c>
      <c r="S8" s="24">
        <f t="shared" ref="S8:S37" si="10">+F8</f>
        <v>0</v>
      </c>
      <c r="T8" s="25">
        <f t="shared" ref="T8:T37" si="11">+R8*S8/1000000</f>
        <v>0</v>
      </c>
      <c r="U8" s="654">
        <f t="shared" ref="U8:U39" si="12">+U7+T8</f>
        <v>0</v>
      </c>
      <c r="V8" s="248"/>
      <c r="X8" s="1"/>
    </row>
    <row r="9" spans="1:24" x14ac:dyDescent="0.2">
      <c r="A9" s="33">
        <v>1996</v>
      </c>
      <c r="B9" s="30">
        <v>0</v>
      </c>
      <c r="C9" s="660">
        <f t="shared" si="0"/>
        <v>0</v>
      </c>
      <c r="D9" s="662">
        <f t="shared" si="1"/>
        <v>0</v>
      </c>
      <c r="E9" s="663">
        <f t="shared" si="2"/>
        <v>0</v>
      </c>
      <c r="F9" s="675">
        <f t="shared" si="3"/>
        <v>0</v>
      </c>
      <c r="G9" s="626">
        <v>0</v>
      </c>
      <c r="H9" s="72">
        <v>0</v>
      </c>
      <c r="I9" s="630">
        <v>0</v>
      </c>
      <c r="J9" s="61">
        <f t="shared" ref="J9:J39" si="13">+(B9+B8)/2</f>
        <v>0</v>
      </c>
      <c r="K9" s="188">
        <f t="shared" si="4"/>
        <v>0</v>
      </c>
      <c r="L9" s="188">
        <f t="shared" si="5"/>
        <v>0</v>
      </c>
      <c r="M9" s="188">
        <f t="shared" si="6"/>
        <v>0</v>
      </c>
      <c r="N9" s="54">
        <f t="shared" ref="N9:N39" si="14">+B8</f>
        <v>0</v>
      </c>
      <c r="O9" s="670">
        <f t="shared" si="7"/>
        <v>0</v>
      </c>
      <c r="P9" s="670">
        <f t="shared" si="8"/>
        <v>0</v>
      </c>
      <c r="Q9" s="670">
        <f t="shared" si="9"/>
        <v>0</v>
      </c>
      <c r="R9" s="247">
        <f t="shared" ref="R9:R37" si="15">+(B9+B8)/2</f>
        <v>0</v>
      </c>
      <c r="S9" s="24">
        <f t="shared" si="10"/>
        <v>0</v>
      </c>
      <c r="T9" s="25">
        <f t="shared" si="11"/>
        <v>0</v>
      </c>
      <c r="U9" s="654">
        <f t="shared" si="12"/>
        <v>0</v>
      </c>
      <c r="V9" s="10"/>
      <c r="X9" s="1"/>
    </row>
    <row r="10" spans="1:24" x14ac:dyDescent="0.2">
      <c r="A10" s="33">
        <v>1997</v>
      </c>
      <c r="B10" s="30">
        <v>0</v>
      </c>
      <c r="C10" s="660">
        <f t="shared" si="0"/>
        <v>0</v>
      </c>
      <c r="D10" s="662">
        <f t="shared" si="1"/>
        <v>0</v>
      </c>
      <c r="E10" s="663">
        <f t="shared" si="2"/>
        <v>0</v>
      </c>
      <c r="F10" s="675">
        <f t="shared" si="3"/>
        <v>0</v>
      </c>
      <c r="G10" s="626">
        <v>0</v>
      </c>
      <c r="H10" s="72">
        <v>0</v>
      </c>
      <c r="I10" s="630">
        <v>0</v>
      </c>
      <c r="J10" s="61">
        <f t="shared" si="13"/>
        <v>0</v>
      </c>
      <c r="K10" s="188">
        <f t="shared" si="4"/>
        <v>0</v>
      </c>
      <c r="L10" s="188">
        <f t="shared" si="5"/>
        <v>0</v>
      </c>
      <c r="M10" s="188">
        <f t="shared" si="6"/>
        <v>0</v>
      </c>
      <c r="N10" s="54">
        <f t="shared" si="14"/>
        <v>0</v>
      </c>
      <c r="O10" s="670">
        <f t="shared" si="7"/>
        <v>0</v>
      </c>
      <c r="P10" s="670">
        <f t="shared" si="8"/>
        <v>0</v>
      </c>
      <c r="Q10" s="670">
        <f t="shared" si="9"/>
        <v>0</v>
      </c>
      <c r="R10" s="247">
        <f t="shared" si="15"/>
        <v>0</v>
      </c>
      <c r="S10" s="24">
        <f t="shared" si="10"/>
        <v>0</v>
      </c>
      <c r="T10" s="25">
        <f t="shared" si="11"/>
        <v>0</v>
      </c>
      <c r="U10" s="654">
        <f t="shared" si="12"/>
        <v>0</v>
      </c>
      <c r="V10" s="10"/>
      <c r="X10" s="1"/>
    </row>
    <row r="11" spans="1:24" x14ac:dyDescent="0.2">
      <c r="A11" s="33">
        <v>1998</v>
      </c>
      <c r="B11" s="30">
        <v>0</v>
      </c>
      <c r="C11" s="660">
        <f t="shared" si="0"/>
        <v>0</v>
      </c>
      <c r="D11" s="662">
        <f t="shared" si="1"/>
        <v>0</v>
      </c>
      <c r="E11" s="663">
        <f t="shared" si="2"/>
        <v>0</v>
      </c>
      <c r="F11" s="675">
        <f t="shared" si="3"/>
        <v>0</v>
      </c>
      <c r="G11" s="626">
        <v>0</v>
      </c>
      <c r="H11" s="72">
        <v>0</v>
      </c>
      <c r="I11" s="630">
        <v>0</v>
      </c>
      <c r="J11" s="61">
        <f t="shared" si="13"/>
        <v>0</v>
      </c>
      <c r="K11" s="188">
        <f t="shared" si="4"/>
        <v>0</v>
      </c>
      <c r="L11" s="188">
        <f t="shared" si="5"/>
        <v>0</v>
      </c>
      <c r="M11" s="188">
        <f t="shared" si="6"/>
        <v>0</v>
      </c>
      <c r="N11" s="54">
        <f t="shared" si="14"/>
        <v>0</v>
      </c>
      <c r="O11" s="670">
        <f t="shared" si="7"/>
        <v>0</v>
      </c>
      <c r="P11" s="670">
        <f t="shared" si="8"/>
        <v>0</v>
      </c>
      <c r="Q11" s="670">
        <f t="shared" si="9"/>
        <v>0</v>
      </c>
      <c r="R11" s="247">
        <f t="shared" si="15"/>
        <v>0</v>
      </c>
      <c r="S11" s="24">
        <f t="shared" si="10"/>
        <v>0</v>
      </c>
      <c r="T11" s="25">
        <f t="shared" si="11"/>
        <v>0</v>
      </c>
      <c r="U11" s="654">
        <f t="shared" si="12"/>
        <v>0</v>
      </c>
      <c r="V11" s="10"/>
      <c r="X11" s="1"/>
    </row>
    <row r="12" spans="1:24" x14ac:dyDescent="0.2">
      <c r="A12" s="33">
        <v>1999</v>
      </c>
      <c r="B12" s="30">
        <v>0</v>
      </c>
      <c r="C12" s="660">
        <f t="shared" si="0"/>
        <v>0</v>
      </c>
      <c r="D12" s="662">
        <f t="shared" si="1"/>
        <v>0</v>
      </c>
      <c r="E12" s="663">
        <f t="shared" si="2"/>
        <v>0</v>
      </c>
      <c r="F12" s="675">
        <f t="shared" si="3"/>
        <v>0</v>
      </c>
      <c r="G12" s="626">
        <v>0</v>
      </c>
      <c r="H12" s="72">
        <v>0</v>
      </c>
      <c r="I12" s="630">
        <v>0</v>
      </c>
      <c r="J12" s="61">
        <f t="shared" si="13"/>
        <v>0</v>
      </c>
      <c r="K12" s="188">
        <f t="shared" si="4"/>
        <v>0</v>
      </c>
      <c r="L12" s="188">
        <f t="shared" si="5"/>
        <v>0</v>
      </c>
      <c r="M12" s="188">
        <f t="shared" si="6"/>
        <v>0</v>
      </c>
      <c r="N12" s="54">
        <f t="shared" si="14"/>
        <v>0</v>
      </c>
      <c r="O12" s="670">
        <f t="shared" si="7"/>
        <v>0</v>
      </c>
      <c r="P12" s="670">
        <f t="shared" si="8"/>
        <v>0</v>
      </c>
      <c r="Q12" s="670">
        <f t="shared" si="9"/>
        <v>0</v>
      </c>
      <c r="R12" s="247">
        <f t="shared" si="15"/>
        <v>0</v>
      </c>
      <c r="S12" s="24">
        <f t="shared" si="10"/>
        <v>0</v>
      </c>
      <c r="T12" s="25">
        <f t="shared" si="11"/>
        <v>0</v>
      </c>
      <c r="U12" s="654">
        <f t="shared" si="12"/>
        <v>0</v>
      </c>
      <c r="V12" s="10"/>
      <c r="X12" s="1"/>
    </row>
    <row r="13" spans="1:24" x14ac:dyDescent="0.2">
      <c r="A13" s="33">
        <v>2000</v>
      </c>
      <c r="B13" s="30">
        <v>0</v>
      </c>
      <c r="C13" s="660">
        <f t="shared" si="0"/>
        <v>0</v>
      </c>
      <c r="D13" s="662">
        <f t="shared" si="1"/>
        <v>0</v>
      </c>
      <c r="E13" s="663">
        <f t="shared" si="2"/>
        <v>0</v>
      </c>
      <c r="F13" s="675">
        <f t="shared" si="3"/>
        <v>0</v>
      </c>
      <c r="G13" s="626">
        <v>0</v>
      </c>
      <c r="H13" s="72">
        <v>0</v>
      </c>
      <c r="I13" s="630">
        <v>0</v>
      </c>
      <c r="J13" s="61">
        <f t="shared" si="13"/>
        <v>0</v>
      </c>
      <c r="K13" s="188">
        <f t="shared" si="4"/>
        <v>0</v>
      </c>
      <c r="L13" s="188">
        <f t="shared" si="5"/>
        <v>0</v>
      </c>
      <c r="M13" s="188">
        <f t="shared" si="6"/>
        <v>0</v>
      </c>
      <c r="N13" s="54">
        <f t="shared" si="14"/>
        <v>0</v>
      </c>
      <c r="O13" s="670">
        <f t="shared" si="7"/>
        <v>0</v>
      </c>
      <c r="P13" s="670">
        <f t="shared" si="8"/>
        <v>0</v>
      </c>
      <c r="Q13" s="670">
        <f t="shared" si="9"/>
        <v>0</v>
      </c>
      <c r="R13" s="247">
        <f t="shared" si="15"/>
        <v>0</v>
      </c>
      <c r="S13" s="24">
        <f t="shared" si="10"/>
        <v>0</v>
      </c>
      <c r="T13" s="25">
        <f t="shared" si="11"/>
        <v>0</v>
      </c>
      <c r="U13" s="654">
        <f t="shared" si="12"/>
        <v>0</v>
      </c>
      <c r="V13" s="248"/>
      <c r="X13" s="1"/>
    </row>
    <row r="14" spans="1:24" x14ac:dyDescent="0.2">
      <c r="A14" s="33">
        <v>2001</v>
      </c>
      <c r="B14" s="30">
        <v>0</v>
      </c>
      <c r="C14" s="660">
        <f t="shared" si="0"/>
        <v>0</v>
      </c>
      <c r="D14" s="662">
        <f t="shared" si="1"/>
        <v>0</v>
      </c>
      <c r="E14" s="663">
        <f t="shared" si="2"/>
        <v>0</v>
      </c>
      <c r="F14" s="675">
        <f t="shared" si="3"/>
        <v>0</v>
      </c>
      <c r="G14" s="626">
        <v>0</v>
      </c>
      <c r="H14" s="72">
        <v>0</v>
      </c>
      <c r="I14" s="630">
        <v>0</v>
      </c>
      <c r="J14" s="61">
        <f t="shared" si="13"/>
        <v>0</v>
      </c>
      <c r="K14" s="188">
        <f t="shared" si="4"/>
        <v>0</v>
      </c>
      <c r="L14" s="188">
        <f t="shared" si="5"/>
        <v>0</v>
      </c>
      <c r="M14" s="188">
        <f t="shared" si="6"/>
        <v>0</v>
      </c>
      <c r="N14" s="54">
        <f t="shared" si="14"/>
        <v>0</v>
      </c>
      <c r="O14" s="670">
        <f t="shared" si="7"/>
        <v>0</v>
      </c>
      <c r="P14" s="670">
        <f t="shared" si="8"/>
        <v>0</v>
      </c>
      <c r="Q14" s="670">
        <f t="shared" si="9"/>
        <v>0</v>
      </c>
      <c r="R14" s="247">
        <f t="shared" si="15"/>
        <v>0</v>
      </c>
      <c r="S14" s="24">
        <f t="shared" si="10"/>
        <v>0</v>
      </c>
      <c r="T14" s="25">
        <f t="shared" si="11"/>
        <v>0</v>
      </c>
      <c r="U14" s="654">
        <f t="shared" si="12"/>
        <v>0</v>
      </c>
      <c r="V14" s="248"/>
      <c r="X14" s="1"/>
    </row>
    <row r="15" spans="1:24" x14ac:dyDescent="0.2">
      <c r="A15" s="33">
        <v>2002</v>
      </c>
      <c r="B15" s="30">
        <v>0</v>
      </c>
      <c r="C15" s="660">
        <f t="shared" si="0"/>
        <v>0</v>
      </c>
      <c r="D15" s="662">
        <f t="shared" si="1"/>
        <v>0</v>
      </c>
      <c r="E15" s="663">
        <f t="shared" si="2"/>
        <v>0</v>
      </c>
      <c r="F15" s="675">
        <f t="shared" si="3"/>
        <v>0</v>
      </c>
      <c r="G15" s="626">
        <v>0</v>
      </c>
      <c r="H15" s="72">
        <v>0</v>
      </c>
      <c r="I15" s="630">
        <v>0</v>
      </c>
      <c r="J15" s="61">
        <f t="shared" si="13"/>
        <v>0</v>
      </c>
      <c r="K15" s="188">
        <f t="shared" si="4"/>
        <v>0</v>
      </c>
      <c r="L15" s="188">
        <f t="shared" si="5"/>
        <v>0</v>
      </c>
      <c r="M15" s="188">
        <f t="shared" si="6"/>
        <v>0</v>
      </c>
      <c r="N15" s="54">
        <f t="shared" si="14"/>
        <v>0</v>
      </c>
      <c r="O15" s="670">
        <f t="shared" si="7"/>
        <v>0</v>
      </c>
      <c r="P15" s="670">
        <f t="shared" si="8"/>
        <v>0</v>
      </c>
      <c r="Q15" s="670">
        <f t="shared" si="9"/>
        <v>0</v>
      </c>
      <c r="R15" s="247">
        <f t="shared" si="15"/>
        <v>0</v>
      </c>
      <c r="S15" s="24">
        <f t="shared" si="10"/>
        <v>0</v>
      </c>
      <c r="T15" s="25">
        <f t="shared" si="11"/>
        <v>0</v>
      </c>
      <c r="U15" s="654">
        <f t="shared" si="12"/>
        <v>0</v>
      </c>
      <c r="V15" s="248"/>
      <c r="X15" s="1"/>
    </row>
    <row r="16" spans="1:24" x14ac:dyDescent="0.2">
      <c r="A16" s="33">
        <v>2003</v>
      </c>
      <c r="B16" s="30">
        <v>0</v>
      </c>
      <c r="C16" s="660">
        <f t="shared" si="0"/>
        <v>0</v>
      </c>
      <c r="D16" s="662">
        <f t="shared" si="1"/>
        <v>0</v>
      </c>
      <c r="E16" s="663">
        <f t="shared" si="2"/>
        <v>0</v>
      </c>
      <c r="F16" s="675">
        <f t="shared" si="3"/>
        <v>0</v>
      </c>
      <c r="G16" s="626">
        <v>0</v>
      </c>
      <c r="H16" s="72">
        <v>0</v>
      </c>
      <c r="I16" s="630">
        <v>0</v>
      </c>
      <c r="J16" s="61">
        <f t="shared" si="13"/>
        <v>0</v>
      </c>
      <c r="K16" s="188">
        <f t="shared" si="4"/>
        <v>0</v>
      </c>
      <c r="L16" s="188">
        <f t="shared" si="5"/>
        <v>0</v>
      </c>
      <c r="M16" s="188">
        <f t="shared" si="6"/>
        <v>0</v>
      </c>
      <c r="N16" s="54">
        <f t="shared" si="14"/>
        <v>0</v>
      </c>
      <c r="O16" s="670">
        <f t="shared" si="7"/>
        <v>0</v>
      </c>
      <c r="P16" s="670">
        <f t="shared" si="8"/>
        <v>0</v>
      </c>
      <c r="Q16" s="670">
        <f t="shared" si="9"/>
        <v>0</v>
      </c>
      <c r="R16" s="247">
        <f t="shared" si="15"/>
        <v>0</v>
      </c>
      <c r="S16" s="24">
        <f t="shared" si="10"/>
        <v>0</v>
      </c>
      <c r="T16" s="25">
        <f t="shared" si="11"/>
        <v>0</v>
      </c>
      <c r="U16" s="654">
        <f t="shared" si="12"/>
        <v>0</v>
      </c>
      <c r="V16" s="248"/>
      <c r="X16" s="1"/>
    </row>
    <row r="17" spans="1:24" x14ac:dyDescent="0.2">
      <c r="A17" s="33">
        <f t="shared" ref="A17:A54" si="16">+A16+1</f>
        <v>2004</v>
      </c>
      <c r="B17" s="30">
        <v>0</v>
      </c>
      <c r="C17" s="660">
        <f t="shared" si="0"/>
        <v>0</v>
      </c>
      <c r="D17" s="662">
        <f t="shared" si="1"/>
        <v>0</v>
      </c>
      <c r="E17" s="663">
        <f t="shared" si="2"/>
        <v>0</v>
      </c>
      <c r="F17" s="675">
        <f t="shared" si="3"/>
        <v>0</v>
      </c>
      <c r="G17" s="626">
        <v>0</v>
      </c>
      <c r="H17" s="72">
        <v>0</v>
      </c>
      <c r="I17" s="630">
        <v>0</v>
      </c>
      <c r="J17" s="61">
        <f t="shared" si="13"/>
        <v>0</v>
      </c>
      <c r="K17" s="188">
        <f t="shared" si="4"/>
        <v>0</v>
      </c>
      <c r="L17" s="188">
        <f t="shared" si="5"/>
        <v>0</v>
      </c>
      <c r="M17" s="188">
        <f t="shared" si="6"/>
        <v>0</v>
      </c>
      <c r="N17" s="54">
        <f t="shared" si="14"/>
        <v>0</v>
      </c>
      <c r="O17" s="670">
        <f t="shared" si="7"/>
        <v>0</v>
      </c>
      <c r="P17" s="670">
        <f t="shared" si="8"/>
        <v>0</v>
      </c>
      <c r="Q17" s="670">
        <f t="shared" si="9"/>
        <v>0</v>
      </c>
      <c r="R17" s="247">
        <f t="shared" si="15"/>
        <v>0</v>
      </c>
      <c r="S17" s="24">
        <f t="shared" si="10"/>
        <v>0</v>
      </c>
      <c r="T17" s="25">
        <f t="shared" si="11"/>
        <v>0</v>
      </c>
      <c r="U17" s="654">
        <f t="shared" si="12"/>
        <v>0</v>
      </c>
      <c r="V17" s="248"/>
      <c r="X17" s="1"/>
    </row>
    <row r="18" spans="1:24" x14ac:dyDescent="0.2">
      <c r="A18" s="33">
        <f t="shared" si="16"/>
        <v>2005</v>
      </c>
      <c r="B18" s="30">
        <v>0</v>
      </c>
      <c r="C18" s="660">
        <f t="shared" si="0"/>
        <v>0</v>
      </c>
      <c r="D18" s="662">
        <f t="shared" si="1"/>
        <v>0</v>
      </c>
      <c r="E18" s="663">
        <f t="shared" si="2"/>
        <v>0</v>
      </c>
      <c r="F18" s="675">
        <f t="shared" si="3"/>
        <v>0</v>
      </c>
      <c r="G18" s="626">
        <v>0</v>
      </c>
      <c r="H18" s="72">
        <v>0</v>
      </c>
      <c r="I18" s="630">
        <v>0</v>
      </c>
      <c r="J18" s="61">
        <f t="shared" si="13"/>
        <v>0</v>
      </c>
      <c r="K18" s="188">
        <f t="shared" si="4"/>
        <v>0</v>
      </c>
      <c r="L18" s="188">
        <f t="shared" si="5"/>
        <v>0</v>
      </c>
      <c r="M18" s="188">
        <f t="shared" si="6"/>
        <v>0</v>
      </c>
      <c r="N18" s="54">
        <f t="shared" si="14"/>
        <v>0</v>
      </c>
      <c r="O18" s="670">
        <f t="shared" si="7"/>
        <v>0</v>
      </c>
      <c r="P18" s="670">
        <f t="shared" si="8"/>
        <v>0</v>
      </c>
      <c r="Q18" s="670">
        <f t="shared" si="9"/>
        <v>0</v>
      </c>
      <c r="R18" s="247">
        <f t="shared" si="15"/>
        <v>0</v>
      </c>
      <c r="S18" s="24">
        <f t="shared" si="10"/>
        <v>0</v>
      </c>
      <c r="T18" s="25">
        <f t="shared" si="11"/>
        <v>0</v>
      </c>
      <c r="U18" s="654">
        <f t="shared" si="12"/>
        <v>0</v>
      </c>
      <c r="V18" s="248"/>
      <c r="X18" s="1"/>
    </row>
    <row r="19" spans="1:24" x14ac:dyDescent="0.2">
      <c r="A19" s="33">
        <f t="shared" si="16"/>
        <v>2006</v>
      </c>
      <c r="B19" s="30">
        <v>0</v>
      </c>
      <c r="C19" s="660">
        <f t="shared" si="0"/>
        <v>0</v>
      </c>
      <c r="D19" s="662">
        <f t="shared" si="1"/>
        <v>0</v>
      </c>
      <c r="E19" s="663">
        <f t="shared" si="2"/>
        <v>0</v>
      </c>
      <c r="F19" s="675">
        <f t="shared" si="3"/>
        <v>0</v>
      </c>
      <c r="G19" s="626">
        <v>0</v>
      </c>
      <c r="H19" s="72">
        <v>0</v>
      </c>
      <c r="I19" s="630">
        <v>0</v>
      </c>
      <c r="J19" s="61">
        <f t="shared" si="13"/>
        <v>0</v>
      </c>
      <c r="K19" s="188">
        <f t="shared" si="4"/>
        <v>0</v>
      </c>
      <c r="L19" s="188">
        <f t="shared" si="5"/>
        <v>0</v>
      </c>
      <c r="M19" s="188">
        <f t="shared" si="6"/>
        <v>0</v>
      </c>
      <c r="N19" s="54">
        <f t="shared" si="14"/>
        <v>0</v>
      </c>
      <c r="O19" s="670">
        <f t="shared" si="7"/>
        <v>0</v>
      </c>
      <c r="P19" s="670">
        <f t="shared" si="8"/>
        <v>0</v>
      </c>
      <c r="Q19" s="670">
        <f t="shared" si="9"/>
        <v>0</v>
      </c>
      <c r="R19" s="247">
        <f t="shared" si="15"/>
        <v>0</v>
      </c>
      <c r="S19" s="24">
        <f t="shared" si="10"/>
        <v>0</v>
      </c>
      <c r="T19" s="25">
        <f t="shared" si="11"/>
        <v>0</v>
      </c>
      <c r="U19" s="654">
        <f t="shared" si="12"/>
        <v>0</v>
      </c>
      <c r="V19" s="8"/>
      <c r="X19" s="1"/>
    </row>
    <row r="20" spans="1:24" x14ac:dyDescent="0.2">
      <c r="A20" s="33">
        <f t="shared" si="16"/>
        <v>2007</v>
      </c>
      <c r="B20" s="30">
        <v>0</v>
      </c>
      <c r="C20" s="660">
        <f t="shared" si="0"/>
        <v>0</v>
      </c>
      <c r="D20" s="662">
        <f>IF($B20=0,0,(G20*1000)/$B20)</f>
        <v>0</v>
      </c>
      <c r="E20" s="663">
        <f>IF($B20=0,0,(H20*1000)/$B20)</f>
        <v>0</v>
      </c>
      <c r="F20" s="675">
        <f>IF($B20=0,0,(I20*1000000)/$B20)</f>
        <v>0</v>
      </c>
      <c r="G20" s="626">
        <v>0</v>
      </c>
      <c r="H20" s="72">
        <v>0</v>
      </c>
      <c r="I20" s="630">
        <v>0</v>
      </c>
      <c r="J20" s="61">
        <f t="shared" si="13"/>
        <v>0</v>
      </c>
      <c r="K20" s="188">
        <f t="shared" si="4"/>
        <v>0</v>
      </c>
      <c r="L20" s="188">
        <f t="shared" si="5"/>
        <v>0</v>
      </c>
      <c r="M20" s="188">
        <f t="shared" si="6"/>
        <v>0</v>
      </c>
      <c r="N20" s="54">
        <f t="shared" si="14"/>
        <v>0</v>
      </c>
      <c r="O20" s="670">
        <f t="shared" si="7"/>
        <v>0</v>
      </c>
      <c r="P20" s="670">
        <f t="shared" si="8"/>
        <v>0</v>
      </c>
      <c r="Q20" s="670">
        <f t="shared" si="9"/>
        <v>0</v>
      </c>
      <c r="R20" s="247">
        <f t="shared" si="15"/>
        <v>0</v>
      </c>
      <c r="S20" s="24">
        <f t="shared" si="10"/>
        <v>0</v>
      </c>
      <c r="T20" s="25">
        <f t="shared" si="11"/>
        <v>0</v>
      </c>
      <c r="U20" s="654">
        <f t="shared" si="12"/>
        <v>0</v>
      </c>
    </row>
    <row r="21" spans="1:24" x14ac:dyDescent="0.2">
      <c r="A21" s="33">
        <f t="shared" si="16"/>
        <v>2008</v>
      </c>
      <c r="B21" s="30">
        <v>3</v>
      </c>
      <c r="C21" s="660">
        <f t="shared" si="0"/>
        <v>3</v>
      </c>
      <c r="D21" s="662">
        <v>63.17</v>
      </c>
      <c r="E21" s="663">
        <v>39.94</v>
      </c>
      <c r="F21" s="617">
        <v>216545</v>
      </c>
      <c r="G21" s="626">
        <f>+$B21*D21/1000</f>
        <v>0.18950999999999998</v>
      </c>
      <c r="H21" s="72">
        <f>+$B21*E21/1000</f>
        <v>0.11982</v>
      </c>
      <c r="I21" s="630">
        <f>+$B21*F21/1000000</f>
        <v>0.64963499999999996</v>
      </c>
      <c r="J21" s="61">
        <f t="shared" si="13"/>
        <v>1.5</v>
      </c>
      <c r="K21" s="188">
        <f t="shared" si="4"/>
        <v>63.17</v>
      </c>
      <c r="L21" s="188">
        <f t="shared" si="5"/>
        <v>9.4754999999999992E-2</v>
      </c>
      <c r="M21" s="188">
        <f t="shared" si="6"/>
        <v>9.4754999999999992E-2</v>
      </c>
      <c r="N21" s="54">
        <f t="shared" si="14"/>
        <v>0</v>
      </c>
      <c r="O21" s="670">
        <f t="shared" si="7"/>
        <v>39.94</v>
      </c>
      <c r="P21" s="670">
        <f t="shared" si="8"/>
        <v>0</v>
      </c>
      <c r="Q21" s="670">
        <f t="shared" si="9"/>
        <v>0</v>
      </c>
      <c r="R21" s="247">
        <f t="shared" si="15"/>
        <v>1.5</v>
      </c>
      <c r="S21" s="24">
        <f t="shared" si="10"/>
        <v>216545</v>
      </c>
      <c r="T21" s="25">
        <f t="shared" si="11"/>
        <v>0.32481749999999998</v>
      </c>
      <c r="U21" s="654">
        <f t="shared" si="12"/>
        <v>0.32481749999999998</v>
      </c>
    </row>
    <row r="22" spans="1:24" x14ac:dyDescent="0.2">
      <c r="A22" s="33">
        <f t="shared" si="16"/>
        <v>2009</v>
      </c>
      <c r="B22" s="30">
        <v>17</v>
      </c>
      <c r="C22" s="660">
        <f t="shared" si="0"/>
        <v>20</v>
      </c>
      <c r="D22" s="662">
        <v>48.86</v>
      </c>
      <c r="E22" s="663">
        <v>35.776470588235298</v>
      </c>
      <c r="F22" s="617">
        <v>135855.9411764706</v>
      </c>
      <c r="G22" s="626">
        <f t="shared" ref="G22:G39" si="17">+$B22*D22/1000</f>
        <v>0.83062000000000002</v>
      </c>
      <c r="H22" s="72">
        <f t="shared" ref="H22:H39" si="18">+$B22*E22/1000</f>
        <v>0.60820000000000007</v>
      </c>
      <c r="I22" s="630">
        <f t="shared" ref="I22:I39" si="19">+$B22*F22/1000000</f>
        <v>2.3095509999999999</v>
      </c>
      <c r="J22" s="61">
        <f t="shared" si="13"/>
        <v>10</v>
      </c>
      <c r="K22" s="188">
        <f t="shared" si="4"/>
        <v>48.86</v>
      </c>
      <c r="L22" s="188">
        <f t="shared" si="5"/>
        <v>0.48860000000000003</v>
      </c>
      <c r="M22" s="188">
        <f t="shared" si="6"/>
        <v>0.58335500000000007</v>
      </c>
      <c r="N22" s="54">
        <f t="shared" si="14"/>
        <v>3</v>
      </c>
      <c r="O22" s="670">
        <f t="shared" si="7"/>
        <v>35.776470588235298</v>
      </c>
      <c r="P22" s="670">
        <f t="shared" si="8"/>
        <v>0.1073294117647059</v>
      </c>
      <c r="Q22" s="670">
        <f t="shared" si="9"/>
        <v>0.1073294117647059</v>
      </c>
      <c r="R22" s="247">
        <f t="shared" si="15"/>
        <v>10</v>
      </c>
      <c r="S22" s="24">
        <f t="shared" si="10"/>
        <v>135855.9411764706</v>
      </c>
      <c r="T22" s="25">
        <f t="shared" si="11"/>
        <v>1.358559411764706</v>
      </c>
      <c r="U22" s="654">
        <f t="shared" si="12"/>
        <v>1.6833769117647059</v>
      </c>
    </row>
    <row r="23" spans="1:24" x14ac:dyDescent="0.2">
      <c r="A23" s="33">
        <f t="shared" si="16"/>
        <v>2010</v>
      </c>
      <c r="B23" s="30">
        <v>4</v>
      </c>
      <c r="C23" s="661">
        <f t="shared" si="0"/>
        <v>24</v>
      </c>
      <c r="D23" s="662">
        <v>30.08</v>
      </c>
      <c r="E23" s="663">
        <v>21.25</v>
      </c>
      <c r="F23" s="617">
        <v>77229</v>
      </c>
      <c r="G23" s="626">
        <f t="shared" si="17"/>
        <v>0.12032</v>
      </c>
      <c r="H23" s="72">
        <f t="shared" si="18"/>
        <v>8.5000000000000006E-2</v>
      </c>
      <c r="I23" s="630">
        <f t="shared" si="19"/>
        <v>0.30891600000000002</v>
      </c>
      <c r="J23" s="666">
        <f t="shared" si="13"/>
        <v>10.5</v>
      </c>
      <c r="K23" s="188">
        <f t="shared" si="4"/>
        <v>30.08</v>
      </c>
      <c r="L23" s="188">
        <f t="shared" si="5"/>
        <v>0.31583999999999995</v>
      </c>
      <c r="M23" s="188">
        <f t="shared" si="6"/>
        <v>0.89919499999999997</v>
      </c>
      <c r="N23" s="669">
        <f t="shared" si="14"/>
        <v>17</v>
      </c>
      <c r="O23" s="670">
        <f t="shared" si="7"/>
        <v>21.25</v>
      </c>
      <c r="P23" s="670">
        <f t="shared" si="8"/>
        <v>0.36125000000000002</v>
      </c>
      <c r="Q23" s="670">
        <f t="shared" si="9"/>
        <v>0.46857941176470591</v>
      </c>
      <c r="R23" s="247">
        <f t="shared" si="15"/>
        <v>10.5</v>
      </c>
      <c r="S23" s="24">
        <f t="shared" si="10"/>
        <v>77229</v>
      </c>
      <c r="T23" s="25">
        <f t="shared" si="11"/>
        <v>0.81090450000000003</v>
      </c>
      <c r="U23" s="654">
        <f t="shared" si="12"/>
        <v>2.4942814117647059</v>
      </c>
    </row>
    <row r="24" spans="1:24" x14ac:dyDescent="0.2">
      <c r="A24" s="33">
        <f t="shared" si="16"/>
        <v>2011</v>
      </c>
      <c r="B24" s="30">
        <v>3</v>
      </c>
      <c r="C24" s="661">
        <f t="shared" si="0"/>
        <v>27</v>
      </c>
      <c r="D24" s="662">
        <v>34.369999999999997</v>
      </c>
      <c r="E24" s="663">
        <v>30</v>
      </c>
      <c r="F24" s="617">
        <v>133610</v>
      </c>
      <c r="G24" s="626">
        <f t="shared" si="17"/>
        <v>0.10310999999999998</v>
      </c>
      <c r="H24" s="72">
        <f t="shared" si="18"/>
        <v>0.09</v>
      </c>
      <c r="I24" s="630">
        <f t="shared" si="19"/>
        <v>0.40083000000000002</v>
      </c>
      <c r="J24" s="666">
        <f t="shared" si="13"/>
        <v>3.5</v>
      </c>
      <c r="K24" s="188">
        <f t="shared" si="4"/>
        <v>34.369999999999997</v>
      </c>
      <c r="L24" s="188">
        <f t="shared" si="5"/>
        <v>0.12029499999999999</v>
      </c>
      <c r="M24" s="188">
        <f t="shared" si="6"/>
        <v>1.01949</v>
      </c>
      <c r="N24" s="669">
        <f t="shared" si="14"/>
        <v>4</v>
      </c>
      <c r="O24" s="670">
        <f t="shared" si="7"/>
        <v>30</v>
      </c>
      <c r="P24" s="670">
        <f t="shared" si="8"/>
        <v>0.12</v>
      </c>
      <c r="Q24" s="670">
        <f t="shared" si="9"/>
        <v>0.58857941176470585</v>
      </c>
      <c r="R24" s="247">
        <f t="shared" si="15"/>
        <v>3.5</v>
      </c>
      <c r="S24" s="24">
        <f t="shared" si="10"/>
        <v>133610</v>
      </c>
      <c r="T24" s="25">
        <f t="shared" si="11"/>
        <v>0.46763500000000002</v>
      </c>
      <c r="U24" s="654">
        <f t="shared" si="12"/>
        <v>2.9619164117647059</v>
      </c>
    </row>
    <row r="25" spans="1:24" x14ac:dyDescent="0.2">
      <c r="A25" s="33">
        <f t="shared" si="16"/>
        <v>2012</v>
      </c>
      <c r="B25" s="30">
        <v>4</v>
      </c>
      <c r="C25" s="661">
        <f t="shared" si="0"/>
        <v>31</v>
      </c>
      <c r="D25" s="662">
        <v>39.200000000000003</v>
      </c>
      <c r="E25" s="663">
        <v>0</v>
      </c>
      <c r="F25" s="617">
        <v>60890</v>
      </c>
      <c r="G25" s="626">
        <f t="shared" si="17"/>
        <v>0.15680000000000002</v>
      </c>
      <c r="H25" s="72">
        <f t="shared" si="18"/>
        <v>0</v>
      </c>
      <c r="I25" s="630">
        <f t="shared" si="19"/>
        <v>0.24356</v>
      </c>
      <c r="J25" s="666">
        <f t="shared" si="13"/>
        <v>3.5</v>
      </c>
      <c r="K25" s="188">
        <f t="shared" si="4"/>
        <v>39.200000000000003</v>
      </c>
      <c r="L25" s="188">
        <f t="shared" si="5"/>
        <v>0.13720000000000002</v>
      </c>
      <c r="M25" s="188">
        <f t="shared" si="6"/>
        <v>1.15669</v>
      </c>
      <c r="N25" s="669">
        <f t="shared" si="14"/>
        <v>3</v>
      </c>
      <c r="O25" s="670">
        <f t="shared" si="7"/>
        <v>0</v>
      </c>
      <c r="P25" s="670">
        <f t="shared" si="8"/>
        <v>0</v>
      </c>
      <c r="Q25" s="670">
        <f t="shared" si="9"/>
        <v>0.58857941176470585</v>
      </c>
      <c r="R25" s="247">
        <f t="shared" si="15"/>
        <v>3.5</v>
      </c>
      <c r="S25" s="24">
        <f t="shared" si="10"/>
        <v>60890</v>
      </c>
      <c r="T25" s="25">
        <f t="shared" si="11"/>
        <v>0.213115</v>
      </c>
      <c r="U25" s="654">
        <f t="shared" si="12"/>
        <v>3.175031411764706</v>
      </c>
    </row>
    <row r="26" spans="1:24" s="831" customFormat="1" ht="12" customHeight="1" x14ac:dyDescent="0.2">
      <c r="A26" s="33">
        <f t="shared" si="16"/>
        <v>2013</v>
      </c>
      <c r="B26" s="30">
        <v>8</v>
      </c>
      <c r="C26" s="619">
        <f t="shared" si="0"/>
        <v>39</v>
      </c>
      <c r="D26" s="807">
        <v>19.010000000000002</v>
      </c>
      <c r="E26" s="808">
        <f t="shared" ref="E26:E54" si="20">+E25</f>
        <v>0</v>
      </c>
      <c r="F26" s="806">
        <v>43056</v>
      </c>
      <c r="G26" s="626">
        <f t="shared" si="17"/>
        <v>0.15208000000000002</v>
      </c>
      <c r="H26" s="72">
        <f t="shared" si="18"/>
        <v>0</v>
      </c>
      <c r="I26" s="630">
        <f t="shared" si="19"/>
        <v>0.34444799999999998</v>
      </c>
      <c r="J26" s="666">
        <f t="shared" si="13"/>
        <v>6</v>
      </c>
      <c r="K26" s="188">
        <f t="shared" si="4"/>
        <v>19.010000000000002</v>
      </c>
      <c r="L26" s="188">
        <f t="shared" si="5"/>
        <v>0.11406000000000001</v>
      </c>
      <c r="M26" s="829">
        <f t="shared" si="6"/>
        <v>1.27075</v>
      </c>
      <c r="N26" s="669">
        <f t="shared" si="14"/>
        <v>4</v>
      </c>
      <c r="O26" s="670">
        <f t="shared" si="7"/>
        <v>0</v>
      </c>
      <c r="P26" s="670">
        <f t="shared" si="8"/>
        <v>0</v>
      </c>
      <c r="Q26" s="671">
        <f t="shared" si="9"/>
        <v>0.58857941176470585</v>
      </c>
      <c r="R26" s="247">
        <f t="shared" si="15"/>
        <v>6</v>
      </c>
      <c r="S26" s="24">
        <f t="shared" si="10"/>
        <v>43056</v>
      </c>
      <c r="T26" s="25">
        <f t="shared" si="11"/>
        <v>0.25833600000000001</v>
      </c>
      <c r="U26" s="654">
        <f t="shared" si="12"/>
        <v>3.4333674117647059</v>
      </c>
      <c r="V26" s="830"/>
    </row>
    <row r="27" spans="1:24" s="831" customFormat="1" ht="12" customHeight="1" x14ac:dyDescent="0.2">
      <c r="A27" s="33">
        <f t="shared" si="16"/>
        <v>2014</v>
      </c>
      <c r="B27" s="30">
        <v>10</v>
      </c>
      <c r="C27" s="619">
        <f t="shared" si="0"/>
        <v>49</v>
      </c>
      <c r="D27" s="807">
        <v>15.3</v>
      </c>
      <c r="E27" s="808">
        <v>11.22</v>
      </c>
      <c r="F27" s="806">
        <v>30777</v>
      </c>
      <c r="G27" s="626">
        <f t="shared" si="17"/>
        <v>0.153</v>
      </c>
      <c r="H27" s="72">
        <f t="shared" si="18"/>
        <v>0.11220000000000001</v>
      </c>
      <c r="I27" s="630">
        <f t="shared" si="19"/>
        <v>0.30776999999999999</v>
      </c>
      <c r="J27" s="666">
        <f t="shared" si="13"/>
        <v>9</v>
      </c>
      <c r="K27" s="188">
        <f t="shared" si="4"/>
        <v>15.3</v>
      </c>
      <c r="L27" s="188">
        <f t="shared" si="5"/>
        <v>0.13770000000000002</v>
      </c>
      <c r="M27" s="829">
        <f t="shared" si="6"/>
        <v>1.40845</v>
      </c>
      <c r="N27" s="669">
        <f t="shared" si="14"/>
        <v>8</v>
      </c>
      <c r="O27" s="670">
        <f t="shared" si="7"/>
        <v>11.22</v>
      </c>
      <c r="P27" s="670">
        <f t="shared" si="8"/>
        <v>8.9760000000000006E-2</v>
      </c>
      <c r="Q27" s="671">
        <f t="shared" si="9"/>
        <v>0.67833941176470591</v>
      </c>
      <c r="R27" s="247">
        <f t="shared" si="15"/>
        <v>9</v>
      </c>
      <c r="S27" s="24">
        <f t="shared" si="10"/>
        <v>30777</v>
      </c>
      <c r="T27" s="25">
        <f t="shared" si="11"/>
        <v>0.27699299999999999</v>
      </c>
      <c r="U27" s="654">
        <f t="shared" si="12"/>
        <v>3.710360411764706</v>
      </c>
      <c r="V27" s="830"/>
    </row>
    <row r="28" spans="1:24" s="831" customFormat="1" ht="12" customHeight="1" x14ac:dyDescent="0.2">
      <c r="A28" s="33">
        <f t="shared" si="16"/>
        <v>2015</v>
      </c>
      <c r="B28" s="30">
        <v>7</v>
      </c>
      <c r="C28" s="619">
        <f t="shared" si="0"/>
        <v>56</v>
      </c>
      <c r="D28" s="807">
        <v>25.06</v>
      </c>
      <c r="E28" s="808">
        <v>18.920000000000002</v>
      </c>
      <c r="F28" s="806">
        <v>58302</v>
      </c>
      <c r="G28" s="626">
        <f t="shared" si="17"/>
        <v>0.17541999999999999</v>
      </c>
      <c r="H28" s="72">
        <f t="shared" si="18"/>
        <v>0.13244</v>
      </c>
      <c r="I28" s="630">
        <f t="shared" si="19"/>
        <v>0.40811399999999998</v>
      </c>
      <c r="J28" s="666">
        <f t="shared" si="13"/>
        <v>8.5</v>
      </c>
      <c r="K28" s="188">
        <f t="shared" si="4"/>
        <v>25.06</v>
      </c>
      <c r="L28" s="188">
        <f t="shared" si="5"/>
        <v>0.21300999999999998</v>
      </c>
      <c r="M28" s="829">
        <f t="shared" si="6"/>
        <v>1.6214599999999999</v>
      </c>
      <c r="N28" s="669">
        <f t="shared" si="14"/>
        <v>10</v>
      </c>
      <c r="O28" s="670">
        <f t="shared" si="7"/>
        <v>18.920000000000002</v>
      </c>
      <c r="P28" s="670">
        <f t="shared" si="8"/>
        <v>0.18920000000000001</v>
      </c>
      <c r="Q28" s="671">
        <f t="shared" si="9"/>
        <v>0.86753941176470595</v>
      </c>
      <c r="R28" s="247">
        <f t="shared" si="15"/>
        <v>8.5</v>
      </c>
      <c r="S28" s="24">
        <f t="shared" si="10"/>
        <v>58302</v>
      </c>
      <c r="T28" s="25">
        <f t="shared" si="11"/>
        <v>0.49556699999999998</v>
      </c>
      <c r="U28" s="654">
        <f t="shared" si="12"/>
        <v>4.2059274117647059</v>
      </c>
      <c r="V28" s="830"/>
    </row>
    <row r="29" spans="1:24" ht="12" customHeight="1" thickBot="1" x14ac:dyDescent="0.25">
      <c r="A29" s="701">
        <f t="shared" si="16"/>
        <v>2016</v>
      </c>
      <c r="B29" s="702">
        <v>5</v>
      </c>
      <c r="C29" s="703">
        <f t="shared" si="0"/>
        <v>61</v>
      </c>
      <c r="D29" s="835">
        <v>17.05</v>
      </c>
      <c r="E29" s="836">
        <v>12.79</v>
      </c>
      <c r="F29" s="705">
        <v>47887</v>
      </c>
      <c r="G29" s="823">
        <f t="shared" si="17"/>
        <v>8.5250000000000006E-2</v>
      </c>
      <c r="H29" s="707">
        <f t="shared" si="18"/>
        <v>6.3949999999999993E-2</v>
      </c>
      <c r="I29" s="824">
        <f t="shared" si="19"/>
        <v>0.23943500000000001</v>
      </c>
      <c r="J29" s="880">
        <f t="shared" si="13"/>
        <v>6</v>
      </c>
      <c r="K29" s="825">
        <f t="shared" si="4"/>
        <v>17.05</v>
      </c>
      <c r="L29" s="825">
        <f t="shared" si="5"/>
        <v>0.10230000000000002</v>
      </c>
      <c r="M29" s="826">
        <f t="shared" si="6"/>
        <v>1.72376</v>
      </c>
      <c r="N29" s="881">
        <f t="shared" si="14"/>
        <v>7</v>
      </c>
      <c r="O29" s="827">
        <f t="shared" si="7"/>
        <v>12.79</v>
      </c>
      <c r="P29" s="827">
        <f t="shared" si="8"/>
        <v>8.9529999999999998E-2</v>
      </c>
      <c r="Q29" s="828">
        <f t="shared" si="9"/>
        <v>0.95706941176470595</v>
      </c>
      <c r="R29" s="714">
        <f t="shared" si="15"/>
        <v>6</v>
      </c>
      <c r="S29" s="715">
        <f t="shared" si="10"/>
        <v>47887</v>
      </c>
      <c r="T29" s="716">
        <f t="shared" si="11"/>
        <v>0.28732200000000002</v>
      </c>
      <c r="U29" s="717">
        <f t="shared" si="12"/>
        <v>4.4932494117647055</v>
      </c>
    </row>
    <row r="30" spans="1:24" ht="12" customHeight="1" x14ac:dyDescent="0.2">
      <c r="A30" s="33">
        <f t="shared" si="16"/>
        <v>2017</v>
      </c>
      <c r="B30" s="787">
        <v>5</v>
      </c>
      <c r="C30" s="565">
        <f t="shared" si="0"/>
        <v>66</v>
      </c>
      <c r="D30" s="965">
        <f t="shared" ref="D30:D54" si="21">+D29</f>
        <v>17.05</v>
      </c>
      <c r="E30" s="966">
        <f t="shared" si="20"/>
        <v>12.79</v>
      </c>
      <c r="F30" s="790">
        <f t="shared" ref="F30:F54" si="22">+F29</f>
        <v>47887</v>
      </c>
      <c r="G30" s="473">
        <f t="shared" si="17"/>
        <v>8.5250000000000006E-2</v>
      </c>
      <c r="H30" s="474">
        <f t="shared" si="18"/>
        <v>6.3949999999999993E-2</v>
      </c>
      <c r="I30" s="474">
        <f t="shared" si="19"/>
        <v>0.23943500000000001</v>
      </c>
      <c r="J30" s="61">
        <f t="shared" si="13"/>
        <v>5</v>
      </c>
      <c r="K30" s="967">
        <f t="shared" si="4"/>
        <v>17.05</v>
      </c>
      <c r="L30" s="967">
        <f t="shared" si="5"/>
        <v>8.5250000000000006E-2</v>
      </c>
      <c r="M30" s="967">
        <f t="shared" si="6"/>
        <v>1.80901</v>
      </c>
      <c r="N30" s="54">
        <f t="shared" si="14"/>
        <v>5</v>
      </c>
      <c r="O30" s="968">
        <f t="shared" si="7"/>
        <v>12.79</v>
      </c>
      <c r="P30" s="968">
        <f t="shared" si="8"/>
        <v>6.3949999999999993E-2</v>
      </c>
      <c r="Q30" s="969">
        <f t="shared" si="9"/>
        <v>1.021019411764706</v>
      </c>
      <c r="R30" s="247">
        <f t="shared" si="15"/>
        <v>5</v>
      </c>
      <c r="S30" s="24">
        <f t="shared" si="10"/>
        <v>47887</v>
      </c>
      <c r="T30" s="970">
        <f t="shared" si="11"/>
        <v>0.23943500000000001</v>
      </c>
      <c r="U30" s="971">
        <f t="shared" si="12"/>
        <v>4.7326844117647058</v>
      </c>
    </row>
    <row r="31" spans="1:24" x14ac:dyDescent="0.2">
      <c r="A31" s="33">
        <f t="shared" si="16"/>
        <v>2018</v>
      </c>
      <c r="B31" s="787">
        <v>5</v>
      </c>
      <c r="C31" s="565">
        <f t="shared" si="0"/>
        <v>71</v>
      </c>
      <c r="D31" s="965">
        <f t="shared" si="21"/>
        <v>17.05</v>
      </c>
      <c r="E31" s="966">
        <f t="shared" si="20"/>
        <v>12.79</v>
      </c>
      <c r="F31" s="790">
        <f t="shared" si="22"/>
        <v>47887</v>
      </c>
      <c r="G31" s="473">
        <f t="shared" si="17"/>
        <v>8.5250000000000006E-2</v>
      </c>
      <c r="H31" s="474">
        <f t="shared" si="18"/>
        <v>6.3949999999999993E-2</v>
      </c>
      <c r="I31" s="474">
        <f t="shared" si="19"/>
        <v>0.23943500000000001</v>
      </c>
      <c r="J31" s="61">
        <f t="shared" si="13"/>
        <v>5</v>
      </c>
      <c r="K31" s="967">
        <f t="shared" si="4"/>
        <v>17.05</v>
      </c>
      <c r="L31" s="967">
        <f t="shared" si="5"/>
        <v>8.5250000000000006E-2</v>
      </c>
      <c r="M31" s="967">
        <f t="shared" si="6"/>
        <v>1.8942600000000001</v>
      </c>
      <c r="N31" s="54">
        <f t="shared" si="14"/>
        <v>5</v>
      </c>
      <c r="O31" s="968">
        <f t="shared" si="7"/>
        <v>12.79</v>
      </c>
      <c r="P31" s="968">
        <f t="shared" si="8"/>
        <v>6.3949999999999993E-2</v>
      </c>
      <c r="Q31" s="969">
        <f t="shared" si="9"/>
        <v>1.084969411764706</v>
      </c>
      <c r="R31" s="247">
        <f t="shared" si="15"/>
        <v>5</v>
      </c>
      <c r="S31" s="24">
        <f t="shared" si="10"/>
        <v>47887</v>
      </c>
      <c r="T31" s="970">
        <f t="shared" si="11"/>
        <v>0.23943500000000001</v>
      </c>
      <c r="U31" s="971">
        <f t="shared" si="12"/>
        <v>4.9721194117647061</v>
      </c>
    </row>
    <row r="32" spans="1:24" x14ac:dyDescent="0.2">
      <c r="A32" s="33">
        <f t="shared" si="16"/>
        <v>2019</v>
      </c>
      <c r="B32" s="787">
        <v>5</v>
      </c>
      <c r="C32" s="565">
        <f t="shared" si="0"/>
        <v>76</v>
      </c>
      <c r="D32" s="965">
        <f t="shared" si="21"/>
        <v>17.05</v>
      </c>
      <c r="E32" s="966">
        <f t="shared" si="20"/>
        <v>12.79</v>
      </c>
      <c r="F32" s="790">
        <f t="shared" si="22"/>
        <v>47887</v>
      </c>
      <c r="G32" s="473">
        <f t="shared" si="17"/>
        <v>8.5250000000000006E-2</v>
      </c>
      <c r="H32" s="474">
        <f t="shared" si="18"/>
        <v>6.3949999999999993E-2</v>
      </c>
      <c r="I32" s="474">
        <f t="shared" si="19"/>
        <v>0.23943500000000001</v>
      </c>
      <c r="J32" s="61">
        <f t="shared" si="13"/>
        <v>5</v>
      </c>
      <c r="K32" s="967">
        <f t="shared" si="4"/>
        <v>17.05</v>
      </c>
      <c r="L32" s="967">
        <f t="shared" si="5"/>
        <v>8.5250000000000006E-2</v>
      </c>
      <c r="M32" s="967">
        <f t="shared" si="6"/>
        <v>1.9795100000000001</v>
      </c>
      <c r="N32" s="54">
        <f t="shared" si="14"/>
        <v>5</v>
      </c>
      <c r="O32" s="968">
        <f t="shared" si="7"/>
        <v>12.79</v>
      </c>
      <c r="P32" s="968">
        <f t="shared" si="8"/>
        <v>6.3949999999999993E-2</v>
      </c>
      <c r="Q32" s="969">
        <f t="shared" si="9"/>
        <v>1.1489194117647059</v>
      </c>
      <c r="R32" s="247">
        <f t="shared" si="15"/>
        <v>5</v>
      </c>
      <c r="S32" s="24">
        <f t="shared" si="10"/>
        <v>47887</v>
      </c>
      <c r="T32" s="970">
        <f t="shared" si="11"/>
        <v>0.23943500000000001</v>
      </c>
      <c r="U32" s="971">
        <f t="shared" si="12"/>
        <v>5.2115544117647064</v>
      </c>
    </row>
    <row r="33" spans="1:21" x14ac:dyDescent="0.2">
      <c r="A33" s="33">
        <f t="shared" si="16"/>
        <v>2020</v>
      </c>
      <c r="B33" s="787">
        <v>5</v>
      </c>
      <c r="C33" s="565">
        <f t="shared" si="0"/>
        <v>81</v>
      </c>
      <c r="D33" s="965">
        <f t="shared" si="21"/>
        <v>17.05</v>
      </c>
      <c r="E33" s="966">
        <f t="shared" si="20"/>
        <v>12.79</v>
      </c>
      <c r="F33" s="790">
        <f t="shared" si="22"/>
        <v>47887</v>
      </c>
      <c r="G33" s="473">
        <f t="shared" si="17"/>
        <v>8.5250000000000006E-2</v>
      </c>
      <c r="H33" s="474">
        <f t="shared" si="18"/>
        <v>6.3949999999999993E-2</v>
      </c>
      <c r="I33" s="474">
        <f t="shared" si="19"/>
        <v>0.23943500000000001</v>
      </c>
      <c r="J33" s="61">
        <f t="shared" si="13"/>
        <v>5</v>
      </c>
      <c r="K33" s="967">
        <f t="shared" si="4"/>
        <v>17.05</v>
      </c>
      <c r="L33" s="967">
        <f t="shared" si="5"/>
        <v>8.5250000000000006E-2</v>
      </c>
      <c r="M33" s="967">
        <f t="shared" si="6"/>
        <v>2.0647600000000002</v>
      </c>
      <c r="N33" s="54">
        <f t="shared" si="14"/>
        <v>5</v>
      </c>
      <c r="O33" s="968">
        <f t="shared" si="7"/>
        <v>12.79</v>
      </c>
      <c r="P33" s="968">
        <f t="shared" si="8"/>
        <v>6.3949999999999993E-2</v>
      </c>
      <c r="Q33" s="969">
        <f t="shared" si="9"/>
        <v>1.2128694117647059</v>
      </c>
      <c r="R33" s="247">
        <f t="shared" si="15"/>
        <v>5</v>
      </c>
      <c r="S33" s="24">
        <f t="shared" si="10"/>
        <v>47887</v>
      </c>
      <c r="T33" s="970">
        <f t="shared" si="11"/>
        <v>0.23943500000000001</v>
      </c>
      <c r="U33" s="971">
        <f t="shared" si="12"/>
        <v>5.4509894117647066</v>
      </c>
    </row>
    <row r="34" spans="1:21" x14ac:dyDescent="0.2">
      <c r="A34" s="33">
        <f t="shared" si="16"/>
        <v>2021</v>
      </c>
      <c r="B34" s="787">
        <v>5</v>
      </c>
      <c r="C34" s="565">
        <f t="shared" si="0"/>
        <v>86</v>
      </c>
      <c r="D34" s="965">
        <f t="shared" si="21"/>
        <v>17.05</v>
      </c>
      <c r="E34" s="966">
        <f t="shared" si="20"/>
        <v>12.79</v>
      </c>
      <c r="F34" s="790">
        <f t="shared" si="22"/>
        <v>47887</v>
      </c>
      <c r="G34" s="473">
        <f t="shared" si="17"/>
        <v>8.5250000000000006E-2</v>
      </c>
      <c r="H34" s="474">
        <f t="shared" si="18"/>
        <v>6.3949999999999993E-2</v>
      </c>
      <c r="I34" s="474">
        <f t="shared" si="19"/>
        <v>0.23943500000000001</v>
      </c>
      <c r="J34" s="61">
        <f t="shared" si="13"/>
        <v>5</v>
      </c>
      <c r="K34" s="967">
        <f t="shared" si="4"/>
        <v>17.05</v>
      </c>
      <c r="L34" s="967">
        <f t="shared" si="5"/>
        <v>8.5250000000000006E-2</v>
      </c>
      <c r="M34" s="967">
        <f t="shared" si="6"/>
        <v>2.15001</v>
      </c>
      <c r="N34" s="54">
        <f t="shared" si="14"/>
        <v>5</v>
      </c>
      <c r="O34" s="968">
        <f t="shared" si="7"/>
        <v>12.79</v>
      </c>
      <c r="P34" s="968">
        <f t="shared" si="8"/>
        <v>6.3949999999999993E-2</v>
      </c>
      <c r="Q34" s="969">
        <f t="shared" si="9"/>
        <v>1.2768194117647058</v>
      </c>
      <c r="R34" s="247">
        <f t="shared" si="15"/>
        <v>5</v>
      </c>
      <c r="S34" s="24">
        <f t="shared" si="10"/>
        <v>47887</v>
      </c>
      <c r="T34" s="970">
        <f t="shared" si="11"/>
        <v>0.23943500000000001</v>
      </c>
      <c r="U34" s="971">
        <f t="shared" si="12"/>
        <v>5.6904244117647069</v>
      </c>
    </row>
    <row r="35" spans="1:21" x14ac:dyDescent="0.2">
      <c r="A35" s="33">
        <f t="shared" si="16"/>
        <v>2022</v>
      </c>
      <c r="B35" s="787">
        <v>5</v>
      </c>
      <c r="C35" s="565">
        <f t="shared" si="0"/>
        <v>91</v>
      </c>
      <c r="D35" s="965">
        <f t="shared" si="21"/>
        <v>17.05</v>
      </c>
      <c r="E35" s="966">
        <f t="shared" si="20"/>
        <v>12.79</v>
      </c>
      <c r="F35" s="790">
        <f t="shared" si="22"/>
        <v>47887</v>
      </c>
      <c r="G35" s="473">
        <f t="shared" si="17"/>
        <v>8.5250000000000006E-2</v>
      </c>
      <c r="H35" s="474">
        <f t="shared" si="18"/>
        <v>6.3949999999999993E-2</v>
      </c>
      <c r="I35" s="474">
        <f t="shared" si="19"/>
        <v>0.23943500000000001</v>
      </c>
      <c r="J35" s="61">
        <f t="shared" si="13"/>
        <v>5</v>
      </c>
      <c r="K35" s="967">
        <f t="shared" si="4"/>
        <v>17.05</v>
      </c>
      <c r="L35" s="967">
        <f t="shared" si="5"/>
        <v>8.5250000000000006E-2</v>
      </c>
      <c r="M35" s="967">
        <f t="shared" si="6"/>
        <v>2.2352599999999998</v>
      </c>
      <c r="N35" s="54">
        <f t="shared" si="14"/>
        <v>5</v>
      </c>
      <c r="O35" s="968">
        <f t="shared" si="7"/>
        <v>12.79</v>
      </c>
      <c r="P35" s="968">
        <f t="shared" si="8"/>
        <v>6.3949999999999993E-2</v>
      </c>
      <c r="Q35" s="969">
        <f t="shared" si="9"/>
        <v>1.3407694117647058</v>
      </c>
      <c r="R35" s="247">
        <f t="shared" si="15"/>
        <v>5</v>
      </c>
      <c r="S35" s="24">
        <f t="shared" si="10"/>
        <v>47887</v>
      </c>
      <c r="T35" s="970">
        <f t="shared" si="11"/>
        <v>0.23943500000000001</v>
      </c>
      <c r="U35" s="971">
        <f t="shared" si="12"/>
        <v>5.9298594117647072</v>
      </c>
    </row>
    <row r="36" spans="1:21" x14ac:dyDescent="0.2">
      <c r="A36" s="33">
        <f t="shared" si="16"/>
        <v>2023</v>
      </c>
      <c r="B36" s="787">
        <v>5</v>
      </c>
      <c r="C36" s="565">
        <f t="shared" si="0"/>
        <v>96</v>
      </c>
      <c r="D36" s="965">
        <f t="shared" si="21"/>
        <v>17.05</v>
      </c>
      <c r="E36" s="966">
        <f t="shared" si="20"/>
        <v>12.79</v>
      </c>
      <c r="F36" s="790">
        <f t="shared" si="22"/>
        <v>47887</v>
      </c>
      <c r="G36" s="473">
        <f t="shared" si="17"/>
        <v>8.5250000000000006E-2</v>
      </c>
      <c r="H36" s="474">
        <f t="shared" si="18"/>
        <v>6.3949999999999993E-2</v>
      </c>
      <c r="I36" s="474">
        <f t="shared" si="19"/>
        <v>0.23943500000000001</v>
      </c>
      <c r="J36" s="61">
        <f t="shared" si="13"/>
        <v>5</v>
      </c>
      <c r="K36" s="967">
        <f t="shared" si="4"/>
        <v>17.05</v>
      </c>
      <c r="L36" s="967">
        <f t="shared" si="5"/>
        <v>8.5250000000000006E-2</v>
      </c>
      <c r="M36" s="967">
        <f t="shared" si="6"/>
        <v>2.3205099999999996</v>
      </c>
      <c r="N36" s="54">
        <f t="shared" si="14"/>
        <v>5</v>
      </c>
      <c r="O36" s="968">
        <f t="shared" si="7"/>
        <v>12.79</v>
      </c>
      <c r="P36" s="968">
        <f t="shared" si="8"/>
        <v>6.3949999999999993E-2</v>
      </c>
      <c r="Q36" s="969">
        <f t="shared" si="9"/>
        <v>1.4047194117647057</v>
      </c>
      <c r="R36" s="247">
        <f t="shared" si="15"/>
        <v>5</v>
      </c>
      <c r="S36" s="24">
        <f t="shared" si="10"/>
        <v>47887</v>
      </c>
      <c r="T36" s="970">
        <f t="shared" si="11"/>
        <v>0.23943500000000001</v>
      </c>
      <c r="U36" s="971">
        <f t="shared" si="12"/>
        <v>6.1692944117647075</v>
      </c>
    </row>
    <row r="37" spans="1:21" x14ac:dyDescent="0.2">
      <c r="A37" s="33">
        <f t="shared" si="16"/>
        <v>2024</v>
      </c>
      <c r="B37" s="787">
        <v>5</v>
      </c>
      <c r="C37" s="565">
        <f t="shared" si="0"/>
        <v>101</v>
      </c>
      <c r="D37" s="965">
        <f t="shared" si="21"/>
        <v>17.05</v>
      </c>
      <c r="E37" s="966">
        <f t="shared" si="20"/>
        <v>12.79</v>
      </c>
      <c r="F37" s="790">
        <f t="shared" si="22"/>
        <v>47887</v>
      </c>
      <c r="G37" s="473">
        <f t="shared" si="17"/>
        <v>8.5250000000000006E-2</v>
      </c>
      <c r="H37" s="474">
        <f t="shared" si="18"/>
        <v>6.3949999999999993E-2</v>
      </c>
      <c r="I37" s="474">
        <f t="shared" si="19"/>
        <v>0.23943500000000001</v>
      </c>
      <c r="J37" s="61">
        <f t="shared" si="13"/>
        <v>5</v>
      </c>
      <c r="K37" s="967">
        <f t="shared" si="4"/>
        <v>17.05</v>
      </c>
      <c r="L37" s="967">
        <f t="shared" si="5"/>
        <v>8.5250000000000006E-2</v>
      </c>
      <c r="M37" s="967">
        <f t="shared" si="6"/>
        <v>2.4057599999999995</v>
      </c>
      <c r="N37" s="54">
        <f t="shared" si="14"/>
        <v>5</v>
      </c>
      <c r="O37" s="968">
        <f t="shared" si="7"/>
        <v>12.79</v>
      </c>
      <c r="P37" s="968">
        <f t="shared" si="8"/>
        <v>6.3949999999999993E-2</v>
      </c>
      <c r="Q37" s="969">
        <f t="shared" si="9"/>
        <v>1.4686694117647057</v>
      </c>
      <c r="R37" s="247">
        <f t="shared" si="15"/>
        <v>5</v>
      </c>
      <c r="S37" s="24">
        <f t="shared" si="10"/>
        <v>47887</v>
      </c>
      <c r="T37" s="970">
        <f t="shared" si="11"/>
        <v>0.23943500000000001</v>
      </c>
      <c r="U37" s="971">
        <f t="shared" si="12"/>
        <v>6.4087294117647078</v>
      </c>
    </row>
    <row r="38" spans="1:21" x14ac:dyDescent="0.2">
      <c r="A38" s="33">
        <f t="shared" si="16"/>
        <v>2025</v>
      </c>
      <c r="B38" s="787">
        <v>5</v>
      </c>
      <c r="C38" s="565">
        <f t="shared" si="0"/>
        <v>106</v>
      </c>
      <c r="D38" s="965">
        <f t="shared" si="21"/>
        <v>17.05</v>
      </c>
      <c r="E38" s="966">
        <f t="shared" si="20"/>
        <v>12.79</v>
      </c>
      <c r="F38" s="790">
        <f t="shared" si="22"/>
        <v>47887</v>
      </c>
      <c r="G38" s="473">
        <f t="shared" si="17"/>
        <v>8.5250000000000006E-2</v>
      </c>
      <c r="H38" s="474">
        <f t="shared" si="18"/>
        <v>6.3949999999999993E-2</v>
      </c>
      <c r="I38" s="474">
        <f t="shared" si="19"/>
        <v>0.23943500000000001</v>
      </c>
      <c r="J38" s="61">
        <f t="shared" si="13"/>
        <v>5</v>
      </c>
      <c r="K38" s="967">
        <f t="shared" si="4"/>
        <v>17.05</v>
      </c>
      <c r="L38" s="967">
        <f t="shared" si="5"/>
        <v>8.5250000000000006E-2</v>
      </c>
      <c r="M38" s="967">
        <f t="shared" si="6"/>
        <v>2.4910099999999993</v>
      </c>
      <c r="N38" s="54">
        <f t="shared" si="14"/>
        <v>5</v>
      </c>
      <c r="O38" s="968">
        <f t="shared" si="7"/>
        <v>12.79</v>
      </c>
      <c r="P38" s="968">
        <f t="shared" si="8"/>
        <v>6.3949999999999993E-2</v>
      </c>
      <c r="Q38" s="969">
        <f t="shared" si="9"/>
        <v>1.5326194117647056</v>
      </c>
      <c r="R38" s="247">
        <f t="shared" ref="R38:R42" si="23">+(B38+B37)/2</f>
        <v>5</v>
      </c>
      <c r="S38" s="24">
        <f t="shared" ref="S38:S42" si="24">+F38</f>
        <v>47887</v>
      </c>
      <c r="T38" s="970">
        <f t="shared" ref="T38:T42" si="25">+R38*S38/1000000</f>
        <v>0.23943500000000001</v>
      </c>
      <c r="U38" s="971">
        <f t="shared" si="12"/>
        <v>6.6481644117647081</v>
      </c>
    </row>
    <row r="39" spans="1:21" x14ac:dyDescent="0.2">
      <c r="A39" s="33">
        <f t="shared" si="16"/>
        <v>2026</v>
      </c>
      <c r="B39" s="787">
        <v>5</v>
      </c>
      <c r="C39" s="565">
        <f t="shared" si="0"/>
        <v>111</v>
      </c>
      <c r="D39" s="965">
        <f t="shared" si="21"/>
        <v>17.05</v>
      </c>
      <c r="E39" s="966">
        <f t="shared" si="20"/>
        <v>12.79</v>
      </c>
      <c r="F39" s="790">
        <f t="shared" si="22"/>
        <v>47887</v>
      </c>
      <c r="G39" s="473">
        <f t="shared" si="17"/>
        <v>8.5250000000000006E-2</v>
      </c>
      <c r="H39" s="474">
        <f t="shared" si="18"/>
        <v>6.3949999999999993E-2</v>
      </c>
      <c r="I39" s="474">
        <f t="shared" si="19"/>
        <v>0.23943500000000001</v>
      </c>
      <c r="J39" s="61">
        <f t="shared" si="13"/>
        <v>5</v>
      </c>
      <c r="K39" s="967">
        <f t="shared" si="4"/>
        <v>17.05</v>
      </c>
      <c r="L39" s="967">
        <f t="shared" si="5"/>
        <v>8.5250000000000006E-2</v>
      </c>
      <c r="M39" s="967">
        <f t="shared" si="6"/>
        <v>2.5762599999999991</v>
      </c>
      <c r="N39" s="54">
        <f t="shared" si="14"/>
        <v>5</v>
      </c>
      <c r="O39" s="968">
        <f t="shared" si="7"/>
        <v>12.79</v>
      </c>
      <c r="P39" s="968">
        <f t="shared" si="8"/>
        <v>6.3949999999999993E-2</v>
      </c>
      <c r="Q39" s="969">
        <f t="shared" si="9"/>
        <v>1.5965694117647056</v>
      </c>
      <c r="R39" s="247">
        <f t="shared" si="23"/>
        <v>5</v>
      </c>
      <c r="S39" s="24">
        <f t="shared" si="24"/>
        <v>47887</v>
      </c>
      <c r="T39" s="970">
        <f t="shared" si="25"/>
        <v>0.23943500000000001</v>
      </c>
      <c r="U39" s="971">
        <f t="shared" si="12"/>
        <v>6.8875994117647084</v>
      </c>
    </row>
    <row r="40" spans="1:21" x14ac:dyDescent="0.2">
      <c r="A40" s="33">
        <f>+A39+1</f>
        <v>2027</v>
      </c>
      <c r="B40" s="787">
        <v>5</v>
      </c>
      <c r="C40" s="565">
        <f>+C39+B40</f>
        <v>116</v>
      </c>
      <c r="D40" s="965">
        <f t="shared" si="21"/>
        <v>17.05</v>
      </c>
      <c r="E40" s="966">
        <f t="shared" si="20"/>
        <v>12.79</v>
      </c>
      <c r="F40" s="790">
        <f t="shared" si="22"/>
        <v>47887</v>
      </c>
      <c r="G40" s="473">
        <f t="shared" ref="G40:H42" si="26">+$B40*D40/1000</f>
        <v>8.5250000000000006E-2</v>
      </c>
      <c r="H40" s="474">
        <f t="shared" si="26"/>
        <v>6.3949999999999993E-2</v>
      </c>
      <c r="I40" s="474">
        <f>+$B40*F40/1000000</f>
        <v>0.23943500000000001</v>
      </c>
      <c r="J40" s="61">
        <f>+(B40+B39)/2</f>
        <v>5</v>
      </c>
      <c r="K40" s="967">
        <f>+D40</f>
        <v>17.05</v>
      </c>
      <c r="L40" s="967">
        <f>+J40*K40/1000</f>
        <v>8.5250000000000006E-2</v>
      </c>
      <c r="M40" s="967">
        <f>+M39+L40</f>
        <v>2.6615099999999989</v>
      </c>
      <c r="N40" s="54">
        <f>+B39</f>
        <v>5</v>
      </c>
      <c r="O40" s="968">
        <f>+E40</f>
        <v>12.79</v>
      </c>
      <c r="P40" s="968">
        <f>+N40*O40/1000</f>
        <v>6.3949999999999993E-2</v>
      </c>
      <c r="Q40" s="969">
        <f>+Q39+P40</f>
        <v>1.6605194117647055</v>
      </c>
      <c r="R40" s="247">
        <f t="shared" si="23"/>
        <v>5</v>
      </c>
      <c r="S40" s="24">
        <f t="shared" si="24"/>
        <v>47887</v>
      </c>
      <c r="T40" s="970">
        <f t="shared" si="25"/>
        <v>0.23943500000000001</v>
      </c>
      <c r="U40" s="971">
        <f>+U39+T40</f>
        <v>7.1270344117647086</v>
      </c>
    </row>
    <row r="41" spans="1:21" x14ac:dyDescent="0.2">
      <c r="A41" s="33">
        <f t="shared" si="16"/>
        <v>2028</v>
      </c>
      <c r="B41" s="787">
        <v>5</v>
      </c>
      <c r="C41" s="565">
        <f>+C40+B41</f>
        <v>121</v>
      </c>
      <c r="D41" s="965">
        <f>+D40</f>
        <v>17.05</v>
      </c>
      <c r="E41" s="966">
        <f>+E40</f>
        <v>12.79</v>
      </c>
      <c r="F41" s="790">
        <f>+F40</f>
        <v>47887</v>
      </c>
      <c r="G41" s="473">
        <f t="shared" si="26"/>
        <v>8.5250000000000006E-2</v>
      </c>
      <c r="H41" s="474">
        <f t="shared" si="26"/>
        <v>6.3949999999999993E-2</v>
      </c>
      <c r="I41" s="474">
        <f>+$B41*F41/1000000</f>
        <v>0.23943500000000001</v>
      </c>
      <c r="J41" s="61">
        <f>+(B41+B40)/2</f>
        <v>5</v>
      </c>
      <c r="K41" s="967">
        <f>+D41</f>
        <v>17.05</v>
      </c>
      <c r="L41" s="967">
        <f>+J41*K41/1000</f>
        <v>8.5250000000000006E-2</v>
      </c>
      <c r="M41" s="967">
        <f>+M40+L41</f>
        <v>2.7467599999999988</v>
      </c>
      <c r="N41" s="54">
        <f>+B40</f>
        <v>5</v>
      </c>
      <c r="O41" s="968">
        <f>+E41</f>
        <v>12.79</v>
      </c>
      <c r="P41" s="968">
        <f>+N41*O41/1000</f>
        <v>6.3949999999999993E-2</v>
      </c>
      <c r="Q41" s="969">
        <f>+Q40+P41</f>
        <v>1.7244694117647055</v>
      </c>
      <c r="R41" s="247">
        <f t="shared" si="23"/>
        <v>5</v>
      </c>
      <c r="S41" s="24">
        <f t="shared" si="24"/>
        <v>47887</v>
      </c>
      <c r="T41" s="970">
        <f t="shared" si="25"/>
        <v>0.23943500000000001</v>
      </c>
      <c r="U41" s="971">
        <f>+U40+T41</f>
        <v>7.3664694117647089</v>
      </c>
    </row>
    <row r="42" spans="1:21" x14ac:dyDescent="0.2">
      <c r="A42" s="33">
        <f t="shared" si="16"/>
        <v>2029</v>
      </c>
      <c r="B42" s="787">
        <v>5</v>
      </c>
      <c r="C42" s="565">
        <f>+C41+B42</f>
        <v>126</v>
      </c>
      <c r="D42" s="965">
        <f t="shared" si="21"/>
        <v>17.05</v>
      </c>
      <c r="E42" s="966">
        <f t="shared" si="20"/>
        <v>12.79</v>
      </c>
      <c r="F42" s="790">
        <f t="shared" si="22"/>
        <v>47887</v>
      </c>
      <c r="G42" s="473">
        <f t="shared" si="26"/>
        <v>8.5250000000000006E-2</v>
      </c>
      <c r="H42" s="474">
        <f t="shared" si="26"/>
        <v>6.3949999999999993E-2</v>
      </c>
      <c r="I42" s="474">
        <f>+$B42*F42/1000000</f>
        <v>0.23943500000000001</v>
      </c>
      <c r="J42" s="61">
        <f>+(B42+B41)/2</f>
        <v>5</v>
      </c>
      <c r="K42" s="967">
        <f>+D42</f>
        <v>17.05</v>
      </c>
      <c r="L42" s="967">
        <f>+J42*K42/1000</f>
        <v>8.5250000000000006E-2</v>
      </c>
      <c r="M42" s="967">
        <f>+M41+L42</f>
        <v>2.8320099999999986</v>
      </c>
      <c r="N42" s="54">
        <f>+B41</f>
        <v>5</v>
      </c>
      <c r="O42" s="968">
        <f>+E42</f>
        <v>12.79</v>
      </c>
      <c r="P42" s="968">
        <f>+N42*O42/1000</f>
        <v>6.3949999999999993E-2</v>
      </c>
      <c r="Q42" s="969">
        <f>+Q41+P42</f>
        <v>1.7884194117647054</v>
      </c>
      <c r="R42" s="247">
        <f t="shared" si="23"/>
        <v>5</v>
      </c>
      <c r="S42" s="24">
        <f t="shared" si="24"/>
        <v>47887</v>
      </c>
      <c r="T42" s="970">
        <f t="shared" si="25"/>
        <v>0.23943500000000001</v>
      </c>
      <c r="U42" s="971">
        <f>+U41+T42</f>
        <v>7.6059044117647092</v>
      </c>
    </row>
    <row r="43" spans="1:21" x14ac:dyDescent="0.2">
      <c r="A43" s="33">
        <f t="shared" si="16"/>
        <v>2030</v>
      </c>
      <c r="B43" s="787">
        <v>5</v>
      </c>
      <c r="C43" s="565">
        <f t="shared" ref="C43:C47" si="27">+C42+B43</f>
        <v>131</v>
      </c>
      <c r="D43" s="965">
        <f t="shared" si="21"/>
        <v>17.05</v>
      </c>
      <c r="E43" s="966">
        <f t="shared" si="20"/>
        <v>12.79</v>
      </c>
      <c r="F43" s="790">
        <f t="shared" si="22"/>
        <v>47887</v>
      </c>
      <c r="G43" s="473">
        <f t="shared" ref="G43:G47" si="28">+$B43*D43/1000</f>
        <v>8.5250000000000006E-2</v>
      </c>
      <c r="H43" s="474">
        <f t="shared" ref="H43:H47" si="29">+$B43*E43/1000</f>
        <v>6.3949999999999993E-2</v>
      </c>
      <c r="I43" s="474">
        <f t="shared" ref="I43:I47" si="30">+$B43*F43/1000000</f>
        <v>0.23943500000000001</v>
      </c>
      <c r="J43" s="61">
        <f t="shared" ref="J43:J47" si="31">+(B43+B42)/2</f>
        <v>5</v>
      </c>
      <c r="K43" s="967">
        <f t="shared" ref="K43:K47" si="32">+D43</f>
        <v>17.05</v>
      </c>
      <c r="L43" s="967">
        <f t="shared" ref="L43:L47" si="33">+J43*K43/1000</f>
        <v>8.5250000000000006E-2</v>
      </c>
      <c r="M43" s="967">
        <f t="shared" ref="M43:M47" si="34">+M42+L43</f>
        <v>2.9172599999999984</v>
      </c>
      <c r="N43" s="54">
        <f t="shared" ref="N43:N47" si="35">+B42</f>
        <v>5</v>
      </c>
      <c r="O43" s="968">
        <f t="shared" ref="O43:O47" si="36">+E43</f>
        <v>12.79</v>
      </c>
      <c r="P43" s="968">
        <f t="shared" ref="P43:P47" si="37">+N43*O43/1000</f>
        <v>6.3949999999999993E-2</v>
      </c>
      <c r="Q43" s="969">
        <f t="shared" ref="Q43:Q47" si="38">+Q42+P43</f>
        <v>1.8523694117647054</v>
      </c>
      <c r="R43" s="247">
        <f t="shared" ref="R43:R47" si="39">+(B43+B42)/2</f>
        <v>5</v>
      </c>
      <c r="S43" s="24">
        <f t="shared" ref="S43:S47" si="40">+F43</f>
        <v>47887</v>
      </c>
      <c r="T43" s="970">
        <f t="shared" ref="T43:T47" si="41">+R43*S43/1000000</f>
        <v>0.23943500000000001</v>
      </c>
      <c r="U43" s="971">
        <f t="shared" ref="U43:U47" si="42">+U42+T43</f>
        <v>7.8453394117647095</v>
      </c>
    </row>
    <row r="44" spans="1:21" x14ac:dyDescent="0.2">
      <c r="A44" s="33">
        <f t="shared" si="16"/>
        <v>2031</v>
      </c>
      <c r="B44" s="787">
        <v>5</v>
      </c>
      <c r="C44" s="565">
        <f t="shared" si="27"/>
        <v>136</v>
      </c>
      <c r="D44" s="965">
        <f t="shared" si="21"/>
        <v>17.05</v>
      </c>
      <c r="E44" s="966">
        <f t="shared" si="20"/>
        <v>12.79</v>
      </c>
      <c r="F44" s="790">
        <f t="shared" si="22"/>
        <v>47887</v>
      </c>
      <c r="G44" s="473">
        <f t="shared" si="28"/>
        <v>8.5250000000000006E-2</v>
      </c>
      <c r="H44" s="474">
        <f t="shared" si="29"/>
        <v>6.3949999999999993E-2</v>
      </c>
      <c r="I44" s="474">
        <f t="shared" si="30"/>
        <v>0.23943500000000001</v>
      </c>
      <c r="J44" s="61">
        <f t="shared" si="31"/>
        <v>5</v>
      </c>
      <c r="K44" s="967">
        <f t="shared" si="32"/>
        <v>17.05</v>
      </c>
      <c r="L44" s="967">
        <f t="shared" si="33"/>
        <v>8.5250000000000006E-2</v>
      </c>
      <c r="M44" s="967">
        <f t="shared" si="34"/>
        <v>3.0025099999999982</v>
      </c>
      <c r="N44" s="54">
        <f t="shared" si="35"/>
        <v>5</v>
      </c>
      <c r="O44" s="968">
        <f t="shared" si="36"/>
        <v>12.79</v>
      </c>
      <c r="P44" s="968">
        <f t="shared" si="37"/>
        <v>6.3949999999999993E-2</v>
      </c>
      <c r="Q44" s="969">
        <f t="shared" si="38"/>
        <v>1.9163194117647053</v>
      </c>
      <c r="R44" s="247">
        <f t="shared" si="39"/>
        <v>5</v>
      </c>
      <c r="S44" s="24">
        <f t="shared" si="40"/>
        <v>47887</v>
      </c>
      <c r="T44" s="970">
        <f t="shared" si="41"/>
        <v>0.23943500000000001</v>
      </c>
      <c r="U44" s="971">
        <f t="shared" si="42"/>
        <v>8.0847744117647089</v>
      </c>
    </row>
    <row r="45" spans="1:21" x14ac:dyDescent="0.2">
      <c r="A45" s="33">
        <f t="shared" si="16"/>
        <v>2032</v>
      </c>
      <c r="B45" s="787">
        <v>5</v>
      </c>
      <c r="C45" s="565">
        <f t="shared" si="27"/>
        <v>141</v>
      </c>
      <c r="D45" s="965">
        <f t="shared" si="21"/>
        <v>17.05</v>
      </c>
      <c r="E45" s="966">
        <f t="shared" si="20"/>
        <v>12.79</v>
      </c>
      <c r="F45" s="790">
        <f t="shared" si="22"/>
        <v>47887</v>
      </c>
      <c r="G45" s="473">
        <f t="shared" si="28"/>
        <v>8.5250000000000006E-2</v>
      </c>
      <c r="H45" s="474">
        <f t="shared" si="29"/>
        <v>6.3949999999999993E-2</v>
      </c>
      <c r="I45" s="474">
        <f t="shared" si="30"/>
        <v>0.23943500000000001</v>
      </c>
      <c r="J45" s="61">
        <f t="shared" si="31"/>
        <v>5</v>
      </c>
      <c r="K45" s="967">
        <f t="shared" si="32"/>
        <v>17.05</v>
      </c>
      <c r="L45" s="967">
        <f t="shared" si="33"/>
        <v>8.5250000000000006E-2</v>
      </c>
      <c r="M45" s="967">
        <f t="shared" si="34"/>
        <v>3.0877599999999981</v>
      </c>
      <c r="N45" s="54">
        <f t="shared" si="35"/>
        <v>5</v>
      </c>
      <c r="O45" s="968">
        <f t="shared" si="36"/>
        <v>12.79</v>
      </c>
      <c r="P45" s="968">
        <f t="shared" si="37"/>
        <v>6.3949999999999993E-2</v>
      </c>
      <c r="Q45" s="969">
        <f t="shared" si="38"/>
        <v>1.9802694117647053</v>
      </c>
      <c r="R45" s="247">
        <f t="shared" si="39"/>
        <v>5</v>
      </c>
      <c r="S45" s="24">
        <f t="shared" si="40"/>
        <v>47887</v>
      </c>
      <c r="T45" s="970">
        <f t="shared" si="41"/>
        <v>0.23943500000000001</v>
      </c>
      <c r="U45" s="971">
        <f t="shared" si="42"/>
        <v>8.3242094117647092</v>
      </c>
    </row>
    <row r="46" spans="1:21" x14ac:dyDescent="0.2">
      <c r="A46" s="33">
        <f t="shared" si="16"/>
        <v>2033</v>
      </c>
      <c r="B46" s="787">
        <v>5</v>
      </c>
      <c r="C46" s="565">
        <f t="shared" si="27"/>
        <v>146</v>
      </c>
      <c r="D46" s="965">
        <f t="shared" si="21"/>
        <v>17.05</v>
      </c>
      <c r="E46" s="966">
        <f t="shared" si="20"/>
        <v>12.79</v>
      </c>
      <c r="F46" s="790">
        <f t="shared" si="22"/>
        <v>47887</v>
      </c>
      <c r="G46" s="473">
        <f t="shared" si="28"/>
        <v>8.5250000000000006E-2</v>
      </c>
      <c r="H46" s="474">
        <f t="shared" si="29"/>
        <v>6.3949999999999993E-2</v>
      </c>
      <c r="I46" s="474">
        <f t="shared" si="30"/>
        <v>0.23943500000000001</v>
      </c>
      <c r="J46" s="61">
        <f t="shared" si="31"/>
        <v>5</v>
      </c>
      <c r="K46" s="967">
        <f t="shared" si="32"/>
        <v>17.05</v>
      </c>
      <c r="L46" s="967">
        <f t="shared" si="33"/>
        <v>8.5250000000000006E-2</v>
      </c>
      <c r="M46" s="967">
        <f t="shared" si="34"/>
        <v>3.1730099999999979</v>
      </c>
      <c r="N46" s="54">
        <f t="shared" si="35"/>
        <v>5</v>
      </c>
      <c r="O46" s="968">
        <f t="shared" si="36"/>
        <v>12.79</v>
      </c>
      <c r="P46" s="968">
        <f t="shared" si="37"/>
        <v>6.3949999999999993E-2</v>
      </c>
      <c r="Q46" s="969">
        <f t="shared" si="38"/>
        <v>2.0442194117647055</v>
      </c>
      <c r="R46" s="247">
        <f t="shared" si="39"/>
        <v>5</v>
      </c>
      <c r="S46" s="24">
        <f t="shared" si="40"/>
        <v>47887</v>
      </c>
      <c r="T46" s="970">
        <f t="shared" si="41"/>
        <v>0.23943500000000001</v>
      </c>
      <c r="U46" s="971">
        <f t="shared" si="42"/>
        <v>8.5636444117647095</v>
      </c>
    </row>
    <row r="47" spans="1:21" x14ac:dyDescent="0.2">
      <c r="A47" s="33">
        <f t="shared" si="16"/>
        <v>2034</v>
      </c>
      <c r="B47" s="787">
        <v>5</v>
      </c>
      <c r="C47" s="565">
        <f t="shared" si="27"/>
        <v>151</v>
      </c>
      <c r="D47" s="965">
        <f t="shared" si="21"/>
        <v>17.05</v>
      </c>
      <c r="E47" s="966">
        <f t="shared" si="20"/>
        <v>12.79</v>
      </c>
      <c r="F47" s="790">
        <f t="shared" si="22"/>
        <v>47887</v>
      </c>
      <c r="G47" s="473">
        <f t="shared" si="28"/>
        <v>8.5250000000000006E-2</v>
      </c>
      <c r="H47" s="474">
        <f t="shared" si="29"/>
        <v>6.3949999999999993E-2</v>
      </c>
      <c r="I47" s="474">
        <f t="shared" si="30"/>
        <v>0.23943500000000001</v>
      </c>
      <c r="J47" s="61">
        <f t="shared" si="31"/>
        <v>5</v>
      </c>
      <c r="K47" s="967">
        <f t="shared" si="32"/>
        <v>17.05</v>
      </c>
      <c r="L47" s="967">
        <f t="shared" si="33"/>
        <v>8.5250000000000006E-2</v>
      </c>
      <c r="M47" s="967">
        <f t="shared" si="34"/>
        <v>3.2582599999999977</v>
      </c>
      <c r="N47" s="54">
        <f t="shared" si="35"/>
        <v>5</v>
      </c>
      <c r="O47" s="968">
        <f t="shared" si="36"/>
        <v>12.79</v>
      </c>
      <c r="P47" s="968">
        <f t="shared" si="37"/>
        <v>6.3949999999999993E-2</v>
      </c>
      <c r="Q47" s="969">
        <f t="shared" si="38"/>
        <v>2.1081694117647056</v>
      </c>
      <c r="R47" s="247">
        <f t="shared" si="39"/>
        <v>5</v>
      </c>
      <c r="S47" s="24">
        <f t="shared" si="40"/>
        <v>47887</v>
      </c>
      <c r="T47" s="970">
        <f t="shared" si="41"/>
        <v>0.23943500000000001</v>
      </c>
      <c r="U47" s="971">
        <f t="shared" si="42"/>
        <v>8.8030794117647098</v>
      </c>
    </row>
    <row r="48" spans="1:21" x14ac:dyDescent="0.2">
      <c r="A48" s="33">
        <f t="shared" si="16"/>
        <v>2035</v>
      </c>
      <c r="B48" s="787">
        <f>B47</f>
        <v>5</v>
      </c>
      <c r="C48" s="565">
        <f t="shared" ref="C48:C54" si="43">+C47+B48</f>
        <v>156</v>
      </c>
      <c r="D48" s="965">
        <f t="shared" si="21"/>
        <v>17.05</v>
      </c>
      <c r="E48" s="966">
        <f t="shared" si="20"/>
        <v>12.79</v>
      </c>
      <c r="F48" s="790">
        <f t="shared" si="22"/>
        <v>47887</v>
      </c>
      <c r="G48" s="473">
        <f t="shared" ref="G48:G54" si="44">+$B48*D48/1000</f>
        <v>8.5250000000000006E-2</v>
      </c>
      <c r="H48" s="474">
        <f t="shared" ref="H48:H54" si="45">+$B48*E48/1000</f>
        <v>6.3949999999999993E-2</v>
      </c>
      <c r="I48" s="474">
        <f t="shared" ref="I48:I54" si="46">+$B48*F48/1000000</f>
        <v>0.23943500000000001</v>
      </c>
      <c r="J48" s="61">
        <f t="shared" ref="J48:J54" si="47">+(B48+B47)/2</f>
        <v>5</v>
      </c>
      <c r="K48" s="967">
        <f t="shared" ref="K48:K54" si="48">+D48</f>
        <v>17.05</v>
      </c>
      <c r="L48" s="967">
        <f t="shared" ref="L48:L54" si="49">+J48*K48/1000</f>
        <v>8.5250000000000006E-2</v>
      </c>
      <c r="M48" s="967">
        <f t="shared" ref="M48:M54" si="50">+M47+L48</f>
        <v>3.3435099999999975</v>
      </c>
      <c r="N48" s="54">
        <f t="shared" ref="N48:N54" si="51">+B47</f>
        <v>5</v>
      </c>
      <c r="O48" s="968">
        <f t="shared" ref="O48:O54" si="52">+E48</f>
        <v>12.79</v>
      </c>
      <c r="P48" s="968">
        <f t="shared" ref="P48:P54" si="53">+N48*O48/1000</f>
        <v>6.3949999999999993E-2</v>
      </c>
      <c r="Q48" s="969">
        <f t="shared" ref="Q48:Q54" si="54">+Q47+P48</f>
        <v>2.1721194117647058</v>
      </c>
      <c r="R48" s="247">
        <f t="shared" ref="R48:R54" si="55">+(B48+B47)/2</f>
        <v>5</v>
      </c>
      <c r="S48" s="24">
        <f t="shared" ref="S48:S54" si="56">+F48</f>
        <v>47887</v>
      </c>
      <c r="T48" s="970">
        <f t="shared" ref="T48:T54" si="57">+R48*S48/1000000</f>
        <v>0.23943500000000001</v>
      </c>
      <c r="U48" s="971">
        <f t="shared" ref="U48:U54" si="58">+U47+T48</f>
        <v>9.04251441176471</v>
      </c>
    </row>
    <row r="49" spans="1:21" x14ac:dyDescent="0.2">
      <c r="A49" s="33">
        <f t="shared" si="16"/>
        <v>2036</v>
      </c>
      <c r="B49" s="787">
        <f t="shared" ref="B49:B54" si="59">B48</f>
        <v>5</v>
      </c>
      <c r="C49" s="565">
        <f t="shared" si="43"/>
        <v>161</v>
      </c>
      <c r="D49" s="965">
        <f t="shared" si="21"/>
        <v>17.05</v>
      </c>
      <c r="E49" s="966">
        <f t="shared" si="20"/>
        <v>12.79</v>
      </c>
      <c r="F49" s="790">
        <f t="shared" si="22"/>
        <v>47887</v>
      </c>
      <c r="G49" s="473">
        <f t="shared" si="44"/>
        <v>8.5250000000000006E-2</v>
      </c>
      <c r="H49" s="474">
        <f t="shared" si="45"/>
        <v>6.3949999999999993E-2</v>
      </c>
      <c r="I49" s="474">
        <f t="shared" si="46"/>
        <v>0.23943500000000001</v>
      </c>
      <c r="J49" s="61">
        <f t="shared" si="47"/>
        <v>5</v>
      </c>
      <c r="K49" s="967">
        <f t="shared" si="48"/>
        <v>17.05</v>
      </c>
      <c r="L49" s="967">
        <f t="shared" si="49"/>
        <v>8.5250000000000006E-2</v>
      </c>
      <c r="M49" s="967">
        <f t="shared" si="50"/>
        <v>3.4287599999999974</v>
      </c>
      <c r="N49" s="54">
        <f t="shared" si="51"/>
        <v>5</v>
      </c>
      <c r="O49" s="968">
        <f t="shared" si="52"/>
        <v>12.79</v>
      </c>
      <c r="P49" s="968">
        <f t="shared" si="53"/>
        <v>6.3949999999999993E-2</v>
      </c>
      <c r="Q49" s="969">
        <f t="shared" si="54"/>
        <v>2.236069411764706</v>
      </c>
      <c r="R49" s="247">
        <f t="shared" si="55"/>
        <v>5</v>
      </c>
      <c r="S49" s="24">
        <f t="shared" si="56"/>
        <v>47887</v>
      </c>
      <c r="T49" s="970">
        <f t="shared" si="57"/>
        <v>0.23943500000000001</v>
      </c>
      <c r="U49" s="971">
        <f t="shared" si="58"/>
        <v>9.2819494117647103</v>
      </c>
    </row>
    <row r="50" spans="1:21" x14ac:dyDescent="0.2">
      <c r="A50" s="33">
        <f t="shared" si="16"/>
        <v>2037</v>
      </c>
      <c r="B50" s="787">
        <f t="shared" si="59"/>
        <v>5</v>
      </c>
      <c r="C50" s="565">
        <f t="shared" si="43"/>
        <v>166</v>
      </c>
      <c r="D50" s="965">
        <f t="shared" si="21"/>
        <v>17.05</v>
      </c>
      <c r="E50" s="966">
        <f t="shared" si="20"/>
        <v>12.79</v>
      </c>
      <c r="F50" s="790">
        <f t="shared" si="22"/>
        <v>47887</v>
      </c>
      <c r="G50" s="473">
        <f t="shared" si="44"/>
        <v>8.5250000000000006E-2</v>
      </c>
      <c r="H50" s="474">
        <f t="shared" si="45"/>
        <v>6.3949999999999993E-2</v>
      </c>
      <c r="I50" s="474">
        <f t="shared" si="46"/>
        <v>0.23943500000000001</v>
      </c>
      <c r="J50" s="61">
        <f t="shared" si="47"/>
        <v>5</v>
      </c>
      <c r="K50" s="967">
        <f t="shared" si="48"/>
        <v>17.05</v>
      </c>
      <c r="L50" s="967">
        <f t="shared" si="49"/>
        <v>8.5250000000000006E-2</v>
      </c>
      <c r="M50" s="967">
        <f t="shared" si="50"/>
        <v>3.5140099999999972</v>
      </c>
      <c r="N50" s="54">
        <f t="shared" si="51"/>
        <v>5</v>
      </c>
      <c r="O50" s="968">
        <f t="shared" si="52"/>
        <v>12.79</v>
      </c>
      <c r="P50" s="968">
        <f t="shared" si="53"/>
        <v>6.3949999999999993E-2</v>
      </c>
      <c r="Q50" s="969">
        <f t="shared" si="54"/>
        <v>2.3000194117647061</v>
      </c>
      <c r="R50" s="247">
        <f t="shared" si="55"/>
        <v>5</v>
      </c>
      <c r="S50" s="24">
        <f t="shared" si="56"/>
        <v>47887</v>
      </c>
      <c r="T50" s="970">
        <f t="shared" si="57"/>
        <v>0.23943500000000001</v>
      </c>
      <c r="U50" s="971">
        <f t="shared" si="58"/>
        <v>9.5213844117647106</v>
      </c>
    </row>
    <row r="51" spans="1:21" x14ac:dyDescent="0.2">
      <c r="A51" s="33">
        <f t="shared" si="16"/>
        <v>2038</v>
      </c>
      <c r="B51" s="787">
        <f t="shared" si="59"/>
        <v>5</v>
      </c>
      <c r="C51" s="565">
        <f t="shared" si="43"/>
        <v>171</v>
      </c>
      <c r="D51" s="965">
        <f t="shared" si="21"/>
        <v>17.05</v>
      </c>
      <c r="E51" s="966">
        <f t="shared" si="20"/>
        <v>12.79</v>
      </c>
      <c r="F51" s="790">
        <f t="shared" si="22"/>
        <v>47887</v>
      </c>
      <c r="G51" s="473">
        <f t="shared" si="44"/>
        <v>8.5250000000000006E-2</v>
      </c>
      <c r="H51" s="474">
        <f t="shared" si="45"/>
        <v>6.3949999999999993E-2</v>
      </c>
      <c r="I51" s="474">
        <f t="shared" si="46"/>
        <v>0.23943500000000001</v>
      </c>
      <c r="J51" s="61">
        <f t="shared" si="47"/>
        <v>5</v>
      </c>
      <c r="K51" s="967">
        <f t="shared" si="48"/>
        <v>17.05</v>
      </c>
      <c r="L51" s="967">
        <f t="shared" si="49"/>
        <v>8.5250000000000006E-2</v>
      </c>
      <c r="M51" s="967">
        <f t="shared" si="50"/>
        <v>3.599259999999997</v>
      </c>
      <c r="N51" s="54">
        <f t="shared" si="51"/>
        <v>5</v>
      </c>
      <c r="O51" s="968">
        <f t="shared" si="52"/>
        <v>12.79</v>
      </c>
      <c r="P51" s="968">
        <f t="shared" si="53"/>
        <v>6.3949999999999993E-2</v>
      </c>
      <c r="Q51" s="969">
        <f t="shared" si="54"/>
        <v>2.3639694117647063</v>
      </c>
      <c r="R51" s="247">
        <f t="shared" si="55"/>
        <v>5</v>
      </c>
      <c r="S51" s="24">
        <f t="shared" si="56"/>
        <v>47887</v>
      </c>
      <c r="T51" s="970">
        <f t="shared" si="57"/>
        <v>0.23943500000000001</v>
      </c>
      <c r="U51" s="971">
        <f t="shared" si="58"/>
        <v>9.7608194117647109</v>
      </c>
    </row>
    <row r="52" spans="1:21" x14ac:dyDescent="0.2">
      <c r="A52" s="33">
        <f t="shared" si="16"/>
        <v>2039</v>
      </c>
      <c r="B52" s="787">
        <f t="shared" si="59"/>
        <v>5</v>
      </c>
      <c r="C52" s="565">
        <f t="shared" si="43"/>
        <v>176</v>
      </c>
      <c r="D52" s="965">
        <f t="shared" si="21"/>
        <v>17.05</v>
      </c>
      <c r="E52" s="966">
        <f t="shared" si="20"/>
        <v>12.79</v>
      </c>
      <c r="F52" s="790">
        <f t="shared" si="22"/>
        <v>47887</v>
      </c>
      <c r="G52" s="473">
        <f t="shared" si="44"/>
        <v>8.5250000000000006E-2</v>
      </c>
      <c r="H52" s="474">
        <f t="shared" si="45"/>
        <v>6.3949999999999993E-2</v>
      </c>
      <c r="I52" s="474">
        <f t="shared" si="46"/>
        <v>0.23943500000000001</v>
      </c>
      <c r="J52" s="61">
        <f t="shared" si="47"/>
        <v>5</v>
      </c>
      <c r="K52" s="967">
        <f t="shared" si="48"/>
        <v>17.05</v>
      </c>
      <c r="L52" s="967">
        <f t="shared" si="49"/>
        <v>8.5250000000000006E-2</v>
      </c>
      <c r="M52" s="967">
        <f t="shared" si="50"/>
        <v>3.6845099999999968</v>
      </c>
      <c r="N52" s="54">
        <f t="shared" si="51"/>
        <v>5</v>
      </c>
      <c r="O52" s="968">
        <f t="shared" si="52"/>
        <v>12.79</v>
      </c>
      <c r="P52" s="968">
        <f t="shared" si="53"/>
        <v>6.3949999999999993E-2</v>
      </c>
      <c r="Q52" s="969">
        <f t="shared" si="54"/>
        <v>2.4279194117647065</v>
      </c>
      <c r="R52" s="247">
        <f t="shared" si="55"/>
        <v>5</v>
      </c>
      <c r="S52" s="24">
        <f t="shared" si="56"/>
        <v>47887</v>
      </c>
      <c r="T52" s="970">
        <f t="shared" si="57"/>
        <v>0.23943500000000001</v>
      </c>
      <c r="U52" s="971">
        <f t="shared" si="58"/>
        <v>10.000254411764711</v>
      </c>
    </row>
    <row r="53" spans="1:21" x14ac:dyDescent="0.2">
      <c r="A53" s="33">
        <f t="shared" si="16"/>
        <v>2040</v>
      </c>
      <c r="B53" s="787">
        <f t="shared" si="59"/>
        <v>5</v>
      </c>
      <c r="C53" s="565">
        <f t="shared" si="43"/>
        <v>181</v>
      </c>
      <c r="D53" s="965">
        <f t="shared" si="21"/>
        <v>17.05</v>
      </c>
      <c r="E53" s="966">
        <f t="shared" si="20"/>
        <v>12.79</v>
      </c>
      <c r="F53" s="790">
        <f t="shared" si="22"/>
        <v>47887</v>
      </c>
      <c r="G53" s="473">
        <f t="shared" si="44"/>
        <v>8.5250000000000006E-2</v>
      </c>
      <c r="H53" s="474">
        <f t="shared" si="45"/>
        <v>6.3949999999999993E-2</v>
      </c>
      <c r="I53" s="474">
        <f t="shared" si="46"/>
        <v>0.23943500000000001</v>
      </c>
      <c r="J53" s="61">
        <f t="shared" si="47"/>
        <v>5</v>
      </c>
      <c r="K53" s="967">
        <f t="shared" si="48"/>
        <v>17.05</v>
      </c>
      <c r="L53" s="967">
        <f t="shared" si="49"/>
        <v>8.5250000000000006E-2</v>
      </c>
      <c r="M53" s="967">
        <f t="shared" si="50"/>
        <v>3.7697599999999967</v>
      </c>
      <c r="N53" s="54">
        <f t="shared" si="51"/>
        <v>5</v>
      </c>
      <c r="O53" s="968">
        <f t="shared" si="52"/>
        <v>12.79</v>
      </c>
      <c r="P53" s="968">
        <f t="shared" si="53"/>
        <v>6.3949999999999993E-2</v>
      </c>
      <c r="Q53" s="969">
        <f t="shared" si="54"/>
        <v>2.4918694117647067</v>
      </c>
      <c r="R53" s="247">
        <f t="shared" si="55"/>
        <v>5</v>
      </c>
      <c r="S53" s="24">
        <f t="shared" si="56"/>
        <v>47887</v>
      </c>
      <c r="T53" s="970">
        <f t="shared" si="57"/>
        <v>0.23943500000000001</v>
      </c>
      <c r="U53" s="971">
        <f t="shared" si="58"/>
        <v>10.239689411764711</v>
      </c>
    </row>
    <row r="54" spans="1:21" x14ac:dyDescent="0.2">
      <c r="A54" s="33">
        <f t="shared" si="16"/>
        <v>2041</v>
      </c>
      <c r="B54" s="787">
        <f t="shared" si="59"/>
        <v>5</v>
      </c>
      <c r="C54" s="565">
        <f t="shared" si="43"/>
        <v>186</v>
      </c>
      <c r="D54" s="965">
        <f t="shared" si="21"/>
        <v>17.05</v>
      </c>
      <c r="E54" s="966">
        <f t="shared" si="20"/>
        <v>12.79</v>
      </c>
      <c r="F54" s="790">
        <f t="shared" si="22"/>
        <v>47887</v>
      </c>
      <c r="G54" s="473">
        <f t="shared" si="44"/>
        <v>8.5250000000000006E-2</v>
      </c>
      <c r="H54" s="474">
        <f t="shared" si="45"/>
        <v>6.3949999999999993E-2</v>
      </c>
      <c r="I54" s="474">
        <f t="shared" si="46"/>
        <v>0.23943500000000001</v>
      </c>
      <c r="J54" s="61">
        <f t="shared" si="47"/>
        <v>5</v>
      </c>
      <c r="K54" s="967">
        <f t="shared" si="48"/>
        <v>17.05</v>
      </c>
      <c r="L54" s="967">
        <f t="shared" si="49"/>
        <v>8.5250000000000006E-2</v>
      </c>
      <c r="M54" s="967">
        <f t="shared" si="50"/>
        <v>3.8550099999999965</v>
      </c>
      <c r="N54" s="54">
        <f t="shared" si="51"/>
        <v>5</v>
      </c>
      <c r="O54" s="968">
        <f t="shared" si="52"/>
        <v>12.79</v>
      </c>
      <c r="P54" s="968">
        <f t="shared" si="53"/>
        <v>6.3949999999999993E-2</v>
      </c>
      <c r="Q54" s="969">
        <f t="shared" si="54"/>
        <v>2.5558194117647068</v>
      </c>
      <c r="R54" s="247">
        <f t="shared" si="55"/>
        <v>5</v>
      </c>
      <c r="S54" s="24">
        <f t="shared" si="56"/>
        <v>47887</v>
      </c>
      <c r="T54" s="970">
        <f t="shared" si="57"/>
        <v>0.23943500000000001</v>
      </c>
      <c r="U54" s="971">
        <f t="shared" si="58"/>
        <v>10.479124411764712</v>
      </c>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R4:U4"/>
    <mergeCell ref="G3:I3"/>
    <mergeCell ref="B4:I4"/>
    <mergeCell ref="J4:M4"/>
    <mergeCell ref="N4:Q4"/>
  </mergeCells>
  <phoneticPr fontId="7" type="noConversion"/>
  <pageMargins left="0.75" right="0.75" top="1" bottom="1" header="0.5" footer="0.5"/>
  <pageSetup scale="43"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1CBE06"/>
    <pageSetUpPr fitToPage="1"/>
  </sheetPr>
  <dimension ref="A1:X61"/>
  <sheetViews>
    <sheetView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2"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249"/>
      <c r="K1" s="249"/>
      <c r="L1" s="4"/>
      <c r="M1" s="4"/>
      <c r="N1" s="4"/>
    </row>
    <row r="2" spans="1:24" ht="16.5" thickBot="1" x14ac:dyDescent="0.3">
      <c r="A2" s="5" t="s">
        <v>1</v>
      </c>
      <c r="B2" s="27" t="s">
        <v>4</v>
      </c>
      <c r="C2" s="27"/>
      <c r="D2" s="27"/>
      <c r="E2" s="27"/>
      <c r="F2" s="23"/>
      <c r="G2" s="2"/>
      <c r="H2" s="2"/>
      <c r="I2" s="2"/>
      <c r="J2" s="249"/>
      <c r="K2" s="249"/>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0</v>
      </c>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2+C6</f>
        <v>2</v>
      </c>
      <c r="D7" s="628"/>
      <c r="E7" s="15"/>
      <c r="F7" s="31"/>
      <c r="G7" s="208"/>
      <c r="H7" s="15"/>
      <c r="I7" s="31"/>
      <c r="J7" s="37"/>
      <c r="K7" s="59">
        <f>+(M7-M6)/($C7-$C6)*1000</f>
        <v>200</v>
      </c>
      <c r="L7" s="6"/>
      <c r="M7" s="46">
        <v>0.4</v>
      </c>
      <c r="N7" s="40"/>
      <c r="O7" s="55">
        <f>+(Q7-Q6)/($C7-$C6)*1000</f>
        <v>50</v>
      </c>
      <c r="P7" s="57"/>
      <c r="Q7" s="41">
        <v>0.1</v>
      </c>
      <c r="R7" s="43"/>
      <c r="S7" s="24">
        <f>+(U7-U6)/($C7-$C6)*1000000</f>
        <v>320000</v>
      </c>
      <c r="T7" s="21"/>
      <c r="U7" s="47">
        <v>0.64</v>
      </c>
      <c r="V7" s="3"/>
    </row>
    <row r="8" spans="1:24" x14ac:dyDescent="0.2">
      <c r="A8" s="33">
        <v>1995</v>
      </c>
      <c r="B8" s="30">
        <v>1</v>
      </c>
      <c r="C8" s="660">
        <f>+C7+B8</f>
        <v>3</v>
      </c>
      <c r="D8" s="30">
        <v>200</v>
      </c>
      <c r="E8" s="210">
        <v>50</v>
      </c>
      <c r="F8" s="617">
        <v>300000</v>
      </c>
      <c r="G8" s="452">
        <f t="shared" ref="G8:G27" si="0">+$B8*D8/1000</f>
        <v>0.2</v>
      </c>
      <c r="H8" s="72">
        <f t="shared" ref="H8:H27" si="1">+$B8*E8/1000</f>
        <v>0.05</v>
      </c>
      <c r="I8" s="72">
        <f t="shared" ref="I8:I27" si="2">+$B8*F8/1000000</f>
        <v>0.3</v>
      </c>
      <c r="J8" s="61">
        <f>+(B8+N8)/2</f>
        <v>1</v>
      </c>
      <c r="K8" s="59">
        <f>+D8</f>
        <v>200</v>
      </c>
      <c r="L8" s="59">
        <f>+J8*K8/1000</f>
        <v>0.2</v>
      </c>
      <c r="M8" s="60">
        <f>+M7+L8</f>
        <v>0.60000000000000009</v>
      </c>
      <c r="N8" s="51">
        <v>1</v>
      </c>
      <c r="O8" s="55">
        <f>+E8</f>
        <v>50</v>
      </c>
      <c r="P8" s="55">
        <f>+N8*O8/1000</f>
        <v>0.05</v>
      </c>
      <c r="Q8" s="56">
        <f>+Q7+P8</f>
        <v>0.15000000000000002</v>
      </c>
      <c r="R8" s="247">
        <f>J8</f>
        <v>1</v>
      </c>
      <c r="S8" s="24">
        <f>+F8</f>
        <v>300000</v>
      </c>
      <c r="T8" s="25">
        <f>+R8*S8/1000000</f>
        <v>0.3</v>
      </c>
      <c r="U8" s="53">
        <f>+U7+T8</f>
        <v>0.94</v>
      </c>
      <c r="V8" s="9"/>
      <c r="X8" s="1"/>
    </row>
    <row r="9" spans="1:24" x14ac:dyDescent="0.2">
      <c r="A9" s="33">
        <v>1996</v>
      </c>
      <c r="B9" s="30">
        <v>1</v>
      </c>
      <c r="C9" s="660">
        <f t="shared" ref="C9:C37" si="3">+C8+B9</f>
        <v>4</v>
      </c>
      <c r="D9" s="30">
        <v>73</v>
      </c>
      <c r="E9" s="210">
        <v>0</v>
      </c>
      <c r="F9" s="617">
        <v>322035</v>
      </c>
      <c r="G9" s="452">
        <f t="shared" si="0"/>
        <v>7.2999999999999995E-2</v>
      </c>
      <c r="H9" s="72">
        <f t="shared" si="1"/>
        <v>0</v>
      </c>
      <c r="I9" s="72">
        <f t="shared" si="2"/>
        <v>0.32203500000000002</v>
      </c>
      <c r="J9" s="61">
        <f t="shared" ref="J9:J37" si="4">+(B9+B8)/2</f>
        <v>1</v>
      </c>
      <c r="K9" s="59">
        <f t="shared" ref="K9:K37" si="5">+D9</f>
        <v>73</v>
      </c>
      <c r="L9" s="59">
        <f t="shared" ref="L9:L37" si="6">+J9*K9/1000</f>
        <v>7.2999999999999995E-2</v>
      </c>
      <c r="M9" s="60">
        <f t="shared" ref="M9:M37" si="7">+M8+L9</f>
        <v>0.67300000000000004</v>
      </c>
      <c r="N9" s="54">
        <f>+B8</f>
        <v>1</v>
      </c>
      <c r="O9" s="55">
        <f t="shared" ref="O9:O37" si="8">+E9</f>
        <v>0</v>
      </c>
      <c r="P9" s="55">
        <f t="shared" ref="P9:P37" si="9">+N9*O9/1000</f>
        <v>0</v>
      </c>
      <c r="Q9" s="56">
        <f t="shared" ref="Q9:Q37" si="10">+Q8+P9</f>
        <v>0.15000000000000002</v>
      </c>
      <c r="R9" s="247">
        <f t="shared" ref="R9:R37" si="11">+(B9+B8)/2</f>
        <v>1</v>
      </c>
      <c r="S9" s="24">
        <f t="shared" ref="S9:S37" si="12">+F9</f>
        <v>322035</v>
      </c>
      <c r="T9" s="25">
        <f t="shared" ref="T9:T37" si="13">+R9*S9/1000000</f>
        <v>0.32203500000000002</v>
      </c>
      <c r="U9" s="53">
        <f t="shared" ref="U9:U37" si="14">+U8+T9</f>
        <v>1.262035</v>
      </c>
      <c r="V9" s="10"/>
      <c r="X9" s="1"/>
    </row>
    <row r="10" spans="1:24" x14ac:dyDescent="0.2">
      <c r="A10" s="33">
        <v>1997</v>
      </c>
      <c r="B10" s="30">
        <v>0</v>
      </c>
      <c r="C10" s="660">
        <f t="shared" si="3"/>
        <v>4</v>
      </c>
      <c r="D10" s="30">
        <v>0</v>
      </c>
      <c r="E10" s="210">
        <v>0</v>
      </c>
      <c r="F10" s="617">
        <v>0</v>
      </c>
      <c r="G10" s="452">
        <f t="shared" si="0"/>
        <v>0</v>
      </c>
      <c r="H10" s="72">
        <f t="shared" si="1"/>
        <v>0</v>
      </c>
      <c r="I10" s="72">
        <f t="shared" si="2"/>
        <v>0</v>
      </c>
      <c r="J10" s="61">
        <f t="shared" si="4"/>
        <v>0.5</v>
      </c>
      <c r="K10" s="59">
        <f t="shared" si="5"/>
        <v>0</v>
      </c>
      <c r="L10" s="59">
        <f t="shared" si="6"/>
        <v>0</v>
      </c>
      <c r="M10" s="60">
        <f t="shared" si="7"/>
        <v>0.67300000000000004</v>
      </c>
      <c r="N10" s="54">
        <f t="shared" ref="N10:N37" si="15">+B9</f>
        <v>1</v>
      </c>
      <c r="O10" s="55">
        <f t="shared" si="8"/>
        <v>0</v>
      </c>
      <c r="P10" s="55">
        <f t="shared" si="9"/>
        <v>0</v>
      </c>
      <c r="Q10" s="56">
        <f t="shared" si="10"/>
        <v>0.15000000000000002</v>
      </c>
      <c r="R10" s="247">
        <f t="shared" si="11"/>
        <v>0.5</v>
      </c>
      <c r="S10" s="24">
        <f t="shared" si="12"/>
        <v>0</v>
      </c>
      <c r="T10" s="25">
        <f t="shared" si="13"/>
        <v>0</v>
      </c>
      <c r="U10" s="53">
        <f t="shared" si="14"/>
        <v>1.262035</v>
      </c>
      <c r="V10" s="10"/>
      <c r="X10" s="1"/>
    </row>
    <row r="11" spans="1:24" x14ac:dyDescent="0.2">
      <c r="A11" s="33">
        <v>1998</v>
      </c>
      <c r="B11" s="30">
        <v>1</v>
      </c>
      <c r="C11" s="660">
        <f t="shared" si="3"/>
        <v>5</v>
      </c>
      <c r="D11" s="30">
        <v>36.76</v>
      </c>
      <c r="E11" s="210">
        <v>11.56</v>
      </c>
      <c r="F11" s="617">
        <v>111887</v>
      </c>
      <c r="G11" s="452">
        <f t="shared" si="0"/>
        <v>3.6760000000000001E-2</v>
      </c>
      <c r="H11" s="72">
        <f t="shared" si="1"/>
        <v>1.1560000000000001E-2</v>
      </c>
      <c r="I11" s="72">
        <f t="shared" si="2"/>
        <v>0.111887</v>
      </c>
      <c r="J11" s="61">
        <f t="shared" si="4"/>
        <v>0.5</v>
      </c>
      <c r="K11" s="59">
        <f t="shared" si="5"/>
        <v>36.76</v>
      </c>
      <c r="L11" s="59">
        <f t="shared" si="6"/>
        <v>1.8380000000000001E-2</v>
      </c>
      <c r="M11" s="60">
        <f t="shared" si="7"/>
        <v>0.69137999999999999</v>
      </c>
      <c r="N11" s="54">
        <f t="shared" si="15"/>
        <v>0</v>
      </c>
      <c r="O11" s="55">
        <f t="shared" si="8"/>
        <v>11.56</v>
      </c>
      <c r="P11" s="55">
        <f t="shared" si="9"/>
        <v>0</v>
      </c>
      <c r="Q11" s="56">
        <f t="shared" si="10"/>
        <v>0.15000000000000002</v>
      </c>
      <c r="R11" s="247">
        <f t="shared" si="11"/>
        <v>0.5</v>
      </c>
      <c r="S11" s="24">
        <f t="shared" si="12"/>
        <v>111887</v>
      </c>
      <c r="T11" s="25">
        <f t="shared" si="13"/>
        <v>5.59435E-2</v>
      </c>
      <c r="U11" s="53">
        <f t="shared" si="14"/>
        <v>1.3179784999999999</v>
      </c>
      <c r="V11" s="10"/>
      <c r="X11" s="1"/>
    </row>
    <row r="12" spans="1:24" x14ac:dyDescent="0.2">
      <c r="A12" s="33">
        <v>1999</v>
      </c>
      <c r="B12" s="30">
        <v>0</v>
      </c>
      <c r="C12" s="660">
        <f t="shared" si="3"/>
        <v>5</v>
      </c>
      <c r="D12" s="30">
        <v>0</v>
      </c>
      <c r="E12" s="210">
        <v>0</v>
      </c>
      <c r="F12" s="617">
        <v>0</v>
      </c>
      <c r="G12" s="452">
        <f t="shared" si="0"/>
        <v>0</v>
      </c>
      <c r="H12" s="72">
        <f t="shared" si="1"/>
        <v>0</v>
      </c>
      <c r="I12" s="72">
        <f t="shared" si="2"/>
        <v>0</v>
      </c>
      <c r="J12" s="61">
        <f t="shared" si="4"/>
        <v>0.5</v>
      </c>
      <c r="K12" s="59">
        <f t="shared" si="5"/>
        <v>0</v>
      </c>
      <c r="L12" s="59">
        <f t="shared" si="6"/>
        <v>0</v>
      </c>
      <c r="M12" s="60">
        <f t="shared" si="7"/>
        <v>0.69137999999999999</v>
      </c>
      <c r="N12" s="54">
        <f t="shared" si="15"/>
        <v>1</v>
      </c>
      <c r="O12" s="55">
        <f t="shared" si="8"/>
        <v>0</v>
      </c>
      <c r="P12" s="55">
        <f t="shared" si="9"/>
        <v>0</v>
      </c>
      <c r="Q12" s="56">
        <f t="shared" si="10"/>
        <v>0.15000000000000002</v>
      </c>
      <c r="R12" s="247">
        <f t="shared" si="11"/>
        <v>0.5</v>
      </c>
      <c r="S12" s="24">
        <f t="shared" si="12"/>
        <v>0</v>
      </c>
      <c r="T12" s="25">
        <f t="shared" si="13"/>
        <v>0</v>
      </c>
      <c r="U12" s="53">
        <f t="shared" si="14"/>
        <v>1.3179784999999999</v>
      </c>
      <c r="V12" s="10"/>
      <c r="X12" s="1"/>
    </row>
    <row r="13" spans="1:24" x14ac:dyDescent="0.2">
      <c r="A13" s="33">
        <v>2000</v>
      </c>
      <c r="B13" s="30">
        <v>6</v>
      </c>
      <c r="C13" s="660">
        <f t="shared" si="3"/>
        <v>11</v>
      </c>
      <c r="D13" s="30">
        <v>113.25</v>
      </c>
      <c r="E13" s="210">
        <v>39</v>
      </c>
      <c r="F13" s="617">
        <v>638460</v>
      </c>
      <c r="G13" s="452">
        <f t="shared" si="0"/>
        <v>0.67949999999999999</v>
      </c>
      <c r="H13" s="72">
        <f t="shared" si="1"/>
        <v>0.23400000000000001</v>
      </c>
      <c r="I13" s="72">
        <f t="shared" si="2"/>
        <v>3.8307600000000002</v>
      </c>
      <c r="J13" s="61">
        <f t="shared" si="4"/>
        <v>3</v>
      </c>
      <c r="K13" s="59">
        <f t="shared" si="5"/>
        <v>113.25</v>
      </c>
      <c r="L13" s="59">
        <f t="shared" si="6"/>
        <v>0.33975</v>
      </c>
      <c r="M13" s="60">
        <f t="shared" si="7"/>
        <v>1.0311300000000001</v>
      </c>
      <c r="N13" s="54">
        <f t="shared" si="15"/>
        <v>0</v>
      </c>
      <c r="O13" s="55">
        <f t="shared" si="8"/>
        <v>39</v>
      </c>
      <c r="P13" s="55">
        <f t="shared" si="9"/>
        <v>0</v>
      </c>
      <c r="Q13" s="56">
        <f t="shared" si="10"/>
        <v>0.15000000000000002</v>
      </c>
      <c r="R13" s="247">
        <f t="shared" si="11"/>
        <v>3</v>
      </c>
      <c r="S13" s="24">
        <f t="shared" si="12"/>
        <v>638460</v>
      </c>
      <c r="T13" s="25">
        <f t="shared" si="13"/>
        <v>1.9153800000000001</v>
      </c>
      <c r="U13" s="53">
        <f t="shared" si="14"/>
        <v>3.2333585</v>
      </c>
      <c r="V13" s="9"/>
      <c r="X13" s="1"/>
    </row>
    <row r="14" spans="1:24" x14ac:dyDescent="0.2">
      <c r="A14" s="33">
        <v>2001</v>
      </c>
      <c r="B14" s="30">
        <v>6</v>
      </c>
      <c r="C14" s="660">
        <f t="shared" si="3"/>
        <v>17</v>
      </c>
      <c r="D14" s="30">
        <v>65.63000000000001</v>
      </c>
      <c r="E14" s="210">
        <v>14.598333333333334</v>
      </c>
      <c r="F14" s="617">
        <v>260498</v>
      </c>
      <c r="G14" s="452">
        <f t="shared" si="0"/>
        <v>0.39378000000000007</v>
      </c>
      <c r="H14" s="72">
        <f t="shared" si="1"/>
        <v>8.7590000000000001E-2</v>
      </c>
      <c r="I14" s="72">
        <f t="shared" si="2"/>
        <v>1.562988</v>
      </c>
      <c r="J14" s="61">
        <f t="shared" si="4"/>
        <v>6</v>
      </c>
      <c r="K14" s="59">
        <f t="shared" si="5"/>
        <v>65.63000000000001</v>
      </c>
      <c r="L14" s="59">
        <f t="shared" si="6"/>
        <v>0.39378000000000007</v>
      </c>
      <c r="M14" s="60">
        <f t="shared" si="7"/>
        <v>1.4249100000000001</v>
      </c>
      <c r="N14" s="54">
        <f t="shared" si="15"/>
        <v>6</v>
      </c>
      <c r="O14" s="55">
        <f t="shared" si="8"/>
        <v>14.598333333333334</v>
      </c>
      <c r="P14" s="55">
        <f t="shared" si="9"/>
        <v>8.7590000000000001E-2</v>
      </c>
      <c r="Q14" s="56">
        <f t="shared" si="10"/>
        <v>0.23759000000000002</v>
      </c>
      <c r="R14" s="247">
        <f t="shared" si="11"/>
        <v>6</v>
      </c>
      <c r="S14" s="24">
        <f t="shared" si="12"/>
        <v>260498</v>
      </c>
      <c r="T14" s="25">
        <f t="shared" si="13"/>
        <v>1.562988</v>
      </c>
      <c r="U14" s="53">
        <f t="shared" si="14"/>
        <v>4.7963465000000003</v>
      </c>
      <c r="V14" s="9"/>
      <c r="X14" s="1"/>
    </row>
    <row r="15" spans="1:24" x14ac:dyDescent="0.2">
      <c r="A15" s="33">
        <v>2002</v>
      </c>
      <c r="B15" s="30">
        <v>2</v>
      </c>
      <c r="C15" s="660">
        <f t="shared" si="3"/>
        <v>19</v>
      </c>
      <c r="D15" s="30">
        <v>336.13</v>
      </c>
      <c r="E15" s="210">
        <v>131.17000000000002</v>
      </c>
      <c r="F15" s="617">
        <v>1571800</v>
      </c>
      <c r="G15" s="452">
        <f t="shared" si="0"/>
        <v>0.67225999999999997</v>
      </c>
      <c r="H15" s="72">
        <f t="shared" si="1"/>
        <v>0.26234000000000002</v>
      </c>
      <c r="I15" s="72">
        <f t="shared" si="2"/>
        <v>3.1436000000000002</v>
      </c>
      <c r="J15" s="61">
        <f t="shared" si="4"/>
        <v>4</v>
      </c>
      <c r="K15" s="59">
        <f t="shared" si="5"/>
        <v>336.13</v>
      </c>
      <c r="L15" s="59">
        <f t="shared" si="6"/>
        <v>1.3445199999999999</v>
      </c>
      <c r="M15" s="60">
        <f t="shared" si="7"/>
        <v>2.7694299999999998</v>
      </c>
      <c r="N15" s="54">
        <f t="shared" si="15"/>
        <v>6</v>
      </c>
      <c r="O15" s="55">
        <f t="shared" si="8"/>
        <v>131.17000000000002</v>
      </c>
      <c r="P15" s="55">
        <f t="shared" si="9"/>
        <v>0.78702000000000005</v>
      </c>
      <c r="Q15" s="56">
        <f t="shared" si="10"/>
        <v>1.02461</v>
      </c>
      <c r="R15" s="247">
        <f t="shared" si="11"/>
        <v>4</v>
      </c>
      <c r="S15" s="24">
        <f t="shared" si="12"/>
        <v>1571800</v>
      </c>
      <c r="T15" s="25">
        <f t="shared" si="13"/>
        <v>6.2872000000000003</v>
      </c>
      <c r="U15" s="53">
        <f t="shared" si="14"/>
        <v>11.083546500000001</v>
      </c>
      <c r="V15" s="9"/>
      <c r="X15" s="1"/>
    </row>
    <row r="16" spans="1:24" x14ac:dyDescent="0.2">
      <c r="A16" s="33">
        <v>2003</v>
      </c>
      <c r="B16" s="30">
        <v>3</v>
      </c>
      <c r="C16" s="660">
        <f t="shared" si="3"/>
        <v>22</v>
      </c>
      <c r="D16" s="30">
        <v>24.126666666666665</v>
      </c>
      <c r="E16" s="210">
        <v>13.083333333333334</v>
      </c>
      <c r="F16" s="617">
        <v>115843.66666666667</v>
      </c>
      <c r="G16" s="452">
        <f t="shared" si="0"/>
        <v>7.238E-2</v>
      </c>
      <c r="H16" s="72">
        <f t="shared" si="1"/>
        <v>3.925E-2</v>
      </c>
      <c r="I16" s="72">
        <f t="shared" si="2"/>
        <v>0.34753099999999998</v>
      </c>
      <c r="J16" s="61">
        <f t="shared" si="4"/>
        <v>2.5</v>
      </c>
      <c r="K16" s="59">
        <f t="shared" si="5"/>
        <v>24.126666666666665</v>
      </c>
      <c r="L16" s="59">
        <f t="shared" si="6"/>
        <v>6.0316666666666664E-2</v>
      </c>
      <c r="M16" s="60">
        <f t="shared" si="7"/>
        <v>2.8297466666666664</v>
      </c>
      <c r="N16" s="54">
        <f t="shared" si="15"/>
        <v>2</v>
      </c>
      <c r="O16" s="55">
        <f t="shared" si="8"/>
        <v>13.083333333333334</v>
      </c>
      <c r="P16" s="55">
        <f t="shared" si="9"/>
        <v>2.6166666666666668E-2</v>
      </c>
      <c r="Q16" s="56">
        <f t="shared" si="10"/>
        <v>1.0507766666666667</v>
      </c>
      <c r="R16" s="247">
        <f t="shared" si="11"/>
        <v>2.5</v>
      </c>
      <c r="S16" s="24">
        <f t="shared" si="12"/>
        <v>115843.66666666667</v>
      </c>
      <c r="T16" s="25">
        <f t="shared" si="13"/>
        <v>0.2896091666666667</v>
      </c>
      <c r="U16" s="53">
        <f t="shared" si="14"/>
        <v>11.373155666666667</v>
      </c>
      <c r="V16" s="9"/>
      <c r="X16" s="1"/>
    </row>
    <row r="17" spans="1:24" x14ac:dyDescent="0.2">
      <c r="A17" s="33">
        <f>+A16+1</f>
        <v>2004</v>
      </c>
      <c r="B17" s="30">
        <v>1</v>
      </c>
      <c r="C17" s="660">
        <f t="shared" si="3"/>
        <v>23</v>
      </c>
      <c r="D17" s="30">
        <v>234.48</v>
      </c>
      <c r="E17" s="210">
        <v>466.09000000000003</v>
      </c>
      <c r="F17" s="617">
        <v>2178564</v>
      </c>
      <c r="G17" s="452">
        <f t="shared" si="0"/>
        <v>0.23447999999999999</v>
      </c>
      <c r="H17" s="72">
        <f t="shared" si="1"/>
        <v>0.46609</v>
      </c>
      <c r="I17" s="72">
        <f t="shared" si="2"/>
        <v>2.1785640000000002</v>
      </c>
      <c r="J17" s="61">
        <f t="shared" si="4"/>
        <v>2</v>
      </c>
      <c r="K17" s="59">
        <f t="shared" si="5"/>
        <v>234.48</v>
      </c>
      <c r="L17" s="59">
        <f t="shared" si="6"/>
        <v>0.46895999999999999</v>
      </c>
      <c r="M17" s="60">
        <f t="shared" si="7"/>
        <v>3.2987066666666665</v>
      </c>
      <c r="N17" s="54">
        <f t="shared" si="15"/>
        <v>3</v>
      </c>
      <c r="O17" s="55">
        <f t="shared" si="8"/>
        <v>466.09000000000003</v>
      </c>
      <c r="P17" s="55">
        <f t="shared" si="9"/>
        <v>1.3982699999999999</v>
      </c>
      <c r="Q17" s="56">
        <f t="shared" si="10"/>
        <v>2.4490466666666668</v>
      </c>
      <c r="R17" s="247">
        <f t="shared" si="11"/>
        <v>2</v>
      </c>
      <c r="S17" s="24">
        <f t="shared" si="12"/>
        <v>2178564</v>
      </c>
      <c r="T17" s="25">
        <f t="shared" si="13"/>
        <v>4.3571280000000003</v>
      </c>
      <c r="U17" s="53">
        <f t="shared" si="14"/>
        <v>15.730283666666669</v>
      </c>
      <c r="V17" s="9"/>
      <c r="X17" s="1"/>
    </row>
    <row r="18" spans="1:24" x14ac:dyDescent="0.2">
      <c r="A18" s="33">
        <f t="shared" ref="A18:A38" si="16">+A17+1</f>
        <v>2005</v>
      </c>
      <c r="B18" s="30">
        <v>2</v>
      </c>
      <c r="C18" s="660">
        <f t="shared" si="3"/>
        <v>25</v>
      </c>
      <c r="D18" s="30">
        <v>61.18</v>
      </c>
      <c r="E18" s="210">
        <v>61.18</v>
      </c>
      <c r="F18" s="617">
        <v>287167.5</v>
      </c>
      <c r="G18" s="452">
        <f t="shared" si="0"/>
        <v>0.12236</v>
      </c>
      <c r="H18" s="72">
        <f t="shared" si="1"/>
        <v>0.12236</v>
      </c>
      <c r="I18" s="72">
        <f t="shared" si="2"/>
        <v>0.57433500000000004</v>
      </c>
      <c r="J18" s="61">
        <f t="shared" si="4"/>
        <v>1.5</v>
      </c>
      <c r="K18" s="59">
        <f t="shared" si="5"/>
        <v>61.18</v>
      </c>
      <c r="L18" s="59">
        <f t="shared" si="6"/>
        <v>9.176999999999999E-2</v>
      </c>
      <c r="M18" s="60">
        <f t="shared" si="7"/>
        <v>3.3904766666666664</v>
      </c>
      <c r="N18" s="54">
        <f t="shared" si="15"/>
        <v>1</v>
      </c>
      <c r="O18" s="55">
        <f t="shared" si="8"/>
        <v>61.18</v>
      </c>
      <c r="P18" s="55">
        <f t="shared" si="9"/>
        <v>6.1179999999999998E-2</v>
      </c>
      <c r="Q18" s="56">
        <f t="shared" si="10"/>
        <v>2.5102266666666666</v>
      </c>
      <c r="R18" s="247">
        <f t="shared" si="11"/>
        <v>1.5</v>
      </c>
      <c r="S18" s="24">
        <f t="shared" si="12"/>
        <v>287167.5</v>
      </c>
      <c r="T18" s="25">
        <f t="shared" si="13"/>
        <v>0.43075124999999997</v>
      </c>
      <c r="U18" s="53">
        <f t="shared" si="14"/>
        <v>16.161034916666669</v>
      </c>
      <c r="V18" s="9"/>
      <c r="X18" s="1"/>
    </row>
    <row r="19" spans="1:24" x14ac:dyDescent="0.2">
      <c r="A19" s="33">
        <f t="shared" si="16"/>
        <v>2006</v>
      </c>
      <c r="B19" s="30">
        <v>3</v>
      </c>
      <c r="C19" s="660">
        <f t="shared" si="3"/>
        <v>28</v>
      </c>
      <c r="D19" s="30">
        <v>101.77666666666666</v>
      </c>
      <c r="E19" s="210">
        <v>20.086666666666666</v>
      </c>
      <c r="F19" s="617">
        <v>352577.66666666669</v>
      </c>
      <c r="G19" s="452">
        <f t="shared" si="0"/>
        <v>0.30532999999999999</v>
      </c>
      <c r="H19" s="72">
        <f t="shared" si="1"/>
        <v>6.0260000000000001E-2</v>
      </c>
      <c r="I19" s="72">
        <f t="shared" si="2"/>
        <v>1.057733</v>
      </c>
      <c r="J19" s="61">
        <f t="shared" si="4"/>
        <v>2.5</v>
      </c>
      <c r="K19" s="59">
        <f t="shared" si="5"/>
        <v>101.77666666666666</v>
      </c>
      <c r="L19" s="59">
        <f t="shared" si="6"/>
        <v>0.25444166666666662</v>
      </c>
      <c r="M19" s="60">
        <f t="shared" si="7"/>
        <v>3.644918333333333</v>
      </c>
      <c r="N19" s="54">
        <f t="shared" si="15"/>
        <v>2</v>
      </c>
      <c r="O19" s="55">
        <f t="shared" si="8"/>
        <v>20.086666666666666</v>
      </c>
      <c r="P19" s="55">
        <f t="shared" si="9"/>
        <v>4.0173333333333332E-2</v>
      </c>
      <c r="Q19" s="56">
        <f t="shared" si="10"/>
        <v>2.5503999999999998</v>
      </c>
      <c r="R19" s="247">
        <f t="shared" si="11"/>
        <v>2.5</v>
      </c>
      <c r="S19" s="24">
        <f t="shared" si="12"/>
        <v>352577.66666666669</v>
      </c>
      <c r="T19" s="25">
        <f t="shared" si="13"/>
        <v>0.8814441666666667</v>
      </c>
      <c r="U19" s="53">
        <f t="shared" si="14"/>
        <v>17.042479083333337</v>
      </c>
      <c r="V19" s="8"/>
      <c r="X19" s="1"/>
    </row>
    <row r="20" spans="1:24" x14ac:dyDescent="0.2">
      <c r="A20" s="33">
        <f t="shared" si="16"/>
        <v>2007</v>
      </c>
      <c r="B20" s="30">
        <v>3</v>
      </c>
      <c r="C20" s="660">
        <f t="shared" si="3"/>
        <v>31</v>
      </c>
      <c r="D20" s="30">
        <v>428.49</v>
      </c>
      <c r="E20" s="210">
        <v>192.15</v>
      </c>
      <c r="F20" s="617">
        <v>715358</v>
      </c>
      <c r="G20" s="452">
        <f t="shared" si="0"/>
        <v>1.2854700000000001</v>
      </c>
      <c r="H20" s="72">
        <f t="shared" si="1"/>
        <v>0.57645000000000002</v>
      </c>
      <c r="I20" s="72">
        <f t="shared" si="2"/>
        <v>2.146074</v>
      </c>
      <c r="J20" s="61">
        <f t="shared" si="4"/>
        <v>3</v>
      </c>
      <c r="K20" s="59">
        <f t="shared" si="5"/>
        <v>428.49</v>
      </c>
      <c r="L20" s="59">
        <f t="shared" si="6"/>
        <v>1.2854700000000001</v>
      </c>
      <c r="M20" s="60">
        <f t="shared" si="7"/>
        <v>4.9303883333333332</v>
      </c>
      <c r="N20" s="54">
        <f t="shared" si="15"/>
        <v>3</v>
      </c>
      <c r="O20" s="55">
        <f t="shared" si="8"/>
        <v>192.15</v>
      </c>
      <c r="P20" s="55">
        <f t="shared" si="9"/>
        <v>0.57645000000000002</v>
      </c>
      <c r="Q20" s="56">
        <f t="shared" si="10"/>
        <v>3.1268499999999997</v>
      </c>
      <c r="R20" s="247">
        <f t="shared" si="11"/>
        <v>3</v>
      </c>
      <c r="S20" s="24">
        <f t="shared" si="12"/>
        <v>715358</v>
      </c>
      <c r="T20" s="25">
        <f t="shared" si="13"/>
        <v>2.146074</v>
      </c>
      <c r="U20" s="53">
        <f t="shared" si="14"/>
        <v>19.188553083333336</v>
      </c>
    </row>
    <row r="21" spans="1:24" x14ac:dyDescent="0.2">
      <c r="A21" s="33">
        <f t="shared" si="16"/>
        <v>2008</v>
      </c>
      <c r="B21" s="30">
        <v>0</v>
      </c>
      <c r="C21" s="660">
        <f t="shared" si="3"/>
        <v>31</v>
      </c>
      <c r="D21" s="30">
        <v>0</v>
      </c>
      <c r="E21" s="210">
        <v>0</v>
      </c>
      <c r="F21" s="617">
        <v>0</v>
      </c>
      <c r="G21" s="452">
        <f t="shared" si="0"/>
        <v>0</v>
      </c>
      <c r="H21" s="72">
        <f t="shared" si="1"/>
        <v>0</v>
      </c>
      <c r="I21" s="72">
        <f t="shared" si="2"/>
        <v>0</v>
      </c>
      <c r="J21" s="61">
        <f t="shared" si="4"/>
        <v>1.5</v>
      </c>
      <c r="K21" s="59">
        <f t="shared" si="5"/>
        <v>0</v>
      </c>
      <c r="L21" s="59">
        <f t="shared" si="6"/>
        <v>0</v>
      </c>
      <c r="M21" s="60">
        <f t="shared" si="7"/>
        <v>4.9303883333333332</v>
      </c>
      <c r="N21" s="54">
        <f t="shared" si="15"/>
        <v>3</v>
      </c>
      <c r="O21" s="55">
        <f t="shared" si="8"/>
        <v>0</v>
      </c>
      <c r="P21" s="55">
        <f t="shared" si="9"/>
        <v>0</v>
      </c>
      <c r="Q21" s="56">
        <f t="shared" si="10"/>
        <v>3.1268499999999997</v>
      </c>
      <c r="R21" s="247">
        <f t="shared" si="11"/>
        <v>1.5</v>
      </c>
      <c r="S21" s="24">
        <f t="shared" si="12"/>
        <v>0</v>
      </c>
      <c r="T21" s="25">
        <f t="shared" si="13"/>
        <v>0</v>
      </c>
      <c r="U21" s="53">
        <f t="shared" si="14"/>
        <v>19.188553083333336</v>
      </c>
    </row>
    <row r="22" spans="1:24" x14ac:dyDescent="0.2">
      <c r="A22" s="33">
        <f t="shared" si="16"/>
        <v>2009</v>
      </c>
      <c r="B22" s="30">
        <v>0</v>
      </c>
      <c r="C22" s="660">
        <f t="shared" si="3"/>
        <v>31</v>
      </c>
      <c r="D22" s="30">
        <v>428.49333333333334</v>
      </c>
      <c r="E22" s="210">
        <v>192.14666666666668</v>
      </c>
      <c r="F22" s="617">
        <v>715357.66666666663</v>
      </c>
      <c r="G22" s="452">
        <f t="shared" si="0"/>
        <v>0</v>
      </c>
      <c r="H22" s="72">
        <f t="shared" si="1"/>
        <v>0</v>
      </c>
      <c r="I22" s="72">
        <f t="shared" si="2"/>
        <v>0</v>
      </c>
      <c r="J22" s="61">
        <f t="shared" si="4"/>
        <v>0</v>
      </c>
      <c r="K22" s="59">
        <f t="shared" si="5"/>
        <v>428.49333333333334</v>
      </c>
      <c r="L22" s="59">
        <f t="shared" si="6"/>
        <v>0</v>
      </c>
      <c r="M22" s="60">
        <f t="shared" si="7"/>
        <v>4.9303883333333332</v>
      </c>
      <c r="N22" s="54">
        <f t="shared" si="15"/>
        <v>0</v>
      </c>
      <c r="O22" s="55">
        <f t="shared" si="8"/>
        <v>192.14666666666668</v>
      </c>
      <c r="P22" s="55">
        <f t="shared" si="9"/>
        <v>0</v>
      </c>
      <c r="Q22" s="56">
        <f t="shared" si="10"/>
        <v>3.1268499999999997</v>
      </c>
      <c r="R22" s="247">
        <f t="shared" si="11"/>
        <v>0</v>
      </c>
      <c r="S22" s="24">
        <f t="shared" si="12"/>
        <v>715357.66666666663</v>
      </c>
      <c r="T22" s="25">
        <f t="shared" si="13"/>
        <v>0</v>
      </c>
      <c r="U22" s="53">
        <f t="shared" si="14"/>
        <v>19.188553083333336</v>
      </c>
    </row>
    <row r="23" spans="1:24" x14ac:dyDescent="0.2">
      <c r="A23" s="33">
        <f t="shared" si="16"/>
        <v>2010</v>
      </c>
      <c r="B23" s="30">
        <v>5</v>
      </c>
      <c r="C23" s="661">
        <f t="shared" si="3"/>
        <v>36</v>
      </c>
      <c r="D23" s="30">
        <v>105.84</v>
      </c>
      <c r="E23" s="210">
        <v>38.1</v>
      </c>
      <c r="F23" s="617">
        <v>86524</v>
      </c>
      <c r="G23" s="452">
        <f t="shared" si="0"/>
        <v>0.5292</v>
      </c>
      <c r="H23" s="72">
        <f t="shared" si="1"/>
        <v>0.1905</v>
      </c>
      <c r="I23" s="72">
        <f t="shared" si="2"/>
        <v>0.43262</v>
      </c>
      <c r="J23" s="61">
        <f t="shared" si="4"/>
        <v>2.5</v>
      </c>
      <c r="K23" s="651">
        <f t="shared" si="5"/>
        <v>105.84</v>
      </c>
      <c r="L23" s="651">
        <f t="shared" si="6"/>
        <v>0.2646</v>
      </c>
      <c r="M23" s="652">
        <f t="shared" si="7"/>
        <v>5.1949883333333329</v>
      </c>
      <c r="N23" s="54">
        <f t="shared" si="15"/>
        <v>0</v>
      </c>
      <c r="O23" s="597">
        <f t="shared" si="8"/>
        <v>38.1</v>
      </c>
      <c r="P23" s="597">
        <f t="shared" si="9"/>
        <v>0</v>
      </c>
      <c r="Q23" s="653">
        <f t="shared" si="10"/>
        <v>3.1268499999999997</v>
      </c>
      <c r="R23" s="247">
        <f t="shared" si="11"/>
        <v>2.5</v>
      </c>
      <c r="S23" s="24">
        <f t="shared" si="12"/>
        <v>86524</v>
      </c>
      <c r="T23" s="25">
        <f t="shared" si="13"/>
        <v>0.21631</v>
      </c>
      <c r="U23" s="654">
        <f t="shared" si="14"/>
        <v>19.404863083333336</v>
      </c>
    </row>
    <row r="24" spans="1:24" x14ac:dyDescent="0.2">
      <c r="A24" s="33">
        <f t="shared" si="16"/>
        <v>2011</v>
      </c>
      <c r="B24" s="30">
        <v>2</v>
      </c>
      <c r="C24" s="661">
        <f t="shared" si="3"/>
        <v>38</v>
      </c>
      <c r="D24" s="30">
        <v>24.13</v>
      </c>
      <c r="E24" s="210">
        <v>13.08</v>
      </c>
      <c r="F24" s="617">
        <v>115844</v>
      </c>
      <c r="G24" s="452">
        <f t="shared" si="0"/>
        <v>4.8259999999999997E-2</v>
      </c>
      <c r="H24" s="72">
        <f t="shared" si="1"/>
        <v>2.6159999999999999E-2</v>
      </c>
      <c r="I24" s="72">
        <f t="shared" si="2"/>
        <v>0.23168800000000001</v>
      </c>
      <c r="J24" s="61">
        <f t="shared" si="4"/>
        <v>3.5</v>
      </c>
      <c r="K24" s="651">
        <f t="shared" si="5"/>
        <v>24.13</v>
      </c>
      <c r="L24" s="651">
        <f t="shared" si="6"/>
        <v>8.4455000000000002E-2</v>
      </c>
      <c r="M24" s="652">
        <f t="shared" si="7"/>
        <v>5.279443333333333</v>
      </c>
      <c r="N24" s="54">
        <f t="shared" si="15"/>
        <v>5</v>
      </c>
      <c r="O24" s="597">
        <f t="shared" si="8"/>
        <v>13.08</v>
      </c>
      <c r="P24" s="597">
        <f t="shared" si="9"/>
        <v>6.54E-2</v>
      </c>
      <c r="Q24" s="653">
        <f t="shared" si="10"/>
        <v>3.1922499999999996</v>
      </c>
      <c r="R24" s="247">
        <f t="shared" si="11"/>
        <v>3.5</v>
      </c>
      <c r="S24" s="24">
        <f t="shared" si="12"/>
        <v>115844</v>
      </c>
      <c r="T24" s="25">
        <f t="shared" si="13"/>
        <v>0.40545399999999998</v>
      </c>
      <c r="U24" s="654">
        <f t="shared" si="14"/>
        <v>19.810317083333334</v>
      </c>
    </row>
    <row r="25" spans="1:24" x14ac:dyDescent="0.2">
      <c r="A25" s="33">
        <f t="shared" si="16"/>
        <v>2012</v>
      </c>
      <c r="B25" s="30">
        <v>7</v>
      </c>
      <c r="C25" s="661">
        <f t="shared" si="3"/>
        <v>45</v>
      </c>
      <c r="D25" s="30">
        <v>185.76</v>
      </c>
      <c r="E25" s="210">
        <v>0</v>
      </c>
      <c r="F25" s="617">
        <v>33848</v>
      </c>
      <c r="G25" s="452">
        <f t="shared" si="0"/>
        <v>1.3003199999999999</v>
      </c>
      <c r="H25" s="72">
        <f t="shared" si="1"/>
        <v>0</v>
      </c>
      <c r="I25" s="72">
        <f t="shared" si="2"/>
        <v>0.23693600000000001</v>
      </c>
      <c r="J25" s="61">
        <f t="shared" si="4"/>
        <v>4.5</v>
      </c>
      <c r="K25" s="651">
        <f t="shared" si="5"/>
        <v>185.76</v>
      </c>
      <c r="L25" s="651">
        <f t="shared" si="6"/>
        <v>0.83592</v>
      </c>
      <c r="M25" s="652">
        <f t="shared" si="7"/>
        <v>6.1153633333333328</v>
      </c>
      <c r="N25" s="54">
        <f t="shared" si="15"/>
        <v>2</v>
      </c>
      <c r="O25" s="597">
        <f t="shared" si="8"/>
        <v>0</v>
      </c>
      <c r="P25" s="597">
        <f t="shared" si="9"/>
        <v>0</v>
      </c>
      <c r="Q25" s="653">
        <f t="shared" si="10"/>
        <v>3.1922499999999996</v>
      </c>
      <c r="R25" s="247">
        <f t="shared" si="11"/>
        <v>4.5</v>
      </c>
      <c r="S25" s="24">
        <f t="shared" si="12"/>
        <v>33848</v>
      </c>
      <c r="T25" s="25">
        <f t="shared" si="13"/>
        <v>0.15231600000000001</v>
      </c>
      <c r="U25" s="654">
        <f t="shared" si="14"/>
        <v>19.962633083333333</v>
      </c>
    </row>
    <row r="26" spans="1:24" s="831" customFormat="1" x14ac:dyDescent="0.2">
      <c r="A26" s="33">
        <f t="shared" si="16"/>
        <v>2013</v>
      </c>
      <c r="B26" s="30">
        <v>0</v>
      </c>
      <c r="C26" s="619">
        <f t="shared" si="3"/>
        <v>45</v>
      </c>
      <c r="D26" s="30">
        <v>24.13</v>
      </c>
      <c r="E26" s="210">
        <v>13.08</v>
      </c>
      <c r="F26" s="806">
        <v>115844</v>
      </c>
      <c r="G26" s="626">
        <f t="shared" si="0"/>
        <v>0</v>
      </c>
      <c r="H26" s="72">
        <f t="shared" si="1"/>
        <v>0</v>
      </c>
      <c r="I26" s="630">
        <f t="shared" si="2"/>
        <v>0</v>
      </c>
      <c r="J26" s="61">
        <f t="shared" si="4"/>
        <v>3.5</v>
      </c>
      <c r="K26" s="651">
        <f t="shared" si="5"/>
        <v>24.13</v>
      </c>
      <c r="L26" s="651">
        <f t="shared" si="6"/>
        <v>8.4455000000000002E-2</v>
      </c>
      <c r="M26" s="652">
        <f t="shared" si="7"/>
        <v>6.199818333333333</v>
      </c>
      <c r="N26" s="54">
        <f t="shared" si="15"/>
        <v>7</v>
      </c>
      <c r="O26" s="597">
        <f t="shared" si="8"/>
        <v>13.08</v>
      </c>
      <c r="P26" s="597">
        <f t="shared" si="9"/>
        <v>9.1560000000000002E-2</v>
      </c>
      <c r="Q26" s="653">
        <f t="shared" si="10"/>
        <v>3.2838099999999995</v>
      </c>
      <c r="R26" s="247">
        <f t="shared" si="11"/>
        <v>3.5</v>
      </c>
      <c r="S26" s="24">
        <f t="shared" si="12"/>
        <v>115844</v>
      </c>
      <c r="T26" s="25">
        <f t="shared" si="13"/>
        <v>0.40545399999999998</v>
      </c>
      <c r="U26" s="654">
        <f t="shared" si="14"/>
        <v>20.368087083333332</v>
      </c>
      <c r="V26" s="830"/>
    </row>
    <row r="27" spans="1:24" s="831" customFormat="1" x14ac:dyDescent="0.2">
      <c r="A27" s="33">
        <f t="shared" si="16"/>
        <v>2014</v>
      </c>
      <c r="B27" s="30">
        <v>2</v>
      </c>
      <c r="C27" s="619">
        <f t="shared" si="3"/>
        <v>47</v>
      </c>
      <c r="D27" s="30">
        <v>244.5</v>
      </c>
      <c r="E27" s="210">
        <v>0</v>
      </c>
      <c r="F27" s="806">
        <v>25000</v>
      </c>
      <c r="G27" s="626">
        <f t="shared" si="0"/>
        <v>0.48899999999999999</v>
      </c>
      <c r="H27" s="72">
        <f t="shared" si="1"/>
        <v>0</v>
      </c>
      <c r="I27" s="630">
        <f t="shared" si="2"/>
        <v>0.05</v>
      </c>
      <c r="J27" s="61">
        <f t="shared" si="4"/>
        <v>1</v>
      </c>
      <c r="K27" s="651">
        <f t="shared" si="5"/>
        <v>244.5</v>
      </c>
      <c r="L27" s="651">
        <f t="shared" si="6"/>
        <v>0.2445</v>
      </c>
      <c r="M27" s="652">
        <f t="shared" si="7"/>
        <v>6.4443183333333334</v>
      </c>
      <c r="N27" s="54">
        <f t="shared" si="15"/>
        <v>0</v>
      </c>
      <c r="O27" s="597">
        <f t="shared" si="8"/>
        <v>0</v>
      </c>
      <c r="P27" s="597">
        <f t="shared" si="9"/>
        <v>0</v>
      </c>
      <c r="Q27" s="653">
        <f t="shared" si="10"/>
        <v>3.2838099999999995</v>
      </c>
      <c r="R27" s="247">
        <f t="shared" si="11"/>
        <v>1</v>
      </c>
      <c r="S27" s="24">
        <f t="shared" si="12"/>
        <v>25000</v>
      </c>
      <c r="T27" s="25">
        <f t="shared" si="13"/>
        <v>2.5000000000000001E-2</v>
      </c>
      <c r="U27" s="654">
        <f t="shared" si="14"/>
        <v>20.393087083333331</v>
      </c>
      <c r="V27" s="830"/>
    </row>
    <row r="28" spans="1:24" s="831" customFormat="1" x14ac:dyDescent="0.2">
      <c r="A28" s="33">
        <f t="shared" si="16"/>
        <v>2015</v>
      </c>
      <c r="B28" s="30">
        <v>4</v>
      </c>
      <c r="C28" s="619">
        <f t="shared" si="3"/>
        <v>51</v>
      </c>
      <c r="D28" s="30">
        <f>D61</f>
        <v>452.1275</v>
      </c>
      <c r="E28" s="210">
        <f t="shared" ref="E28:F28" si="17">E61</f>
        <v>0</v>
      </c>
      <c r="F28" s="806">
        <f t="shared" si="17"/>
        <v>421808.0025</v>
      </c>
      <c r="G28" s="626">
        <f t="shared" ref="G28:H37" si="18">+$B28*D28/1000</f>
        <v>1.8085100000000001</v>
      </c>
      <c r="H28" s="72">
        <f t="shared" si="18"/>
        <v>0</v>
      </c>
      <c r="I28" s="630">
        <f t="shared" ref="I28:I37" si="19">+$B28*F28/1000000</f>
        <v>1.68723201</v>
      </c>
      <c r="J28" s="61">
        <f t="shared" si="4"/>
        <v>3</v>
      </c>
      <c r="K28" s="651">
        <f t="shared" si="5"/>
        <v>452.1275</v>
      </c>
      <c r="L28" s="651">
        <f t="shared" si="6"/>
        <v>1.3563825</v>
      </c>
      <c r="M28" s="652">
        <f t="shared" si="7"/>
        <v>7.8007008333333339</v>
      </c>
      <c r="N28" s="54">
        <f t="shared" si="15"/>
        <v>2</v>
      </c>
      <c r="O28" s="597">
        <f t="shared" si="8"/>
        <v>0</v>
      </c>
      <c r="P28" s="597">
        <f t="shared" si="9"/>
        <v>0</v>
      </c>
      <c r="Q28" s="653">
        <f t="shared" si="10"/>
        <v>3.2838099999999995</v>
      </c>
      <c r="R28" s="247">
        <f t="shared" si="11"/>
        <v>3</v>
      </c>
      <c r="S28" s="24">
        <f t="shared" si="12"/>
        <v>421808.0025</v>
      </c>
      <c r="T28" s="25">
        <f t="shared" si="13"/>
        <v>1.2654240075000001</v>
      </c>
      <c r="U28" s="654">
        <f t="shared" si="14"/>
        <v>21.658511090833329</v>
      </c>
      <c r="V28" s="830"/>
    </row>
    <row r="29" spans="1:24" ht="13.5" thickBot="1" x14ac:dyDescent="0.25">
      <c r="A29" s="701">
        <f t="shared" si="16"/>
        <v>2016</v>
      </c>
      <c r="B29" s="702">
        <v>2</v>
      </c>
      <c r="C29" s="703">
        <f t="shared" si="3"/>
        <v>53</v>
      </c>
      <c r="D29" s="702">
        <v>179</v>
      </c>
      <c r="E29" s="702">
        <v>0</v>
      </c>
      <c r="F29" s="702">
        <v>4877</v>
      </c>
      <c r="G29" s="823">
        <f t="shared" si="18"/>
        <v>0.35799999999999998</v>
      </c>
      <c r="H29" s="707">
        <f t="shared" si="18"/>
        <v>0</v>
      </c>
      <c r="I29" s="824">
        <f t="shared" si="19"/>
        <v>9.7540000000000005E-3</v>
      </c>
      <c r="J29" s="708">
        <f t="shared" si="4"/>
        <v>3</v>
      </c>
      <c r="K29" s="709">
        <f t="shared" si="5"/>
        <v>179</v>
      </c>
      <c r="L29" s="709">
        <f t="shared" si="6"/>
        <v>0.53700000000000003</v>
      </c>
      <c r="M29" s="710">
        <f t="shared" si="7"/>
        <v>8.3377008333333347</v>
      </c>
      <c r="N29" s="711">
        <f t="shared" si="15"/>
        <v>4</v>
      </c>
      <c r="O29" s="712">
        <f t="shared" si="8"/>
        <v>0</v>
      </c>
      <c r="P29" s="712">
        <f t="shared" si="9"/>
        <v>0</v>
      </c>
      <c r="Q29" s="713">
        <f t="shared" si="10"/>
        <v>3.2838099999999995</v>
      </c>
      <c r="R29" s="714">
        <f t="shared" si="11"/>
        <v>3</v>
      </c>
      <c r="S29" s="715">
        <f t="shared" si="12"/>
        <v>4877</v>
      </c>
      <c r="T29" s="716">
        <f t="shared" si="13"/>
        <v>1.4631E-2</v>
      </c>
      <c r="U29" s="717">
        <f t="shared" si="14"/>
        <v>21.673142090833331</v>
      </c>
    </row>
    <row r="30" spans="1:24" x14ac:dyDescent="0.2">
      <c r="A30" s="33">
        <f t="shared" si="16"/>
        <v>2017</v>
      </c>
      <c r="B30" s="787">
        <v>2</v>
      </c>
      <c r="C30" s="565">
        <f t="shared" si="3"/>
        <v>55</v>
      </c>
      <c r="D30" s="795">
        <f t="shared" ref="D30:D40" si="20">+D29</f>
        <v>179</v>
      </c>
      <c r="E30" s="966">
        <f t="shared" ref="E30:E40" si="21">+E29</f>
        <v>0</v>
      </c>
      <c r="F30" s="790">
        <f t="shared" ref="F30:F40" si="22">+F29</f>
        <v>4877</v>
      </c>
      <c r="G30" s="473">
        <f t="shared" si="18"/>
        <v>0.35799999999999998</v>
      </c>
      <c r="H30" s="474">
        <f t="shared" si="18"/>
        <v>0</v>
      </c>
      <c r="I30" s="474">
        <f t="shared" si="19"/>
        <v>9.7540000000000005E-3</v>
      </c>
      <c r="J30" s="61">
        <f t="shared" si="4"/>
        <v>2</v>
      </c>
      <c r="K30" s="967">
        <f t="shared" si="5"/>
        <v>179</v>
      </c>
      <c r="L30" s="967">
        <f t="shared" si="6"/>
        <v>0.35799999999999998</v>
      </c>
      <c r="M30" s="967">
        <f t="shared" si="7"/>
        <v>8.6957008333333352</v>
      </c>
      <c r="N30" s="54">
        <f t="shared" si="15"/>
        <v>2</v>
      </c>
      <c r="O30" s="968">
        <f t="shared" si="8"/>
        <v>0</v>
      </c>
      <c r="P30" s="968">
        <f t="shared" si="9"/>
        <v>0</v>
      </c>
      <c r="Q30" s="969">
        <f t="shared" si="10"/>
        <v>3.2838099999999995</v>
      </c>
      <c r="R30" s="247">
        <f t="shared" si="11"/>
        <v>2</v>
      </c>
      <c r="S30" s="24">
        <f t="shared" si="12"/>
        <v>4877</v>
      </c>
      <c r="T30" s="970">
        <f t="shared" si="13"/>
        <v>9.7540000000000005E-3</v>
      </c>
      <c r="U30" s="971">
        <f t="shared" si="14"/>
        <v>21.682896090833331</v>
      </c>
    </row>
    <row r="31" spans="1:24" x14ac:dyDescent="0.2">
      <c r="A31" s="33">
        <f t="shared" si="16"/>
        <v>2018</v>
      </c>
      <c r="B31" s="787">
        <v>2</v>
      </c>
      <c r="C31" s="565">
        <f t="shared" si="3"/>
        <v>57</v>
      </c>
      <c r="D31" s="795">
        <f t="shared" si="20"/>
        <v>179</v>
      </c>
      <c r="E31" s="966">
        <f t="shared" si="21"/>
        <v>0</v>
      </c>
      <c r="F31" s="790">
        <f t="shared" si="22"/>
        <v>4877</v>
      </c>
      <c r="G31" s="473">
        <f t="shared" si="18"/>
        <v>0.35799999999999998</v>
      </c>
      <c r="H31" s="474">
        <f t="shared" si="18"/>
        <v>0</v>
      </c>
      <c r="I31" s="474">
        <f t="shared" si="19"/>
        <v>9.7540000000000005E-3</v>
      </c>
      <c r="J31" s="61">
        <f t="shared" si="4"/>
        <v>2</v>
      </c>
      <c r="K31" s="967">
        <f t="shared" si="5"/>
        <v>179</v>
      </c>
      <c r="L31" s="967">
        <f t="shared" si="6"/>
        <v>0.35799999999999998</v>
      </c>
      <c r="M31" s="967">
        <f t="shared" si="7"/>
        <v>9.0537008333333358</v>
      </c>
      <c r="N31" s="54">
        <f t="shared" si="15"/>
        <v>2</v>
      </c>
      <c r="O31" s="968">
        <f t="shared" si="8"/>
        <v>0</v>
      </c>
      <c r="P31" s="968">
        <f t="shared" si="9"/>
        <v>0</v>
      </c>
      <c r="Q31" s="969">
        <f t="shared" si="10"/>
        <v>3.2838099999999995</v>
      </c>
      <c r="R31" s="247">
        <f t="shared" si="11"/>
        <v>2</v>
      </c>
      <c r="S31" s="24">
        <f t="shared" si="12"/>
        <v>4877</v>
      </c>
      <c r="T31" s="970">
        <f t="shared" si="13"/>
        <v>9.7540000000000005E-3</v>
      </c>
      <c r="U31" s="971">
        <f t="shared" si="14"/>
        <v>21.692650090833332</v>
      </c>
    </row>
    <row r="32" spans="1:24" x14ac:dyDescent="0.2">
      <c r="A32" s="33">
        <f t="shared" si="16"/>
        <v>2019</v>
      </c>
      <c r="B32" s="787">
        <v>2</v>
      </c>
      <c r="C32" s="565">
        <f t="shared" si="3"/>
        <v>59</v>
      </c>
      <c r="D32" s="795">
        <f t="shared" si="20"/>
        <v>179</v>
      </c>
      <c r="E32" s="966">
        <f t="shared" si="21"/>
        <v>0</v>
      </c>
      <c r="F32" s="790">
        <f t="shared" si="22"/>
        <v>4877</v>
      </c>
      <c r="G32" s="473">
        <f t="shared" si="18"/>
        <v>0.35799999999999998</v>
      </c>
      <c r="H32" s="474">
        <f t="shared" si="18"/>
        <v>0</v>
      </c>
      <c r="I32" s="474">
        <f t="shared" si="19"/>
        <v>9.7540000000000005E-3</v>
      </c>
      <c r="J32" s="61">
        <f t="shared" si="4"/>
        <v>2</v>
      </c>
      <c r="K32" s="967">
        <f t="shared" si="5"/>
        <v>179</v>
      </c>
      <c r="L32" s="967">
        <f t="shared" si="6"/>
        <v>0.35799999999999998</v>
      </c>
      <c r="M32" s="967">
        <f t="shared" si="7"/>
        <v>9.4117008333333363</v>
      </c>
      <c r="N32" s="54">
        <f t="shared" si="15"/>
        <v>2</v>
      </c>
      <c r="O32" s="968">
        <f t="shared" si="8"/>
        <v>0</v>
      </c>
      <c r="P32" s="968">
        <f t="shared" si="9"/>
        <v>0</v>
      </c>
      <c r="Q32" s="969">
        <f t="shared" si="10"/>
        <v>3.2838099999999995</v>
      </c>
      <c r="R32" s="247">
        <f t="shared" si="11"/>
        <v>2</v>
      </c>
      <c r="S32" s="24">
        <f t="shared" si="12"/>
        <v>4877</v>
      </c>
      <c r="T32" s="970">
        <f t="shared" si="13"/>
        <v>9.7540000000000005E-3</v>
      </c>
      <c r="U32" s="971">
        <f t="shared" si="14"/>
        <v>21.702404090833333</v>
      </c>
    </row>
    <row r="33" spans="1:21" x14ac:dyDescent="0.2">
      <c r="A33" s="33">
        <f t="shared" si="16"/>
        <v>2020</v>
      </c>
      <c r="B33" s="787">
        <v>2</v>
      </c>
      <c r="C33" s="565">
        <f t="shared" si="3"/>
        <v>61</v>
      </c>
      <c r="D33" s="795">
        <f t="shared" si="20"/>
        <v>179</v>
      </c>
      <c r="E33" s="966">
        <f t="shared" si="21"/>
        <v>0</v>
      </c>
      <c r="F33" s="790">
        <f t="shared" si="22"/>
        <v>4877</v>
      </c>
      <c r="G33" s="473">
        <f t="shared" si="18"/>
        <v>0.35799999999999998</v>
      </c>
      <c r="H33" s="474">
        <f t="shared" si="18"/>
        <v>0</v>
      </c>
      <c r="I33" s="474">
        <f t="shared" si="19"/>
        <v>9.7540000000000005E-3</v>
      </c>
      <c r="J33" s="61">
        <f t="shared" si="4"/>
        <v>2</v>
      </c>
      <c r="K33" s="967">
        <f t="shared" si="5"/>
        <v>179</v>
      </c>
      <c r="L33" s="967">
        <f t="shared" si="6"/>
        <v>0.35799999999999998</v>
      </c>
      <c r="M33" s="967">
        <f t="shared" si="7"/>
        <v>9.7697008333333368</v>
      </c>
      <c r="N33" s="54">
        <f t="shared" si="15"/>
        <v>2</v>
      </c>
      <c r="O33" s="968">
        <f t="shared" si="8"/>
        <v>0</v>
      </c>
      <c r="P33" s="968">
        <f t="shared" si="9"/>
        <v>0</v>
      </c>
      <c r="Q33" s="969">
        <f t="shared" si="10"/>
        <v>3.2838099999999995</v>
      </c>
      <c r="R33" s="247">
        <f t="shared" si="11"/>
        <v>2</v>
      </c>
      <c r="S33" s="24">
        <f t="shared" si="12"/>
        <v>4877</v>
      </c>
      <c r="T33" s="970">
        <f t="shared" si="13"/>
        <v>9.7540000000000005E-3</v>
      </c>
      <c r="U33" s="971">
        <f t="shared" si="14"/>
        <v>21.712158090833334</v>
      </c>
    </row>
    <row r="34" spans="1:21" x14ac:dyDescent="0.2">
      <c r="A34" s="33">
        <f t="shared" si="16"/>
        <v>2021</v>
      </c>
      <c r="B34" s="787">
        <f t="shared" ref="B34:B47" si="23">B33</f>
        <v>2</v>
      </c>
      <c r="C34" s="565">
        <f t="shared" si="3"/>
        <v>63</v>
      </c>
      <c r="D34" s="795">
        <f t="shared" si="20"/>
        <v>179</v>
      </c>
      <c r="E34" s="966">
        <f t="shared" si="21"/>
        <v>0</v>
      </c>
      <c r="F34" s="790">
        <f t="shared" si="22"/>
        <v>4877</v>
      </c>
      <c r="G34" s="473">
        <f t="shared" si="18"/>
        <v>0.35799999999999998</v>
      </c>
      <c r="H34" s="474">
        <f t="shared" si="18"/>
        <v>0</v>
      </c>
      <c r="I34" s="474">
        <f t="shared" si="19"/>
        <v>9.7540000000000005E-3</v>
      </c>
      <c r="J34" s="61">
        <f t="shared" si="4"/>
        <v>2</v>
      </c>
      <c r="K34" s="967">
        <f t="shared" si="5"/>
        <v>179</v>
      </c>
      <c r="L34" s="967">
        <f t="shared" si="6"/>
        <v>0.35799999999999998</v>
      </c>
      <c r="M34" s="967">
        <f t="shared" si="7"/>
        <v>10.127700833333337</v>
      </c>
      <c r="N34" s="54">
        <f t="shared" si="15"/>
        <v>2</v>
      </c>
      <c r="O34" s="968">
        <f t="shared" si="8"/>
        <v>0</v>
      </c>
      <c r="P34" s="968">
        <f t="shared" si="9"/>
        <v>0</v>
      </c>
      <c r="Q34" s="969">
        <f t="shared" si="10"/>
        <v>3.2838099999999995</v>
      </c>
      <c r="R34" s="247">
        <f t="shared" si="11"/>
        <v>2</v>
      </c>
      <c r="S34" s="24">
        <f t="shared" si="12"/>
        <v>4877</v>
      </c>
      <c r="T34" s="970">
        <f t="shared" si="13"/>
        <v>9.7540000000000005E-3</v>
      </c>
      <c r="U34" s="971">
        <f t="shared" si="14"/>
        <v>21.721912090833335</v>
      </c>
    </row>
    <row r="35" spans="1:21" x14ac:dyDescent="0.2">
      <c r="A35" s="33">
        <f t="shared" si="16"/>
        <v>2022</v>
      </c>
      <c r="B35" s="787">
        <f t="shared" si="23"/>
        <v>2</v>
      </c>
      <c r="C35" s="565">
        <f t="shared" si="3"/>
        <v>65</v>
      </c>
      <c r="D35" s="795">
        <f t="shared" si="20"/>
        <v>179</v>
      </c>
      <c r="E35" s="966">
        <f t="shared" si="21"/>
        <v>0</v>
      </c>
      <c r="F35" s="790">
        <f t="shared" si="22"/>
        <v>4877</v>
      </c>
      <c r="G35" s="473">
        <f t="shared" si="18"/>
        <v>0.35799999999999998</v>
      </c>
      <c r="H35" s="474">
        <f t="shared" si="18"/>
        <v>0</v>
      </c>
      <c r="I35" s="474">
        <f t="shared" si="19"/>
        <v>9.7540000000000005E-3</v>
      </c>
      <c r="J35" s="61">
        <f t="shared" si="4"/>
        <v>2</v>
      </c>
      <c r="K35" s="967">
        <f t="shared" si="5"/>
        <v>179</v>
      </c>
      <c r="L35" s="967">
        <f t="shared" si="6"/>
        <v>0.35799999999999998</v>
      </c>
      <c r="M35" s="967">
        <f t="shared" si="7"/>
        <v>10.485700833333338</v>
      </c>
      <c r="N35" s="54">
        <f t="shared" si="15"/>
        <v>2</v>
      </c>
      <c r="O35" s="968">
        <f t="shared" si="8"/>
        <v>0</v>
      </c>
      <c r="P35" s="968">
        <f t="shared" si="9"/>
        <v>0</v>
      </c>
      <c r="Q35" s="969">
        <f t="shared" si="10"/>
        <v>3.2838099999999995</v>
      </c>
      <c r="R35" s="247">
        <f t="shared" si="11"/>
        <v>2</v>
      </c>
      <c r="S35" s="24">
        <f t="shared" si="12"/>
        <v>4877</v>
      </c>
      <c r="T35" s="970">
        <f t="shared" si="13"/>
        <v>9.7540000000000005E-3</v>
      </c>
      <c r="U35" s="971">
        <f t="shared" si="14"/>
        <v>21.731666090833336</v>
      </c>
    </row>
    <row r="36" spans="1:21" x14ac:dyDescent="0.2">
      <c r="A36" s="33">
        <f t="shared" si="16"/>
        <v>2023</v>
      </c>
      <c r="B36" s="787">
        <f t="shared" si="23"/>
        <v>2</v>
      </c>
      <c r="C36" s="565">
        <f t="shared" si="3"/>
        <v>67</v>
      </c>
      <c r="D36" s="795">
        <f t="shared" si="20"/>
        <v>179</v>
      </c>
      <c r="E36" s="966">
        <f t="shared" si="21"/>
        <v>0</v>
      </c>
      <c r="F36" s="790">
        <f t="shared" si="22"/>
        <v>4877</v>
      </c>
      <c r="G36" s="473">
        <f t="shared" si="18"/>
        <v>0.35799999999999998</v>
      </c>
      <c r="H36" s="474">
        <f t="shared" si="18"/>
        <v>0</v>
      </c>
      <c r="I36" s="474">
        <f t="shared" si="19"/>
        <v>9.7540000000000005E-3</v>
      </c>
      <c r="J36" s="61">
        <f t="shared" si="4"/>
        <v>2</v>
      </c>
      <c r="K36" s="967">
        <f t="shared" si="5"/>
        <v>179</v>
      </c>
      <c r="L36" s="967">
        <f t="shared" si="6"/>
        <v>0.35799999999999998</v>
      </c>
      <c r="M36" s="967">
        <f t="shared" si="7"/>
        <v>10.843700833333338</v>
      </c>
      <c r="N36" s="54">
        <f t="shared" si="15"/>
        <v>2</v>
      </c>
      <c r="O36" s="968">
        <f t="shared" si="8"/>
        <v>0</v>
      </c>
      <c r="P36" s="968">
        <f t="shared" si="9"/>
        <v>0</v>
      </c>
      <c r="Q36" s="969">
        <f t="shared" si="10"/>
        <v>3.2838099999999995</v>
      </c>
      <c r="R36" s="247">
        <f t="shared" si="11"/>
        <v>2</v>
      </c>
      <c r="S36" s="24">
        <f t="shared" si="12"/>
        <v>4877</v>
      </c>
      <c r="T36" s="970">
        <f t="shared" si="13"/>
        <v>9.7540000000000005E-3</v>
      </c>
      <c r="U36" s="971">
        <f t="shared" si="14"/>
        <v>21.741420090833337</v>
      </c>
    </row>
    <row r="37" spans="1:21" x14ac:dyDescent="0.2">
      <c r="A37" s="33">
        <f t="shared" si="16"/>
        <v>2024</v>
      </c>
      <c r="B37" s="787">
        <f t="shared" si="23"/>
        <v>2</v>
      </c>
      <c r="C37" s="565">
        <f t="shared" si="3"/>
        <v>69</v>
      </c>
      <c r="D37" s="795">
        <f t="shared" si="20"/>
        <v>179</v>
      </c>
      <c r="E37" s="966">
        <f t="shared" si="21"/>
        <v>0</v>
      </c>
      <c r="F37" s="790">
        <f t="shared" si="22"/>
        <v>4877</v>
      </c>
      <c r="G37" s="473">
        <f t="shared" si="18"/>
        <v>0.35799999999999998</v>
      </c>
      <c r="H37" s="474">
        <f t="shared" si="18"/>
        <v>0</v>
      </c>
      <c r="I37" s="474">
        <f t="shared" si="19"/>
        <v>9.7540000000000005E-3</v>
      </c>
      <c r="J37" s="61">
        <f t="shared" si="4"/>
        <v>2</v>
      </c>
      <c r="K37" s="967">
        <f t="shared" si="5"/>
        <v>179</v>
      </c>
      <c r="L37" s="967">
        <f t="shared" si="6"/>
        <v>0.35799999999999998</v>
      </c>
      <c r="M37" s="967">
        <f t="shared" si="7"/>
        <v>11.201700833333339</v>
      </c>
      <c r="N37" s="54">
        <f t="shared" si="15"/>
        <v>2</v>
      </c>
      <c r="O37" s="968">
        <f t="shared" si="8"/>
        <v>0</v>
      </c>
      <c r="P37" s="968">
        <f t="shared" si="9"/>
        <v>0</v>
      </c>
      <c r="Q37" s="969">
        <f t="shared" si="10"/>
        <v>3.2838099999999995</v>
      </c>
      <c r="R37" s="247">
        <f t="shared" si="11"/>
        <v>2</v>
      </c>
      <c r="S37" s="24">
        <f t="shared" si="12"/>
        <v>4877</v>
      </c>
      <c r="T37" s="970">
        <f t="shared" si="13"/>
        <v>9.7540000000000005E-3</v>
      </c>
      <c r="U37" s="971">
        <f t="shared" si="14"/>
        <v>21.751174090833338</v>
      </c>
    </row>
    <row r="38" spans="1:21" x14ac:dyDescent="0.2">
      <c r="A38" s="33">
        <f t="shared" si="16"/>
        <v>2025</v>
      </c>
      <c r="B38" s="787">
        <f t="shared" si="23"/>
        <v>2</v>
      </c>
      <c r="C38" s="565">
        <f t="shared" ref="C38:C41" si="24">+C37+B38</f>
        <v>71</v>
      </c>
      <c r="D38" s="795">
        <f t="shared" si="20"/>
        <v>179</v>
      </c>
      <c r="E38" s="966">
        <f t="shared" si="21"/>
        <v>0</v>
      </c>
      <c r="F38" s="790">
        <f t="shared" si="22"/>
        <v>4877</v>
      </c>
      <c r="G38" s="473">
        <f t="shared" ref="G38:H40" si="25">+$B38*D38/1000</f>
        <v>0.35799999999999998</v>
      </c>
      <c r="H38" s="474">
        <f t="shared" si="25"/>
        <v>0</v>
      </c>
      <c r="I38" s="474">
        <f t="shared" ref="I38:I41" si="26">+$B38*F38/1000000</f>
        <v>9.7540000000000005E-3</v>
      </c>
      <c r="J38" s="61">
        <f t="shared" ref="J38:J41" si="27">+(B38+B37)/2</f>
        <v>2</v>
      </c>
      <c r="K38" s="967">
        <f t="shared" ref="K38:K41" si="28">+D38</f>
        <v>179</v>
      </c>
      <c r="L38" s="967">
        <f t="shared" ref="L38:L41" si="29">+J38*K38/1000</f>
        <v>0.35799999999999998</v>
      </c>
      <c r="M38" s="967">
        <f t="shared" ref="M38:M41" si="30">+M37+L38</f>
        <v>11.55970083333334</v>
      </c>
      <c r="N38" s="54">
        <f t="shared" ref="N38:N41" si="31">+B37</f>
        <v>2</v>
      </c>
      <c r="O38" s="968">
        <f t="shared" ref="O38:O41" si="32">+E38</f>
        <v>0</v>
      </c>
      <c r="P38" s="968">
        <f t="shared" ref="P38:P41" si="33">+N38*O38/1000</f>
        <v>0</v>
      </c>
      <c r="Q38" s="969">
        <f t="shared" ref="Q38:Q41" si="34">+Q37+P38</f>
        <v>3.2838099999999995</v>
      </c>
      <c r="R38" s="247">
        <f>+(B38+B37)/2</f>
        <v>2</v>
      </c>
      <c r="S38" s="24">
        <f t="shared" ref="S38:S41" si="35">+F38</f>
        <v>4877</v>
      </c>
      <c r="T38" s="970">
        <f t="shared" ref="T38:T41" si="36">+R38*S38/1000000</f>
        <v>9.7540000000000005E-3</v>
      </c>
      <c r="U38" s="971">
        <f t="shared" ref="U38:U41" si="37">+U37+T38</f>
        <v>21.760928090833339</v>
      </c>
    </row>
    <row r="39" spans="1:21" x14ac:dyDescent="0.2">
      <c r="A39" s="33">
        <f>+A38+1</f>
        <v>2026</v>
      </c>
      <c r="B39" s="787">
        <f t="shared" si="23"/>
        <v>2</v>
      </c>
      <c r="C39" s="565">
        <f t="shared" si="24"/>
        <v>73</v>
      </c>
      <c r="D39" s="795">
        <f t="shared" si="20"/>
        <v>179</v>
      </c>
      <c r="E39" s="966">
        <f t="shared" si="21"/>
        <v>0</v>
      </c>
      <c r="F39" s="790">
        <f t="shared" si="22"/>
        <v>4877</v>
      </c>
      <c r="G39" s="473">
        <f t="shared" si="25"/>
        <v>0.35799999999999998</v>
      </c>
      <c r="H39" s="474">
        <f t="shared" si="25"/>
        <v>0</v>
      </c>
      <c r="I39" s="474">
        <f t="shared" si="26"/>
        <v>9.7540000000000005E-3</v>
      </c>
      <c r="J39" s="61">
        <f t="shared" si="27"/>
        <v>2</v>
      </c>
      <c r="K39" s="967">
        <f t="shared" si="28"/>
        <v>179</v>
      </c>
      <c r="L39" s="967">
        <f t="shared" si="29"/>
        <v>0.35799999999999998</v>
      </c>
      <c r="M39" s="967">
        <f t="shared" si="30"/>
        <v>11.91770083333334</v>
      </c>
      <c r="N39" s="54">
        <f t="shared" si="31"/>
        <v>2</v>
      </c>
      <c r="O39" s="968">
        <f t="shared" si="32"/>
        <v>0</v>
      </c>
      <c r="P39" s="968">
        <f t="shared" si="33"/>
        <v>0</v>
      </c>
      <c r="Q39" s="969">
        <f t="shared" si="34"/>
        <v>3.2838099999999995</v>
      </c>
      <c r="R39" s="247">
        <v>1</v>
      </c>
      <c r="S39" s="24">
        <f t="shared" si="35"/>
        <v>4877</v>
      </c>
      <c r="T39" s="970">
        <f t="shared" si="36"/>
        <v>4.8770000000000003E-3</v>
      </c>
      <c r="U39" s="971">
        <f t="shared" si="37"/>
        <v>21.765805090833339</v>
      </c>
    </row>
    <row r="40" spans="1:21" x14ac:dyDescent="0.2">
      <c r="A40" s="33">
        <f>+A39+1</f>
        <v>2027</v>
      </c>
      <c r="B40" s="787">
        <f t="shared" si="23"/>
        <v>2</v>
      </c>
      <c r="C40" s="565">
        <f t="shared" si="24"/>
        <v>75</v>
      </c>
      <c r="D40" s="795">
        <f t="shared" si="20"/>
        <v>179</v>
      </c>
      <c r="E40" s="966">
        <f t="shared" si="21"/>
        <v>0</v>
      </c>
      <c r="F40" s="790">
        <f t="shared" si="22"/>
        <v>4877</v>
      </c>
      <c r="G40" s="473">
        <f t="shared" si="25"/>
        <v>0.35799999999999998</v>
      </c>
      <c r="H40" s="474">
        <f t="shared" si="25"/>
        <v>0</v>
      </c>
      <c r="I40" s="474">
        <f t="shared" si="26"/>
        <v>9.7540000000000005E-3</v>
      </c>
      <c r="J40" s="61">
        <f t="shared" si="27"/>
        <v>2</v>
      </c>
      <c r="K40" s="967">
        <f t="shared" si="28"/>
        <v>179</v>
      </c>
      <c r="L40" s="967">
        <f t="shared" si="29"/>
        <v>0.35799999999999998</v>
      </c>
      <c r="M40" s="967">
        <f t="shared" si="30"/>
        <v>12.275700833333341</v>
      </c>
      <c r="N40" s="54">
        <f t="shared" si="31"/>
        <v>2</v>
      </c>
      <c r="O40" s="968">
        <f t="shared" si="32"/>
        <v>0</v>
      </c>
      <c r="P40" s="968">
        <f t="shared" si="33"/>
        <v>0</v>
      </c>
      <c r="Q40" s="969">
        <f t="shared" si="34"/>
        <v>3.2838099999999995</v>
      </c>
      <c r="R40" s="247">
        <f>+(B40+B39)/2</f>
        <v>2</v>
      </c>
      <c r="S40" s="24">
        <f t="shared" si="35"/>
        <v>4877</v>
      </c>
      <c r="T40" s="970">
        <f t="shared" si="36"/>
        <v>9.7540000000000005E-3</v>
      </c>
      <c r="U40" s="971">
        <f t="shared" si="37"/>
        <v>21.77555909083334</v>
      </c>
    </row>
    <row r="41" spans="1:21" x14ac:dyDescent="0.2">
      <c r="A41" s="33">
        <f t="shared" ref="A41:A45" si="38">+A40+1</f>
        <v>2028</v>
      </c>
      <c r="B41" s="787">
        <f t="shared" si="23"/>
        <v>2</v>
      </c>
      <c r="C41" s="565">
        <f t="shared" si="24"/>
        <v>77</v>
      </c>
      <c r="D41" s="795">
        <f>+D40</f>
        <v>179</v>
      </c>
      <c r="E41" s="966">
        <f>+E40</f>
        <v>0</v>
      </c>
      <c r="F41" s="790">
        <f>+F40</f>
        <v>4877</v>
      </c>
      <c r="G41" s="473">
        <f t="shared" ref="G41:H41" si="39">+$B41*D41/1000</f>
        <v>0.35799999999999998</v>
      </c>
      <c r="H41" s="474">
        <f t="shared" si="39"/>
        <v>0</v>
      </c>
      <c r="I41" s="474">
        <f t="shared" si="26"/>
        <v>9.7540000000000005E-3</v>
      </c>
      <c r="J41" s="61">
        <f t="shared" si="27"/>
        <v>2</v>
      </c>
      <c r="K41" s="967">
        <f t="shared" si="28"/>
        <v>179</v>
      </c>
      <c r="L41" s="967">
        <f t="shared" si="29"/>
        <v>0.35799999999999998</v>
      </c>
      <c r="M41" s="967">
        <f t="shared" si="30"/>
        <v>12.633700833333341</v>
      </c>
      <c r="N41" s="54">
        <f t="shared" si="31"/>
        <v>2</v>
      </c>
      <c r="O41" s="968">
        <f t="shared" si="32"/>
        <v>0</v>
      </c>
      <c r="P41" s="968">
        <f t="shared" si="33"/>
        <v>0</v>
      </c>
      <c r="Q41" s="969">
        <f t="shared" si="34"/>
        <v>3.2838099999999995</v>
      </c>
      <c r="R41" s="247">
        <f>+(B41+B40)/2</f>
        <v>2</v>
      </c>
      <c r="S41" s="24">
        <f t="shared" si="35"/>
        <v>4877</v>
      </c>
      <c r="T41" s="970">
        <f t="shared" si="36"/>
        <v>9.7540000000000005E-3</v>
      </c>
      <c r="U41" s="971">
        <f t="shared" si="37"/>
        <v>21.785313090833341</v>
      </c>
    </row>
    <row r="42" spans="1:21" x14ac:dyDescent="0.2">
      <c r="A42" s="33">
        <f t="shared" si="38"/>
        <v>2029</v>
      </c>
      <c r="B42" s="787">
        <f t="shared" si="23"/>
        <v>2</v>
      </c>
      <c r="C42" s="565">
        <f t="shared" ref="C42:C47" si="40">+C41+B42</f>
        <v>79</v>
      </c>
      <c r="D42" s="795">
        <f t="shared" ref="D42:D54" si="41">+D41</f>
        <v>179</v>
      </c>
      <c r="E42" s="966">
        <f t="shared" ref="E42:E54" si="42">+E41</f>
        <v>0</v>
      </c>
      <c r="F42" s="790">
        <f t="shared" ref="F42:F54" si="43">+F41</f>
        <v>4877</v>
      </c>
      <c r="G42" s="473">
        <f t="shared" ref="G42:G47" si="44">+$B42*D42/1000</f>
        <v>0.35799999999999998</v>
      </c>
      <c r="H42" s="474">
        <f t="shared" ref="H42:H47" si="45">+$B42*E42/1000</f>
        <v>0</v>
      </c>
      <c r="I42" s="474">
        <f t="shared" ref="I42:I47" si="46">+$B42*F42/1000000</f>
        <v>9.7540000000000005E-3</v>
      </c>
      <c r="J42" s="61">
        <f t="shared" ref="J42:J47" si="47">+(B42+B41)/2</f>
        <v>2</v>
      </c>
      <c r="K42" s="967">
        <f t="shared" ref="K42:K47" si="48">+D42</f>
        <v>179</v>
      </c>
      <c r="L42" s="967">
        <f t="shared" ref="L42:L47" si="49">+J42*K42/1000</f>
        <v>0.35799999999999998</v>
      </c>
      <c r="M42" s="967">
        <f t="shared" ref="M42:M47" si="50">+M41+L42</f>
        <v>12.991700833333342</v>
      </c>
      <c r="N42" s="54">
        <f t="shared" ref="N42:N47" si="51">+B41</f>
        <v>2</v>
      </c>
      <c r="O42" s="968">
        <f t="shared" ref="O42:O47" si="52">+E42</f>
        <v>0</v>
      </c>
      <c r="P42" s="968">
        <f t="shared" ref="P42:P47" si="53">+N42*O42/1000</f>
        <v>0</v>
      </c>
      <c r="Q42" s="969">
        <f t="shared" ref="Q42:Q47" si="54">+Q41+P42</f>
        <v>3.2838099999999995</v>
      </c>
      <c r="R42" s="247">
        <f t="shared" ref="R42:R47" si="55">+(B42+B41)/2</f>
        <v>2</v>
      </c>
      <c r="S42" s="24">
        <f t="shared" ref="S42:S47" si="56">+F42</f>
        <v>4877</v>
      </c>
      <c r="T42" s="970">
        <f t="shared" ref="T42:T47" si="57">+R42*S42/1000000</f>
        <v>9.7540000000000005E-3</v>
      </c>
      <c r="U42" s="971">
        <f t="shared" ref="U42:U47" si="58">+U41+T42</f>
        <v>21.795067090833342</v>
      </c>
    </row>
    <row r="43" spans="1:21" x14ac:dyDescent="0.2">
      <c r="A43" s="33">
        <f t="shared" si="38"/>
        <v>2030</v>
      </c>
      <c r="B43" s="787">
        <f t="shared" si="23"/>
        <v>2</v>
      </c>
      <c r="C43" s="565">
        <f t="shared" si="40"/>
        <v>81</v>
      </c>
      <c r="D43" s="795">
        <f t="shared" si="41"/>
        <v>179</v>
      </c>
      <c r="E43" s="966">
        <f t="shared" si="42"/>
        <v>0</v>
      </c>
      <c r="F43" s="790">
        <f t="shared" si="43"/>
        <v>4877</v>
      </c>
      <c r="G43" s="473">
        <f t="shared" si="44"/>
        <v>0.35799999999999998</v>
      </c>
      <c r="H43" s="474">
        <f t="shared" si="45"/>
        <v>0</v>
      </c>
      <c r="I43" s="474">
        <f t="shared" si="46"/>
        <v>9.7540000000000005E-3</v>
      </c>
      <c r="J43" s="61">
        <f t="shared" si="47"/>
        <v>2</v>
      </c>
      <c r="K43" s="967">
        <f t="shared" si="48"/>
        <v>179</v>
      </c>
      <c r="L43" s="967">
        <f t="shared" si="49"/>
        <v>0.35799999999999998</v>
      </c>
      <c r="M43" s="967">
        <f t="shared" si="50"/>
        <v>13.349700833333342</v>
      </c>
      <c r="N43" s="54">
        <f t="shared" si="51"/>
        <v>2</v>
      </c>
      <c r="O43" s="968">
        <f t="shared" si="52"/>
        <v>0</v>
      </c>
      <c r="P43" s="968">
        <f t="shared" si="53"/>
        <v>0</v>
      </c>
      <c r="Q43" s="969">
        <f t="shared" si="54"/>
        <v>3.2838099999999995</v>
      </c>
      <c r="R43" s="247">
        <f t="shared" si="55"/>
        <v>2</v>
      </c>
      <c r="S43" s="24">
        <f t="shared" si="56"/>
        <v>4877</v>
      </c>
      <c r="T43" s="970">
        <f t="shared" si="57"/>
        <v>9.7540000000000005E-3</v>
      </c>
      <c r="U43" s="971">
        <f t="shared" si="58"/>
        <v>21.804821090833343</v>
      </c>
    </row>
    <row r="44" spans="1:21" x14ac:dyDescent="0.2">
      <c r="A44" s="33">
        <f t="shared" si="38"/>
        <v>2031</v>
      </c>
      <c r="B44" s="787">
        <f t="shared" si="23"/>
        <v>2</v>
      </c>
      <c r="C44" s="565">
        <f t="shared" si="40"/>
        <v>83</v>
      </c>
      <c r="D44" s="795">
        <f t="shared" si="41"/>
        <v>179</v>
      </c>
      <c r="E44" s="966">
        <f t="shared" si="42"/>
        <v>0</v>
      </c>
      <c r="F44" s="790">
        <f t="shared" si="43"/>
        <v>4877</v>
      </c>
      <c r="G44" s="473">
        <f t="shared" si="44"/>
        <v>0.35799999999999998</v>
      </c>
      <c r="H44" s="474">
        <f t="shared" si="45"/>
        <v>0</v>
      </c>
      <c r="I44" s="474">
        <f t="shared" si="46"/>
        <v>9.7540000000000005E-3</v>
      </c>
      <c r="J44" s="61">
        <f t="shared" si="47"/>
        <v>2</v>
      </c>
      <c r="K44" s="967">
        <f t="shared" si="48"/>
        <v>179</v>
      </c>
      <c r="L44" s="967">
        <f t="shared" si="49"/>
        <v>0.35799999999999998</v>
      </c>
      <c r="M44" s="967">
        <f t="shared" si="50"/>
        <v>13.707700833333343</v>
      </c>
      <c r="N44" s="54">
        <f t="shared" si="51"/>
        <v>2</v>
      </c>
      <c r="O44" s="968">
        <f t="shared" si="52"/>
        <v>0</v>
      </c>
      <c r="P44" s="968">
        <f t="shared" si="53"/>
        <v>0</v>
      </c>
      <c r="Q44" s="969">
        <f t="shared" si="54"/>
        <v>3.2838099999999995</v>
      </c>
      <c r="R44" s="247">
        <f t="shared" si="55"/>
        <v>2</v>
      </c>
      <c r="S44" s="24">
        <f t="shared" si="56"/>
        <v>4877</v>
      </c>
      <c r="T44" s="970">
        <f t="shared" si="57"/>
        <v>9.7540000000000005E-3</v>
      </c>
      <c r="U44" s="971">
        <f t="shared" si="58"/>
        <v>21.814575090833344</v>
      </c>
    </row>
    <row r="45" spans="1:21" x14ac:dyDescent="0.2">
      <c r="A45" s="33">
        <f t="shared" si="38"/>
        <v>2032</v>
      </c>
      <c r="B45" s="787">
        <f t="shared" si="23"/>
        <v>2</v>
      </c>
      <c r="C45" s="565">
        <f t="shared" si="40"/>
        <v>85</v>
      </c>
      <c r="D45" s="795">
        <f t="shared" si="41"/>
        <v>179</v>
      </c>
      <c r="E45" s="966">
        <f t="shared" si="42"/>
        <v>0</v>
      </c>
      <c r="F45" s="790">
        <f t="shared" si="43"/>
        <v>4877</v>
      </c>
      <c r="G45" s="473">
        <f t="shared" si="44"/>
        <v>0.35799999999999998</v>
      </c>
      <c r="H45" s="474">
        <f t="shared" si="45"/>
        <v>0</v>
      </c>
      <c r="I45" s="474">
        <f t="shared" si="46"/>
        <v>9.7540000000000005E-3</v>
      </c>
      <c r="J45" s="61">
        <f t="shared" si="47"/>
        <v>2</v>
      </c>
      <c r="K45" s="967">
        <f t="shared" si="48"/>
        <v>179</v>
      </c>
      <c r="L45" s="967">
        <f t="shared" si="49"/>
        <v>0.35799999999999998</v>
      </c>
      <c r="M45" s="967">
        <f t="shared" si="50"/>
        <v>14.065700833333343</v>
      </c>
      <c r="N45" s="54">
        <f t="shared" si="51"/>
        <v>2</v>
      </c>
      <c r="O45" s="968">
        <f t="shared" si="52"/>
        <v>0</v>
      </c>
      <c r="P45" s="968">
        <f t="shared" si="53"/>
        <v>0</v>
      </c>
      <c r="Q45" s="969">
        <f t="shared" si="54"/>
        <v>3.2838099999999995</v>
      </c>
      <c r="R45" s="247">
        <f t="shared" si="55"/>
        <v>2</v>
      </c>
      <c r="S45" s="24">
        <f t="shared" si="56"/>
        <v>4877</v>
      </c>
      <c r="T45" s="970">
        <f t="shared" si="57"/>
        <v>9.7540000000000005E-3</v>
      </c>
      <c r="U45" s="971">
        <f t="shared" si="58"/>
        <v>21.824329090833345</v>
      </c>
    </row>
    <row r="46" spans="1:21" x14ac:dyDescent="0.2">
      <c r="A46" s="33">
        <f>+A45+1</f>
        <v>2033</v>
      </c>
      <c r="B46" s="787">
        <f t="shared" si="23"/>
        <v>2</v>
      </c>
      <c r="C46" s="565">
        <f t="shared" si="40"/>
        <v>87</v>
      </c>
      <c r="D46" s="795">
        <f t="shared" si="41"/>
        <v>179</v>
      </c>
      <c r="E46" s="966">
        <f t="shared" si="42"/>
        <v>0</v>
      </c>
      <c r="F46" s="790">
        <f t="shared" si="43"/>
        <v>4877</v>
      </c>
      <c r="G46" s="473">
        <f t="shared" si="44"/>
        <v>0.35799999999999998</v>
      </c>
      <c r="H46" s="474">
        <f t="shared" si="45"/>
        <v>0</v>
      </c>
      <c r="I46" s="474">
        <f t="shared" si="46"/>
        <v>9.7540000000000005E-3</v>
      </c>
      <c r="J46" s="61">
        <f t="shared" si="47"/>
        <v>2</v>
      </c>
      <c r="K46" s="967">
        <f t="shared" si="48"/>
        <v>179</v>
      </c>
      <c r="L46" s="967">
        <f t="shared" si="49"/>
        <v>0.35799999999999998</v>
      </c>
      <c r="M46" s="967">
        <f t="shared" si="50"/>
        <v>14.423700833333344</v>
      </c>
      <c r="N46" s="54">
        <f t="shared" si="51"/>
        <v>2</v>
      </c>
      <c r="O46" s="968">
        <f t="shared" si="52"/>
        <v>0</v>
      </c>
      <c r="P46" s="968">
        <f t="shared" si="53"/>
        <v>0</v>
      </c>
      <c r="Q46" s="969">
        <f t="shared" si="54"/>
        <v>3.2838099999999995</v>
      </c>
      <c r="R46" s="247">
        <f t="shared" si="55"/>
        <v>2</v>
      </c>
      <c r="S46" s="24">
        <f t="shared" si="56"/>
        <v>4877</v>
      </c>
      <c r="T46" s="970">
        <f t="shared" si="57"/>
        <v>9.7540000000000005E-3</v>
      </c>
      <c r="U46" s="971">
        <f t="shared" si="58"/>
        <v>21.834083090833346</v>
      </c>
    </row>
    <row r="47" spans="1:21" x14ac:dyDescent="0.2">
      <c r="A47" s="33">
        <f>+A46+1</f>
        <v>2034</v>
      </c>
      <c r="B47" s="787">
        <f t="shared" si="23"/>
        <v>2</v>
      </c>
      <c r="C47" s="565">
        <f t="shared" si="40"/>
        <v>89</v>
      </c>
      <c r="D47" s="795">
        <f t="shared" si="41"/>
        <v>179</v>
      </c>
      <c r="E47" s="966">
        <f t="shared" si="42"/>
        <v>0</v>
      </c>
      <c r="F47" s="790">
        <f t="shared" si="43"/>
        <v>4877</v>
      </c>
      <c r="G47" s="473">
        <f t="shared" si="44"/>
        <v>0.35799999999999998</v>
      </c>
      <c r="H47" s="474">
        <f t="shared" si="45"/>
        <v>0</v>
      </c>
      <c r="I47" s="474">
        <f t="shared" si="46"/>
        <v>9.7540000000000005E-3</v>
      </c>
      <c r="J47" s="61">
        <f t="shared" si="47"/>
        <v>2</v>
      </c>
      <c r="K47" s="967">
        <f t="shared" si="48"/>
        <v>179</v>
      </c>
      <c r="L47" s="967">
        <f t="shared" si="49"/>
        <v>0.35799999999999998</v>
      </c>
      <c r="M47" s="967">
        <f t="shared" si="50"/>
        <v>14.781700833333344</v>
      </c>
      <c r="N47" s="54">
        <f t="shared" si="51"/>
        <v>2</v>
      </c>
      <c r="O47" s="968">
        <f t="shared" si="52"/>
        <v>0</v>
      </c>
      <c r="P47" s="968">
        <f t="shared" si="53"/>
        <v>0</v>
      </c>
      <c r="Q47" s="969">
        <f t="shared" si="54"/>
        <v>3.2838099999999995</v>
      </c>
      <c r="R47" s="247">
        <f t="shared" si="55"/>
        <v>2</v>
      </c>
      <c r="S47" s="24">
        <f t="shared" si="56"/>
        <v>4877</v>
      </c>
      <c r="T47" s="970">
        <f t="shared" si="57"/>
        <v>9.7540000000000005E-3</v>
      </c>
      <c r="U47" s="971">
        <f t="shared" si="58"/>
        <v>21.843837090833347</v>
      </c>
    </row>
    <row r="48" spans="1:21" x14ac:dyDescent="0.2">
      <c r="A48" s="33">
        <f>+A47+1</f>
        <v>2035</v>
      </c>
      <c r="B48" s="787">
        <f>B47</f>
        <v>2</v>
      </c>
      <c r="C48" s="565">
        <f t="shared" ref="C48:C54" si="59">+C47+B48</f>
        <v>91</v>
      </c>
      <c r="D48" s="795">
        <f t="shared" si="41"/>
        <v>179</v>
      </c>
      <c r="E48" s="966">
        <f t="shared" si="42"/>
        <v>0</v>
      </c>
      <c r="F48" s="790">
        <f t="shared" si="43"/>
        <v>4877</v>
      </c>
      <c r="G48" s="473">
        <f t="shared" ref="G48:G54" si="60">+$B48*D48/1000</f>
        <v>0.35799999999999998</v>
      </c>
      <c r="H48" s="474">
        <f t="shared" ref="H48:H54" si="61">+$B48*E48/1000</f>
        <v>0</v>
      </c>
      <c r="I48" s="474">
        <f t="shared" ref="I48:I54" si="62">+$B48*F48/1000000</f>
        <v>9.7540000000000005E-3</v>
      </c>
      <c r="J48" s="61">
        <f t="shared" ref="J48:J54" si="63">+(B48+B47)/2</f>
        <v>2</v>
      </c>
      <c r="K48" s="967">
        <f t="shared" ref="K48:K54" si="64">+D48</f>
        <v>179</v>
      </c>
      <c r="L48" s="967">
        <f t="shared" ref="L48:L54" si="65">+J48*K48/1000</f>
        <v>0.35799999999999998</v>
      </c>
      <c r="M48" s="967">
        <f t="shared" ref="M48:M54" si="66">+M47+L48</f>
        <v>15.139700833333345</v>
      </c>
      <c r="N48" s="54">
        <f t="shared" ref="N48:N54" si="67">+B47</f>
        <v>2</v>
      </c>
      <c r="O48" s="968">
        <f t="shared" ref="O48:O54" si="68">+E48</f>
        <v>0</v>
      </c>
      <c r="P48" s="968">
        <f t="shared" ref="P48:P54" si="69">+N48*O48/1000</f>
        <v>0</v>
      </c>
      <c r="Q48" s="969">
        <f t="shared" ref="Q48:Q54" si="70">+Q47+P48</f>
        <v>3.2838099999999995</v>
      </c>
      <c r="R48" s="247">
        <f t="shared" ref="R48:R54" si="71">+(B48+B47)/2</f>
        <v>2</v>
      </c>
      <c r="S48" s="24">
        <f t="shared" ref="S48:S54" si="72">+F48</f>
        <v>4877</v>
      </c>
      <c r="T48" s="970">
        <f t="shared" ref="T48:T54" si="73">+R48*S48/1000000</f>
        <v>9.7540000000000005E-3</v>
      </c>
      <c r="U48" s="971">
        <f t="shared" ref="U48:U54" si="74">+U47+T48</f>
        <v>21.853591090833348</v>
      </c>
    </row>
    <row r="49" spans="1:21" x14ac:dyDescent="0.2">
      <c r="A49" s="33">
        <f t="shared" ref="A49:A54" si="75">+A48+1</f>
        <v>2036</v>
      </c>
      <c r="B49" s="787">
        <f t="shared" ref="B49:B54" si="76">B48</f>
        <v>2</v>
      </c>
      <c r="C49" s="565">
        <f t="shared" si="59"/>
        <v>93</v>
      </c>
      <c r="D49" s="795">
        <f t="shared" si="41"/>
        <v>179</v>
      </c>
      <c r="E49" s="966">
        <f t="shared" si="42"/>
        <v>0</v>
      </c>
      <c r="F49" s="790">
        <f t="shared" si="43"/>
        <v>4877</v>
      </c>
      <c r="G49" s="473">
        <f t="shared" si="60"/>
        <v>0.35799999999999998</v>
      </c>
      <c r="H49" s="474">
        <f t="shared" si="61"/>
        <v>0</v>
      </c>
      <c r="I49" s="474">
        <f t="shared" si="62"/>
        <v>9.7540000000000005E-3</v>
      </c>
      <c r="J49" s="61">
        <f t="shared" si="63"/>
        <v>2</v>
      </c>
      <c r="K49" s="967">
        <f t="shared" si="64"/>
        <v>179</v>
      </c>
      <c r="L49" s="967">
        <f t="shared" si="65"/>
        <v>0.35799999999999998</v>
      </c>
      <c r="M49" s="967">
        <f t="shared" si="66"/>
        <v>15.497700833333345</v>
      </c>
      <c r="N49" s="54">
        <f t="shared" si="67"/>
        <v>2</v>
      </c>
      <c r="O49" s="968">
        <f t="shared" si="68"/>
        <v>0</v>
      </c>
      <c r="P49" s="968">
        <f t="shared" si="69"/>
        <v>0</v>
      </c>
      <c r="Q49" s="969">
        <f t="shared" si="70"/>
        <v>3.2838099999999995</v>
      </c>
      <c r="R49" s="247">
        <f t="shared" si="71"/>
        <v>2</v>
      </c>
      <c r="S49" s="24">
        <f t="shared" si="72"/>
        <v>4877</v>
      </c>
      <c r="T49" s="970">
        <f t="shared" si="73"/>
        <v>9.7540000000000005E-3</v>
      </c>
      <c r="U49" s="971">
        <f t="shared" si="74"/>
        <v>21.863345090833349</v>
      </c>
    </row>
    <row r="50" spans="1:21" x14ac:dyDescent="0.2">
      <c r="A50" s="33">
        <f t="shared" si="75"/>
        <v>2037</v>
      </c>
      <c r="B50" s="787">
        <f t="shared" si="76"/>
        <v>2</v>
      </c>
      <c r="C50" s="565">
        <f t="shared" si="59"/>
        <v>95</v>
      </c>
      <c r="D50" s="795">
        <f t="shared" si="41"/>
        <v>179</v>
      </c>
      <c r="E50" s="966">
        <f t="shared" si="42"/>
        <v>0</v>
      </c>
      <c r="F50" s="790">
        <f t="shared" si="43"/>
        <v>4877</v>
      </c>
      <c r="G50" s="473">
        <f t="shared" si="60"/>
        <v>0.35799999999999998</v>
      </c>
      <c r="H50" s="474">
        <f t="shared" si="61"/>
        <v>0</v>
      </c>
      <c r="I50" s="474">
        <f t="shared" si="62"/>
        <v>9.7540000000000005E-3</v>
      </c>
      <c r="J50" s="61">
        <f t="shared" si="63"/>
        <v>2</v>
      </c>
      <c r="K50" s="967">
        <f t="shared" si="64"/>
        <v>179</v>
      </c>
      <c r="L50" s="967">
        <f t="shared" si="65"/>
        <v>0.35799999999999998</v>
      </c>
      <c r="M50" s="967">
        <f t="shared" si="66"/>
        <v>15.855700833333346</v>
      </c>
      <c r="N50" s="54">
        <f t="shared" si="67"/>
        <v>2</v>
      </c>
      <c r="O50" s="968">
        <f t="shared" si="68"/>
        <v>0</v>
      </c>
      <c r="P50" s="968">
        <f t="shared" si="69"/>
        <v>0</v>
      </c>
      <c r="Q50" s="969">
        <f t="shared" si="70"/>
        <v>3.2838099999999995</v>
      </c>
      <c r="R50" s="247">
        <f t="shared" si="71"/>
        <v>2</v>
      </c>
      <c r="S50" s="24">
        <f t="shared" si="72"/>
        <v>4877</v>
      </c>
      <c r="T50" s="970">
        <f t="shared" si="73"/>
        <v>9.7540000000000005E-3</v>
      </c>
      <c r="U50" s="971">
        <f t="shared" si="74"/>
        <v>21.87309909083335</v>
      </c>
    </row>
    <row r="51" spans="1:21" x14ac:dyDescent="0.2">
      <c r="A51" s="33">
        <f t="shared" si="75"/>
        <v>2038</v>
      </c>
      <c r="B51" s="787">
        <f t="shared" si="76"/>
        <v>2</v>
      </c>
      <c r="C51" s="565">
        <f t="shared" si="59"/>
        <v>97</v>
      </c>
      <c r="D51" s="795">
        <f t="shared" si="41"/>
        <v>179</v>
      </c>
      <c r="E51" s="966">
        <f t="shared" si="42"/>
        <v>0</v>
      </c>
      <c r="F51" s="790">
        <f t="shared" si="43"/>
        <v>4877</v>
      </c>
      <c r="G51" s="473">
        <f t="shared" si="60"/>
        <v>0.35799999999999998</v>
      </c>
      <c r="H51" s="474">
        <f t="shared" si="61"/>
        <v>0</v>
      </c>
      <c r="I51" s="474">
        <f t="shared" si="62"/>
        <v>9.7540000000000005E-3</v>
      </c>
      <c r="J51" s="61">
        <f t="shared" si="63"/>
        <v>2</v>
      </c>
      <c r="K51" s="967">
        <f t="shared" si="64"/>
        <v>179</v>
      </c>
      <c r="L51" s="967">
        <f t="shared" si="65"/>
        <v>0.35799999999999998</v>
      </c>
      <c r="M51" s="967">
        <f t="shared" si="66"/>
        <v>16.213700833333345</v>
      </c>
      <c r="N51" s="54">
        <f t="shared" si="67"/>
        <v>2</v>
      </c>
      <c r="O51" s="968">
        <f t="shared" si="68"/>
        <v>0</v>
      </c>
      <c r="P51" s="968">
        <f t="shared" si="69"/>
        <v>0</v>
      </c>
      <c r="Q51" s="969">
        <f t="shared" si="70"/>
        <v>3.2838099999999995</v>
      </c>
      <c r="R51" s="247">
        <f t="shared" si="71"/>
        <v>2</v>
      </c>
      <c r="S51" s="24">
        <f t="shared" si="72"/>
        <v>4877</v>
      </c>
      <c r="T51" s="970">
        <f t="shared" si="73"/>
        <v>9.7540000000000005E-3</v>
      </c>
      <c r="U51" s="971">
        <f t="shared" si="74"/>
        <v>21.882853090833351</v>
      </c>
    </row>
    <row r="52" spans="1:21" x14ac:dyDescent="0.2">
      <c r="A52" s="33">
        <f t="shared" si="75"/>
        <v>2039</v>
      </c>
      <c r="B52" s="787">
        <f t="shared" si="76"/>
        <v>2</v>
      </c>
      <c r="C52" s="565">
        <f t="shared" si="59"/>
        <v>99</v>
      </c>
      <c r="D52" s="795">
        <f t="shared" si="41"/>
        <v>179</v>
      </c>
      <c r="E52" s="966">
        <f t="shared" si="42"/>
        <v>0</v>
      </c>
      <c r="F52" s="790">
        <f t="shared" si="43"/>
        <v>4877</v>
      </c>
      <c r="G52" s="473">
        <f t="shared" si="60"/>
        <v>0.35799999999999998</v>
      </c>
      <c r="H52" s="474">
        <f t="shared" si="61"/>
        <v>0</v>
      </c>
      <c r="I52" s="474">
        <f t="shared" si="62"/>
        <v>9.7540000000000005E-3</v>
      </c>
      <c r="J52" s="61">
        <f t="shared" si="63"/>
        <v>2</v>
      </c>
      <c r="K52" s="967">
        <f t="shared" si="64"/>
        <v>179</v>
      </c>
      <c r="L52" s="967">
        <f t="shared" si="65"/>
        <v>0.35799999999999998</v>
      </c>
      <c r="M52" s="967">
        <f t="shared" si="66"/>
        <v>16.571700833333345</v>
      </c>
      <c r="N52" s="54">
        <f t="shared" si="67"/>
        <v>2</v>
      </c>
      <c r="O52" s="968">
        <f t="shared" si="68"/>
        <v>0</v>
      </c>
      <c r="P52" s="968">
        <f t="shared" si="69"/>
        <v>0</v>
      </c>
      <c r="Q52" s="969">
        <f t="shared" si="70"/>
        <v>3.2838099999999995</v>
      </c>
      <c r="R52" s="247">
        <f t="shared" si="71"/>
        <v>2</v>
      </c>
      <c r="S52" s="24">
        <f t="shared" si="72"/>
        <v>4877</v>
      </c>
      <c r="T52" s="970">
        <f t="shared" si="73"/>
        <v>9.7540000000000005E-3</v>
      </c>
      <c r="U52" s="971">
        <f t="shared" si="74"/>
        <v>21.892607090833351</v>
      </c>
    </row>
    <row r="53" spans="1:21" x14ac:dyDescent="0.2">
      <c r="A53" s="33">
        <f t="shared" si="75"/>
        <v>2040</v>
      </c>
      <c r="B53" s="787">
        <f t="shared" si="76"/>
        <v>2</v>
      </c>
      <c r="C53" s="565">
        <f t="shared" si="59"/>
        <v>101</v>
      </c>
      <c r="D53" s="795">
        <f t="shared" si="41"/>
        <v>179</v>
      </c>
      <c r="E53" s="966">
        <f t="shared" si="42"/>
        <v>0</v>
      </c>
      <c r="F53" s="790">
        <f t="shared" si="43"/>
        <v>4877</v>
      </c>
      <c r="G53" s="473">
        <f t="shared" si="60"/>
        <v>0.35799999999999998</v>
      </c>
      <c r="H53" s="474">
        <f t="shared" si="61"/>
        <v>0</v>
      </c>
      <c r="I53" s="474">
        <f t="shared" si="62"/>
        <v>9.7540000000000005E-3</v>
      </c>
      <c r="J53" s="61">
        <f t="shared" si="63"/>
        <v>2</v>
      </c>
      <c r="K53" s="967">
        <f t="shared" si="64"/>
        <v>179</v>
      </c>
      <c r="L53" s="967">
        <f t="shared" si="65"/>
        <v>0.35799999999999998</v>
      </c>
      <c r="M53" s="967">
        <f t="shared" si="66"/>
        <v>16.929700833333346</v>
      </c>
      <c r="N53" s="54">
        <f t="shared" si="67"/>
        <v>2</v>
      </c>
      <c r="O53" s="968">
        <f t="shared" si="68"/>
        <v>0</v>
      </c>
      <c r="P53" s="968">
        <f t="shared" si="69"/>
        <v>0</v>
      </c>
      <c r="Q53" s="969">
        <f t="shared" si="70"/>
        <v>3.2838099999999995</v>
      </c>
      <c r="R53" s="247">
        <f t="shared" si="71"/>
        <v>2</v>
      </c>
      <c r="S53" s="24">
        <f t="shared" si="72"/>
        <v>4877</v>
      </c>
      <c r="T53" s="970">
        <f t="shared" si="73"/>
        <v>9.7540000000000005E-3</v>
      </c>
      <c r="U53" s="971">
        <f t="shared" si="74"/>
        <v>21.902361090833352</v>
      </c>
    </row>
    <row r="54" spans="1:21" x14ac:dyDescent="0.2">
      <c r="A54" s="33">
        <f t="shared" si="75"/>
        <v>2041</v>
      </c>
      <c r="B54" s="787">
        <f t="shared" si="76"/>
        <v>2</v>
      </c>
      <c r="C54" s="565">
        <f t="shared" si="59"/>
        <v>103</v>
      </c>
      <c r="D54" s="795">
        <f t="shared" si="41"/>
        <v>179</v>
      </c>
      <c r="E54" s="966">
        <f t="shared" si="42"/>
        <v>0</v>
      </c>
      <c r="F54" s="790">
        <f t="shared" si="43"/>
        <v>4877</v>
      </c>
      <c r="G54" s="473">
        <f t="shared" si="60"/>
        <v>0.35799999999999998</v>
      </c>
      <c r="H54" s="474">
        <f t="shared" si="61"/>
        <v>0</v>
      </c>
      <c r="I54" s="474">
        <f t="shared" si="62"/>
        <v>9.7540000000000005E-3</v>
      </c>
      <c r="J54" s="61">
        <f t="shared" si="63"/>
        <v>2</v>
      </c>
      <c r="K54" s="967">
        <f t="shared" si="64"/>
        <v>179</v>
      </c>
      <c r="L54" s="967">
        <f t="shared" si="65"/>
        <v>0.35799999999999998</v>
      </c>
      <c r="M54" s="967">
        <f t="shared" si="66"/>
        <v>17.287700833333346</v>
      </c>
      <c r="N54" s="54">
        <f t="shared" si="67"/>
        <v>2</v>
      </c>
      <c r="O54" s="968">
        <f t="shared" si="68"/>
        <v>0</v>
      </c>
      <c r="P54" s="968">
        <f t="shared" si="69"/>
        <v>0</v>
      </c>
      <c r="Q54" s="969">
        <f t="shared" si="70"/>
        <v>3.2838099999999995</v>
      </c>
      <c r="R54" s="247">
        <f t="shared" si="71"/>
        <v>2</v>
      </c>
      <c r="S54" s="24">
        <f t="shared" si="72"/>
        <v>4877</v>
      </c>
      <c r="T54" s="970">
        <f t="shared" si="73"/>
        <v>9.7540000000000005E-3</v>
      </c>
      <c r="U54" s="971">
        <f t="shared" si="74"/>
        <v>21.912115090833353</v>
      </c>
    </row>
    <row r="56" spans="1:21" x14ac:dyDescent="0.2">
      <c r="A56" s="69" t="s">
        <v>38</v>
      </c>
      <c r="O56">
        <v>2</v>
      </c>
      <c r="P56">
        <v>38</v>
      </c>
      <c r="Q56">
        <v>24.13</v>
      </c>
      <c r="R56">
        <v>13.08</v>
      </c>
      <c r="S56">
        <v>115844</v>
      </c>
    </row>
    <row r="57" spans="1:21" x14ac:dyDescent="0.2">
      <c r="A57" s="69" t="s">
        <v>39</v>
      </c>
    </row>
    <row r="58" spans="1:21" x14ac:dyDescent="0.2">
      <c r="A58" s="86" t="s">
        <v>57</v>
      </c>
    </row>
    <row r="59" spans="1:21" x14ac:dyDescent="0.2">
      <c r="A59" s="86" t="s">
        <v>58</v>
      </c>
    </row>
    <row r="60" spans="1:21" x14ac:dyDescent="0.2">
      <c r="B60" s="956" t="s">
        <v>386</v>
      </c>
    </row>
    <row r="61" spans="1:21" x14ac:dyDescent="0.2">
      <c r="B61">
        <v>2015</v>
      </c>
      <c r="D61">
        <f>1808.51/B28</f>
        <v>452.1275</v>
      </c>
      <c r="E61">
        <v>0</v>
      </c>
      <c r="F61">
        <f>1687232.01/B28</f>
        <v>421808.0025</v>
      </c>
    </row>
  </sheetData>
  <mergeCells count="5">
    <mergeCell ref="R4:U4"/>
    <mergeCell ref="G3:I3"/>
    <mergeCell ref="B4:I4"/>
    <mergeCell ref="J4:M4"/>
    <mergeCell ref="N4:Q4"/>
  </mergeCells>
  <phoneticPr fontId="7" type="noConversion"/>
  <pageMargins left="0.75" right="0.75" top="1" bottom="1" header="0.5" footer="0.5"/>
  <pageSetup scale="53" orientation="landscape" cellComments="asDisplayed"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1CBE06"/>
  </sheetPr>
  <dimension ref="A1:X61"/>
  <sheetViews>
    <sheetView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245</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42"/>
      <c r="E8" s="63"/>
      <c r="F8" s="641"/>
      <c r="G8" s="643"/>
      <c r="H8" s="87"/>
      <c r="I8" s="88"/>
      <c r="J8" s="61"/>
      <c r="K8" s="59"/>
      <c r="L8" s="59"/>
      <c r="M8" s="60"/>
      <c r="N8" s="51"/>
      <c r="O8" s="55"/>
      <c r="P8" s="55"/>
      <c r="Q8" s="56"/>
      <c r="R8" s="247"/>
      <c r="S8" s="24"/>
      <c r="T8" s="25"/>
      <c r="U8" s="53"/>
      <c r="V8" s="248"/>
      <c r="X8" s="1"/>
    </row>
    <row r="9" spans="1:24" x14ac:dyDescent="0.2">
      <c r="A9" s="33">
        <v>1996</v>
      </c>
      <c r="B9" s="30"/>
      <c r="C9" s="660"/>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660"/>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660"/>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660"/>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660"/>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660"/>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660"/>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660"/>
      <c r="D16" s="642"/>
      <c r="E16" s="63"/>
      <c r="F16" s="641"/>
      <c r="G16" s="616"/>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660"/>
      <c r="D17" s="642"/>
      <c r="E17" s="63"/>
      <c r="F17" s="641"/>
      <c r="G17" s="616"/>
      <c r="H17" s="62"/>
      <c r="I17" s="67"/>
      <c r="J17" s="61"/>
      <c r="K17" s="59"/>
      <c r="L17" s="59"/>
      <c r="M17" s="60"/>
      <c r="N17" s="54"/>
      <c r="O17" s="55"/>
      <c r="P17" s="55"/>
      <c r="Q17" s="56"/>
      <c r="R17" s="247"/>
      <c r="S17" s="24"/>
      <c r="T17" s="25"/>
      <c r="U17" s="53"/>
      <c r="V17" s="248"/>
      <c r="X17" s="1"/>
    </row>
    <row r="18" spans="1:24" x14ac:dyDescent="0.2">
      <c r="A18" s="33">
        <f t="shared" si="0"/>
        <v>2005</v>
      </c>
      <c r="B18" s="30"/>
      <c r="C18" s="660"/>
      <c r="D18" s="642"/>
      <c r="E18" s="63"/>
      <c r="F18" s="641"/>
      <c r="G18" s="616"/>
      <c r="H18" s="62"/>
      <c r="I18" s="67"/>
      <c r="J18" s="61"/>
      <c r="K18" s="59"/>
      <c r="L18" s="59"/>
      <c r="M18" s="60"/>
      <c r="N18" s="54"/>
      <c r="O18" s="55"/>
      <c r="P18" s="55"/>
      <c r="Q18" s="56"/>
      <c r="R18" s="247"/>
      <c r="S18" s="24"/>
      <c r="T18" s="25"/>
      <c r="U18" s="53"/>
      <c r="V18" s="248"/>
      <c r="X18" s="1"/>
    </row>
    <row r="19" spans="1:24" x14ac:dyDescent="0.2">
      <c r="A19" s="33">
        <f t="shared" si="0"/>
        <v>2006</v>
      </c>
      <c r="B19" s="30"/>
      <c r="C19" s="660"/>
      <c r="D19" s="642"/>
      <c r="E19" s="63"/>
      <c r="F19" s="641"/>
      <c r="G19" s="616"/>
      <c r="H19" s="62"/>
      <c r="I19" s="67"/>
      <c r="J19" s="61"/>
      <c r="K19" s="59"/>
      <c r="L19" s="59"/>
      <c r="M19" s="60"/>
      <c r="N19" s="54"/>
      <c r="O19" s="55"/>
      <c r="P19" s="55"/>
      <c r="Q19" s="56"/>
      <c r="R19" s="247"/>
      <c r="S19" s="24"/>
      <c r="T19" s="25"/>
      <c r="U19" s="53"/>
      <c r="V19" s="8"/>
      <c r="X19" s="1"/>
    </row>
    <row r="20" spans="1:24" x14ac:dyDescent="0.2">
      <c r="A20" s="33">
        <f t="shared" si="0"/>
        <v>2007</v>
      </c>
      <c r="B20" s="30"/>
      <c r="C20" s="660"/>
      <c r="D20" s="642"/>
      <c r="E20" s="63"/>
      <c r="F20" s="641"/>
      <c r="G20" s="616"/>
      <c r="H20" s="62"/>
      <c r="I20" s="62"/>
      <c r="J20" s="61"/>
      <c r="K20" s="59"/>
      <c r="L20" s="59"/>
      <c r="M20" s="60"/>
      <c r="N20" s="54"/>
      <c r="O20" s="55"/>
      <c r="P20" s="55"/>
      <c r="Q20" s="56"/>
      <c r="R20" s="247"/>
      <c r="S20" s="24"/>
      <c r="T20" s="25"/>
      <c r="U20" s="53"/>
    </row>
    <row r="21" spans="1:24" x14ac:dyDescent="0.2">
      <c r="A21" s="33">
        <f t="shared" si="0"/>
        <v>2008</v>
      </c>
      <c r="B21" s="30"/>
      <c r="C21" s="660"/>
      <c r="D21" s="642"/>
      <c r="E21" s="63"/>
      <c r="F21" s="641"/>
      <c r="G21" s="616"/>
      <c r="H21" s="62"/>
      <c r="I21" s="67"/>
      <c r="J21" s="61"/>
      <c r="K21" s="59"/>
      <c r="L21" s="59"/>
      <c r="M21" s="60"/>
      <c r="N21" s="54"/>
      <c r="O21" s="55"/>
      <c r="P21" s="55"/>
      <c r="Q21" s="56"/>
      <c r="R21" s="247"/>
      <c r="S21" s="24"/>
      <c r="T21" s="25"/>
      <c r="U21" s="53"/>
    </row>
    <row r="22" spans="1:24" x14ac:dyDescent="0.2">
      <c r="A22" s="33">
        <f t="shared" si="0"/>
        <v>2009</v>
      </c>
      <c r="B22" s="30"/>
      <c r="C22" s="660"/>
      <c r="D22" s="642"/>
      <c r="E22" s="63"/>
      <c r="F22" s="641"/>
      <c r="G22" s="616"/>
      <c r="H22" s="62"/>
      <c r="I22" s="67"/>
      <c r="J22" s="61"/>
      <c r="K22" s="59"/>
      <c r="L22" s="59"/>
      <c r="M22" s="60"/>
      <c r="N22" s="54"/>
      <c r="O22" s="55"/>
      <c r="P22" s="55"/>
      <c r="Q22" s="56"/>
      <c r="R22" s="247"/>
      <c r="S22" s="24"/>
      <c r="T22" s="25"/>
      <c r="U22" s="53"/>
    </row>
    <row r="23" spans="1:24" x14ac:dyDescent="0.2">
      <c r="A23" s="33">
        <f t="shared" si="0"/>
        <v>2010</v>
      </c>
      <c r="B23" s="30">
        <v>0</v>
      </c>
      <c r="C23" s="661">
        <f t="shared" ref="C23:C39" si="1">+C22+B23</f>
        <v>0</v>
      </c>
      <c r="D23" s="30">
        <v>3.73</v>
      </c>
      <c r="E23" s="210">
        <v>0</v>
      </c>
      <c r="F23" s="617">
        <v>20270</v>
      </c>
      <c r="G23" s="452">
        <f t="shared" ref="G23:H39" si="2">+$B23*D23/1000</f>
        <v>0</v>
      </c>
      <c r="H23" s="72">
        <f t="shared" si="2"/>
        <v>0</v>
      </c>
      <c r="I23" s="72">
        <f t="shared" ref="I23:I39" si="3">+$B23*F23/1000000</f>
        <v>0</v>
      </c>
      <c r="J23" s="61">
        <f t="shared" ref="J23:J39" si="4">+(B23+B22)/2</f>
        <v>0</v>
      </c>
      <c r="K23" s="651">
        <f t="shared" ref="K23:K39" si="5">+D23</f>
        <v>3.73</v>
      </c>
      <c r="L23" s="651">
        <f t="shared" ref="L23:L39" si="6">+J23*K23/1000</f>
        <v>0</v>
      </c>
      <c r="M23" s="652">
        <f t="shared" ref="M23:M39" si="7">+M22+L23</f>
        <v>0</v>
      </c>
      <c r="N23" s="54">
        <f t="shared" ref="N23:N39" si="8">+B22</f>
        <v>0</v>
      </c>
      <c r="O23" s="597">
        <f t="shared" ref="O23:O39" si="9">+E23</f>
        <v>0</v>
      </c>
      <c r="P23" s="597">
        <f t="shared" ref="P23:P39" si="10">+N23*O23/1000</f>
        <v>0</v>
      </c>
      <c r="Q23" s="653">
        <f t="shared" ref="Q23:Q39" si="11">+Q22+P23</f>
        <v>0</v>
      </c>
      <c r="R23" s="247">
        <f t="shared" ref="R23:R38" si="12">+(B23+B22)/2</f>
        <v>0</v>
      </c>
      <c r="S23" s="24">
        <f t="shared" ref="S23:S38" si="13">+F23</f>
        <v>20270</v>
      </c>
      <c r="T23" s="25">
        <f t="shared" ref="T23:T38" si="14">+R23*S23/1000000</f>
        <v>0</v>
      </c>
      <c r="U23" s="654">
        <f t="shared" ref="U23:U39" si="15">+U22+T23</f>
        <v>0</v>
      </c>
    </row>
    <row r="24" spans="1:24" x14ac:dyDescent="0.2">
      <c r="A24" s="33">
        <f t="shared" si="0"/>
        <v>2011</v>
      </c>
      <c r="B24" s="30">
        <v>25</v>
      </c>
      <c r="C24" s="661">
        <f t="shared" si="1"/>
        <v>25</v>
      </c>
      <c r="D24" s="30">
        <v>5.87</v>
      </c>
      <c r="E24" s="210">
        <v>0</v>
      </c>
      <c r="F24" s="617">
        <v>34347</v>
      </c>
      <c r="G24" s="452">
        <f t="shared" si="2"/>
        <v>0.14674999999999999</v>
      </c>
      <c r="H24" s="72">
        <f t="shared" si="2"/>
        <v>0</v>
      </c>
      <c r="I24" s="72">
        <f t="shared" si="3"/>
        <v>0.85867499999999997</v>
      </c>
      <c r="J24" s="61">
        <f t="shared" si="4"/>
        <v>12.5</v>
      </c>
      <c r="K24" s="651">
        <f t="shared" si="5"/>
        <v>5.87</v>
      </c>
      <c r="L24" s="651">
        <f t="shared" si="6"/>
        <v>7.3374999999999996E-2</v>
      </c>
      <c r="M24" s="652">
        <f t="shared" si="7"/>
        <v>7.3374999999999996E-2</v>
      </c>
      <c r="N24" s="54">
        <f t="shared" si="8"/>
        <v>0</v>
      </c>
      <c r="O24" s="597">
        <f t="shared" si="9"/>
        <v>0</v>
      </c>
      <c r="P24" s="597">
        <f t="shared" si="10"/>
        <v>0</v>
      </c>
      <c r="Q24" s="653">
        <f t="shared" si="11"/>
        <v>0</v>
      </c>
      <c r="R24" s="247">
        <f t="shared" si="12"/>
        <v>12.5</v>
      </c>
      <c r="S24" s="24">
        <f t="shared" si="13"/>
        <v>34347</v>
      </c>
      <c r="T24" s="25">
        <f t="shared" si="14"/>
        <v>0.42933749999999998</v>
      </c>
      <c r="U24" s="654">
        <f t="shared" si="15"/>
        <v>0.42933749999999998</v>
      </c>
    </row>
    <row r="25" spans="1:24" x14ac:dyDescent="0.2">
      <c r="A25" s="33">
        <f t="shared" si="0"/>
        <v>2012</v>
      </c>
      <c r="B25" s="30">
        <v>49</v>
      </c>
      <c r="C25" s="661">
        <f t="shared" si="1"/>
        <v>74</v>
      </c>
      <c r="D25" s="30">
        <v>7.97</v>
      </c>
      <c r="E25" s="210">
        <v>0</v>
      </c>
      <c r="F25" s="617">
        <v>40520</v>
      </c>
      <c r="G25" s="452">
        <f t="shared" si="2"/>
        <v>0.39052999999999999</v>
      </c>
      <c r="H25" s="72">
        <f t="shared" si="2"/>
        <v>0</v>
      </c>
      <c r="I25" s="72">
        <f t="shared" si="3"/>
        <v>1.9854799999999999</v>
      </c>
      <c r="J25" s="61">
        <f t="shared" si="4"/>
        <v>37</v>
      </c>
      <c r="K25" s="651">
        <f t="shared" si="5"/>
        <v>7.97</v>
      </c>
      <c r="L25" s="651">
        <f t="shared" si="6"/>
        <v>0.29488999999999999</v>
      </c>
      <c r="M25" s="652">
        <f t="shared" si="7"/>
        <v>0.36826499999999995</v>
      </c>
      <c r="N25" s="54">
        <f t="shared" si="8"/>
        <v>25</v>
      </c>
      <c r="O25" s="597">
        <f t="shared" si="9"/>
        <v>0</v>
      </c>
      <c r="P25" s="597">
        <f t="shared" si="10"/>
        <v>0</v>
      </c>
      <c r="Q25" s="653">
        <f t="shared" si="11"/>
        <v>0</v>
      </c>
      <c r="R25" s="247">
        <f t="shared" si="12"/>
        <v>37</v>
      </c>
      <c r="S25" s="24">
        <f t="shared" si="13"/>
        <v>40520</v>
      </c>
      <c r="T25" s="25">
        <f t="shared" si="14"/>
        <v>1.4992399999999999</v>
      </c>
      <c r="U25" s="654">
        <f t="shared" si="15"/>
        <v>1.9285774999999998</v>
      </c>
    </row>
    <row r="26" spans="1:24" s="831" customFormat="1" x14ac:dyDescent="0.2">
      <c r="A26" s="33">
        <f t="shared" si="0"/>
        <v>2013</v>
      </c>
      <c r="B26" s="30">
        <v>43</v>
      </c>
      <c r="C26" s="619">
        <f t="shared" si="1"/>
        <v>117</v>
      </c>
      <c r="D26" s="807">
        <v>12.3</v>
      </c>
      <c r="E26" s="210">
        <v>0</v>
      </c>
      <c r="F26" s="806">
        <v>73502</v>
      </c>
      <c r="G26" s="452">
        <f t="shared" si="2"/>
        <v>0.52889999999999993</v>
      </c>
      <c r="H26" s="72">
        <f t="shared" si="2"/>
        <v>0</v>
      </c>
      <c r="I26" s="72">
        <f t="shared" si="3"/>
        <v>3.1605859999999999</v>
      </c>
      <c r="J26" s="61">
        <f t="shared" si="4"/>
        <v>46</v>
      </c>
      <c r="K26" s="651">
        <f t="shared" si="5"/>
        <v>12.3</v>
      </c>
      <c r="L26" s="651">
        <f t="shared" si="6"/>
        <v>0.56580000000000008</v>
      </c>
      <c r="M26" s="652">
        <f t="shared" si="7"/>
        <v>0.93406500000000003</v>
      </c>
      <c r="N26" s="54">
        <f t="shared" si="8"/>
        <v>49</v>
      </c>
      <c r="O26" s="597">
        <f t="shared" si="9"/>
        <v>0</v>
      </c>
      <c r="P26" s="597">
        <f t="shared" si="10"/>
        <v>0</v>
      </c>
      <c r="Q26" s="653">
        <f t="shared" si="11"/>
        <v>0</v>
      </c>
      <c r="R26" s="247">
        <f t="shared" si="12"/>
        <v>46</v>
      </c>
      <c r="S26" s="24">
        <f t="shared" si="13"/>
        <v>73502</v>
      </c>
      <c r="T26" s="25">
        <f t="shared" si="14"/>
        <v>3.3810920000000002</v>
      </c>
      <c r="U26" s="654">
        <f t="shared" si="15"/>
        <v>5.3096695</v>
      </c>
      <c r="V26" s="830"/>
    </row>
    <row r="27" spans="1:24" s="831" customFormat="1" x14ac:dyDescent="0.2">
      <c r="A27" s="33">
        <f t="shared" si="0"/>
        <v>2014</v>
      </c>
      <c r="B27" s="30">
        <v>32</v>
      </c>
      <c r="C27" s="619">
        <f t="shared" si="1"/>
        <v>149</v>
      </c>
      <c r="D27" s="807">
        <v>5.0199999999999996</v>
      </c>
      <c r="E27" s="210">
        <f t="shared" ref="D27:F38" si="16">+E26</f>
        <v>0</v>
      </c>
      <c r="F27" s="806">
        <v>28776</v>
      </c>
      <c r="G27" s="452">
        <f t="shared" si="2"/>
        <v>0.16063999999999998</v>
      </c>
      <c r="H27" s="72">
        <f t="shared" si="2"/>
        <v>0</v>
      </c>
      <c r="I27" s="72">
        <f t="shared" si="3"/>
        <v>0.92083199999999998</v>
      </c>
      <c r="J27" s="61">
        <f t="shared" si="4"/>
        <v>37.5</v>
      </c>
      <c r="K27" s="651">
        <f t="shared" si="5"/>
        <v>5.0199999999999996</v>
      </c>
      <c r="L27" s="651">
        <f t="shared" si="6"/>
        <v>0.18824999999999997</v>
      </c>
      <c r="M27" s="652">
        <f t="shared" si="7"/>
        <v>1.122315</v>
      </c>
      <c r="N27" s="54">
        <f t="shared" si="8"/>
        <v>43</v>
      </c>
      <c r="O27" s="597">
        <f t="shared" si="9"/>
        <v>0</v>
      </c>
      <c r="P27" s="597">
        <f t="shared" si="10"/>
        <v>0</v>
      </c>
      <c r="Q27" s="653">
        <f t="shared" si="11"/>
        <v>0</v>
      </c>
      <c r="R27" s="247">
        <f t="shared" si="12"/>
        <v>37.5</v>
      </c>
      <c r="S27" s="24">
        <f t="shared" si="13"/>
        <v>28776</v>
      </c>
      <c r="T27" s="25">
        <f t="shared" si="14"/>
        <v>1.0790999999999999</v>
      </c>
      <c r="U27" s="654">
        <f t="shared" si="15"/>
        <v>6.3887695000000004</v>
      </c>
      <c r="V27" s="830"/>
    </row>
    <row r="28" spans="1:24" s="831" customFormat="1" x14ac:dyDescent="0.2">
      <c r="A28" s="33">
        <f t="shared" si="0"/>
        <v>2015</v>
      </c>
      <c r="B28" s="30">
        <v>45</v>
      </c>
      <c r="C28" s="619">
        <f t="shared" si="1"/>
        <v>194</v>
      </c>
      <c r="D28" s="807">
        <f>D61</f>
        <v>3.7877777777777775</v>
      </c>
      <c r="E28" s="210">
        <f t="shared" ref="E28:F28" si="17">E61</f>
        <v>0</v>
      </c>
      <c r="F28" s="806">
        <f t="shared" si="17"/>
        <v>15224.384666666669</v>
      </c>
      <c r="G28" s="452">
        <f t="shared" si="2"/>
        <v>0.17044999999999999</v>
      </c>
      <c r="H28" s="72">
        <f t="shared" si="2"/>
        <v>0</v>
      </c>
      <c r="I28" s="72">
        <f t="shared" si="3"/>
        <v>0.68509731000000007</v>
      </c>
      <c r="J28" s="61">
        <f t="shared" si="4"/>
        <v>38.5</v>
      </c>
      <c r="K28" s="651">
        <f t="shared" si="5"/>
        <v>3.7877777777777775</v>
      </c>
      <c r="L28" s="651">
        <f t="shared" si="6"/>
        <v>0.14582944444444443</v>
      </c>
      <c r="M28" s="652">
        <f t="shared" si="7"/>
        <v>1.2681444444444443</v>
      </c>
      <c r="N28" s="54">
        <f t="shared" si="8"/>
        <v>32</v>
      </c>
      <c r="O28" s="597">
        <f t="shared" si="9"/>
        <v>0</v>
      </c>
      <c r="P28" s="597">
        <f t="shared" si="10"/>
        <v>0</v>
      </c>
      <c r="Q28" s="653">
        <f t="shared" si="11"/>
        <v>0</v>
      </c>
      <c r="R28" s="247">
        <f t="shared" si="12"/>
        <v>38.5</v>
      </c>
      <c r="S28" s="24">
        <f t="shared" si="13"/>
        <v>15224.384666666669</v>
      </c>
      <c r="T28" s="25">
        <f t="shared" si="14"/>
        <v>0.58613880966666676</v>
      </c>
      <c r="U28" s="654">
        <f t="shared" si="15"/>
        <v>6.9749083096666675</v>
      </c>
      <c r="V28" s="830"/>
    </row>
    <row r="29" spans="1:24" ht="13.5" thickBot="1" x14ac:dyDescent="0.25">
      <c r="A29" s="701">
        <f t="shared" si="0"/>
        <v>2016</v>
      </c>
      <c r="B29" s="702">
        <v>25</v>
      </c>
      <c r="C29" s="703">
        <f t="shared" si="1"/>
        <v>219</v>
      </c>
      <c r="D29" s="835">
        <v>14.64</v>
      </c>
      <c r="E29" s="835">
        <v>0</v>
      </c>
      <c r="F29" s="702">
        <v>35692</v>
      </c>
      <c r="G29" s="706">
        <f t="shared" si="2"/>
        <v>0.36599999999999999</v>
      </c>
      <c r="H29" s="707">
        <f t="shared" si="2"/>
        <v>0</v>
      </c>
      <c r="I29" s="707">
        <f t="shared" si="3"/>
        <v>0.89229999999999998</v>
      </c>
      <c r="J29" s="708">
        <f t="shared" si="4"/>
        <v>35</v>
      </c>
      <c r="K29" s="709">
        <f t="shared" si="5"/>
        <v>14.64</v>
      </c>
      <c r="L29" s="709">
        <f t="shared" si="6"/>
        <v>0.51239999999999997</v>
      </c>
      <c r="M29" s="710">
        <f t="shared" si="7"/>
        <v>1.7805444444444443</v>
      </c>
      <c r="N29" s="711">
        <f t="shared" si="8"/>
        <v>45</v>
      </c>
      <c r="O29" s="712">
        <f t="shared" si="9"/>
        <v>0</v>
      </c>
      <c r="P29" s="712">
        <f t="shared" si="10"/>
        <v>0</v>
      </c>
      <c r="Q29" s="713">
        <f t="shared" si="11"/>
        <v>0</v>
      </c>
      <c r="R29" s="714">
        <f t="shared" si="12"/>
        <v>35</v>
      </c>
      <c r="S29" s="715">
        <f t="shared" si="13"/>
        <v>35692</v>
      </c>
      <c r="T29" s="716">
        <f t="shared" si="14"/>
        <v>1.24922</v>
      </c>
      <c r="U29" s="717">
        <f t="shared" si="15"/>
        <v>8.2241283096666677</v>
      </c>
    </row>
    <row r="30" spans="1:24" x14ac:dyDescent="0.2">
      <c r="A30" s="33">
        <f t="shared" si="0"/>
        <v>2017</v>
      </c>
      <c r="B30" s="787">
        <v>20</v>
      </c>
      <c r="C30" s="565">
        <f t="shared" si="1"/>
        <v>239</v>
      </c>
      <c r="D30" s="965">
        <f t="shared" si="16"/>
        <v>14.64</v>
      </c>
      <c r="E30" s="966">
        <f t="shared" si="16"/>
        <v>0</v>
      </c>
      <c r="F30" s="790">
        <f t="shared" si="16"/>
        <v>35692</v>
      </c>
      <c r="G30" s="473">
        <f t="shared" si="2"/>
        <v>0.2928</v>
      </c>
      <c r="H30" s="474">
        <f t="shared" si="2"/>
        <v>0</v>
      </c>
      <c r="I30" s="474">
        <f t="shared" si="3"/>
        <v>0.71384000000000003</v>
      </c>
      <c r="J30" s="61">
        <f t="shared" si="4"/>
        <v>22.5</v>
      </c>
      <c r="K30" s="967">
        <f t="shared" si="5"/>
        <v>14.64</v>
      </c>
      <c r="L30" s="967">
        <f t="shared" si="6"/>
        <v>0.32940000000000003</v>
      </c>
      <c r="M30" s="967">
        <f t="shared" si="7"/>
        <v>2.1099444444444444</v>
      </c>
      <c r="N30" s="54">
        <f t="shared" si="8"/>
        <v>25</v>
      </c>
      <c r="O30" s="968">
        <f t="shared" si="9"/>
        <v>0</v>
      </c>
      <c r="P30" s="968">
        <f t="shared" si="10"/>
        <v>0</v>
      </c>
      <c r="Q30" s="969">
        <f t="shared" si="11"/>
        <v>0</v>
      </c>
      <c r="R30" s="247">
        <f t="shared" si="12"/>
        <v>22.5</v>
      </c>
      <c r="S30" s="24">
        <f t="shared" si="13"/>
        <v>35692</v>
      </c>
      <c r="T30" s="970">
        <f t="shared" si="14"/>
        <v>0.80306999999999995</v>
      </c>
      <c r="U30" s="971">
        <f t="shared" si="15"/>
        <v>9.0271983096666677</v>
      </c>
    </row>
    <row r="31" spans="1:24" x14ac:dyDescent="0.2">
      <c r="A31" s="33">
        <f t="shared" si="0"/>
        <v>2018</v>
      </c>
      <c r="B31" s="787">
        <v>20</v>
      </c>
      <c r="C31" s="565">
        <f t="shared" si="1"/>
        <v>259</v>
      </c>
      <c r="D31" s="965">
        <f t="shared" si="16"/>
        <v>14.64</v>
      </c>
      <c r="E31" s="966">
        <f t="shared" si="16"/>
        <v>0</v>
      </c>
      <c r="F31" s="790">
        <f t="shared" si="16"/>
        <v>35692</v>
      </c>
      <c r="G31" s="473">
        <f t="shared" si="2"/>
        <v>0.2928</v>
      </c>
      <c r="H31" s="474">
        <f t="shared" si="2"/>
        <v>0</v>
      </c>
      <c r="I31" s="474">
        <f t="shared" si="3"/>
        <v>0.71384000000000003</v>
      </c>
      <c r="J31" s="61">
        <f t="shared" si="4"/>
        <v>20</v>
      </c>
      <c r="K31" s="967">
        <f t="shared" si="5"/>
        <v>14.64</v>
      </c>
      <c r="L31" s="967">
        <f t="shared" si="6"/>
        <v>0.2928</v>
      </c>
      <c r="M31" s="967">
        <f t="shared" si="7"/>
        <v>2.4027444444444446</v>
      </c>
      <c r="N31" s="54">
        <f t="shared" si="8"/>
        <v>20</v>
      </c>
      <c r="O31" s="968">
        <f t="shared" si="9"/>
        <v>0</v>
      </c>
      <c r="P31" s="968">
        <f t="shared" si="10"/>
        <v>0</v>
      </c>
      <c r="Q31" s="969">
        <f t="shared" si="11"/>
        <v>0</v>
      </c>
      <c r="R31" s="247">
        <f t="shared" si="12"/>
        <v>20</v>
      </c>
      <c r="S31" s="24">
        <f t="shared" si="13"/>
        <v>35692</v>
      </c>
      <c r="T31" s="970">
        <f t="shared" si="14"/>
        <v>0.71384000000000003</v>
      </c>
      <c r="U31" s="971">
        <f t="shared" si="15"/>
        <v>9.7410383096666671</v>
      </c>
    </row>
    <row r="32" spans="1:24" x14ac:dyDescent="0.2">
      <c r="A32" s="33">
        <f t="shared" si="0"/>
        <v>2019</v>
      </c>
      <c r="B32" s="787">
        <v>20</v>
      </c>
      <c r="C32" s="565">
        <f t="shared" si="1"/>
        <v>279</v>
      </c>
      <c r="D32" s="965">
        <f t="shared" si="16"/>
        <v>14.64</v>
      </c>
      <c r="E32" s="966">
        <f t="shared" si="16"/>
        <v>0</v>
      </c>
      <c r="F32" s="790">
        <f t="shared" si="16"/>
        <v>35692</v>
      </c>
      <c r="G32" s="473">
        <f t="shared" si="2"/>
        <v>0.2928</v>
      </c>
      <c r="H32" s="474">
        <f t="shared" si="2"/>
        <v>0</v>
      </c>
      <c r="I32" s="474">
        <f t="shared" si="3"/>
        <v>0.71384000000000003</v>
      </c>
      <c r="J32" s="61">
        <f t="shared" si="4"/>
        <v>20</v>
      </c>
      <c r="K32" s="967">
        <f t="shared" si="5"/>
        <v>14.64</v>
      </c>
      <c r="L32" s="967">
        <f t="shared" si="6"/>
        <v>0.2928</v>
      </c>
      <c r="M32" s="967">
        <f t="shared" si="7"/>
        <v>2.6955444444444447</v>
      </c>
      <c r="N32" s="54">
        <f t="shared" si="8"/>
        <v>20</v>
      </c>
      <c r="O32" s="968">
        <f t="shared" si="9"/>
        <v>0</v>
      </c>
      <c r="P32" s="968">
        <f t="shared" si="10"/>
        <v>0</v>
      </c>
      <c r="Q32" s="969">
        <f t="shared" si="11"/>
        <v>0</v>
      </c>
      <c r="R32" s="247">
        <f t="shared" si="12"/>
        <v>20</v>
      </c>
      <c r="S32" s="24">
        <f t="shared" si="13"/>
        <v>35692</v>
      </c>
      <c r="T32" s="970">
        <f t="shared" si="14"/>
        <v>0.71384000000000003</v>
      </c>
      <c r="U32" s="971">
        <f t="shared" si="15"/>
        <v>10.454878309666666</v>
      </c>
    </row>
    <row r="33" spans="1:21" x14ac:dyDescent="0.2">
      <c r="A33" s="33">
        <f t="shared" si="0"/>
        <v>2020</v>
      </c>
      <c r="B33" s="787">
        <v>20</v>
      </c>
      <c r="C33" s="565">
        <f t="shared" si="1"/>
        <v>299</v>
      </c>
      <c r="D33" s="965">
        <f t="shared" si="16"/>
        <v>14.64</v>
      </c>
      <c r="E33" s="966">
        <f t="shared" si="16"/>
        <v>0</v>
      </c>
      <c r="F33" s="790">
        <f t="shared" si="16"/>
        <v>35692</v>
      </c>
      <c r="G33" s="473">
        <f t="shared" si="2"/>
        <v>0.2928</v>
      </c>
      <c r="H33" s="474">
        <f t="shared" si="2"/>
        <v>0</v>
      </c>
      <c r="I33" s="474">
        <f t="shared" si="3"/>
        <v>0.71384000000000003</v>
      </c>
      <c r="J33" s="61">
        <f t="shared" si="4"/>
        <v>20</v>
      </c>
      <c r="K33" s="967">
        <f t="shared" si="5"/>
        <v>14.64</v>
      </c>
      <c r="L33" s="967">
        <f t="shared" si="6"/>
        <v>0.2928</v>
      </c>
      <c r="M33" s="967">
        <f t="shared" si="7"/>
        <v>2.9883444444444449</v>
      </c>
      <c r="N33" s="54">
        <f t="shared" si="8"/>
        <v>20</v>
      </c>
      <c r="O33" s="968">
        <f t="shared" si="9"/>
        <v>0</v>
      </c>
      <c r="P33" s="968">
        <f t="shared" si="10"/>
        <v>0</v>
      </c>
      <c r="Q33" s="969">
        <f t="shared" si="11"/>
        <v>0</v>
      </c>
      <c r="R33" s="247">
        <f t="shared" si="12"/>
        <v>20</v>
      </c>
      <c r="S33" s="24">
        <f t="shared" si="13"/>
        <v>35692</v>
      </c>
      <c r="T33" s="970">
        <f t="shared" si="14"/>
        <v>0.71384000000000003</v>
      </c>
      <c r="U33" s="971">
        <f t="shared" si="15"/>
        <v>11.168718309666666</v>
      </c>
    </row>
    <row r="34" spans="1:21" x14ac:dyDescent="0.2">
      <c r="A34" s="33">
        <f t="shared" si="0"/>
        <v>2021</v>
      </c>
      <c r="B34" s="791">
        <f t="shared" ref="B34:B47" si="18">B33</f>
        <v>20</v>
      </c>
      <c r="C34" s="565">
        <f t="shared" si="1"/>
        <v>319</v>
      </c>
      <c r="D34" s="965">
        <f t="shared" si="16"/>
        <v>14.64</v>
      </c>
      <c r="E34" s="966">
        <f t="shared" si="16"/>
        <v>0</v>
      </c>
      <c r="F34" s="790">
        <f t="shared" si="16"/>
        <v>35692</v>
      </c>
      <c r="G34" s="473">
        <f t="shared" si="2"/>
        <v>0.2928</v>
      </c>
      <c r="H34" s="474">
        <f t="shared" si="2"/>
        <v>0</v>
      </c>
      <c r="I34" s="474">
        <f t="shared" si="3"/>
        <v>0.71384000000000003</v>
      </c>
      <c r="J34" s="61">
        <f t="shared" si="4"/>
        <v>20</v>
      </c>
      <c r="K34" s="967">
        <f t="shared" si="5"/>
        <v>14.64</v>
      </c>
      <c r="L34" s="967">
        <f t="shared" si="6"/>
        <v>0.2928</v>
      </c>
      <c r="M34" s="967">
        <f t="shared" si="7"/>
        <v>3.2811444444444451</v>
      </c>
      <c r="N34" s="54">
        <f t="shared" si="8"/>
        <v>20</v>
      </c>
      <c r="O34" s="968">
        <f t="shared" si="9"/>
        <v>0</v>
      </c>
      <c r="P34" s="968">
        <f t="shared" si="10"/>
        <v>0</v>
      </c>
      <c r="Q34" s="969">
        <f t="shared" si="11"/>
        <v>0</v>
      </c>
      <c r="R34" s="247">
        <f t="shared" si="12"/>
        <v>20</v>
      </c>
      <c r="S34" s="24">
        <f t="shared" si="13"/>
        <v>35692</v>
      </c>
      <c r="T34" s="970">
        <f t="shared" si="14"/>
        <v>0.71384000000000003</v>
      </c>
      <c r="U34" s="971">
        <f t="shared" si="15"/>
        <v>11.882558309666665</v>
      </c>
    </row>
    <row r="35" spans="1:21" x14ac:dyDescent="0.2">
      <c r="A35" s="33">
        <f t="shared" si="0"/>
        <v>2022</v>
      </c>
      <c r="B35" s="791">
        <f t="shared" si="18"/>
        <v>20</v>
      </c>
      <c r="C35" s="565">
        <f t="shared" si="1"/>
        <v>339</v>
      </c>
      <c r="D35" s="965">
        <f t="shared" si="16"/>
        <v>14.64</v>
      </c>
      <c r="E35" s="966">
        <f t="shared" si="16"/>
        <v>0</v>
      </c>
      <c r="F35" s="790">
        <f t="shared" si="16"/>
        <v>35692</v>
      </c>
      <c r="G35" s="473">
        <f t="shared" si="2"/>
        <v>0.2928</v>
      </c>
      <c r="H35" s="474">
        <f t="shared" si="2"/>
        <v>0</v>
      </c>
      <c r="I35" s="474">
        <f t="shared" si="3"/>
        <v>0.71384000000000003</v>
      </c>
      <c r="J35" s="61">
        <f t="shared" si="4"/>
        <v>20</v>
      </c>
      <c r="K35" s="967">
        <f t="shared" si="5"/>
        <v>14.64</v>
      </c>
      <c r="L35" s="967">
        <f t="shared" si="6"/>
        <v>0.2928</v>
      </c>
      <c r="M35" s="967">
        <f t="shared" si="7"/>
        <v>3.5739444444444453</v>
      </c>
      <c r="N35" s="54">
        <f t="shared" si="8"/>
        <v>20</v>
      </c>
      <c r="O35" s="968">
        <f t="shared" si="9"/>
        <v>0</v>
      </c>
      <c r="P35" s="968">
        <f t="shared" si="10"/>
        <v>0</v>
      </c>
      <c r="Q35" s="969">
        <f t="shared" si="11"/>
        <v>0</v>
      </c>
      <c r="R35" s="247">
        <f t="shared" si="12"/>
        <v>20</v>
      </c>
      <c r="S35" s="24">
        <f t="shared" si="13"/>
        <v>35692</v>
      </c>
      <c r="T35" s="970">
        <f t="shared" si="14"/>
        <v>0.71384000000000003</v>
      </c>
      <c r="U35" s="971">
        <f t="shared" si="15"/>
        <v>12.596398309666665</v>
      </c>
    </row>
    <row r="36" spans="1:21" x14ac:dyDescent="0.2">
      <c r="A36" s="33">
        <f t="shared" si="0"/>
        <v>2023</v>
      </c>
      <c r="B36" s="791">
        <f t="shared" si="18"/>
        <v>20</v>
      </c>
      <c r="C36" s="565">
        <f t="shared" si="1"/>
        <v>359</v>
      </c>
      <c r="D36" s="965">
        <f t="shared" si="16"/>
        <v>14.64</v>
      </c>
      <c r="E36" s="966">
        <f t="shared" si="16"/>
        <v>0</v>
      </c>
      <c r="F36" s="790">
        <f t="shared" si="16"/>
        <v>35692</v>
      </c>
      <c r="G36" s="473">
        <f t="shared" si="2"/>
        <v>0.2928</v>
      </c>
      <c r="H36" s="474">
        <f t="shared" si="2"/>
        <v>0</v>
      </c>
      <c r="I36" s="474">
        <f t="shared" si="3"/>
        <v>0.71384000000000003</v>
      </c>
      <c r="J36" s="61">
        <f t="shared" si="4"/>
        <v>20</v>
      </c>
      <c r="K36" s="967">
        <f t="shared" si="5"/>
        <v>14.64</v>
      </c>
      <c r="L36" s="967">
        <f t="shared" si="6"/>
        <v>0.2928</v>
      </c>
      <c r="M36" s="967">
        <f t="shared" si="7"/>
        <v>3.8667444444444454</v>
      </c>
      <c r="N36" s="54">
        <f t="shared" si="8"/>
        <v>20</v>
      </c>
      <c r="O36" s="968">
        <f t="shared" si="9"/>
        <v>0</v>
      </c>
      <c r="P36" s="968">
        <f t="shared" si="10"/>
        <v>0</v>
      </c>
      <c r="Q36" s="969">
        <f t="shared" si="11"/>
        <v>0</v>
      </c>
      <c r="R36" s="247">
        <f t="shared" si="12"/>
        <v>20</v>
      </c>
      <c r="S36" s="24">
        <f t="shared" si="13"/>
        <v>35692</v>
      </c>
      <c r="T36" s="970">
        <f t="shared" si="14"/>
        <v>0.71384000000000003</v>
      </c>
      <c r="U36" s="971">
        <f t="shared" si="15"/>
        <v>13.310238309666664</v>
      </c>
    </row>
    <row r="37" spans="1:21" x14ac:dyDescent="0.2">
      <c r="A37" s="33">
        <f t="shared" si="0"/>
        <v>2024</v>
      </c>
      <c r="B37" s="791">
        <f t="shared" si="18"/>
        <v>20</v>
      </c>
      <c r="C37" s="565">
        <f t="shared" si="1"/>
        <v>379</v>
      </c>
      <c r="D37" s="965">
        <f t="shared" si="16"/>
        <v>14.64</v>
      </c>
      <c r="E37" s="966">
        <f t="shared" si="16"/>
        <v>0</v>
      </c>
      <c r="F37" s="790">
        <f t="shared" si="16"/>
        <v>35692</v>
      </c>
      <c r="G37" s="473">
        <f t="shared" si="2"/>
        <v>0.2928</v>
      </c>
      <c r="H37" s="474">
        <f t="shared" si="2"/>
        <v>0</v>
      </c>
      <c r="I37" s="474">
        <f t="shared" si="3"/>
        <v>0.71384000000000003</v>
      </c>
      <c r="J37" s="61">
        <f t="shared" si="4"/>
        <v>20</v>
      </c>
      <c r="K37" s="967">
        <f t="shared" si="5"/>
        <v>14.64</v>
      </c>
      <c r="L37" s="967">
        <f t="shared" si="6"/>
        <v>0.2928</v>
      </c>
      <c r="M37" s="967">
        <f t="shared" si="7"/>
        <v>4.1595444444444452</v>
      </c>
      <c r="N37" s="54">
        <f t="shared" si="8"/>
        <v>20</v>
      </c>
      <c r="O37" s="968">
        <f t="shared" si="9"/>
        <v>0</v>
      </c>
      <c r="P37" s="968">
        <f t="shared" si="10"/>
        <v>0</v>
      </c>
      <c r="Q37" s="969">
        <f t="shared" si="11"/>
        <v>0</v>
      </c>
      <c r="R37" s="247">
        <f t="shared" si="12"/>
        <v>20</v>
      </c>
      <c r="S37" s="24">
        <f t="shared" si="13"/>
        <v>35692</v>
      </c>
      <c r="T37" s="970">
        <f t="shared" si="14"/>
        <v>0.71384000000000003</v>
      </c>
      <c r="U37" s="971">
        <f t="shared" si="15"/>
        <v>14.024078309666663</v>
      </c>
    </row>
    <row r="38" spans="1:21" x14ac:dyDescent="0.2">
      <c r="A38" s="33">
        <f t="shared" si="0"/>
        <v>2025</v>
      </c>
      <c r="B38" s="791">
        <f t="shared" si="18"/>
        <v>20</v>
      </c>
      <c r="C38" s="565">
        <f t="shared" si="1"/>
        <v>399</v>
      </c>
      <c r="D38" s="965">
        <f t="shared" si="16"/>
        <v>14.64</v>
      </c>
      <c r="E38" s="966">
        <f t="shared" si="16"/>
        <v>0</v>
      </c>
      <c r="F38" s="790">
        <f t="shared" si="16"/>
        <v>35692</v>
      </c>
      <c r="G38" s="473">
        <f t="shared" si="2"/>
        <v>0.2928</v>
      </c>
      <c r="H38" s="474">
        <f t="shared" si="2"/>
        <v>0</v>
      </c>
      <c r="I38" s="474">
        <f t="shared" si="3"/>
        <v>0.71384000000000003</v>
      </c>
      <c r="J38" s="61">
        <f t="shared" si="4"/>
        <v>20</v>
      </c>
      <c r="K38" s="967">
        <f t="shared" si="5"/>
        <v>14.64</v>
      </c>
      <c r="L38" s="967">
        <f t="shared" si="6"/>
        <v>0.2928</v>
      </c>
      <c r="M38" s="967">
        <f t="shared" si="7"/>
        <v>4.4523444444444449</v>
      </c>
      <c r="N38" s="54">
        <f t="shared" si="8"/>
        <v>20</v>
      </c>
      <c r="O38" s="968">
        <f t="shared" si="9"/>
        <v>0</v>
      </c>
      <c r="P38" s="968">
        <f t="shared" si="10"/>
        <v>0</v>
      </c>
      <c r="Q38" s="969">
        <f t="shared" si="11"/>
        <v>0</v>
      </c>
      <c r="R38" s="247">
        <f t="shared" si="12"/>
        <v>20</v>
      </c>
      <c r="S38" s="24">
        <f t="shared" si="13"/>
        <v>35692</v>
      </c>
      <c r="T38" s="970">
        <f t="shared" si="14"/>
        <v>0.71384000000000003</v>
      </c>
      <c r="U38" s="971">
        <f t="shared" si="15"/>
        <v>14.737918309666663</v>
      </c>
    </row>
    <row r="39" spans="1:21" x14ac:dyDescent="0.2">
      <c r="A39" s="33">
        <f t="shared" si="0"/>
        <v>2026</v>
      </c>
      <c r="B39" s="791">
        <f t="shared" si="18"/>
        <v>20</v>
      </c>
      <c r="C39" s="565">
        <f t="shared" si="1"/>
        <v>419</v>
      </c>
      <c r="D39" s="965">
        <f t="shared" ref="D39:F42" si="19">+D38</f>
        <v>14.64</v>
      </c>
      <c r="E39" s="966">
        <f t="shared" si="19"/>
        <v>0</v>
      </c>
      <c r="F39" s="790">
        <f t="shared" si="19"/>
        <v>35692</v>
      </c>
      <c r="G39" s="473">
        <f t="shared" si="2"/>
        <v>0.2928</v>
      </c>
      <c r="H39" s="474">
        <f t="shared" si="2"/>
        <v>0</v>
      </c>
      <c r="I39" s="474">
        <f t="shared" si="3"/>
        <v>0.71384000000000003</v>
      </c>
      <c r="J39" s="61">
        <f t="shared" si="4"/>
        <v>20</v>
      </c>
      <c r="K39" s="967">
        <f t="shared" si="5"/>
        <v>14.64</v>
      </c>
      <c r="L39" s="967">
        <f t="shared" si="6"/>
        <v>0.2928</v>
      </c>
      <c r="M39" s="967">
        <f t="shared" si="7"/>
        <v>4.7451444444444446</v>
      </c>
      <c r="N39" s="54">
        <f t="shared" si="8"/>
        <v>20</v>
      </c>
      <c r="O39" s="968">
        <f t="shared" si="9"/>
        <v>0</v>
      </c>
      <c r="P39" s="968">
        <f t="shared" si="10"/>
        <v>0</v>
      </c>
      <c r="Q39" s="969">
        <f t="shared" si="11"/>
        <v>0</v>
      </c>
      <c r="R39" s="247">
        <f>+(B39+B38)/2</f>
        <v>20</v>
      </c>
      <c r="S39" s="24">
        <f>+F39</f>
        <v>35692</v>
      </c>
      <c r="T39" s="970">
        <f>+R39*S39/1000000</f>
        <v>0.71384000000000003</v>
      </c>
      <c r="U39" s="971">
        <f t="shared" si="15"/>
        <v>15.451758309666662</v>
      </c>
    </row>
    <row r="40" spans="1:21" x14ac:dyDescent="0.2">
      <c r="A40" s="33">
        <f>+A39+1</f>
        <v>2027</v>
      </c>
      <c r="B40" s="791">
        <f t="shared" si="18"/>
        <v>20</v>
      </c>
      <c r="C40" s="565">
        <f>+C39+B40</f>
        <v>439</v>
      </c>
      <c r="D40" s="965">
        <f t="shared" si="19"/>
        <v>14.64</v>
      </c>
      <c r="E40" s="966">
        <f t="shared" si="19"/>
        <v>0</v>
      </c>
      <c r="F40" s="790">
        <f t="shared" si="19"/>
        <v>35692</v>
      </c>
      <c r="G40" s="473">
        <f t="shared" ref="G40:H42" si="20">+$B40*D40/1000</f>
        <v>0.2928</v>
      </c>
      <c r="H40" s="474">
        <f t="shared" si="20"/>
        <v>0</v>
      </c>
      <c r="I40" s="474">
        <f>+$B40*F40/1000000</f>
        <v>0.71384000000000003</v>
      </c>
      <c r="J40" s="61">
        <f>+(B40+B39)/2</f>
        <v>20</v>
      </c>
      <c r="K40" s="967">
        <f>+D40</f>
        <v>14.64</v>
      </c>
      <c r="L40" s="967">
        <f>+J40*K40/1000</f>
        <v>0.2928</v>
      </c>
      <c r="M40" s="967">
        <f>+M39+L40</f>
        <v>5.0379444444444443</v>
      </c>
      <c r="N40" s="54">
        <f>+B39</f>
        <v>20</v>
      </c>
      <c r="O40" s="968">
        <f>+E40</f>
        <v>0</v>
      </c>
      <c r="P40" s="968">
        <f>+N40*O40/1000</f>
        <v>0</v>
      </c>
      <c r="Q40" s="969">
        <f>+Q39+P40</f>
        <v>0</v>
      </c>
      <c r="R40" s="247">
        <f>+(B40+B39)/2</f>
        <v>20</v>
      </c>
      <c r="S40" s="24">
        <f>+F40</f>
        <v>35692</v>
      </c>
      <c r="T40" s="970">
        <f>+R40*S40/1000000</f>
        <v>0.71384000000000003</v>
      </c>
      <c r="U40" s="971">
        <f>+U39+T40</f>
        <v>16.165598309666663</v>
      </c>
    </row>
    <row r="41" spans="1:21" x14ac:dyDescent="0.2">
      <c r="A41" s="33">
        <f t="shared" si="0"/>
        <v>2028</v>
      </c>
      <c r="B41" s="791">
        <f t="shared" si="18"/>
        <v>20</v>
      </c>
      <c r="C41" s="565">
        <f>+C40+B41</f>
        <v>459</v>
      </c>
      <c r="D41" s="965">
        <f>+D40</f>
        <v>14.64</v>
      </c>
      <c r="E41" s="966">
        <f>+E40</f>
        <v>0</v>
      </c>
      <c r="F41" s="790">
        <f>+F40</f>
        <v>35692</v>
      </c>
      <c r="G41" s="473">
        <f t="shared" si="20"/>
        <v>0.2928</v>
      </c>
      <c r="H41" s="474">
        <f t="shared" si="20"/>
        <v>0</v>
      </c>
      <c r="I41" s="474">
        <f>+$B41*F41/1000000</f>
        <v>0.71384000000000003</v>
      </c>
      <c r="J41" s="61">
        <f>+(B41+B40)/2</f>
        <v>20</v>
      </c>
      <c r="K41" s="967">
        <f>+D41</f>
        <v>14.64</v>
      </c>
      <c r="L41" s="967">
        <f>+J41*K41/1000</f>
        <v>0.2928</v>
      </c>
      <c r="M41" s="967">
        <f>+M40+L41</f>
        <v>5.3307444444444441</v>
      </c>
      <c r="N41" s="54">
        <f>+B40</f>
        <v>20</v>
      </c>
      <c r="O41" s="968">
        <f>+E41</f>
        <v>0</v>
      </c>
      <c r="P41" s="968">
        <f>+N41*O41/1000</f>
        <v>0</v>
      </c>
      <c r="Q41" s="969">
        <f>+Q40+P41</f>
        <v>0</v>
      </c>
      <c r="R41" s="247">
        <f>+(B41+B40)/2</f>
        <v>20</v>
      </c>
      <c r="S41" s="24">
        <f>+F41</f>
        <v>35692</v>
      </c>
      <c r="T41" s="970">
        <f>+R41*S41/1000000</f>
        <v>0.71384000000000003</v>
      </c>
      <c r="U41" s="971">
        <f>+U40+T41</f>
        <v>16.879438309666664</v>
      </c>
    </row>
    <row r="42" spans="1:21" x14ac:dyDescent="0.2">
      <c r="A42" s="33">
        <f t="shared" si="0"/>
        <v>2029</v>
      </c>
      <c r="B42" s="791">
        <f t="shared" si="18"/>
        <v>20</v>
      </c>
      <c r="C42" s="565">
        <f>+C41+B42</f>
        <v>479</v>
      </c>
      <c r="D42" s="965">
        <f t="shared" si="19"/>
        <v>14.64</v>
      </c>
      <c r="E42" s="966">
        <f t="shared" si="19"/>
        <v>0</v>
      </c>
      <c r="F42" s="790">
        <f t="shared" si="19"/>
        <v>35692</v>
      </c>
      <c r="G42" s="473">
        <f t="shared" si="20"/>
        <v>0.2928</v>
      </c>
      <c r="H42" s="474">
        <f t="shared" si="20"/>
        <v>0</v>
      </c>
      <c r="I42" s="474">
        <f>+$B42*F42/1000000</f>
        <v>0.71384000000000003</v>
      </c>
      <c r="J42" s="61">
        <f>+(B42+B41)/2</f>
        <v>20</v>
      </c>
      <c r="K42" s="967">
        <f>+D42</f>
        <v>14.64</v>
      </c>
      <c r="L42" s="967">
        <f>+J42*K42/1000</f>
        <v>0.2928</v>
      </c>
      <c r="M42" s="967">
        <f>+M41+L42</f>
        <v>5.6235444444444438</v>
      </c>
      <c r="N42" s="54">
        <f>+B41</f>
        <v>20</v>
      </c>
      <c r="O42" s="968">
        <f>+E42</f>
        <v>0</v>
      </c>
      <c r="P42" s="968">
        <f>+N42*O42/1000</f>
        <v>0</v>
      </c>
      <c r="Q42" s="969">
        <f>+Q41+P42</f>
        <v>0</v>
      </c>
      <c r="R42" s="247">
        <f>+(B42+B41)/2</f>
        <v>20</v>
      </c>
      <c r="S42" s="24">
        <f>+F42</f>
        <v>35692</v>
      </c>
      <c r="T42" s="970">
        <f>+R42*S42/1000000</f>
        <v>0.71384000000000003</v>
      </c>
      <c r="U42" s="971">
        <f>+U41+T42</f>
        <v>17.593278309666665</v>
      </c>
    </row>
    <row r="43" spans="1:21" x14ac:dyDescent="0.2">
      <c r="A43" s="33">
        <f t="shared" si="0"/>
        <v>2030</v>
      </c>
      <c r="B43" s="791">
        <f t="shared" si="18"/>
        <v>20</v>
      </c>
      <c r="C43" s="565">
        <f t="shared" ref="C43:C47" si="21">+C42+B43</f>
        <v>499</v>
      </c>
      <c r="D43" s="965">
        <f t="shared" ref="D43:F43" si="22">+D42</f>
        <v>14.64</v>
      </c>
      <c r="E43" s="966">
        <f t="shared" si="22"/>
        <v>0</v>
      </c>
      <c r="F43" s="790">
        <f t="shared" si="22"/>
        <v>35692</v>
      </c>
      <c r="G43" s="473">
        <f t="shared" ref="G43:G47" si="23">+$B43*D43/1000</f>
        <v>0.2928</v>
      </c>
      <c r="H43" s="474">
        <f t="shared" ref="H43:H47" si="24">+$B43*E43/1000</f>
        <v>0</v>
      </c>
      <c r="I43" s="474">
        <f t="shared" ref="I43:I47" si="25">+$B43*F43/1000000</f>
        <v>0.71384000000000003</v>
      </c>
      <c r="J43" s="61">
        <f t="shared" ref="J43:J47" si="26">+(B43+B42)/2</f>
        <v>20</v>
      </c>
      <c r="K43" s="967">
        <f t="shared" ref="K43:K47" si="27">+D43</f>
        <v>14.64</v>
      </c>
      <c r="L43" s="967">
        <f t="shared" ref="L43:L47" si="28">+J43*K43/1000</f>
        <v>0.2928</v>
      </c>
      <c r="M43" s="967">
        <f t="shared" ref="M43:M47" si="29">+M42+L43</f>
        <v>5.9163444444444435</v>
      </c>
      <c r="N43" s="54">
        <f t="shared" ref="N43:N47" si="30">+B42</f>
        <v>20</v>
      </c>
      <c r="O43" s="968">
        <f t="shared" ref="O43:O47" si="31">+E43</f>
        <v>0</v>
      </c>
      <c r="P43" s="968">
        <f t="shared" ref="P43:P47" si="32">+N43*O43/1000</f>
        <v>0</v>
      </c>
      <c r="Q43" s="969">
        <f t="shared" ref="Q43:Q47" si="33">+Q42+P43</f>
        <v>0</v>
      </c>
      <c r="R43" s="247">
        <f t="shared" ref="R43:R47" si="34">+(B43+B42)/2</f>
        <v>20</v>
      </c>
      <c r="S43" s="24">
        <f t="shared" ref="S43:S47" si="35">+F43</f>
        <v>35692</v>
      </c>
      <c r="T43" s="970">
        <f t="shared" ref="T43:T47" si="36">+R43*S43/1000000</f>
        <v>0.71384000000000003</v>
      </c>
      <c r="U43" s="971">
        <f t="shared" ref="U43:U47" si="37">+U42+T43</f>
        <v>18.307118309666667</v>
      </c>
    </row>
    <row r="44" spans="1:21" x14ac:dyDescent="0.2">
      <c r="A44" s="33">
        <f t="shared" si="0"/>
        <v>2031</v>
      </c>
      <c r="B44" s="791">
        <f t="shared" si="18"/>
        <v>20</v>
      </c>
      <c r="C44" s="565">
        <f t="shared" si="21"/>
        <v>519</v>
      </c>
      <c r="D44" s="965">
        <f t="shared" ref="D44:F44" si="38">+D43</f>
        <v>14.64</v>
      </c>
      <c r="E44" s="966">
        <f t="shared" si="38"/>
        <v>0</v>
      </c>
      <c r="F44" s="790">
        <f t="shared" si="38"/>
        <v>35692</v>
      </c>
      <c r="G44" s="473">
        <f t="shared" si="23"/>
        <v>0.2928</v>
      </c>
      <c r="H44" s="474">
        <f t="shared" si="24"/>
        <v>0</v>
      </c>
      <c r="I44" s="474">
        <f t="shared" si="25"/>
        <v>0.71384000000000003</v>
      </c>
      <c r="J44" s="61">
        <f t="shared" si="26"/>
        <v>20</v>
      </c>
      <c r="K44" s="967">
        <f t="shared" si="27"/>
        <v>14.64</v>
      </c>
      <c r="L44" s="967">
        <f t="shared" si="28"/>
        <v>0.2928</v>
      </c>
      <c r="M44" s="967">
        <f t="shared" si="29"/>
        <v>6.2091444444444432</v>
      </c>
      <c r="N44" s="54">
        <f t="shared" si="30"/>
        <v>20</v>
      </c>
      <c r="O44" s="968">
        <f t="shared" si="31"/>
        <v>0</v>
      </c>
      <c r="P44" s="968">
        <f t="shared" si="32"/>
        <v>0</v>
      </c>
      <c r="Q44" s="969">
        <f t="shared" si="33"/>
        <v>0</v>
      </c>
      <c r="R44" s="247">
        <f t="shared" si="34"/>
        <v>20</v>
      </c>
      <c r="S44" s="24">
        <f t="shared" si="35"/>
        <v>35692</v>
      </c>
      <c r="T44" s="970">
        <f t="shared" si="36"/>
        <v>0.71384000000000003</v>
      </c>
      <c r="U44" s="971">
        <f t="shared" si="37"/>
        <v>19.020958309666668</v>
      </c>
    </row>
    <row r="45" spans="1:21" x14ac:dyDescent="0.2">
      <c r="A45" s="33">
        <f t="shared" si="0"/>
        <v>2032</v>
      </c>
      <c r="B45" s="791">
        <f t="shared" si="18"/>
        <v>20</v>
      </c>
      <c r="C45" s="565">
        <f t="shared" si="21"/>
        <v>539</v>
      </c>
      <c r="D45" s="965">
        <f t="shared" ref="D45:F45" si="39">+D44</f>
        <v>14.64</v>
      </c>
      <c r="E45" s="966">
        <f t="shared" si="39"/>
        <v>0</v>
      </c>
      <c r="F45" s="790">
        <f t="shared" si="39"/>
        <v>35692</v>
      </c>
      <c r="G45" s="473">
        <f t="shared" si="23"/>
        <v>0.2928</v>
      </c>
      <c r="H45" s="474">
        <f t="shared" si="24"/>
        <v>0</v>
      </c>
      <c r="I45" s="474">
        <f t="shared" si="25"/>
        <v>0.71384000000000003</v>
      </c>
      <c r="J45" s="61">
        <f t="shared" si="26"/>
        <v>20</v>
      </c>
      <c r="K45" s="967">
        <f t="shared" si="27"/>
        <v>14.64</v>
      </c>
      <c r="L45" s="967">
        <f t="shared" si="28"/>
        <v>0.2928</v>
      </c>
      <c r="M45" s="967">
        <f t="shared" si="29"/>
        <v>6.501944444444443</v>
      </c>
      <c r="N45" s="54">
        <f t="shared" si="30"/>
        <v>20</v>
      </c>
      <c r="O45" s="968">
        <f t="shared" si="31"/>
        <v>0</v>
      </c>
      <c r="P45" s="968">
        <f t="shared" si="32"/>
        <v>0</v>
      </c>
      <c r="Q45" s="969">
        <f t="shared" si="33"/>
        <v>0</v>
      </c>
      <c r="R45" s="247">
        <f t="shared" si="34"/>
        <v>20</v>
      </c>
      <c r="S45" s="24">
        <f t="shared" si="35"/>
        <v>35692</v>
      </c>
      <c r="T45" s="970">
        <f t="shared" si="36"/>
        <v>0.71384000000000003</v>
      </c>
      <c r="U45" s="971">
        <f t="shared" si="37"/>
        <v>19.734798309666669</v>
      </c>
    </row>
    <row r="46" spans="1:21" x14ac:dyDescent="0.2">
      <c r="A46" s="33">
        <f t="shared" si="0"/>
        <v>2033</v>
      </c>
      <c r="B46" s="791">
        <f t="shared" si="18"/>
        <v>20</v>
      </c>
      <c r="C46" s="565">
        <f t="shared" si="21"/>
        <v>559</v>
      </c>
      <c r="D46" s="965">
        <f t="shared" ref="D46:F46" si="40">+D45</f>
        <v>14.64</v>
      </c>
      <c r="E46" s="966">
        <f t="shared" si="40"/>
        <v>0</v>
      </c>
      <c r="F46" s="790">
        <f t="shared" si="40"/>
        <v>35692</v>
      </c>
      <c r="G46" s="473">
        <f t="shared" si="23"/>
        <v>0.2928</v>
      </c>
      <c r="H46" s="474">
        <f t="shared" si="24"/>
        <v>0</v>
      </c>
      <c r="I46" s="474">
        <f t="shared" si="25"/>
        <v>0.71384000000000003</v>
      </c>
      <c r="J46" s="61">
        <f t="shared" si="26"/>
        <v>20</v>
      </c>
      <c r="K46" s="967">
        <f t="shared" si="27"/>
        <v>14.64</v>
      </c>
      <c r="L46" s="967">
        <f t="shared" si="28"/>
        <v>0.2928</v>
      </c>
      <c r="M46" s="967">
        <f t="shared" si="29"/>
        <v>6.7947444444444427</v>
      </c>
      <c r="N46" s="54">
        <f t="shared" si="30"/>
        <v>20</v>
      </c>
      <c r="O46" s="968">
        <f t="shared" si="31"/>
        <v>0</v>
      </c>
      <c r="P46" s="968">
        <f t="shared" si="32"/>
        <v>0</v>
      </c>
      <c r="Q46" s="969">
        <f t="shared" si="33"/>
        <v>0</v>
      </c>
      <c r="R46" s="247">
        <f t="shared" si="34"/>
        <v>20</v>
      </c>
      <c r="S46" s="24">
        <f t="shared" si="35"/>
        <v>35692</v>
      </c>
      <c r="T46" s="970">
        <f t="shared" si="36"/>
        <v>0.71384000000000003</v>
      </c>
      <c r="U46" s="971">
        <f t="shared" si="37"/>
        <v>20.44863830966667</v>
      </c>
    </row>
    <row r="47" spans="1:21" x14ac:dyDescent="0.2">
      <c r="A47" s="33">
        <f t="shared" si="0"/>
        <v>2034</v>
      </c>
      <c r="B47" s="791">
        <f t="shared" si="18"/>
        <v>20</v>
      </c>
      <c r="C47" s="565">
        <f t="shared" si="21"/>
        <v>579</v>
      </c>
      <c r="D47" s="965">
        <f t="shared" ref="D47:F47" si="41">+D46</f>
        <v>14.64</v>
      </c>
      <c r="E47" s="966">
        <f t="shared" si="41"/>
        <v>0</v>
      </c>
      <c r="F47" s="790">
        <f t="shared" si="41"/>
        <v>35692</v>
      </c>
      <c r="G47" s="473">
        <f t="shared" si="23"/>
        <v>0.2928</v>
      </c>
      <c r="H47" s="474">
        <f t="shared" si="24"/>
        <v>0</v>
      </c>
      <c r="I47" s="474">
        <f t="shared" si="25"/>
        <v>0.71384000000000003</v>
      </c>
      <c r="J47" s="61">
        <f t="shared" si="26"/>
        <v>20</v>
      </c>
      <c r="K47" s="967">
        <f t="shared" si="27"/>
        <v>14.64</v>
      </c>
      <c r="L47" s="967">
        <f t="shared" si="28"/>
        <v>0.2928</v>
      </c>
      <c r="M47" s="967">
        <f t="shared" si="29"/>
        <v>7.0875444444444424</v>
      </c>
      <c r="N47" s="54">
        <f t="shared" si="30"/>
        <v>20</v>
      </c>
      <c r="O47" s="968">
        <f t="shared" si="31"/>
        <v>0</v>
      </c>
      <c r="P47" s="968">
        <f t="shared" si="32"/>
        <v>0</v>
      </c>
      <c r="Q47" s="969">
        <f t="shared" si="33"/>
        <v>0</v>
      </c>
      <c r="R47" s="247">
        <f t="shared" si="34"/>
        <v>20</v>
      </c>
      <c r="S47" s="24">
        <f t="shared" si="35"/>
        <v>35692</v>
      </c>
      <c r="T47" s="970">
        <f t="shared" si="36"/>
        <v>0.71384000000000003</v>
      </c>
      <c r="U47" s="971">
        <f t="shared" si="37"/>
        <v>21.162478309666671</v>
      </c>
    </row>
    <row r="48" spans="1:21" x14ac:dyDescent="0.2">
      <c r="A48" s="33">
        <f t="shared" si="0"/>
        <v>2035</v>
      </c>
      <c r="B48" s="791">
        <f>B47</f>
        <v>20</v>
      </c>
      <c r="C48" s="565">
        <f t="shared" ref="C48:C54" si="42">+C47+B48</f>
        <v>599</v>
      </c>
      <c r="D48" s="965">
        <f t="shared" ref="D48:F48" si="43">+D47</f>
        <v>14.64</v>
      </c>
      <c r="E48" s="966">
        <f t="shared" si="43"/>
        <v>0</v>
      </c>
      <c r="F48" s="790">
        <f t="shared" si="43"/>
        <v>35692</v>
      </c>
      <c r="G48" s="473">
        <f t="shared" ref="G48:G54" si="44">+$B48*D48/1000</f>
        <v>0.2928</v>
      </c>
      <c r="H48" s="474">
        <f t="shared" ref="H48:H54" si="45">+$B48*E48/1000</f>
        <v>0</v>
      </c>
      <c r="I48" s="474">
        <f t="shared" ref="I48:I54" si="46">+$B48*F48/1000000</f>
        <v>0.71384000000000003</v>
      </c>
      <c r="J48" s="61">
        <f t="shared" ref="J48:J54" si="47">+(B48+B47)/2</f>
        <v>20</v>
      </c>
      <c r="K48" s="967">
        <f t="shared" ref="K48:K54" si="48">+D48</f>
        <v>14.64</v>
      </c>
      <c r="L48" s="967">
        <f t="shared" ref="L48:L54" si="49">+J48*K48/1000</f>
        <v>0.2928</v>
      </c>
      <c r="M48" s="967">
        <f t="shared" ref="M48:M54" si="50">+M47+L48</f>
        <v>7.3803444444444422</v>
      </c>
      <c r="N48" s="54">
        <f t="shared" ref="N48:N54" si="51">+B47</f>
        <v>20</v>
      </c>
      <c r="O48" s="968">
        <f t="shared" ref="O48:O54" si="52">+E48</f>
        <v>0</v>
      </c>
      <c r="P48" s="968">
        <f t="shared" ref="P48:P54" si="53">+N48*O48/1000</f>
        <v>0</v>
      </c>
      <c r="Q48" s="969">
        <f t="shared" ref="Q48:Q54" si="54">+Q47+P48</f>
        <v>0</v>
      </c>
      <c r="R48" s="247">
        <f t="shared" ref="R48:R54" si="55">+(B48+B47)/2</f>
        <v>20</v>
      </c>
      <c r="S48" s="24">
        <f t="shared" ref="S48:S54" si="56">+F48</f>
        <v>35692</v>
      </c>
      <c r="T48" s="970">
        <f t="shared" ref="T48:T54" si="57">+R48*S48/1000000</f>
        <v>0.71384000000000003</v>
      </c>
      <c r="U48" s="971">
        <f t="shared" ref="U48:U54" si="58">+U47+T48</f>
        <v>21.876318309666672</v>
      </c>
    </row>
    <row r="49" spans="1:21" x14ac:dyDescent="0.2">
      <c r="A49" s="33">
        <f t="shared" si="0"/>
        <v>2036</v>
      </c>
      <c r="B49" s="791">
        <f t="shared" ref="B49:B54" si="59">B48</f>
        <v>20</v>
      </c>
      <c r="C49" s="565">
        <f t="shared" si="42"/>
        <v>619</v>
      </c>
      <c r="D49" s="965">
        <f t="shared" ref="D49:F49" si="60">+D48</f>
        <v>14.64</v>
      </c>
      <c r="E49" s="966">
        <f t="shared" si="60"/>
        <v>0</v>
      </c>
      <c r="F49" s="790">
        <f t="shared" si="60"/>
        <v>35692</v>
      </c>
      <c r="G49" s="473">
        <f t="shared" si="44"/>
        <v>0.2928</v>
      </c>
      <c r="H49" s="474">
        <f t="shared" si="45"/>
        <v>0</v>
      </c>
      <c r="I49" s="474">
        <f t="shared" si="46"/>
        <v>0.71384000000000003</v>
      </c>
      <c r="J49" s="61">
        <f t="shared" si="47"/>
        <v>20</v>
      </c>
      <c r="K49" s="967">
        <f t="shared" si="48"/>
        <v>14.64</v>
      </c>
      <c r="L49" s="967">
        <f t="shared" si="49"/>
        <v>0.2928</v>
      </c>
      <c r="M49" s="967">
        <f t="shared" si="50"/>
        <v>7.6731444444444419</v>
      </c>
      <c r="N49" s="54">
        <f t="shared" si="51"/>
        <v>20</v>
      </c>
      <c r="O49" s="968">
        <f t="shared" si="52"/>
        <v>0</v>
      </c>
      <c r="P49" s="968">
        <f t="shared" si="53"/>
        <v>0</v>
      </c>
      <c r="Q49" s="969">
        <f t="shared" si="54"/>
        <v>0</v>
      </c>
      <c r="R49" s="247">
        <f t="shared" si="55"/>
        <v>20</v>
      </c>
      <c r="S49" s="24">
        <f t="shared" si="56"/>
        <v>35692</v>
      </c>
      <c r="T49" s="970">
        <f t="shared" si="57"/>
        <v>0.71384000000000003</v>
      </c>
      <c r="U49" s="971">
        <f t="shared" si="58"/>
        <v>22.590158309666673</v>
      </c>
    </row>
    <row r="50" spans="1:21" x14ac:dyDescent="0.2">
      <c r="A50" s="33">
        <f t="shared" si="0"/>
        <v>2037</v>
      </c>
      <c r="B50" s="791">
        <f t="shared" si="59"/>
        <v>20</v>
      </c>
      <c r="C50" s="565">
        <f t="shared" si="42"/>
        <v>639</v>
      </c>
      <c r="D50" s="965">
        <f t="shared" ref="D50:F50" si="61">+D49</f>
        <v>14.64</v>
      </c>
      <c r="E50" s="966">
        <f t="shared" si="61"/>
        <v>0</v>
      </c>
      <c r="F50" s="790">
        <f t="shared" si="61"/>
        <v>35692</v>
      </c>
      <c r="G50" s="473">
        <f t="shared" si="44"/>
        <v>0.2928</v>
      </c>
      <c r="H50" s="474">
        <f t="shared" si="45"/>
        <v>0</v>
      </c>
      <c r="I50" s="474">
        <f t="shared" si="46"/>
        <v>0.71384000000000003</v>
      </c>
      <c r="J50" s="61">
        <f t="shared" si="47"/>
        <v>20</v>
      </c>
      <c r="K50" s="967">
        <f t="shared" si="48"/>
        <v>14.64</v>
      </c>
      <c r="L50" s="967">
        <f t="shared" si="49"/>
        <v>0.2928</v>
      </c>
      <c r="M50" s="967">
        <f t="shared" si="50"/>
        <v>7.9659444444444416</v>
      </c>
      <c r="N50" s="54">
        <f t="shared" si="51"/>
        <v>20</v>
      </c>
      <c r="O50" s="968">
        <f t="shared" si="52"/>
        <v>0</v>
      </c>
      <c r="P50" s="968">
        <f t="shared" si="53"/>
        <v>0</v>
      </c>
      <c r="Q50" s="969">
        <f t="shared" si="54"/>
        <v>0</v>
      </c>
      <c r="R50" s="247">
        <f t="shared" si="55"/>
        <v>20</v>
      </c>
      <c r="S50" s="24">
        <f t="shared" si="56"/>
        <v>35692</v>
      </c>
      <c r="T50" s="970">
        <f t="shared" si="57"/>
        <v>0.71384000000000003</v>
      </c>
      <c r="U50" s="971">
        <f t="shared" si="58"/>
        <v>23.303998309666675</v>
      </c>
    </row>
    <row r="51" spans="1:21" x14ac:dyDescent="0.2">
      <c r="A51" s="33">
        <f t="shared" si="0"/>
        <v>2038</v>
      </c>
      <c r="B51" s="791">
        <f t="shared" si="59"/>
        <v>20</v>
      </c>
      <c r="C51" s="565">
        <f t="shared" si="42"/>
        <v>659</v>
      </c>
      <c r="D51" s="965">
        <f t="shared" ref="D51:F51" si="62">+D50</f>
        <v>14.64</v>
      </c>
      <c r="E51" s="966">
        <f t="shared" si="62"/>
        <v>0</v>
      </c>
      <c r="F51" s="790">
        <f t="shared" si="62"/>
        <v>35692</v>
      </c>
      <c r="G51" s="473">
        <f t="shared" si="44"/>
        <v>0.2928</v>
      </c>
      <c r="H51" s="474">
        <f t="shared" si="45"/>
        <v>0</v>
      </c>
      <c r="I51" s="474">
        <f t="shared" si="46"/>
        <v>0.71384000000000003</v>
      </c>
      <c r="J51" s="61">
        <f t="shared" si="47"/>
        <v>20</v>
      </c>
      <c r="K51" s="967">
        <f t="shared" si="48"/>
        <v>14.64</v>
      </c>
      <c r="L51" s="967">
        <f t="shared" si="49"/>
        <v>0.2928</v>
      </c>
      <c r="M51" s="967">
        <f t="shared" si="50"/>
        <v>8.2587444444444422</v>
      </c>
      <c r="N51" s="54">
        <f t="shared" si="51"/>
        <v>20</v>
      </c>
      <c r="O51" s="968">
        <f t="shared" si="52"/>
        <v>0</v>
      </c>
      <c r="P51" s="968">
        <f t="shared" si="53"/>
        <v>0</v>
      </c>
      <c r="Q51" s="969">
        <f t="shared" si="54"/>
        <v>0</v>
      </c>
      <c r="R51" s="247">
        <f t="shared" si="55"/>
        <v>20</v>
      </c>
      <c r="S51" s="24">
        <f t="shared" si="56"/>
        <v>35692</v>
      </c>
      <c r="T51" s="970">
        <f t="shared" si="57"/>
        <v>0.71384000000000003</v>
      </c>
      <c r="U51" s="971">
        <f t="shared" si="58"/>
        <v>24.017838309666676</v>
      </c>
    </row>
    <row r="52" spans="1:21" x14ac:dyDescent="0.2">
      <c r="A52" s="33">
        <f t="shared" si="0"/>
        <v>2039</v>
      </c>
      <c r="B52" s="791">
        <f t="shared" si="59"/>
        <v>20</v>
      </c>
      <c r="C52" s="565">
        <f t="shared" si="42"/>
        <v>679</v>
      </c>
      <c r="D52" s="965">
        <f t="shared" ref="D52:F52" si="63">+D51</f>
        <v>14.64</v>
      </c>
      <c r="E52" s="966">
        <f t="shared" si="63"/>
        <v>0</v>
      </c>
      <c r="F52" s="790">
        <f t="shared" si="63"/>
        <v>35692</v>
      </c>
      <c r="G52" s="473">
        <f t="shared" si="44"/>
        <v>0.2928</v>
      </c>
      <c r="H52" s="474">
        <f t="shared" si="45"/>
        <v>0</v>
      </c>
      <c r="I52" s="474">
        <f t="shared" si="46"/>
        <v>0.71384000000000003</v>
      </c>
      <c r="J52" s="61">
        <f t="shared" si="47"/>
        <v>20</v>
      </c>
      <c r="K52" s="967">
        <f t="shared" si="48"/>
        <v>14.64</v>
      </c>
      <c r="L52" s="967">
        <f t="shared" si="49"/>
        <v>0.2928</v>
      </c>
      <c r="M52" s="967">
        <f t="shared" si="50"/>
        <v>8.551544444444442</v>
      </c>
      <c r="N52" s="54">
        <f t="shared" si="51"/>
        <v>20</v>
      </c>
      <c r="O52" s="968">
        <f t="shared" si="52"/>
        <v>0</v>
      </c>
      <c r="P52" s="968">
        <f t="shared" si="53"/>
        <v>0</v>
      </c>
      <c r="Q52" s="969">
        <f t="shared" si="54"/>
        <v>0</v>
      </c>
      <c r="R52" s="247">
        <f t="shared" si="55"/>
        <v>20</v>
      </c>
      <c r="S52" s="24">
        <f t="shared" si="56"/>
        <v>35692</v>
      </c>
      <c r="T52" s="970">
        <f t="shared" si="57"/>
        <v>0.71384000000000003</v>
      </c>
      <c r="U52" s="971">
        <f t="shared" si="58"/>
        <v>24.731678309666677</v>
      </c>
    </row>
    <row r="53" spans="1:21" x14ac:dyDescent="0.2">
      <c r="A53" s="33">
        <f t="shared" si="0"/>
        <v>2040</v>
      </c>
      <c r="B53" s="791">
        <f t="shared" si="59"/>
        <v>20</v>
      </c>
      <c r="C53" s="565">
        <f t="shared" si="42"/>
        <v>699</v>
      </c>
      <c r="D53" s="965">
        <f t="shared" ref="D53:F53" si="64">+D52</f>
        <v>14.64</v>
      </c>
      <c r="E53" s="966">
        <f t="shared" si="64"/>
        <v>0</v>
      </c>
      <c r="F53" s="790">
        <f t="shared" si="64"/>
        <v>35692</v>
      </c>
      <c r="G53" s="473">
        <f t="shared" si="44"/>
        <v>0.2928</v>
      </c>
      <c r="H53" s="474">
        <f t="shared" si="45"/>
        <v>0</v>
      </c>
      <c r="I53" s="474">
        <f t="shared" si="46"/>
        <v>0.71384000000000003</v>
      </c>
      <c r="J53" s="61">
        <f t="shared" si="47"/>
        <v>20</v>
      </c>
      <c r="K53" s="967">
        <f t="shared" si="48"/>
        <v>14.64</v>
      </c>
      <c r="L53" s="967">
        <f t="shared" si="49"/>
        <v>0.2928</v>
      </c>
      <c r="M53" s="967">
        <f t="shared" si="50"/>
        <v>8.8443444444444417</v>
      </c>
      <c r="N53" s="54">
        <f t="shared" si="51"/>
        <v>20</v>
      </c>
      <c r="O53" s="968">
        <f t="shared" si="52"/>
        <v>0</v>
      </c>
      <c r="P53" s="968">
        <f t="shared" si="53"/>
        <v>0</v>
      </c>
      <c r="Q53" s="969">
        <f t="shared" si="54"/>
        <v>0</v>
      </c>
      <c r="R53" s="247">
        <f t="shared" si="55"/>
        <v>20</v>
      </c>
      <c r="S53" s="24">
        <f t="shared" si="56"/>
        <v>35692</v>
      </c>
      <c r="T53" s="970">
        <f t="shared" si="57"/>
        <v>0.71384000000000003</v>
      </c>
      <c r="U53" s="971">
        <f t="shared" si="58"/>
        <v>25.445518309666678</v>
      </c>
    </row>
    <row r="54" spans="1:21" x14ac:dyDescent="0.2">
      <c r="A54" s="33">
        <f t="shared" si="0"/>
        <v>2041</v>
      </c>
      <c r="B54" s="791">
        <f t="shared" si="59"/>
        <v>20</v>
      </c>
      <c r="C54" s="565">
        <f t="shared" si="42"/>
        <v>719</v>
      </c>
      <c r="D54" s="965">
        <f t="shared" ref="D54:F54" si="65">+D53</f>
        <v>14.64</v>
      </c>
      <c r="E54" s="966">
        <f t="shared" si="65"/>
        <v>0</v>
      </c>
      <c r="F54" s="790">
        <f t="shared" si="65"/>
        <v>35692</v>
      </c>
      <c r="G54" s="473">
        <f t="shared" si="44"/>
        <v>0.2928</v>
      </c>
      <c r="H54" s="474">
        <f t="shared" si="45"/>
        <v>0</v>
      </c>
      <c r="I54" s="474">
        <f t="shared" si="46"/>
        <v>0.71384000000000003</v>
      </c>
      <c r="J54" s="61">
        <f t="shared" si="47"/>
        <v>20</v>
      </c>
      <c r="K54" s="967">
        <f t="shared" si="48"/>
        <v>14.64</v>
      </c>
      <c r="L54" s="967">
        <f t="shared" si="49"/>
        <v>0.2928</v>
      </c>
      <c r="M54" s="967">
        <f t="shared" si="50"/>
        <v>9.1371444444444414</v>
      </c>
      <c r="N54" s="54">
        <f t="shared" si="51"/>
        <v>20</v>
      </c>
      <c r="O54" s="968">
        <f t="shared" si="52"/>
        <v>0</v>
      </c>
      <c r="P54" s="968">
        <f t="shared" si="53"/>
        <v>0</v>
      </c>
      <c r="Q54" s="969">
        <f t="shared" si="54"/>
        <v>0</v>
      </c>
      <c r="R54" s="247">
        <f t="shared" si="55"/>
        <v>20</v>
      </c>
      <c r="S54" s="24">
        <f t="shared" si="56"/>
        <v>35692</v>
      </c>
      <c r="T54" s="970">
        <f t="shared" si="57"/>
        <v>0.71384000000000003</v>
      </c>
      <c r="U54" s="971">
        <f t="shared" si="58"/>
        <v>26.159358309666679</v>
      </c>
    </row>
    <row r="56" spans="1:21" x14ac:dyDescent="0.2">
      <c r="A56" s="69" t="s">
        <v>38</v>
      </c>
    </row>
    <row r="57" spans="1:21" x14ac:dyDescent="0.2">
      <c r="A57" s="69" t="s">
        <v>39</v>
      </c>
    </row>
    <row r="58" spans="1:21" x14ac:dyDescent="0.2">
      <c r="A58" s="86" t="s">
        <v>57</v>
      </c>
    </row>
    <row r="59" spans="1:21" x14ac:dyDescent="0.2">
      <c r="A59" s="86" t="s">
        <v>58</v>
      </c>
    </row>
    <row r="60" spans="1:21" x14ac:dyDescent="0.2">
      <c r="B60" s="956" t="s">
        <v>386</v>
      </c>
    </row>
    <row r="61" spans="1:21" x14ac:dyDescent="0.2">
      <c r="B61">
        <v>2015</v>
      </c>
      <c r="D61">
        <f>170.45/B28</f>
        <v>3.7877777777777775</v>
      </c>
      <c r="E61">
        <v>0</v>
      </c>
      <c r="F61">
        <f>685097.31/B28</f>
        <v>15224.384666666669</v>
      </c>
    </row>
  </sheetData>
  <mergeCells count="5">
    <mergeCell ref="G3:I3"/>
    <mergeCell ref="B4:I4"/>
    <mergeCell ref="J4:M4"/>
    <mergeCell ref="N4:Q4"/>
    <mergeCell ref="R4:U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rgb="FF1CBE06"/>
    <pageSetUpPr fitToPage="1"/>
  </sheetPr>
  <dimension ref="A1:X89"/>
  <sheetViews>
    <sheetView zoomScaleNormal="100" workbookViewId="0">
      <pane xSplit="1" ySplit="5" topLeftCell="B18"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1.7109375" customWidth="1"/>
    <col min="5" max="5" width="12" customWidth="1"/>
    <col min="6" max="6" width="11.5703125"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9" t="s">
        <v>315</v>
      </c>
      <c r="F1" s="4"/>
      <c r="G1" s="249"/>
      <c r="H1" s="249"/>
      <c r="I1" s="249"/>
      <c r="J1" s="4"/>
      <c r="K1" s="4"/>
      <c r="L1" s="4"/>
      <c r="M1" s="4"/>
      <c r="N1" s="4"/>
    </row>
    <row r="2" spans="1:24" ht="16.5" thickBot="1" x14ac:dyDescent="0.3">
      <c r="A2" s="5" t="s">
        <v>1</v>
      </c>
      <c r="B2" s="27" t="s">
        <v>390</v>
      </c>
      <c r="C2" s="27"/>
      <c r="D2" s="27"/>
      <c r="E2" s="27"/>
      <c r="F2" s="23"/>
      <c r="G2" s="27"/>
      <c r="J2" s="4"/>
      <c r="K2" s="4"/>
      <c r="L2" s="4"/>
      <c r="M2" s="4"/>
      <c r="N2" s="4"/>
    </row>
    <row r="3" spans="1:24" ht="16.5" thickBot="1" x14ac:dyDescent="0.3">
      <c r="A3" s="4"/>
      <c r="B3" s="379" t="s">
        <v>230</v>
      </c>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+C7+B8</f>
        <v>0</v>
      </c>
      <c r="D8" s="662">
        <f t="shared" ref="D8:D12" si="0">IF($B8=0,0,(G8*1000)/$B8)</f>
        <v>0</v>
      </c>
      <c r="E8" s="663">
        <f t="shared" ref="E8:E12" si="1">IF($B8=0,0,(H8*1000)/$B8)</f>
        <v>0</v>
      </c>
      <c r="F8" s="675">
        <f t="shared" ref="F8:F12" si="2">IF($B8=0,0,(I8*1000000)/$B8)</f>
        <v>0</v>
      </c>
      <c r="G8" s="626">
        <v>0</v>
      </c>
      <c r="H8" s="72">
        <v>0</v>
      </c>
      <c r="I8" s="630">
        <v>0</v>
      </c>
      <c r="J8" s="61">
        <f>+(B8+N8)/2</f>
        <v>0</v>
      </c>
      <c r="K8" s="188">
        <f>+D8</f>
        <v>0</v>
      </c>
      <c r="L8" s="188">
        <f>+J8*K8/1000</f>
        <v>0</v>
      </c>
      <c r="M8" s="188">
        <f>+M7+L8</f>
        <v>0</v>
      </c>
      <c r="N8" s="51">
        <v>0</v>
      </c>
      <c r="O8" s="670">
        <f>+E8</f>
        <v>0</v>
      </c>
      <c r="P8" s="670">
        <f>+N8*O8/1000</f>
        <v>0</v>
      </c>
      <c r="Q8" s="670">
        <f>+Q7+P8</f>
        <v>0</v>
      </c>
      <c r="R8" s="247">
        <f>J8</f>
        <v>0</v>
      </c>
      <c r="S8" s="24">
        <f>+F8</f>
        <v>0</v>
      </c>
      <c r="T8" s="25">
        <f>+R8*S8/1000000</f>
        <v>0</v>
      </c>
      <c r="U8" s="654">
        <f>+U7+T8</f>
        <v>0</v>
      </c>
      <c r="V8" s="9"/>
      <c r="X8" s="1"/>
    </row>
    <row r="9" spans="1:24" x14ac:dyDescent="0.2">
      <c r="A9" s="33">
        <v>1996</v>
      </c>
      <c r="B9" s="30">
        <v>0</v>
      </c>
      <c r="C9" s="660">
        <f t="shared" ref="C9:C37" si="3">+C8+B9</f>
        <v>0</v>
      </c>
      <c r="D9" s="662">
        <f t="shared" si="0"/>
        <v>0</v>
      </c>
      <c r="E9" s="663">
        <f t="shared" si="1"/>
        <v>0</v>
      </c>
      <c r="F9" s="675">
        <f t="shared" si="2"/>
        <v>0</v>
      </c>
      <c r="G9" s="626">
        <v>0</v>
      </c>
      <c r="H9" s="72">
        <v>0</v>
      </c>
      <c r="I9" s="630">
        <v>0</v>
      </c>
      <c r="J9" s="61">
        <f t="shared" ref="J9:J37" si="4">+(B9+B8)/2</f>
        <v>0</v>
      </c>
      <c r="K9" s="188">
        <f t="shared" ref="K9:K37" si="5">+D9</f>
        <v>0</v>
      </c>
      <c r="L9" s="188">
        <f t="shared" ref="L9:L37" si="6">+J9*K9/1000</f>
        <v>0</v>
      </c>
      <c r="M9" s="188">
        <f t="shared" ref="M9:M37" si="7">+M8+L9</f>
        <v>0</v>
      </c>
      <c r="N9" s="54">
        <f>+B8</f>
        <v>0</v>
      </c>
      <c r="O9" s="670">
        <f t="shared" ref="O9:O37" si="8">+E9</f>
        <v>0</v>
      </c>
      <c r="P9" s="670">
        <f t="shared" ref="P9:P37" si="9">+N9*O9/1000</f>
        <v>0</v>
      </c>
      <c r="Q9" s="670">
        <f t="shared" ref="Q9:Q37" si="10">+Q8+P9</f>
        <v>0</v>
      </c>
      <c r="R9" s="247">
        <f t="shared" ref="R9:R37" si="11">+(B9+B8)/2</f>
        <v>0</v>
      </c>
      <c r="S9" s="24">
        <f t="shared" ref="S9:S37" si="12">+F9</f>
        <v>0</v>
      </c>
      <c r="T9" s="25">
        <f t="shared" ref="T9:T37" si="13">+R9*S9/1000000</f>
        <v>0</v>
      </c>
      <c r="U9" s="654">
        <f t="shared" ref="U9:U37" si="14">+U8+T9</f>
        <v>0</v>
      </c>
      <c r="V9" s="10"/>
      <c r="X9" s="1"/>
    </row>
    <row r="10" spans="1:24" x14ac:dyDescent="0.2">
      <c r="A10" s="33">
        <v>1997</v>
      </c>
      <c r="B10" s="30">
        <v>0</v>
      </c>
      <c r="C10" s="660">
        <f t="shared" si="3"/>
        <v>0</v>
      </c>
      <c r="D10" s="662">
        <f t="shared" si="0"/>
        <v>0</v>
      </c>
      <c r="E10" s="663">
        <f t="shared" si="1"/>
        <v>0</v>
      </c>
      <c r="F10" s="675">
        <f t="shared" si="2"/>
        <v>0</v>
      </c>
      <c r="G10" s="626">
        <v>0</v>
      </c>
      <c r="H10" s="72">
        <v>0</v>
      </c>
      <c r="I10" s="630">
        <v>0</v>
      </c>
      <c r="J10" s="61">
        <f t="shared" si="4"/>
        <v>0</v>
      </c>
      <c r="K10" s="188">
        <f t="shared" si="5"/>
        <v>0</v>
      </c>
      <c r="L10" s="188">
        <f t="shared" si="6"/>
        <v>0</v>
      </c>
      <c r="M10" s="188">
        <f t="shared" si="7"/>
        <v>0</v>
      </c>
      <c r="N10" s="54">
        <f t="shared" ref="N10:N37" si="15">+B9</f>
        <v>0</v>
      </c>
      <c r="O10" s="670">
        <f t="shared" si="8"/>
        <v>0</v>
      </c>
      <c r="P10" s="670">
        <f t="shared" si="9"/>
        <v>0</v>
      </c>
      <c r="Q10" s="670">
        <f t="shared" si="10"/>
        <v>0</v>
      </c>
      <c r="R10" s="247">
        <f t="shared" si="11"/>
        <v>0</v>
      </c>
      <c r="S10" s="24">
        <f t="shared" si="12"/>
        <v>0</v>
      </c>
      <c r="T10" s="25">
        <f t="shared" si="13"/>
        <v>0</v>
      </c>
      <c r="U10" s="654">
        <f t="shared" si="14"/>
        <v>0</v>
      </c>
      <c r="V10" s="10"/>
      <c r="X10" s="1"/>
    </row>
    <row r="11" spans="1:24" x14ac:dyDescent="0.2">
      <c r="A11" s="33">
        <v>1998</v>
      </c>
      <c r="B11" s="30">
        <v>0</v>
      </c>
      <c r="C11" s="660">
        <f t="shared" si="3"/>
        <v>0</v>
      </c>
      <c r="D11" s="662">
        <f t="shared" si="0"/>
        <v>0</v>
      </c>
      <c r="E11" s="663">
        <f t="shared" si="1"/>
        <v>0</v>
      </c>
      <c r="F11" s="675">
        <f t="shared" si="2"/>
        <v>0</v>
      </c>
      <c r="G11" s="626">
        <v>0</v>
      </c>
      <c r="H11" s="72">
        <v>0</v>
      </c>
      <c r="I11" s="630">
        <v>0</v>
      </c>
      <c r="J11" s="61">
        <f t="shared" si="4"/>
        <v>0</v>
      </c>
      <c r="K11" s="188">
        <f t="shared" si="5"/>
        <v>0</v>
      </c>
      <c r="L11" s="188">
        <f t="shared" si="6"/>
        <v>0</v>
      </c>
      <c r="M11" s="188">
        <f t="shared" si="7"/>
        <v>0</v>
      </c>
      <c r="N11" s="54">
        <f t="shared" si="15"/>
        <v>0</v>
      </c>
      <c r="O11" s="670">
        <f t="shared" si="8"/>
        <v>0</v>
      </c>
      <c r="P11" s="670">
        <f t="shared" si="9"/>
        <v>0</v>
      </c>
      <c r="Q11" s="670">
        <f t="shared" si="10"/>
        <v>0</v>
      </c>
      <c r="R11" s="247">
        <f t="shared" si="11"/>
        <v>0</v>
      </c>
      <c r="S11" s="24">
        <f t="shared" si="12"/>
        <v>0</v>
      </c>
      <c r="T11" s="25">
        <f t="shared" si="13"/>
        <v>0</v>
      </c>
      <c r="U11" s="654">
        <f t="shared" si="14"/>
        <v>0</v>
      </c>
      <c r="V11" s="10"/>
      <c r="X11" s="1"/>
    </row>
    <row r="12" spans="1:24" x14ac:dyDescent="0.2">
      <c r="A12" s="33">
        <v>1999</v>
      </c>
      <c r="B12" s="30">
        <v>0</v>
      </c>
      <c r="C12" s="660">
        <f t="shared" si="3"/>
        <v>0</v>
      </c>
      <c r="D12" s="662">
        <f t="shared" si="0"/>
        <v>0</v>
      </c>
      <c r="E12" s="663">
        <f t="shared" si="1"/>
        <v>0</v>
      </c>
      <c r="F12" s="617">
        <f t="shared" si="2"/>
        <v>0</v>
      </c>
      <c r="G12" s="626">
        <v>0</v>
      </c>
      <c r="H12" s="72">
        <v>0</v>
      </c>
      <c r="I12" s="630">
        <v>0</v>
      </c>
      <c r="J12" s="61">
        <f t="shared" si="4"/>
        <v>0</v>
      </c>
      <c r="K12" s="188">
        <f t="shared" si="5"/>
        <v>0</v>
      </c>
      <c r="L12" s="188">
        <f t="shared" si="6"/>
        <v>0</v>
      </c>
      <c r="M12" s="188">
        <f t="shared" si="7"/>
        <v>0</v>
      </c>
      <c r="N12" s="54">
        <f t="shared" si="15"/>
        <v>0</v>
      </c>
      <c r="O12" s="670">
        <f t="shared" si="8"/>
        <v>0</v>
      </c>
      <c r="P12" s="670">
        <f t="shared" si="9"/>
        <v>0</v>
      </c>
      <c r="Q12" s="670">
        <f t="shared" si="10"/>
        <v>0</v>
      </c>
      <c r="R12" s="247">
        <f t="shared" si="11"/>
        <v>0</v>
      </c>
      <c r="S12" s="24">
        <f t="shared" si="12"/>
        <v>0</v>
      </c>
      <c r="T12" s="25">
        <f t="shared" si="13"/>
        <v>0</v>
      </c>
      <c r="U12" s="654">
        <f t="shared" si="14"/>
        <v>0</v>
      </c>
      <c r="V12" s="10"/>
      <c r="X12" s="1"/>
    </row>
    <row r="13" spans="1:24" x14ac:dyDescent="0.2">
      <c r="A13" s="33">
        <v>2000</v>
      </c>
      <c r="B13" s="30">
        <v>1</v>
      </c>
      <c r="C13" s="660">
        <f t="shared" si="3"/>
        <v>1</v>
      </c>
      <c r="D13" s="662">
        <v>2.3600000000000003</v>
      </c>
      <c r="E13" s="663">
        <v>0</v>
      </c>
      <c r="F13" s="617">
        <v>9583</v>
      </c>
      <c r="G13" s="626">
        <v>2.3600000000000001E-3</v>
      </c>
      <c r="H13" s="72">
        <v>0</v>
      </c>
      <c r="I13" s="630">
        <v>9.5829999999999995E-3</v>
      </c>
      <c r="J13" s="61">
        <f t="shared" si="4"/>
        <v>0.5</v>
      </c>
      <c r="K13" s="188">
        <f t="shared" si="5"/>
        <v>2.3600000000000003</v>
      </c>
      <c r="L13" s="188">
        <f t="shared" si="6"/>
        <v>1.1800000000000001E-3</v>
      </c>
      <c r="M13" s="188">
        <f t="shared" si="7"/>
        <v>1.1800000000000001E-3</v>
      </c>
      <c r="N13" s="54">
        <f t="shared" si="15"/>
        <v>0</v>
      </c>
      <c r="O13" s="670">
        <f t="shared" si="8"/>
        <v>0</v>
      </c>
      <c r="P13" s="670">
        <f t="shared" si="9"/>
        <v>0</v>
      </c>
      <c r="Q13" s="670">
        <f t="shared" si="10"/>
        <v>0</v>
      </c>
      <c r="R13" s="247">
        <f t="shared" si="11"/>
        <v>0.5</v>
      </c>
      <c r="S13" s="24">
        <f t="shared" si="12"/>
        <v>9583</v>
      </c>
      <c r="T13" s="25">
        <f t="shared" si="13"/>
        <v>4.7914999999999998E-3</v>
      </c>
      <c r="U13" s="654">
        <f t="shared" si="14"/>
        <v>4.7914999999999998E-3</v>
      </c>
      <c r="V13" s="9"/>
      <c r="X13" s="1"/>
    </row>
    <row r="14" spans="1:24" x14ac:dyDescent="0.2">
      <c r="A14" s="33">
        <v>2001</v>
      </c>
      <c r="B14" s="30">
        <v>70</v>
      </c>
      <c r="C14" s="660">
        <f t="shared" si="3"/>
        <v>71</v>
      </c>
      <c r="D14" s="662">
        <v>1.0271428571428571</v>
      </c>
      <c r="E14" s="663">
        <v>0</v>
      </c>
      <c r="F14" s="617">
        <v>4140.8999999999996</v>
      </c>
      <c r="G14" s="626">
        <v>7.1900000000000006E-2</v>
      </c>
      <c r="H14" s="72">
        <v>0</v>
      </c>
      <c r="I14" s="630">
        <v>0.28986299999999998</v>
      </c>
      <c r="J14" s="61">
        <f t="shared" si="4"/>
        <v>35.5</v>
      </c>
      <c r="K14" s="188">
        <f t="shared" si="5"/>
        <v>1.0271428571428571</v>
      </c>
      <c r="L14" s="188">
        <f t="shared" si="6"/>
        <v>3.6463571428571429E-2</v>
      </c>
      <c r="M14" s="188">
        <f t="shared" si="7"/>
        <v>3.7643571428571429E-2</v>
      </c>
      <c r="N14" s="54">
        <f t="shared" si="15"/>
        <v>1</v>
      </c>
      <c r="O14" s="670">
        <f t="shared" si="8"/>
        <v>0</v>
      </c>
      <c r="P14" s="670">
        <f t="shared" si="9"/>
        <v>0</v>
      </c>
      <c r="Q14" s="670">
        <f t="shared" si="10"/>
        <v>0</v>
      </c>
      <c r="R14" s="247">
        <f t="shared" si="11"/>
        <v>35.5</v>
      </c>
      <c r="S14" s="24">
        <f t="shared" si="12"/>
        <v>4140.8999999999996</v>
      </c>
      <c r="T14" s="25">
        <f t="shared" si="13"/>
        <v>0.14700194999999999</v>
      </c>
      <c r="U14" s="654">
        <f t="shared" si="14"/>
        <v>0.15179345</v>
      </c>
      <c r="V14" s="9"/>
      <c r="X14" s="1"/>
    </row>
    <row r="15" spans="1:24" x14ac:dyDescent="0.2">
      <c r="A15" s="33">
        <v>2002</v>
      </c>
      <c r="B15" s="30">
        <v>57</v>
      </c>
      <c r="C15" s="660">
        <f t="shared" si="3"/>
        <v>128</v>
      </c>
      <c r="D15" s="662">
        <v>1.2045614035087719</v>
      </c>
      <c r="E15" s="663">
        <v>0</v>
      </c>
      <c r="F15" s="617">
        <v>4874.3859649122805</v>
      </c>
      <c r="G15" s="626">
        <v>6.8659999999999999E-2</v>
      </c>
      <c r="H15" s="72">
        <v>0</v>
      </c>
      <c r="I15" s="630">
        <v>0.27783999999999998</v>
      </c>
      <c r="J15" s="61">
        <f t="shared" si="4"/>
        <v>63.5</v>
      </c>
      <c r="K15" s="188">
        <f t="shared" si="5"/>
        <v>1.2045614035087719</v>
      </c>
      <c r="L15" s="188">
        <f t="shared" si="6"/>
        <v>7.6489649122807021E-2</v>
      </c>
      <c r="M15" s="188">
        <f t="shared" si="7"/>
        <v>0.11413322055137845</v>
      </c>
      <c r="N15" s="54">
        <f t="shared" si="15"/>
        <v>70</v>
      </c>
      <c r="O15" s="670">
        <f t="shared" si="8"/>
        <v>0</v>
      </c>
      <c r="P15" s="670">
        <f t="shared" si="9"/>
        <v>0</v>
      </c>
      <c r="Q15" s="670">
        <f t="shared" si="10"/>
        <v>0</v>
      </c>
      <c r="R15" s="247">
        <f t="shared" si="11"/>
        <v>63.5</v>
      </c>
      <c r="S15" s="24">
        <f t="shared" si="12"/>
        <v>4874.3859649122805</v>
      </c>
      <c r="T15" s="25">
        <f t="shared" si="13"/>
        <v>0.30952350877192986</v>
      </c>
      <c r="U15" s="654">
        <f t="shared" si="14"/>
        <v>0.46131695877192985</v>
      </c>
      <c r="V15" s="9"/>
      <c r="X15" s="1"/>
    </row>
    <row r="16" spans="1:24" x14ac:dyDescent="0.2">
      <c r="A16" s="33">
        <v>2003</v>
      </c>
      <c r="B16" s="30">
        <v>162</v>
      </c>
      <c r="C16" s="660">
        <f t="shared" si="3"/>
        <v>290</v>
      </c>
      <c r="D16" s="662">
        <v>1.5853086419753086</v>
      </c>
      <c r="E16" s="663">
        <v>0</v>
      </c>
      <c r="F16" s="617">
        <v>6277.3456790123446</v>
      </c>
      <c r="G16" s="626">
        <v>0.25681999999999999</v>
      </c>
      <c r="H16" s="72">
        <v>0</v>
      </c>
      <c r="I16" s="630">
        <v>1.0169299999999999</v>
      </c>
      <c r="J16" s="61">
        <f t="shared" si="4"/>
        <v>109.5</v>
      </c>
      <c r="K16" s="188">
        <f t="shared" si="5"/>
        <v>1.5853086419753086</v>
      </c>
      <c r="L16" s="188">
        <f t="shared" si="6"/>
        <v>0.1735912962962963</v>
      </c>
      <c r="M16" s="188">
        <f t="shared" si="7"/>
        <v>0.28772451684767475</v>
      </c>
      <c r="N16" s="54">
        <f t="shared" si="15"/>
        <v>57</v>
      </c>
      <c r="O16" s="670">
        <f t="shared" si="8"/>
        <v>0</v>
      </c>
      <c r="P16" s="670">
        <f t="shared" si="9"/>
        <v>0</v>
      </c>
      <c r="Q16" s="670">
        <f t="shared" si="10"/>
        <v>0</v>
      </c>
      <c r="R16" s="247">
        <f t="shared" si="11"/>
        <v>109.5</v>
      </c>
      <c r="S16" s="24">
        <f t="shared" si="12"/>
        <v>6277.3456790123446</v>
      </c>
      <c r="T16" s="25">
        <f t="shared" si="13"/>
        <v>0.68736935185185166</v>
      </c>
      <c r="U16" s="654">
        <f t="shared" si="14"/>
        <v>1.1486863106237815</v>
      </c>
      <c r="V16" s="9"/>
      <c r="X16" s="1"/>
    </row>
    <row r="17" spans="1:24" x14ac:dyDescent="0.2">
      <c r="A17" s="33">
        <f>+A16+1</f>
        <v>2004</v>
      </c>
      <c r="B17" s="30">
        <v>75</v>
      </c>
      <c r="C17" s="660">
        <f t="shared" si="3"/>
        <v>365</v>
      </c>
      <c r="D17" s="662">
        <v>1.41</v>
      </c>
      <c r="E17" s="663">
        <v>0</v>
      </c>
      <c r="F17" s="617">
        <v>5613</v>
      </c>
      <c r="G17" s="626">
        <v>0.10575</v>
      </c>
      <c r="H17" s="72">
        <v>0</v>
      </c>
      <c r="I17" s="630">
        <v>0.42097499999999999</v>
      </c>
      <c r="J17" s="61">
        <f t="shared" si="4"/>
        <v>118.5</v>
      </c>
      <c r="K17" s="188">
        <f t="shared" si="5"/>
        <v>1.41</v>
      </c>
      <c r="L17" s="188">
        <f t="shared" si="6"/>
        <v>0.16708499999999998</v>
      </c>
      <c r="M17" s="188">
        <f t="shared" si="7"/>
        <v>0.45480951684767473</v>
      </c>
      <c r="N17" s="54">
        <f t="shared" si="15"/>
        <v>162</v>
      </c>
      <c r="O17" s="670">
        <f t="shared" si="8"/>
        <v>0</v>
      </c>
      <c r="P17" s="670">
        <f t="shared" si="9"/>
        <v>0</v>
      </c>
      <c r="Q17" s="670">
        <f t="shared" si="10"/>
        <v>0</v>
      </c>
      <c r="R17" s="247">
        <f t="shared" si="11"/>
        <v>118.5</v>
      </c>
      <c r="S17" s="24">
        <f t="shared" si="12"/>
        <v>5613</v>
      </c>
      <c r="T17" s="25">
        <f t="shared" si="13"/>
        <v>0.66514050000000002</v>
      </c>
      <c r="U17" s="654">
        <f t="shared" si="14"/>
        <v>1.8138268106237816</v>
      </c>
      <c r="V17" s="9"/>
      <c r="X17" s="1"/>
    </row>
    <row r="18" spans="1:24" x14ac:dyDescent="0.2">
      <c r="A18" s="33">
        <f t="shared" ref="A18:A38" si="16">+A17+1</f>
        <v>2005</v>
      </c>
      <c r="B18" s="30">
        <v>61</v>
      </c>
      <c r="C18" s="660">
        <f t="shared" si="3"/>
        <v>426</v>
      </c>
      <c r="D18" s="662">
        <v>1.5421311475409838</v>
      </c>
      <c r="E18" s="663">
        <v>0</v>
      </c>
      <c r="F18" s="617">
        <v>6093.377049180328</v>
      </c>
      <c r="G18" s="626">
        <v>9.4070000000000001E-2</v>
      </c>
      <c r="H18" s="72">
        <v>0</v>
      </c>
      <c r="I18" s="630">
        <v>0.37169600000000003</v>
      </c>
      <c r="J18" s="61">
        <f t="shared" si="4"/>
        <v>68</v>
      </c>
      <c r="K18" s="188">
        <f t="shared" si="5"/>
        <v>1.5421311475409838</v>
      </c>
      <c r="L18" s="188">
        <f t="shared" si="6"/>
        <v>0.1048649180327869</v>
      </c>
      <c r="M18" s="188">
        <f t="shared" si="7"/>
        <v>0.55967443488046165</v>
      </c>
      <c r="N18" s="54">
        <f t="shared" si="15"/>
        <v>75</v>
      </c>
      <c r="O18" s="670">
        <f t="shared" si="8"/>
        <v>0</v>
      </c>
      <c r="P18" s="670">
        <f t="shared" si="9"/>
        <v>0</v>
      </c>
      <c r="Q18" s="670">
        <f t="shared" si="10"/>
        <v>0</v>
      </c>
      <c r="R18" s="247">
        <f t="shared" si="11"/>
        <v>68</v>
      </c>
      <c r="S18" s="24">
        <f t="shared" si="12"/>
        <v>6093.377049180328</v>
      </c>
      <c r="T18" s="25">
        <f t="shared" si="13"/>
        <v>0.41434963934426233</v>
      </c>
      <c r="U18" s="654">
        <f t="shared" si="14"/>
        <v>2.2281764499680441</v>
      </c>
      <c r="V18" s="9"/>
      <c r="X18" s="1"/>
    </row>
    <row r="19" spans="1:24" x14ac:dyDescent="0.2">
      <c r="A19" s="33">
        <f t="shared" si="16"/>
        <v>2006</v>
      </c>
      <c r="B19" s="30">
        <v>72</v>
      </c>
      <c r="C19" s="660">
        <f t="shared" si="3"/>
        <v>498</v>
      </c>
      <c r="D19" s="662">
        <v>1.6473611111111111</v>
      </c>
      <c r="E19" s="663">
        <v>0</v>
      </c>
      <c r="F19" s="617">
        <v>6501.083333333333</v>
      </c>
      <c r="G19" s="626">
        <v>0.11860999999999999</v>
      </c>
      <c r="H19" s="72">
        <v>0</v>
      </c>
      <c r="I19" s="630">
        <v>0.46807799999999999</v>
      </c>
      <c r="J19" s="61">
        <f t="shared" si="4"/>
        <v>66.5</v>
      </c>
      <c r="K19" s="188">
        <f t="shared" si="5"/>
        <v>1.6473611111111111</v>
      </c>
      <c r="L19" s="188">
        <f t="shared" si="6"/>
        <v>0.10954951388888888</v>
      </c>
      <c r="M19" s="188">
        <f t="shared" si="7"/>
        <v>0.66922394876935054</v>
      </c>
      <c r="N19" s="54">
        <f t="shared" si="15"/>
        <v>61</v>
      </c>
      <c r="O19" s="670">
        <f t="shared" si="8"/>
        <v>0</v>
      </c>
      <c r="P19" s="670">
        <f t="shared" si="9"/>
        <v>0</v>
      </c>
      <c r="Q19" s="670">
        <f t="shared" si="10"/>
        <v>0</v>
      </c>
      <c r="R19" s="247">
        <f t="shared" si="11"/>
        <v>66.5</v>
      </c>
      <c r="S19" s="24">
        <f t="shared" si="12"/>
        <v>6501.083333333333</v>
      </c>
      <c r="T19" s="25">
        <f t="shared" si="13"/>
        <v>0.4323220416666666</v>
      </c>
      <c r="U19" s="654">
        <f t="shared" si="14"/>
        <v>2.6604984916347107</v>
      </c>
      <c r="V19" s="8"/>
      <c r="X19" s="1"/>
    </row>
    <row r="20" spans="1:24" x14ac:dyDescent="0.2">
      <c r="A20" s="33">
        <f t="shared" si="16"/>
        <v>2007</v>
      </c>
      <c r="B20" s="30">
        <v>122</v>
      </c>
      <c r="C20" s="660">
        <f t="shared" si="3"/>
        <v>620</v>
      </c>
      <c r="D20" s="662">
        <v>1.95</v>
      </c>
      <c r="E20" s="663">
        <v>0</v>
      </c>
      <c r="F20" s="617">
        <v>7664</v>
      </c>
      <c r="G20" s="626">
        <v>0.2379</v>
      </c>
      <c r="H20" s="72">
        <v>0</v>
      </c>
      <c r="I20" s="630">
        <v>0.93500799999999995</v>
      </c>
      <c r="J20" s="61">
        <f t="shared" si="4"/>
        <v>97</v>
      </c>
      <c r="K20" s="188">
        <f t="shared" si="5"/>
        <v>1.95</v>
      </c>
      <c r="L20" s="188">
        <f t="shared" si="6"/>
        <v>0.18915000000000001</v>
      </c>
      <c r="M20" s="188">
        <f t="shared" si="7"/>
        <v>0.85837394876935058</v>
      </c>
      <c r="N20" s="54">
        <f t="shared" si="15"/>
        <v>72</v>
      </c>
      <c r="O20" s="670">
        <f t="shared" si="8"/>
        <v>0</v>
      </c>
      <c r="P20" s="670">
        <f t="shared" si="9"/>
        <v>0</v>
      </c>
      <c r="Q20" s="670">
        <f t="shared" si="10"/>
        <v>0</v>
      </c>
      <c r="R20" s="247">
        <f t="shared" si="11"/>
        <v>97</v>
      </c>
      <c r="S20" s="24">
        <f t="shared" si="12"/>
        <v>7664</v>
      </c>
      <c r="T20" s="25">
        <f t="shared" si="13"/>
        <v>0.74340799999999996</v>
      </c>
      <c r="U20" s="654">
        <f t="shared" si="14"/>
        <v>3.4039064916347108</v>
      </c>
    </row>
    <row r="21" spans="1:24" x14ac:dyDescent="0.2">
      <c r="A21" s="33">
        <f t="shared" si="16"/>
        <v>2008</v>
      </c>
      <c r="B21" s="30">
        <v>256</v>
      </c>
      <c r="C21" s="660">
        <f t="shared" si="3"/>
        <v>876</v>
      </c>
      <c r="D21" s="662">
        <v>0.56999999999999995</v>
      </c>
      <c r="E21" s="663">
        <v>0</v>
      </c>
      <c r="F21" s="617">
        <v>2268</v>
      </c>
      <c r="G21" s="626">
        <f>+$B21*D21/1000</f>
        <v>0.14591999999999999</v>
      </c>
      <c r="H21" s="72">
        <f>+$B21*E21/1000</f>
        <v>0</v>
      </c>
      <c r="I21" s="630">
        <f>+$B21*F21/1000000</f>
        <v>0.58060800000000001</v>
      </c>
      <c r="J21" s="61">
        <f t="shared" si="4"/>
        <v>189</v>
      </c>
      <c r="K21" s="188">
        <f t="shared" si="5"/>
        <v>0.56999999999999995</v>
      </c>
      <c r="L21" s="188">
        <f t="shared" si="6"/>
        <v>0.10772999999999999</v>
      </c>
      <c r="M21" s="188">
        <f t="shared" si="7"/>
        <v>0.96610394876935057</v>
      </c>
      <c r="N21" s="54">
        <f t="shared" si="15"/>
        <v>122</v>
      </c>
      <c r="O21" s="670">
        <f t="shared" si="8"/>
        <v>0</v>
      </c>
      <c r="P21" s="670">
        <f t="shared" si="9"/>
        <v>0</v>
      </c>
      <c r="Q21" s="670">
        <f t="shared" si="10"/>
        <v>0</v>
      </c>
      <c r="R21" s="247">
        <f t="shared" si="11"/>
        <v>189</v>
      </c>
      <c r="S21" s="24">
        <f t="shared" si="12"/>
        <v>2268</v>
      </c>
      <c r="T21" s="25">
        <f t="shared" si="13"/>
        <v>0.42865199999999998</v>
      </c>
      <c r="U21" s="654">
        <f t="shared" si="14"/>
        <v>3.8325584916347109</v>
      </c>
    </row>
    <row r="22" spans="1:24" x14ac:dyDescent="0.2">
      <c r="A22" s="33">
        <f t="shared" si="16"/>
        <v>2009</v>
      </c>
      <c r="B22" s="30">
        <v>245</v>
      </c>
      <c r="C22" s="660">
        <f t="shared" si="3"/>
        <v>1121</v>
      </c>
      <c r="D22" s="662">
        <v>0.98783673469387745</v>
      </c>
      <c r="E22" s="663">
        <v>0</v>
      </c>
      <c r="F22" s="617">
        <v>3925.514982653061</v>
      </c>
      <c r="G22" s="626">
        <f t="shared" ref="G22:H37" si="17">+$B22*D22/1000</f>
        <v>0.24201999999999999</v>
      </c>
      <c r="H22" s="72">
        <f t="shared" si="17"/>
        <v>0</v>
      </c>
      <c r="I22" s="630">
        <f t="shared" ref="I22:I37" si="18">+$B22*F22/1000000</f>
        <v>0.96175117074999994</v>
      </c>
      <c r="J22" s="61">
        <f t="shared" si="4"/>
        <v>250.5</v>
      </c>
      <c r="K22" s="188">
        <f t="shared" si="5"/>
        <v>0.98783673469387745</v>
      </c>
      <c r="L22" s="188">
        <f t="shared" si="6"/>
        <v>0.2474531020408163</v>
      </c>
      <c r="M22" s="188">
        <f t="shared" si="7"/>
        <v>1.213557050810167</v>
      </c>
      <c r="N22" s="54">
        <f t="shared" si="15"/>
        <v>256</v>
      </c>
      <c r="O22" s="670">
        <f t="shared" si="8"/>
        <v>0</v>
      </c>
      <c r="P22" s="670">
        <f t="shared" si="9"/>
        <v>0</v>
      </c>
      <c r="Q22" s="670">
        <f t="shared" si="10"/>
        <v>0</v>
      </c>
      <c r="R22" s="247">
        <f t="shared" si="11"/>
        <v>250.5</v>
      </c>
      <c r="S22" s="24">
        <f t="shared" si="12"/>
        <v>3925.514982653061</v>
      </c>
      <c r="T22" s="25">
        <f t="shared" si="13"/>
        <v>0.98334150315459179</v>
      </c>
      <c r="U22" s="654">
        <f t="shared" si="14"/>
        <v>4.8158999947893024</v>
      </c>
    </row>
    <row r="23" spans="1:24" x14ac:dyDescent="0.2">
      <c r="A23" s="33">
        <f t="shared" si="16"/>
        <v>2010</v>
      </c>
      <c r="B23" s="1247">
        <v>109</v>
      </c>
      <c r="C23" s="661">
        <f t="shared" si="3"/>
        <v>1230</v>
      </c>
      <c r="D23" s="662">
        <v>1.349</v>
      </c>
      <c r="E23" s="663">
        <v>0</v>
      </c>
      <c r="F23" s="617">
        <v>5318</v>
      </c>
      <c r="G23" s="626">
        <f t="shared" si="17"/>
        <v>0.14704100000000001</v>
      </c>
      <c r="H23" s="72">
        <f t="shared" si="17"/>
        <v>0</v>
      </c>
      <c r="I23" s="630">
        <f t="shared" si="18"/>
        <v>0.57966200000000001</v>
      </c>
      <c r="J23" s="61">
        <f t="shared" si="4"/>
        <v>177</v>
      </c>
      <c r="K23" s="188">
        <f t="shared" si="5"/>
        <v>1.349</v>
      </c>
      <c r="L23" s="188">
        <f t="shared" si="6"/>
        <v>0.23877299999999999</v>
      </c>
      <c r="M23" s="188">
        <f t="shared" si="7"/>
        <v>1.4523300508101669</v>
      </c>
      <c r="N23" s="54">
        <f t="shared" si="15"/>
        <v>245</v>
      </c>
      <c r="O23" s="670">
        <f t="shared" si="8"/>
        <v>0</v>
      </c>
      <c r="P23" s="670">
        <f t="shared" si="9"/>
        <v>0</v>
      </c>
      <c r="Q23" s="670">
        <f t="shared" si="10"/>
        <v>0</v>
      </c>
      <c r="R23" s="247">
        <f t="shared" si="11"/>
        <v>177</v>
      </c>
      <c r="S23" s="24">
        <f t="shared" si="12"/>
        <v>5318</v>
      </c>
      <c r="T23" s="25">
        <f t="shared" si="13"/>
        <v>0.94128599999999996</v>
      </c>
      <c r="U23" s="654">
        <f t="shared" si="14"/>
        <v>5.7571859947893023</v>
      </c>
    </row>
    <row r="24" spans="1:24" x14ac:dyDescent="0.2">
      <c r="A24" s="33">
        <f t="shared" si="16"/>
        <v>2011</v>
      </c>
      <c r="B24" s="1247">
        <v>195</v>
      </c>
      <c r="C24" s="661">
        <f t="shared" si="3"/>
        <v>1425</v>
      </c>
      <c r="D24" s="662">
        <v>2.27</v>
      </c>
      <c r="E24" s="663">
        <v>0</v>
      </c>
      <c r="F24" s="617">
        <v>4243</v>
      </c>
      <c r="G24" s="626">
        <f t="shared" si="17"/>
        <v>0.44264999999999999</v>
      </c>
      <c r="H24" s="72">
        <f t="shared" si="17"/>
        <v>0</v>
      </c>
      <c r="I24" s="630">
        <f t="shared" si="18"/>
        <v>0.82738500000000004</v>
      </c>
      <c r="J24" s="61">
        <f t="shared" si="4"/>
        <v>152</v>
      </c>
      <c r="K24" s="188">
        <f t="shared" si="5"/>
        <v>2.27</v>
      </c>
      <c r="L24" s="188">
        <f t="shared" si="6"/>
        <v>0.34504000000000001</v>
      </c>
      <c r="M24" s="188">
        <f t="shared" si="7"/>
        <v>1.7973700508101669</v>
      </c>
      <c r="N24" s="54">
        <f t="shared" si="15"/>
        <v>109</v>
      </c>
      <c r="O24" s="670">
        <f t="shared" si="8"/>
        <v>0</v>
      </c>
      <c r="P24" s="670">
        <f t="shared" si="9"/>
        <v>0</v>
      </c>
      <c r="Q24" s="670">
        <f t="shared" si="10"/>
        <v>0</v>
      </c>
      <c r="R24" s="247">
        <f t="shared" si="11"/>
        <v>152</v>
      </c>
      <c r="S24" s="24">
        <f t="shared" si="12"/>
        <v>4243</v>
      </c>
      <c r="T24" s="25">
        <f t="shared" si="13"/>
        <v>0.64493599999999995</v>
      </c>
      <c r="U24" s="654">
        <f t="shared" si="14"/>
        <v>6.4021219947893027</v>
      </c>
    </row>
    <row r="25" spans="1:24" x14ac:dyDescent="0.2">
      <c r="A25" s="33">
        <f t="shared" si="16"/>
        <v>2012</v>
      </c>
      <c r="B25" s="30">
        <v>58</v>
      </c>
      <c r="C25" s="661">
        <f t="shared" si="3"/>
        <v>1483</v>
      </c>
      <c r="D25" s="662">
        <v>1.1565517241379311</v>
      </c>
      <c r="E25" s="663">
        <v>0</v>
      </c>
      <c r="F25" s="617">
        <v>2239</v>
      </c>
      <c r="G25" s="626">
        <f t="shared" si="17"/>
        <v>6.7080000000000001E-2</v>
      </c>
      <c r="H25" s="72">
        <f t="shared" si="17"/>
        <v>0</v>
      </c>
      <c r="I25" s="630">
        <f t="shared" si="18"/>
        <v>0.12986200000000001</v>
      </c>
      <c r="J25" s="61">
        <f t="shared" si="4"/>
        <v>126.5</v>
      </c>
      <c r="K25" s="188">
        <f t="shared" si="5"/>
        <v>1.1565517241379311</v>
      </c>
      <c r="L25" s="188">
        <f t="shared" si="6"/>
        <v>0.14630379310344827</v>
      </c>
      <c r="M25" s="188">
        <f t="shared" si="7"/>
        <v>1.9436738439136152</v>
      </c>
      <c r="N25" s="54">
        <f t="shared" si="15"/>
        <v>195</v>
      </c>
      <c r="O25" s="670">
        <f t="shared" si="8"/>
        <v>0</v>
      </c>
      <c r="P25" s="670">
        <f t="shared" si="9"/>
        <v>0</v>
      </c>
      <c r="Q25" s="670">
        <f t="shared" si="10"/>
        <v>0</v>
      </c>
      <c r="R25" s="247">
        <f t="shared" si="11"/>
        <v>126.5</v>
      </c>
      <c r="S25" s="24">
        <f t="shared" si="12"/>
        <v>2239</v>
      </c>
      <c r="T25" s="25">
        <f t="shared" si="13"/>
        <v>0.28323350000000003</v>
      </c>
      <c r="U25" s="654">
        <f t="shared" si="14"/>
        <v>6.6853554947893024</v>
      </c>
    </row>
    <row r="26" spans="1:24" s="831" customFormat="1" x14ac:dyDescent="0.2">
      <c r="A26" s="33">
        <f t="shared" si="16"/>
        <v>2013</v>
      </c>
      <c r="B26" s="30">
        <v>197</v>
      </c>
      <c r="C26" s="619">
        <f t="shared" si="3"/>
        <v>1680</v>
      </c>
      <c r="D26" s="807">
        <v>1.56</v>
      </c>
      <c r="E26" s="808">
        <v>0</v>
      </c>
      <c r="F26" s="806">
        <v>2989</v>
      </c>
      <c r="G26" s="626">
        <f t="shared" si="17"/>
        <v>0.30731999999999998</v>
      </c>
      <c r="H26" s="72">
        <f t="shared" si="17"/>
        <v>0</v>
      </c>
      <c r="I26" s="630">
        <f t="shared" si="18"/>
        <v>0.58883300000000005</v>
      </c>
      <c r="J26" s="61">
        <f t="shared" si="4"/>
        <v>127.5</v>
      </c>
      <c r="K26" s="188">
        <f t="shared" si="5"/>
        <v>1.56</v>
      </c>
      <c r="L26" s="188">
        <f t="shared" si="6"/>
        <v>0.19889999999999999</v>
      </c>
      <c r="M26" s="829">
        <f t="shared" si="7"/>
        <v>2.1425738439136151</v>
      </c>
      <c r="N26" s="54">
        <f t="shared" si="15"/>
        <v>58</v>
      </c>
      <c r="O26" s="670">
        <f t="shared" si="8"/>
        <v>0</v>
      </c>
      <c r="P26" s="670">
        <f t="shared" si="9"/>
        <v>0</v>
      </c>
      <c r="Q26" s="671">
        <f t="shared" si="10"/>
        <v>0</v>
      </c>
      <c r="R26" s="247">
        <f t="shared" si="11"/>
        <v>127.5</v>
      </c>
      <c r="S26" s="24">
        <f t="shared" si="12"/>
        <v>2989</v>
      </c>
      <c r="T26" s="25">
        <f t="shared" si="13"/>
        <v>0.38109749999999998</v>
      </c>
      <c r="U26" s="654">
        <f t="shared" si="14"/>
        <v>7.0664529947893024</v>
      </c>
      <c r="V26" s="830"/>
    </row>
    <row r="27" spans="1:24" s="831" customFormat="1" x14ac:dyDescent="0.2">
      <c r="A27" s="33">
        <f t="shared" si="16"/>
        <v>2014</v>
      </c>
      <c r="B27" s="30">
        <f t="shared" ref="B27" si="19">E82</f>
        <v>375</v>
      </c>
      <c r="C27" s="619">
        <f t="shared" si="3"/>
        <v>2055</v>
      </c>
      <c r="D27" s="807">
        <f t="shared" ref="D27" si="20">H82</f>
        <v>0.82</v>
      </c>
      <c r="E27" s="808">
        <f t="shared" ref="E27" si="21">+E26</f>
        <v>0</v>
      </c>
      <c r="F27" s="806">
        <f t="shared" ref="F27" si="22">L82</f>
        <v>1549</v>
      </c>
      <c r="G27" s="626">
        <f t="shared" si="17"/>
        <v>0.3075</v>
      </c>
      <c r="H27" s="72">
        <f t="shared" si="17"/>
        <v>0</v>
      </c>
      <c r="I27" s="630">
        <f t="shared" si="18"/>
        <v>0.58087500000000003</v>
      </c>
      <c r="J27" s="61">
        <f t="shared" si="4"/>
        <v>286</v>
      </c>
      <c r="K27" s="188">
        <f t="shared" si="5"/>
        <v>0.82</v>
      </c>
      <c r="L27" s="188">
        <f t="shared" si="6"/>
        <v>0.23451999999999998</v>
      </c>
      <c r="M27" s="829">
        <f t="shared" si="7"/>
        <v>2.3770938439136149</v>
      </c>
      <c r="N27" s="54">
        <f t="shared" si="15"/>
        <v>197</v>
      </c>
      <c r="O27" s="670">
        <f t="shared" si="8"/>
        <v>0</v>
      </c>
      <c r="P27" s="670">
        <f t="shared" si="9"/>
        <v>0</v>
      </c>
      <c r="Q27" s="671">
        <f t="shared" si="10"/>
        <v>0</v>
      </c>
      <c r="R27" s="247">
        <f t="shared" si="11"/>
        <v>286</v>
      </c>
      <c r="S27" s="24">
        <f t="shared" si="12"/>
        <v>1549</v>
      </c>
      <c r="T27" s="25">
        <f t="shared" si="13"/>
        <v>0.44301400000000002</v>
      </c>
      <c r="U27" s="654">
        <f t="shared" si="14"/>
        <v>7.5094669947893022</v>
      </c>
      <c r="V27" s="830"/>
    </row>
    <row r="28" spans="1:24" s="831" customFormat="1" x14ac:dyDescent="0.2">
      <c r="A28" s="33">
        <f t="shared" si="16"/>
        <v>2015</v>
      </c>
      <c r="B28" s="30">
        <v>234</v>
      </c>
      <c r="C28" s="619">
        <f t="shared" si="3"/>
        <v>2289</v>
      </c>
      <c r="D28" s="807">
        <f>D64</f>
        <v>0.96594017094017093</v>
      </c>
      <c r="E28" s="808">
        <f t="shared" ref="E28:F28" si="23">E64</f>
        <v>8.6752136752136742E-3</v>
      </c>
      <c r="F28" s="806">
        <f t="shared" si="23"/>
        <v>9235.045384615385</v>
      </c>
      <c r="G28" s="626">
        <f t="shared" si="17"/>
        <v>0.22603000000000001</v>
      </c>
      <c r="H28" s="72">
        <f t="shared" si="17"/>
        <v>2.0299999999999997E-3</v>
      </c>
      <c r="I28" s="630">
        <f t="shared" si="18"/>
        <v>2.1610006200000003</v>
      </c>
      <c r="J28" s="61">
        <f t="shared" si="4"/>
        <v>304.5</v>
      </c>
      <c r="K28" s="188">
        <f t="shared" si="5"/>
        <v>0.96594017094017093</v>
      </c>
      <c r="L28" s="188">
        <f t="shared" si="6"/>
        <v>0.29412878205128201</v>
      </c>
      <c r="M28" s="829">
        <f t="shared" si="7"/>
        <v>2.671222625964897</v>
      </c>
      <c r="N28" s="54">
        <f t="shared" si="15"/>
        <v>375</v>
      </c>
      <c r="O28" s="670">
        <f t="shared" si="8"/>
        <v>8.6752136752136742E-3</v>
      </c>
      <c r="P28" s="670">
        <f t="shared" si="9"/>
        <v>3.2532051282051278E-3</v>
      </c>
      <c r="Q28" s="671">
        <f t="shared" si="10"/>
        <v>3.2532051282051278E-3</v>
      </c>
      <c r="R28" s="247">
        <f t="shared" si="11"/>
        <v>304.5</v>
      </c>
      <c r="S28" s="24">
        <f t="shared" si="12"/>
        <v>9235.045384615385</v>
      </c>
      <c r="T28" s="25">
        <f t="shared" si="13"/>
        <v>2.8120713196153844</v>
      </c>
      <c r="U28" s="654">
        <f t="shared" si="14"/>
        <v>10.321538314404687</v>
      </c>
      <c r="V28" s="830"/>
    </row>
    <row r="29" spans="1:24" ht="13.5" thickBot="1" x14ac:dyDescent="0.25">
      <c r="A29" s="701">
        <f t="shared" si="16"/>
        <v>2016</v>
      </c>
      <c r="B29" s="702">
        <v>9</v>
      </c>
      <c r="C29" s="703">
        <f t="shared" si="3"/>
        <v>2298</v>
      </c>
      <c r="D29" s="835">
        <v>0.93</v>
      </c>
      <c r="E29" s="835">
        <v>0</v>
      </c>
      <c r="F29" s="702">
        <v>1814</v>
      </c>
      <c r="G29" s="823">
        <f t="shared" si="17"/>
        <v>8.3700000000000007E-3</v>
      </c>
      <c r="H29" s="707">
        <f t="shared" si="17"/>
        <v>0</v>
      </c>
      <c r="I29" s="824">
        <f t="shared" si="18"/>
        <v>1.6326E-2</v>
      </c>
      <c r="J29" s="708">
        <f t="shared" si="4"/>
        <v>121.5</v>
      </c>
      <c r="K29" s="825">
        <f t="shared" si="5"/>
        <v>0.93</v>
      </c>
      <c r="L29" s="825">
        <f t="shared" si="6"/>
        <v>0.112995</v>
      </c>
      <c r="M29" s="826">
        <f t="shared" si="7"/>
        <v>2.7842176259648972</v>
      </c>
      <c r="N29" s="711">
        <f t="shared" si="15"/>
        <v>234</v>
      </c>
      <c r="O29" s="827">
        <f t="shared" si="8"/>
        <v>0</v>
      </c>
      <c r="P29" s="827">
        <f t="shared" si="9"/>
        <v>0</v>
      </c>
      <c r="Q29" s="828">
        <f t="shared" si="10"/>
        <v>3.2532051282051278E-3</v>
      </c>
      <c r="R29" s="714">
        <f t="shared" si="11"/>
        <v>121.5</v>
      </c>
      <c r="S29" s="715">
        <f t="shared" si="12"/>
        <v>1814</v>
      </c>
      <c r="T29" s="716">
        <f t="shared" si="13"/>
        <v>0.22040100000000001</v>
      </c>
      <c r="U29" s="717">
        <f t="shared" si="14"/>
        <v>10.541939314404688</v>
      </c>
    </row>
    <row r="30" spans="1:24" x14ac:dyDescent="0.2">
      <c r="A30" s="33">
        <f t="shared" si="16"/>
        <v>2017</v>
      </c>
      <c r="B30" s="787">
        <v>100</v>
      </c>
      <c r="C30" s="565">
        <f t="shared" si="3"/>
        <v>2398</v>
      </c>
      <c r="D30" s="965">
        <v>1.4</v>
      </c>
      <c r="E30" s="966">
        <v>0</v>
      </c>
      <c r="F30" s="790">
        <v>2703</v>
      </c>
      <c r="G30" s="473">
        <f t="shared" si="17"/>
        <v>0.14000000000000001</v>
      </c>
      <c r="H30" s="474">
        <f t="shared" si="17"/>
        <v>0</v>
      </c>
      <c r="I30" s="474">
        <f t="shared" si="18"/>
        <v>0.27029999999999998</v>
      </c>
      <c r="J30" s="61">
        <f t="shared" si="4"/>
        <v>54.5</v>
      </c>
      <c r="K30" s="967">
        <f t="shared" si="5"/>
        <v>1.4</v>
      </c>
      <c r="L30" s="967">
        <f t="shared" si="6"/>
        <v>7.6299999999999993E-2</v>
      </c>
      <c r="M30" s="967">
        <f t="shared" si="7"/>
        <v>2.860517625964897</v>
      </c>
      <c r="N30" s="54">
        <f t="shared" si="15"/>
        <v>9</v>
      </c>
      <c r="O30" s="968">
        <f t="shared" si="8"/>
        <v>0</v>
      </c>
      <c r="P30" s="968">
        <f t="shared" si="9"/>
        <v>0</v>
      </c>
      <c r="Q30" s="969">
        <f t="shared" si="10"/>
        <v>3.2532051282051278E-3</v>
      </c>
      <c r="R30" s="247">
        <f t="shared" si="11"/>
        <v>54.5</v>
      </c>
      <c r="S30" s="24">
        <f t="shared" si="12"/>
        <v>2703</v>
      </c>
      <c r="T30" s="970">
        <f t="shared" si="13"/>
        <v>0.14731349999999999</v>
      </c>
      <c r="U30" s="971">
        <f t="shared" si="14"/>
        <v>10.689252814404687</v>
      </c>
    </row>
    <row r="31" spans="1:24" x14ac:dyDescent="0.2">
      <c r="A31" s="33">
        <f t="shared" si="16"/>
        <v>2018</v>
      </c>
      <c r="B31" s="787">
        <v>100</v>
      </c>
      <c r="C31" s="565">
        <f t="shared" si="3"/>
        <v>2498</v>
      </c>
      <c r="D31" s="965">
        <v>1.4</v>
      </c>
      <c r="E31" s="966">
        <v>0</v>
      </c>
      <c r="F31" s="790">
        <v>2703</v>
      </c>
      <c r="G31" s="473">
        <f t="shared" si="17"/>
        <v>0.14000000000000001</v>
      </c>
      <c r="H31" s="474">
        <f t="shared" si="17"/>
        <v>0</v>
      </c>
      <c r="I31" s="474">
        <f t="shared" si="18"/>
        <v>0.27029999999999998</v>
      </c>
      <c r="J31" s="61">
        <f t="shared" si="4"/>
        <v>100</v>
      </c>
      <c r="K31" s="967">
        <f t="shared" si="5"/>
        <v>1.4</v>
      </c>
      <c r="L31" s="967">
        <f t="shared" si="6"/>
        <v>0.14000000000000001</v>
      </c>
      <c r="M31" s="967">
        <f t="shared" si="7"/>
        <v>3.0005176259648971</v>
      </c>
      <c r="N31" s="54">
        <f t="shared" si="15"/>
        <v>100</v>
      </c>
      <c r="O31" s="968">
        <f t="shared" si="8"/>
        <v>0</v>
      </c>
      <c r="P31" s="968">
        <f t="shared" si="9"/>
        <v>0</v>
      </c>
      <c r="Q31" s="969">
        <f t="shared" si="10"/>
        <v>3.2532051282051278E-3</v>
      </c>
      <c r="R31" s="247">
        <f t="shared" si="11"/>
        <v>100</v>
      </c>
      <c r="S31" s="24">
        <f t="shared" si="12"/>
        <v>2703</v>
      </c>
      <c r="T31" s="970">
        <f t="shared" si="13"/>
        <v>0.27029999999999998</v>
      </c>
      <c r="U31" s="971">
        <f t="shared" si="14"/>
        <v>10.959552814404688</v>
      </c>
    </row>
    <row r="32" spans="1:24" x14ac:dyDescent="0.2">
      <c r="A32" s="33">
        <f t="shared" si="16"/>
        <v>2019</v>
      </c>
      <c r="B32" s="787">
        <v>100</v>
      </c>
      <c r="C32" s="565">
        <f t="shared" si="3"/>
        <v>2598</v>
      </c>
      <c r="D32" s="965">
        <v>1.4</v>
      </c>
      <c r="E32" s="966">
        <v>0</v>
      </c>
      <c r="F32" s="790">
        <v>2703</v>
      </c>
      <c r="G32" s="473">
        <f t="shared" si="17"/>
        <v>0.14000000000000001</v>
      </c>
      <c r="H32" s="474">
        <f t="shared" si="17"/>
        <v>0</v>
      </c>
      <c r="I32" s="474">
        <f t="shared" si="18"/>
        <v>0.27029999999999998</v>
      </c>
      <c r="J32" s="61">
        <f t="shared" si="4"/>
        <v>100</v>
      </c>
      <c r="K32" s="967">
        <f t="shared" si="5"/>
        <v>1.4</v>
      </c>
      <c r="L32" s="967">
        <f t="shared" si="6"/>
        <v>0.14000000000000001</v>
      </c>
      <c r="M32" s="967">
        <f t="shared" si="7"/>
        <v>3.1405176259648973</v>
      </c>
      <c r="N32" s="54">
        <f t="shared" si="15"/>
        <v>100</v>
      </c>
      <c r="O32" s="968">
        <f t="shared" si="8"/>
        <v>0</v>
      </c>
      <c r="P32" s="968">
        <f t="shared" si="9"/>
        <v>0</v>
      </c>
      <c r="Q32" s="969">
        <f t="shared" si="10"/>
        <v>3.2532051282051278E-3</v>
      </c>
      <c r="R32" s="247">
        <f t="shared" si="11"/>
        <v>100</v>
      </c>
      <c r="S32" s="24">
        <f t="shared" si="12"/>
        <v>2703</v>
      </c>
      <c r="T32" s="970">
        <f t="shared" si="13"/>
        <v>0.27029999999999998</v>
      </c>
      <c r="U32" s="971">
        <f t="shared" si="14"/>
        <v>11.229852814404689</v>
      </c>
    </row>
    <row r="33" spans="1:21" x14ac:dyDescent="0.2">
      <c r="A33" s="33">
        <f t="shared" si="16"/>
        <v>2020</v>
      </c>
      <c r="B33" s="787">
        <v>100</v>
      </c>
      <c r="C33" s="565">
        <f t="shared" si="3"/>
        <v>2698</v>
      </c>
      <c r="D33" s="965">
        <v>1.4</v>
      </c>
      <c r="E33" s="966">
        <v>0</v>
      </c>
      <c r="F33" s="790">
        <v>2703</v>
      </c>
      <c r="G33" s="473">
        <f t="shared" si="17"/>
        <v>0.14000000000000001</v>
      </c>
      <c r="H33" s="474">
        <f t="shared" si="17"/>
        <v>0</v>
      </c>
      <c r="I33" s="474">
        <f t="shared" si="18"/>
        <v>0.27029999999999998</v>
      </c>
      <c r="J33" s="61">
        <f t="shared" si="4"/>
        <v>100</v>
      </c>
      <c r="K33" s="967">
        <f t="shared" si="5"/>
        <v>1.4</v>
      </c>
      <c r="L33" s="967">
        <f t="shared" si="6"/>
        <v>0.14000000000000001</v>
      </c>
      <c r="M33" s="967">
        <f t="shared" si="7"/>
        <v>3.2805176259648974</v>
      </c>
      <c r="N33" s="54">
        <f t="shared" si="15"/>
        <v>100</v>
      </c>
      <c r="O33" s="968">
        <f t="shared" si="8"/>
        <v>0</v>
      </c>
      <c r="P33" s="968">
        <f t="shared" si="9"/>
        <v>0</v>
      </c>
      <c r="Q33" s="969">
        <f t="shared" si="10"/>
        <v>3.2532051282051278E-3</v>
      </c>
      <c r="R33" s="247">
        <f t="shared" si="11"/>
        <v>100</v>
      </c>
      <c r="S33" s="24">
        <f t="shared" si="12"/>
        <v>2703</v>
      </c>
      <c r="T33" s="970">
        <f t="shared" si="13"/>
        <v>0.27029999999999998</v>
      </c>
      <c r="U33" s="971">
        <f t="shared" si="14"/>
        <v>11.500152814404689</v>
      </c>
    </row>
    <row r="34" spans="1:21" x14ac:dyDescent="0.2">
      <c r="A34" s="33">
        <f t="shared" si="16"/>
        <v>2021</v>
      </c>
      <c r="B34" s="787">
        <v>100</v>
      </c>
      <c r="C34" s="565">
        <f t="shared" si="3"/>
        <v>2798</v>
      </c>
      <c r="D34" s="965">
        <v>1.4</v>
      </c>
      <c r="E34" s="966">
        <v>0</v>
      </c>
      <c r="F34" s="790">
        <v>2703</v>
      </c>
      <c r="G34" s="473">
        <f t="shared" si="17"/>
        <v>0.14000000000000001</v>
      </c>
      <c r="H34" s="474">
        <f t="shared" si="17"/>
        <v>0</v>
      </c>
      <c r="I34" s="474">
        <f t="shared" si="18"/>
        <v>0.27029999999999998</v>
      </c>
      <c r="J34" s="61">
        <f t="shared" si="4"/>
        <v>100</v>
      </c>
      <c r="K34" s="967">
        <f t="shared" si="5"/>
        <v>1.4</v>
      </c>
      <c r="L34" s="967">
        <f t="shared" si="6"/>
        <v>0.14000000000000001</v>
      </c>
      <c r="M34" s="967">
        <f t="shared" si="7"/>
        <v>3.4205176259648975</v>
      </c>
      <c r="N34" s="54">
        <f t="shared" si="15"/>
        <v>100</v>
      </c>
      <c r="O34" s="968">
        <f t="shared" si="8"/>
        <v>0</v>
      </c>
      <c r="P34" s="968">
        <f t="shared" si="9"/>
        <v>0</v>
      </c>
      <c r="Q34" s="969">
        <f t="shared" si="10"/>
        <v>3.2532051282051278E-3</v>
      </c>
      <c r="R34" s="247">
        <f t="shared" si="11"/>
        <v>100</v>
      </c>
      <c r="S34" s="24">
        <f t="shared" si="12"/>
        <v>2703</v>
      </c>
      <c r="T34" s="970">
        <f t="shared" si="13"/>
        <v>0.27029999999999998</v>
      </c>
      <c r="U34" s="971">
        <f t="shared" si="14"/>
        <v>11.77045281440469</v>
      </c>
    </row>
    <row r="35" spans="1:21" x14ac:dyDescent="0.2">
      <c r="A35" s="33">
        <f t="shared" si="16"/>
        <v>2022</v>
      </c>
      <c r="B35" s="787">
        <v>100</v>
      </c>
      <c r="C35" s="565">
        <f t="shared" si="3"/>
        <v>2898</v>
      </c>
      <c r="D35" s="965">
        <v>1.4</v>
      </c>
      <c r="E35" s="966">
        <v>0</v>
      </c>
      <c r="F35" s="790">
        <v>2703</v>
      </c>
      <c r="G35" s="473">
        <f t="shared" si="17"/>
        <v>0.14000000000000001</v>
      </c>
      <c r="H35" s="474">
        <f t="shared" si="17"/>
        <v>0</v>
      </c>
      <c r="I35" s="474">
        <f t="shared" si="18"/>
        <v>0.27029999999999998</v>
      </c>
      <c r="J35" s="61">
        <f t="shared" si="4"/>
        <v>100</v>
      </c>
      <c r="K35" s="967">
        <f t="shared" si="5"/>
        <v>1.4</v>
      </c>
      <c r="L35" s="967">
        <f t="shared" si="6"/>
        <v>0.14000000000000001</v>
      </c>
      <c r="M35" s="967">
        <f t="shared" si="7"/>
        <v>3.5605176259648976</v>
      </c>
      <c r="N35" s="54">
        <f t="shared" si="15"/>
        <v>100</v>
      </c>
      <c r="O35" s="968">
        <f t="shared" si="8"/>
        <v>0</v>
      </c>
      <c r="P35" s="968">
        <f t="shared" si="9"/>
        <v>0</v>
      </c>
      <c r="Q35" s="969">
        <f t="shared" si="10"/>
        <v>3.2532051282051278E-3</v>
      </c>
      <c r="R35" s="247">
        <f t="shared" si="11"/>
        <v>100</v>
      </c>
      <c r="S35" s="24">
        <f t="shared" si="12"/>
        <v>2703</v>
      </c>
      <c r="T35" s="970">
        <f t="shared" si="13"/>
        <v>0.27029999999999998</v>
      </c>
      <c r="U35" s="971">
        <f t="shared" si="14"/>
        <v>12.040752814404691</v>
      </c>
    </row>
    <row r="36" spans="1:21" x14ac:dyDescent="0.2">
      <c r="A36" s="33">
        <f t="shared" si="16"/>
        <v>2023</v>
      </c>
      <c r="B36" s="787">
        <v>100</v>
      </c>
      <c r="C36" s="565">
        <f t="shared" si="3"/>
        <v>2998</v>
      </c>
      <c r="D36" s="965">
        <v>1.4</v>
      </c>
      <c r="E36" s="966">
        <v>0</v>
      </c>
      <c r="F36" s="790">
        <v>2703</v>
      </c>
      <c r="G36" s="473">
        <f t="shared" si="17"/>
        <v>0.14000000000000001</v>
      </c>
      <c r="H36" s="474">
        <f t="shared" si="17"/>
        <v>0</v>
      </c>
      <c r="I36" s="474">
        <f t="shared" si="18"/>
        <v>0.27029999999999998</v>
      </c>
      <c r="J36" s="61">
        <f t="shared" si="4"/>
        <v>100</v>
      </c>
      <c r="K36" s="967">
        <f t="shared" si="5"/>
        <v>1.4</v>
      </c>
      <c r="L36" s="967">
        <f t="shared" si="6"/>
        <v>0.14000000000000001</v>
      </c>
      <c r="M36" s="967">
        <f t="shared" si="7"/>
        <v>3.7005176259648977</v>
      </c>
      <c r="N36" s="54">
        <f t="shared" si="15"/>
        <v>100</v>
      </c>
      <c r="O36" s="968">
        <f t="shared" si="8"/>
        <v>0</v>
      </c>
      <c r="P36" s="968">
        <f t="shared" si="9"/>
        <v>0</v>
      </c>
      <c r="Q36" s="969">
        <f t="shared" si="10"/>
        <v>3.2532051282051278E-3</v>
      </c>
      <c r="R36" s="247">
        <f t="shared" si="11"/>
        <v>100</v>
      </c>
      <c r="S36" s="24">
        <f t="shared" si="12"/>
        <v>2703</v>
      </c>
      <c r="T36" s="970">
        <f t="shared" si="13"/>
        <v>0.27029999999999998</v>
      </c>
      <c r="U36" s="971">
        <f t="shared" si="14"/>
        <v>12.311052814404691</v>
      </c>
    </row>
    <row r="37" spans="1:21" x14ac:dyDescent="0.2">
      <c r="A37" s="33">
        <f t="shared" si="16"/>
        <v>2024</v>
      </c>
      <c r="B37" s="787">
        <v>100</v>
      </c>
      <c r="C37" s="565">
        <f t="shared" si="3"/>
        <v>3098</v>
      </c>
      <c r="D37" s="965">
        <v>1.4</v>
      </c>
      <c r="E37" s="966">
        <v>0</v>
      </c>
      <c r="F37" s="790">
        <v>2703</v>
      </c>
      <c r="G37" s="473">
        <f t="shared" si="17"/>
        <v>0.14000000000000001</v>
      </c>
      <c r="H37" s="474">
        <f t="shared" si="17"/>
        <v>0</v>
      </c>
      <c r="I37" s="474">
        <f t="shared" si="18"/>
        <v>0.27029999999999998</v>
      </c>
      <c r="J37" s="61">
        <f t="shared" si="4"/>
        <v>100</v>
      </c>
      <c r="K37" s="967">
        <f t="shared" si="5"/>
        <v>1.4</v>
      </c>
      <c r="L37" s="967">
        <f t="shared" si="6"/>
        <v>0.14000000000000001</v>
      </c>
      <c r="M37" s="967">
        <f t="shared" si="7"/>
        <v>3.8405176259648979</v>
      </c>
      <c r="N37" s="54">
        <f t="shared" si="15"/>
        <v>100</v>
      </c>
      <c r="O37" s="968">
        <f t="shared" si="8"/>
        <v>0</v>
      </c>
      <c r="P37" s="968">
        <f t="shared" si="9"/>
        <v>0</v>
      </c>
      <c r="Q37" s="969">
        <f t="shared" si="10"/>
        <v>3.2532051282051278E-3</v>
      </c>
      <c r="R37" s="247">
        <f t="shared" si="11"/>
        <v>100</v>
      </c>
      <c r="S37" s="24">
        <f t="shared" si="12"/>
        <v>2703</v>
      </c>
      <c r="T37" s="970">
        <f t="shared" si="13"/>
        <v>0.27029999999999998</v>
      </c>
      <c r="U37" s="971">
        <f t="shared" si="14"/>
        <v>12.581352814404692</v>
      </c>
    </row>
    <row r="38" spans="1:21" x14ac:dyDescent="0.2">
      <c r="A38" s="33">
        <f t="shared" si="16"/>
        <v>2025</v>
      </c>
      <c r="B38" s="787">
        <v>100</v>
      </c>
      <c r="C38" s="565">
        <f t="shared" ref="C38:C42" si="24">+C37+B38</f>
        <v>3198</v>
      </c>
      <c r="D38" s="965">
        <v>1.4</v>
      </c>
      <c r="E38" s="966">
        <v>0</v>
      </c>
      <c r="F38" s="790">
        <v>2703</v>
      </c>
      <c r="G38" s="473">
        <f t="shared" ref="G38:H40" si="25">+$B38*D38/1000</f>
        <v>0.14000000000000001</v>
      </c>
      <c r="H38" s="474">
        <f t="shared" si="25"/>
        <v>0</v>
      </c>
      <c r="I38" s="474">
        <f t="shared" ref="I38:I42" si="26">+$B38*F38/1000000</f>
        <v>0.27029999999999998</v>
      </c>
      <c r="J38" s="61">
        <f t="shared" ref="J38:J42" si="27">+(B38+B37)/2</f>
        <v>100</v>
      </c>
      <c r="K38" s="967">
        <f t="shared" ref="K38:K42" si="28">+D38</f>
        <v>1.4</v>
      </c>
      <c r="L38" s="967">
        <f t="shared" ref="L38:L42" si="29">+J38*K38/1000</f>
        <v>0.14000000000000001</v>
      </c>
      <c r="M38" s="967">
        <f t="shared" ref="M38:M42" si="30">+M37+L38</f>
        <v>3.980517625964898</v>
      </c>
      <c r="N38" s="54">
        <f t="shared" ref="N38:N42" si="31">+B37</f>
        <v>100</v>
      </c>
      <c r="O38" s="968">
        <f t="shared" ref="O38:O42" si="32">+E38</f>
        <v>0</v>
      </c>
      <c r="P38" s="968">
        <f t="shared" ref="P38:P42" si="33">+N38*O38/1000</f>
        <v>0</v>
      </c>
      <c r="Q38" s="969">
        <f t="shared" ref="Q38:Q42" si="34">+Q37+P38</f>
        <v>3.2532051282051278E-3</v>
      </c>
      <c r="R38" s="247">
        <f t="shared" ref="R38:R42" si="35">+(B38+B37)/2</f>
        <v>100</v>
      </c>
      <c r="S38" s="24">
        <f t="shared" ref="S38:S42" si="36">+F38</f>
        <v>2703</v>
      </c>
      <c r="T38" s="970">
        <f t="shared" ref="T38:T42" si="37">+R38*S38/1000000</f>
        <v>0.27029999999999998</v>
      </c>
      <c r="U38" s="971">
        <f t="shared" ref="U38:U42" si="38">+U37+T38</f>
        <v>12.851652814404693</v>
      </c>
    </row>
    <row r="39" spans="1:21" x14ac:dyDescent="0.2">
      <c r="A39" s="33">
        <f>+A38+1</f>
        <v>2026</v>
      </c>
      <c r="B39" s="787">
        <v>100</v>
      </c>
      <c r="C39" s="565">
        <f t="shared" si="24"/>
        <v>3298</v>
      </c>
      <c r="D39" s="965">
        <v>1.4</v>
      </c>
      <c r="E39" s="966">
        <v>0</v>
      </c>
      <c r="F39" s="790">
        <v>2703</v>
      </c>
      <c r="G39" s="473">
        <f t="shared" si="25"/>
        <v>0.14000000000000001</v>
      </c>
      <c r="H39" s="474">
        <f t="shared" si="25"/>
        <v>0</v>
      </c>
      <c r="I39" s="474">
        <f t="shared" si="26"/>
        <v>0.27029999999999998</v>
      </c>
      <c r="J39" s="61">
        <f t="shared" si="27"/>
        <v>100</v>
      </c>
      <c r="K39" s="967">
        <f t="shared" si="28"/>
        <v>1.4</v>
      </c>
      <c r="L39" s="967">
        <f t="shared" si="29"/>
        <v>0.14000000000000001</v>
      </c>
      <c r="M39" s="967">
        <f t="shared" si="30"/>
        <v>4.1205176259648981</v>
      </c>
      <c r="N39" s="54">
        <f t="shared" si="31"/>
        <v>100</v>
      </c>
      <c r="O39" s="968">
        <f t="shared" si="32"/>
        <v>0</v>
      </c>
      <c r="P39" s="968">
        <f t="shared" si="33"/>
        <v>0</v>
      </c>
      <c r="Q39" s="969">
        <f t="shared" si="34"/>
        <v>3.2532051282051278E-3</v>
      </c>
      <c r="R39" s="247">
        <f t="shared" si="35"/>
        <v>100</v>
      </c>
      <c r="S39" s="24">
        <f t="shared" si="36"/>
        <v>2703</v>
      </c>
      <c r="T39" s="970">
        <f t="shared" si="37"/>
        <v>0.27029999999999998</v>
      </c>
      <c r="U39" s="971">
        <f t="shared" si="38"/>
        <v>13.121952814404693</v>
      </c>
    </row>
    <row r="40" spans="1:21" x14ac:dyDescent="0.2">
      <c r="A40" s="33">
        <f>+A39+1</f>
        <v>2027</v>
      </c>
      <c r="B40" s="787">
        <v>100</v>
      </c>
      <c r="C40" s="565">
        <f t="shared" si="24"/>
        <v>3398</v>
      </c>
      <c r="D40" s="965">
        <v>1.4</v>
      </c>
      <c r="E40" s="966">
        <v>0</v>
      </c>
      <c r="F40" s="790">
        <v>2703</v>
      </c>
      <c r="G40" s="473">
        <f t="shared" si="25"/>
        <v>0.14000000000000001</v>
      </c>
      <c r="H40" s="474">
        <f t="shared" si="25"/>
        <v>0</v>
      </c>
      <c r="I40" s="474">
        <f t="shared" si="26"/>
        <v>0.27029999999999998</v>
      </c>
      <c r="J40" s="61">
        <f t="shared" si="27"/>
        <v>100</v>
      </c>
      <c r="K40" s="967">
        <f t="shared" si="28"/>
        <v>1.4</v>
      </c>
      <c r="L40" s="967">
        <f t="shared" si="29"/>
        <v>0.14000000000000001</v>
      </c>
      <c r="M40" s="967">
        <f t="shared" si="30"/>
        <v>4.2605176259648978</v>
      </c>
      <c r="N40" s="54">
        <f t="shared" si="31"/>
        <v>100</v>
      </c>
      <c r="O40" s="968">
        <f t="shared" si="32"/>
        <v>0</v>
      </c>
      <c r="P40" s="968">
        <f t="shared" si="33"/>
        <v>0</v>
      </c>
      <c r="Q40" s="969">
        <f t="shared" si="34"/>
        <v>3.2532051282051278E-3</v>
      </c>
      <c r="R40" s="247">
        <f t="shared" si="35"/>
        <v>100</v>
      </c>
      <c r="S40" s="24">
        <f t="shared" si="36"/>
        <v>2703</v>
      </c>
      <c r="T40" s="970">
        <f t="shared" si="37"/>
        <v>0.27029999999999998</v>
      </c>
      <c r="U40" s="971">
        <f t="shared" si="38"/>
        <v>13.392252814404694</v>
      </c>
    </row>
    <row r="41" spans="1:21" x14ac:dyDescent="0.2">
      <c r="A41" s="33">
        <f t="shared" ref="A41:A54" si="39">+A40+1</f>
        <v>2028</v>
      </c>
      <c r="B41" s="787">
        <v>100</v>
      </c>
      <c r="C41" s="565">
        <f t="shared" si="24"/>
        <v>3498</v>
      </c>
      <c r="D41" s="965">
        <v>1.4</v>
      </c>
      <c r="E41" s="966">
        <v>0</v>
      </c>
      <c r="F41" s="790">
        <v>2703</v>
      </c>
      <c r="G41" s="473">
        <f t="shared" ref="G41:H42" si="40">+$B41*D41/1000</f>
        <v>0.14000000000000001</v>
      </c>
      <c r="H41" s="474">
        <f t="shared" si="40"/>
        <v>0</v>
      </c>
      <c r="I41" s="474">
        <f t="shared" si="26"/>
        <v>0.27029999999999998</v>
      </c>
      <c r="J41" s="61">
        <f t="shared" si="27"/>
        <v>100</v>
      </c>
      <c r="K41" s="967">
        <f t="shared" si="28"/>
        <v>1.4</v>
      </c>
      <c r="L41" s="967">
        <f t="shared" si="29"/>
        <v>0.14000000000000001</v>
      </c>
      <c r="M41" s="967">
        <f t="shared" si="30"/>
        <v>4.4005176259648975</v>
      </c>
      <c r="N41" s="54">
        <f t="shared" si="31"/>
        <v>100</v>
      </c>
      <c r="O41" s="968">
        <f t="shared" si="32"/>
        <v>0</v>
      </c>
      <c r="P41" s="968">
        <f t="shared" si="33"/>
        <v>0</v>
      </c>
      <c r="Q41" s="969">
        <f t="shared" si="34"/>
        <v>3.2532051282051278E-3</v>
      </c>
      <c r="R41" s="247">
        <f t="shared" si="35"/>
        <v>100</v>
      </c>
      <c r="S41" s="24">
        <f t="shared" si="36"/>
        <v>2703</v>
      </c>
      <c r="T41" s="970">
        <f t="shared" si="37"/>
        <v>0.27029999999999998</v>
      </c>
      <c r="U41" s="971">
        <f t="shared" si="38"/>
        <v>13.662552814404695</v>
      </c>
    </row>
    <row r="42" spans="1:21" x14ac:dyDescent="0.2">
      <c r="A42" s="33">
        <f t="shared" si="39"/>
        <v>2029</v>
      </c>
      <c r="B42" s="787">
        <v>100</v>
      </c>
      <c r="C42" s="565">
        <f t="shared" si="24"/>
        <v>3598</v>
      </c>
      <c r="D42" s="965">
        <v>1.4</v>
      </c>
      <c r="E42" s="966">
        <v>0</v>
      </c>
      <c r="F42" s="790">
        <v>2703</v>
      </c>
      <c r="G42" s="473">
        <f t="shared" si="40"/>
        <v>0.14000000000000001</v>
      </c>
      <c r="H42" s="474">
        <f t="shared" si="40"/>
        <v>0</v>
      </c>
      <c r="I42" s="474">
        <f t="shared" si="26"/>
        <v>0.27029999999999998</v>
      </c>
      <c r="J42" s="61">
        <f t="shared" si="27"/>
        <v>100</v>
      </c>
      <c r="K42" s="967">
        <f t="shared" si="28"/>
        <v>1.4</v>
      </c>
      <c r="L42" s="967">
        <f t="shared" si="29"/>
        <v>0.14000000000000001</v>
      </c>
      <c r="M42" s="967">
        <f t="shared" si="30"/>
        <v>4.5405176259648972</v>
      </c>
      <c r="N42" s="54">
        <f t="shared" si="31"/>
        <v>100</v>
      </c>
      <c r="O42" s="968">
        <f t="shared" si="32"/>
        <v>0</v>
      </c>
      <c r="P42" s="968">
        <f t="shared" si="33"/>
        <v>0</v>
      </c>
      <c r="Q42" s="969">
        <f t="shared" si="34"/>
        <v>3.2532051282051278E-3</v>
      </c>
      <c r="R42" s="247">
        <f t="shared" si="35"/>
        <v>100</v>
      </c>
      <c r="S42" s="24">
        <f t="shared" si="36"/>
        <v>2703</v>
      </c>
      <c r="T42" s="970">
        <f t="shared" si="37"/>
        <v>0.27029999999999998</v>
      </c>
      <c r="U42" s="971">
        <f t="shared" si="38"/>
        <v>13.932852814404695</v>
      </c>
    </row>
    <row r="43" spans="1:21" x14ac:dyDescent="0.2">
      <c r="A43" s="33">
        <f t="shared" si="39"/>
        <v>2030</v>
      </c>
      <c r="B43" s="787">
        <v>100</v>
      </c>
      <c r="C43" s="565">
        <f t="shared" ref="C43:C47" si="41">+C42+B43</f>
        <v>3698</v>
      </c>
      <c r="D43" s="965">
        <v>1.4</v>
      </c>
      <c r="E43" s="966">
        <v>0</v>
      </c>
      <c r="F43" s="790">
        <v>2703</v>
      </c>
      <c r="G43" s="473">
        <f t="shared" ref="G43:G47" si="42">+$B43*D43/1000</f>
        <v>0.14000000000000001</v>
      </c>
      <c r="H43" s="474">
        <f t="shared" ref="H43:H47" si="43">+$B43*E43/1000</f>
        <v>0</v>
      </c>
      <c r="I43" s="474">
        <f t="shared" ref="I43:I47" si="44">+$B43*F43/1000000</f>
        <v>0.27029999999999998</v>
      </c>
      <c r="J43" s="61">
        <f t="shared" ref="J43:J47" si="45">+(B43+B42)/2</f>
        <v>100</v>
      </c>
      <c r="K43" s="967">
        <f t="shared" ref="K43:K47" si="46">+D43</f>
        <v>1.4</v>
      </c>
      <c r="L43" s="967">
        <f t="shared" ref="L43:L47" si="47">+J43*K43/1000</f>
        <v>0.14000000000000001</v>
      </c>
      <c r="M43" s="967">
        <f t="shared" ref="M43:M47" si="48">+M42+L43</f>
        <v>4.6805176259648968</v>
      </c>
      <c r="N43" s="54">
        <f t="shared" ref="N43:N47" si="49">+B42</f>
        <v>100</v>
      </c>
      <c r="O43" s="968">
        <f t="shared" ref="O43:O47" si="50">+E43</f>
        <v>0</v>
      </c>
      <c r="P43" s="968">
        <f t="shared" ref="P43:P47" si="51">+N43*O43/1000</f>
        <v>0</v>
      </c>
      <c r="Q43" s="969">
        <f t="shared" ref="Q43:Q47" si="52">+Q42+P43</f>
        <v>3.2532051282051278E-3</v>
      </c>
      <c r="R43" s="247">
        <f t="shared" ref="R43:R47" si="53">+(B43+B42)/2</f>
        <v>100</v>
      </c>
      <c r="S43" s="24">
        <f t="shared" ref="S43:S47" si="54">+F43</f>
        <v>2703</v>
      </c>
      <c r="T43" s="970">
        <f t="shared" ref="T43:T47" si="55">+R43*S43/1000000</f>
        <v>0.27029999999999998</v>
      </c>
      <c r="U43" s="971">
        <f t="shared" ref="U43:U47" si="56">+U42+T43</f>
        <v>14.203152814404696</v>
      </c>
    </row>
    <row r="44" spans="1:21" x14ac:dyDescent="0.2">
      <c r="A44" s="33">
        <f t="shared" si="39"/>
        <v>2031</v>
      </c>
      <c r="B44" s="787">
        <v>100</v>
      </c>
      <c r="C44" s="565">
        <f t="shared" si="41"/>
        <v>3798</v>
      </c>
      <c r="D44" s="965">
        <v>1.4</v>
      </c>
      <c r="E44" s="966">
        <v>0</v>
      </c>
      <c r="F44" s="790">
        <v>2703</v>
      </c>
      <c r="G44" s="473">
        <f t="shared" si="42"/>
        <v>0.14000000000000001</v>
      </c>
      <c r="H44" s="474">
        <f t="shared" si="43"/>
        <v>0</v>
      </c>
      <c r="I44" s="474">
        <f t="shared" si="44"/>
        <v>0.27029999999999998</v>
      </c>
      <c r="J44" s="61">
        <f t="shared" si="45"/>
        <v>100</v>
      </c>
      <c r="K44" s="967">
        <f t="shared" si="46"/>
        <v>1.4</v>
      </c>
      <c r="L44" s="967">
        <f t="shared" si="47"/>
        <v>0.14000000000000001</v>
      </c>
      <c r="M44" s="967">
        <f t="shared" si="48"/>
        <v>4.8205176259648965</v>
      </c>
      <c r="N44" s="54">
        <f t="shared" si="49"/>
        <v>100</v>
      </c>
      <c r="O44" s="968">
        <f t="shared" si="50"/>
        <v>0</v>
      </c>
      <c r="P44" s="968">
        <f t="shared" si="51"/>
        <v>0</v>
      </c>
      <c r="Q44" s="969">
        <f t="shared" si="52"/>
        <v>3.2532051282051278E-3</v>
      </c>
      <c r="R44" s="247">
        <f t="shared" si="53"/>
        <v>100</v>
      </c>
      <c r="S44" s="24">
        <f t="shared" si="54"/>
        <v>2703</v>
      </c>
      <c r="T44" s="970">
        <f t="shared" si="55"/>
        <v>0.27029999999999998</v>
      </c>
      <c r="U44" s="971">
        <f t="shared" si="56"/>
        <v>14.473452814404697</v>
      </c>
    </row>
    <row r="45" spans="1:21" x14ac:dyDescent="0.2">
      <c r="A45" s="33">
        <f t="shared" si="39"/>
        <v>2032</v>
      </c>
      <c r="B45" s="787">
        <v>100</v>
      </c>
      <c r="C45" s="565">
        <f t="shared" si="41"/>
        <v>3898</v>
      </c>
      <c r="D45" s="965">
        <v>1.4</v>
      </c>
      <c r="E45" s="966">
        <v>0</v>
      </c>
      <c r="F45" s="790">
        <v>2703</v>
      </c>
      <c r="G45" s="473">
        <f t="shared" si="42"/>
        <v>0.14000000000000001</v>
      </c>
      <c r="H45" s="474">
        <f t="shared" si="43"/>
        <v>0</v>
      </c>
      <c r="I45" s="474">
        <f t="shared" si="44"/>
        <v>0.27029999999999998</v>
      </c>
      <c r="J45" s="61">
        <f t="shared" si="45"/>
        <v>100</v>
      </c>
      <c r="K45" s="967">
        <f t="shared" si="46"/>
        <v>1.4</v>
      </c>
      <c r="L45" s="967">
        <f t="shared" si="47"/>
        <v>0.14000000000000001</v>
      </c>
      <c r="M45" s="967">
        <f t="shared" si="48"/>
        <v>4.9605176259648962</v>
      </c>
      <c r="N45" s="54">
        <f t="shared" si="49"/>
        <v>100</v>
      </c>
      <c r="O45" s="968">
        <f t="shared" si="50"/>
        <v>0</v>
      </c>
      <c r="P45" s="968">
        <f t="shared" si="51"/>
        <v>0</v>
      </c>
      <c r="Q45" s="969">
        <f t="shared" si="52"/>
        <v>3.2532051282051278E-3</v>
      </c>
      <c r="R45" s="247">
        <f t="shared" si="53"/>
        <v>100</v>
      </c>
      <c r="S45" s="24">
        <f t="shared" si="54"/>
        <v>2703</v>
      </c>
      <c r="T45" s="970">
        <f t="shared" si="55"/>
        <v>0.27029999999999998</v>
      </c>
      <c r="U45" s="971">
        <f t="shared" si="56"/>
        <v>14.743752814404697</v>
      </c>
    </row>
    <row r="46" spans="1:21" x14ac:dyDescent="0.2">
      <c r="A46" s="33">
        <f t="shared" si="39"/>
        <v>2033</v>
      </c>
      <c r="B46" s="787">
        <v>100</v>
      </c>
      <c r="C46" s="565">
        <f t="shared" si="41"/>
        <v>3998</v>
      </c>
      <c r="D46" s="965">
        <v>1.4</v>
      </c>
      <c r="E46" s="966">
        <v>0</v>
      </c>
      <c r="F46" s="790">
        <v>2703</v>
      </c>
      <c r="G46" s="473">
        <f t="shared" si="42"/>
        <v>0.14000000000000001</v>
      </c>
      <c r="H46" s="474">
        <f t="shared" si="43"/>
        <v>0</v>
      </c>
      <c r="I46" s="474">
        <f t="shared" si="44"/>
        <v>0.27029999999999998</v>
      </c>
      <c r="J46" s="61">
        <f t="shared" si="45"/>
        <v>100</v>
      </c>
      <c r="K46" s="967">
        <f t="shared" si="46"/>
        <v>1.4</v>
      </c>
      <c r="L46" s="967">
        <f t="shared" si="47"/>
        <v>0.14000000000000001</v>
      </c>
      <c r="M46" s="967">
        <f t="shared" si="48"/>
        <v>5.1005176259648959</v>
      </c>
      <c r="N46" s="54">
        <f t="shared" si="49"/>
        <v>100</v>
      </c>
      <c r="O46" s="968">
        <f t="shared" si="50"/>
        <v>0</v>
      </c>
      <c r="P46" s="968">
        <f t="shared" si="51"/>
        <v>0</v>
      </c>
      <c r="Q46" s="969">
        <f t="shared" si="52"/>
        <v>3.2532051282051278E-3</v>
      </c>
      <c r="R46" s="247">
        <f t="shared" si="53"/>
        <v>100</v>
      </c>
      <c r="S46" s="24">
        <f t="shared" si="54"/>
        <v>2703</v>
      </c>
      <c r="T46" s="970">
        <f t="shared" si="55"/>
        <v>0.27029999999999998</v>
      </c>
      <c r="U46" s="971">
        <f t="shared" si="56"/>
        <v>15.014052814404698</v>
      </c>
    </row>
    <row r="47" spans="1:21" x14ac:dyDescent="0.2">
      <c r="A47" s="33">
        <f t="shared" si="39"/>
        <v>2034</v>
      </c>
      <c r="B47" s="787">
        <v>100</v>
      </c>
      <c r="C47" s="565">
        <f t="shared" si="41"/>
        <v>4098</v>
      </c>
      <c r="D47" s="965">
        <v>1.4</v>
      </c>
      <c r="E47" s="966">
        <v>0</v>
      </c>
      <c r="F47" s="790">
        <v>2703</v>
      </c>
      <c r="G47" s="473">
        <f t="shared" si="42"/>
        <v>0.14000000000000001</v>
      </c>
      <c r="H47" s="474">
        <f t="shared" si="43"/>
        <v>0</v>
      </c>
      <c r="I47" s="474">
        <f t="shared" si="44"/>
        <v>0.27029999999999998</v>
      </c>
      <c r="J47" s="61">
        <f t="shared" si="45"/>
        <v>100</v>
      </c>
      <c r="K47" s="967">
        <f t="shared" si="46"/>
        <v>1.4</v>
      </c>
      <c r="L47" s="967">
        <f t="shared" si="47"/>
        <v>0.14000000000000001</v>
      </c>
      <c r="M47" s="967">
        <f t="shared" si="48"/>
        <v>5.2405176259648956</v>
      </c>
      <c r="N47" s="54">
        <f t="shared" si="49"/>
        <v>100</v>
      </c>
      <c r="O47" s="968">
        <f t="shared" si="50"/>
        <v>0</v>
      </c>
      <c r="P47" s="968">
        <f t="shared" si="51"/>
        <v>0</v>
      </c>
      <c r="Q47" s="969">
        <f t="shared" si="52"/>
        <v>3.2532051282051278E-3</v>
      </c>
      <c r="R47" s="247">
        <f t="shared" si="53"/>
        <v>100</v>
      </c>
      <c r="S47" s="24">
        <f t="shared" si="54"/>
        <v>2703</v>
      </c>
      <c r="T47" s="970">
        <f t="shared" si="55"/>
        <v>0.27029999999999998</v>
      </c>
      <c r="U47" s="971">
        <f t="shared" si="56"/>
        <v>15.284352814404699</v>
      </c>
    </row>
    <row r="48" spans="1:21" x14ac:dyDescent="0.2">
      <c r="A48" s="33">
        <f t="shared" si="39"/>
        <v>2035</v>
      </c>
      <c r="B48" s="787">
        <f>B47</f>
        <v>100</v>
      </c>
      <c r="C48" s="565">
        <f t="shared" ref="C48:C54" si="57">+C47+B48</f>
        <v>4198</v>
      </c>
      <c r="D48" s="965">
        <v>1.4</v>
      </c>
      <c r="E48" s="966">
        <v>0</v>
      </c>
      <c r="F48" s="790">
        <v>2703</v>
      </c>
      <c r="G48" s="473">
        <f t="shared" ref="G48:G54" si="58">+$B48*D48/1000</f>
        <v>0.14000000000000001</v>
      </c>
      <c r="H48" s="474">
        <f t="shared" ref="H48:H54" si="59">+$B48*E48/1000</f>
        <v>0</v>
      </c>
      <c r="I48" s="474">
        <f t="shared" ref="I48:I54" si="60">+$B48*F48/1000000</f>
        <v>0.27029999999999998</v>
      </c>
      <c r="J48" s="61">
        <f t="shared" ref="J48:J54" si="61">+(B48+B47)/2</f>
        <v>100</v>
      </c>
      <c r="K48" s="967">
        <f t="shared" ref="K48:K54" si="62">+D48</f>
        <v>1.4</v>
      </c>
      <c r="L48" s="967">
        <f t="shared" ref="L48:L54" si="63">+J48*K48/1000</f>
        <v>0.14000000000000001</v>
      </c>
      <c r="M48" s="967">
        <f t="shared" ref="M48:M54" si="64">+M47+L48</f>
        <v>5.3805176259648952</v>
      </c>
      <c r="N48" s="54">
        <f t="shared" ref="N48:N54" si="65">+B47</f>
        <v>100</v>
      </c>
      <c r="O48" s="968">
        <f t="shared" ref="O48:O54" si="66">+E48</f>
        <v>0</v>
      </c>
      <c r="P48" s="968">
        <f t="shared" ref="P48:P54" si="67">+N48*O48/1000</f>
        <v>0</v>
      </c>
      <c r="Q48" s="969">
        <f t="shared" ref="Q48:Q54" si="68">+Q47+P48</f>
        <v>3.2532051282051278E-3</v>
      </c>
      <c r="R48" s="247">
        <f t="shared" ref="R48:R54" si="69">+(B48+B47)/2</f>
        <v>100</v>
      </c>
      <c r="S48" s="24">
        <f t="shared" ref="S48:S54" si="70">+F48</f>
        <v>2703</v>
      </c>
      <c r="T48" s="970">
        <f t="shared" ref="T48:T54" si="71">+R48*S48/1000000</f>
        <v>0.27029999999999998</v>
      </c>
      <c r="U48" s="971">
        <f t="shared" ref="U48:U54" si="72">+U47+T48</f>
        <v>15.554652814404699</v>
      </c>
    </row>
    <row r="49" spans="1:21" x14ac:dyDescent="0.2">
      <c r="A49" s="33">
        <f t="shared" si="39"/>
        <v>2036</v>
      </c>
      <c r="B49" s="787">
        <f t="shared" ref="B49:B54" si="73">B48</f>
        <v>100</v>
      </c>
      <c r="C49" s="565">
        <f t="shared" si="57"/>
        <v>4298</v>
      </c>
      <c r="D49" s="965">
        <v>1.4</v>
      </c>
      <c r="E49" s="966">
        <v>0</v>
      </c>
      <c r="F49" s="790">
        <v>2703</v>
      </c>
      <c r="G49" s="473">
        <f t="shared" si="58"/>
        <v>0.14000000000000001</v>
      </c>
      <c r="H49" s="474">
        <f t="shared" si="59"/>
        <v>0</v>
      </c>
      <c r="I49" s="474">
        <f t="shared" si="60"/>
        <v>0.27029999999999998</v>
      </c>
      <c r="J49" s="61">
        <f t="shared" si="61"/>
        <v>100</v>
      </c>
      <c r="K49" s="967">
        <f t="shared" si="62"/>
        <v>1.4</v>
      </c>
      <c r="L49" s="967">
        <f t="shared" si="63"/>
        <v>0.14000000000000001</v>
      </c>
      <c r="M49" s="967">
        <f t="shared" si="64"/>
        <v>5.5205176259648949</v>
      </c>
      <c r="N49" s="54">
        <f t="shared" si="65"/>
        <v>100</v>
      </c>
      <c r="O49" s="968">
        <f t="shared" si="66"/>
        <v>0</v>
      </c>
      <c r="P49" s="968">
        <f t="shared" si="67"/>
        <v>0</v>
      </c>
      <c r="Q49" s="969">
        <f t="shared" si="68"/>
        <v>3.2532051282051278E-3</v>
      </c>
      <c r="R49" s="247">
        <f t="shared" si="69"/>
        <v>100</v>
      </c>
      <c r="S49" s="24">
        <f t="shared" si="70"/>
        <v>2703</v>
      </c>
      <c r="T49" s="970">
        <f t="shared" si="71"/>
        <v>0.27029999999999998</v>
      </c>
      <c r="U49" s="971">
        <f t="shared" si="72"/>
        <v>15.8249528144047</v>
      </c>
    </row>
    <row r="50" spans="1:21" x14ac:dyDescent="0.2">
      <c r="A50" s="33">
        <f t="shared" si="39"/>
        <v>2037</v>
      </c>
      <c r="B50" s="787">
        <f t="shared" si="73"/>
        <v>100</v>
      </c>
      <c r="C50" s="565">
        <f t="shared" si="57"/>
        <v>4398</v>
      </c>
      <c r="D50" s="965">
        <v>1.4</v>
      </c>
      <c r="E50" s="966">
        <v>0</v>
      </c>
      <c r="F50" s="790">
        <v>2703</v>
      </c>
      <c r="G50" s="473">
        <f t="shared" si="58"/>
        <v>0.14000000000000001</v>
      </c>
      <c r="H50" s="474">
        <f t="shared" si="59"/>
        <v>0</v>
      </c>
      <c r="I50" s="474">
        <f t="shared" si="60"/>
        <v>0.27029999999999998</v>
      </c>
      <c r="J50" s="61">
        <f t="shared" si="61"/>
        <v>100</v>
      </c>
      <c r="K50" s="967">
        <f t="shared" si="62"/>
        <v>1.4</v>
      </c>
      <c r="L50" s="967">
        <f t="shared" si="63"/>
        <v>0.14000000000000001</v>
      </c>
      <c r="M50" s="967">
        <f t="shared" si="64"/>
        <v>5.6605176259648946</v>
      </c>
      <c r="N50" s="54">
        <f t="shared" si="65"/>
        <v>100</v>
      </c>
      <c r="O50" s="968">
        <f t="shared" si="66"/>
        <v>0</v>
      </c>
      <c r="P50" s="968">
        <f t="shared" si="67"/>
        <v>0</v>
      </c>
      <c r="Q50" s="969">
        <f t="shared" si="68"/>
        <v>3.2532051282051278E-3</v>
      </c>
      <c r="R50" s="247">
        <f t="shared" si="69"/>
        <v>100</v>
      </c>
      <c r="S50" s="24">
        <f t="shared" si="70"/>
        <v>2703</v>
      </c>
      <c r="T50" s="970">
        <f t="shared" si="71"/>
        <v>0.27029999999999998</v>
      </c>
      <c r="U50" s="971">
        <f t="shared" si="72"/>
        <v>16.095252814404699</v>
      </c>
    </row>
    <row r="51" spans="1:21" x14ac:dyDescent="0.2">
      <c r="A51" s="33">
        <f t="shared" si="39"/>
        <v>2038</v>
      </c>
      <c r="B51" s="787">
        <f t="shared" si="73"/>
        <v>100</v>
      </c>
      <c r="C51" s="565">
        <f t="shared" si="57"/>
        <v>4498</v>
      </c>
      <c r="D51" s="965">
        <v>1.4</v>
      </c>
      <c r="E51" s="966">
        <v>0</v>
      </c>
      <c r="F51" s="790">
        <v>2703</v>
      </c>
      <c r="G51" s="473">
        <f t="shared" si="58"/>
        <v>0.14000000000000001</v>
      </c>
      <c r="H51" s="474">
        <f t="shared" si="59"/>
        <v>0</v>
      </c>
      <c r="I51" s="474">
        <f t="shared" si="60"/>
        <v>0.27029999999999998</v>
      </c>
      <c r="J51" s="61">
        <f t="shared" si="61"/>
        <v>100</v>
      </c>
      <c r="K51" s="967">
        <f t="shared" si="62"/>
        <v>1.4</v>
      </c>
      <c r="L51" s="967">
        <f t="shared" si="63"/>
        <v>0.14000000000000001</v>
      </c>
      <c r="M51" s="967">
        <f t="shared" si="64"/>
        <v>5.8005176259648943</v>
      </c>
      <c r="N51" s="54">
        <f t="shared" si="65"/>
        <v>100</v>
      </c>
      <c r="O51" s="968">
        <f t="shared" si="66"/>
        <v>0</v>
      </c>
      <c r="P51" s="968">
        <f t="shared" si="67"/>
        <v>0</v>
      </c>
      <c r="Q51" s="969">
        <f t="shared" si="68"/>
        <v>3.2532051282051278E-3</v>
      </c>
      <c r="R51" s="247">
        <f t="shared" si="69"/>
        <v>100</v>
      </c>
      <c r="S51" s="24">
        <f t="shared" si="70"/>
        <v>2703</v>
      </c>
      <c r="T51" s="970">
        <f t="shared" si="71"/>
        <v>0.27029999999999998</v>
      </c>
      <c r="U51" s="971">
        <f t="shared" si="72"/>
        <v>16.365552814404698</v>
      </c>
    </row>
    <row r="52" spans="1:21" x14ac:dyDescent="0.2">
      <c r="A52" s="33">
        <f t="shared" si="39"/>
        <v>2039</v>
      </c>
      <c r="B52" s="787">
        <f t="shared" si="73"/>
        <v>100</v>
      </c>
      <c r="C52" s="565">
        <f t="shared" si="57"/>
        <v>4598</v>
      </c>
      <c r="D52" s="965">
        <v>1.4</v>
      </c>
      <c r="E52" s="966">
        <v>0</v>
      </c>
      <c r="F52" s="790">
        <v>2703</v>
      </c>
      <c r="G52" s="473">
        <f t="shared" si="58"/>
        <v>0.14000000000000001</v>
      </c>
      <c r="H52" s="474">
        <f t="shared" si="59"/>
        <v>0</v>
      </c>
      <c r="I52" s="474">
        <f t="shared" si="60"/>
        <v>0.27029999999999998</v>
      </c>
      <c r="J52" s="61">
        <f t="shared" si="61"/>
        <v>100</v>
      </c>
      <c r="K52" s="967">
        <f t="shared" si="62"/>
        <v>1.4</v>
      </c>
      <c r="L52" s="967">
        <f t="shared" si="63"/>
        <v>0.14000000000000001</v>
      </c>
      <c r="M52" s="967">
        <f t="shared" si="64"/>
        <v>5.940517625964894</v>
      </c>
      <c r="N52" s="54">
        <f t="shared" si="65"/>
        <v>100</v>
      </c>
      <c r="O52" s="968">
        <f t="shared" si="66"/>
        <v>0</v>
      </c>
      <c r="P52" s="968">
        <f t="shared" si="67"/>
        <v>0</v>
      </c>
      <c r="Q52" s="969">
        <f t="shared" si="68"/>
        <v>3.2532051282051278E-3</v>
      </c>
      <c r="R52" s="247">
        <f t="shared" si="69"/>
        <v>100</v>
      </c>
      <c r="S52" s="24">
        <f t="shared" si="70"/>
        <v>2703</v>
      </c>
      <c r="T52" s="970">
        <f t="shared" si="71"/>
        <v>0.27029999999999998</v>
      </c>
      <c r="U52" s="971">
        <f t="shared" si="72"/>
        <v>16.635852814404696</v>
      </c>
    </row>
    <row r="53" spans="1:21" x14ac:dyDescent="0.2">
      <c r="A53" s="33">
        <f t="shared" si="39"/>
        <v>2040</v>
      </c>
      <c r="B53" s="787">
        <f t="shared" si="73"/>
        <v>100</v>
      </c>
      <c r="C53" s="565">
        <f t="shared" si="57"/>
        <v>4698</v>
      </c>
      <c r="D53" s="965">
        <v>1.4</v>
      </c>
      <c r="E53" s="966">
        <v>0</v>
      </c>
      <c r="F53" s="790">
        <v>2703</v>
      </c>
      <c r="G53" s="473">
        <f t="shared" si="58"/>
        <v>0.14000000000000001</v>
      </c>
      <c r="H53" s="474">
        <f t="shared" si="59"/>
        <v>0</v>
      </c>
      <c r="I53" s="474">
        <f t="shared" si="60"/>
        <v>0.27029999999999998</v>
      </c>
      <c r="J53" s="61">
        <f t="shared" si="61"/>
        <v>100</v>
      </c>
      <c r="K53" s="967">
        <f t="shared" si="62"/>
        <v>1.4</v>
      </c>
      <c r="L53" s="967">
        <f t="shared" si="63"/>
        <v>0.14000000000000001</v>
      </c>
      <c r="M53" s="967">
        <f t="shared" si="64"/>
        <v>6.0805176259648936</v>
      </c>
      <c r="N53" s="54">
        <f t="shared" si="65"/>
        <v>100</v>
      </c>
      <c r="O53" s="968">
        <f t="shared" si="66"/>
        <v>0</v>
      </c>
      <c r="P53" s="968">
        <f t="shared" si="67"/>
        <v>0</v>
      </c>
      <c r="Q53" s="969">
        <f t="shared" si="68"/>
        <v>3.2532051282051278E-3</v>
      </c>
      <c r="R53" s="247">
        <f t="shared" si="69"/>
        <v>100</v>
      </c>
      <c r="S53" s="24">
        <f t="shared" si="70"/>
        <v>2703</v>
      </c>
      <c r="T53" s="970">
        <f t="shared" si="71"/>
        <v>0.27029999999999998</v>
      </c>
      <c r="U53" s="971">
        <f t="shared" si="72"/>
        <v>16.906152814404695</v>
      </c>
    </row>
    <row r="54" spans="1:21" x14ac:dyDescent="0.2">
      <c r="A54" s="33">
        <f t="shared" si="39"/>
        <v>2041</v>
      </c>
      <c r="B54" s="787">
        <f t="shared" si="73"/>
        <v>100</v>
      </c>
      <c r="C54" s="565">
        <f t="shared" si="57"/>
        <v>4798</v>
      </c>
      <c r="D54" s="965">
        <v>1.4</v>
      </c>
      <c r="E54" s="966">
        <v>0</v>
      </c>
      <c r="F54" s="790">
        <v>2703</v>
      </c>
      <c r="G54" s="473">
        <f t="shared" si="58"/>
        <v>0.14000000000000001</v>
      </c>
      <c r="H54" s="474">
        <f t="shared" si="59"/>
        <v>0</v>
      </c>
      <c r="I54" s="474">
        <f t="shared" si="60"/>
        <v>0.27029999999999998</v>
      </c>
      <c r="J54" s="61">
        <f t="shared" si="61"/>
        <v>100</v>
      </c>
      <c r="K54" s="967">
        <f t="shared" si="62"/>
        <v>1.4</v>
      </c>
      <c r="L54" s="967">
        <f t="shared" si="63"/>
        <v>0.14000000000000001</v>
      </c>
      <c r="M54" s="967">
        <f t="shared" si="64"/>
        <v>6.2205176259648933</v>
      </c>
      <c r="N54" s="54">
        <f t="shared" si="65"/>
        <v>100</v>
      </c>
      <c r="O54" s="968">
        <f t="shared" si="66"/>
        <v>0</v>
      </c>
      <c r="P54" s="968">
        <f t="shared" si="67"/>
        <v>0</v>
      </c>
      <c r="Q54" s="969">
        <f t="shared" si="68"/>
        <v>3.2532051282051278E-3</v>
      </c>
      <c r="R54" s="247">
        <f t="shared" si="69"/>
        <v>100</v>
      </c>
      <c r="S54" s="24">
        <f t="shared" si="70"/>
        <v>2703</v>
      </c>
      <c r="T54" s="970">
        <f t="shared" si="71"/>
        <v>0.27029999999999998</v>
      </c>
      <c r="U54" s="971">
        <f t="shared" si="72"/>
        <v>17.176452814404694</v>
      </c>
    </row>
    <row r="56" spans="1:21" x14ac:dyDescent="0.2">
      <c r="A56" s="69" t="s">
        <v>38</v>
      </c>
    </row>
    <row r="57" spans="1:21" x14ac:dyDescent="0.2">
      <c r="A57" s="69" t="s">
        <v>39</v>
      </c>
    </row>
    <row r="58" spans="1:21" x14ac:dyDescent="0.2">
      <c r="A58" s="86" t="s">
        <v>57</v>
      </c>
    </row>
    <row r="59" spans="1:21" x14ac:dyDescent="0.2">
      <c r="A59" s="86" t="s">
        <v>58</v>
      </c>
    </row>
    <row r="60" spans="1:21" x14ac:dyDescent="0.2">
      <c r="C60" s="957" t="s">
        <v>314</v>
      </c>
    </row>
    <row r="61" spans="1:21" x14ac:dyDescent="0.2">
      <c r="A61" s="69" t="s">
        <v>112</v>
      </c>
    </row>
    <row r="62" spans="1:21" x14ac:dyDescent="0.2">
      <c r="A62" s="69" t="s">
        <v>113</v>
      </c>
    </row>
    <row r="63" spans="1:21" x14ac:dyDescent="0.2">
      <c r="A63" s="69"/>
    </row>
    <row r="64" spans="1:21" x14ac:dyDescent="0.2">
      <c r="A64" s="69">
        <v>2015</v>
      </c>
      <c r="B64" s="956" t="s">
        <v>386</v>
      </c>
      <c r="D64" s="161">
        <f>226.03/B28</f>
        <v>0.96594017094017093</v>
      </c>
      <c r="E64" s="161">
        <f>2.03/B28</f>
        <v>8.6752136752136742E-3</v>
      </c>
      <c r="F64" s="161">
        <f>2161000.62/B28</f>
        <v>9235.045384615385</v>
      </c>
    </row>
    <row r="65" spans="1:17" x14ac:dyDescent="0.2">
      <c r="A65" s="69"/>
    </row>
    <row r="66" spans="1:17" x14ac:dyDescent="0.2">
      <c r="A66" s="69"/>
    </row>
    <row r="67" spans="1:17" x14ac:dyDescent="0.2">
      <c r="A67" s="69"/>
    </row>
    <row r="69" spans="1:17" x14ac:dyDescent="0.2">
      <c r="C69" s="453" t="s">
        <v>231</v>
      </c>
      <c r="D69" s="453"/>
      <c r="E69" s="453"/>
      <c r="F69" s="453"/>
      <c r="G69" s="453"/>
      <c r="H69" s="453"/>
      <c r="J69" s="8"/>
      <c r="K69" s="8"/>
      <c r="L69" s="8"/>
      <c r="M69" s="8"/>
      <c r="O69" s="8"/>
      <c r="P69" s="8"/>
      <c r="Q69" s="8"/>
    </row>
    <row r="70" spans="1:17" x14ac:dyDescent="0.2">
      <c r="E70" s="459" t="s">
        <v>223</v>
      </c>
      <c r="F70" s="459" t="s">
        <v>224</v>
      </c>
      <c r="G70" s="459" t="s">
        <v>52</v>
      </c>
      <c r="J70" s="8"/>
      <c r="K70" s="8"/>
      <c r="L70" s="8"/>
      <c r="M70" s="8">
        <v>1.45</v>
      </c>
      <c r="N70">
        <v>7.0000000000000007E-2</v>
      </c>
      <c r="O70" s="8"/>
      <c r="P70" s="8"/>
      <c r="Q70" s="8"/>
    </row>
    <row r="71" spans="1:17" x14ac:dyDescent="0.2">
      <c r="C71" s="379" t="s">
        <v>232</v>
      </c>
      <c r="E71" s="698">
        <v>0.82</v>
      </c>
      <c r="F71" s="698">
        <v>0</v>
      </c>
      <c r="G71" s="698">
        <v>1549</v>
      </c>
      <c r="H71" s="454"/>
      <c r="J71" s="8"/>
      <c r="K71" s="8"/>
      <c r="L71" s="8"/>
      <c r="M71" s="8">
        <v>0</v>
      </c>
      <c r="N71">
        <v>0</v>
      </c>
      <c r="O71" s="8"/>
      <c r="P71" s="8"/>
      <c r="Q71" s="8"/>
    </row>
    <row r="72" spans="1:17" x14ac:dyDescent="0.2">
      <c r="C72" s="379" t="s">
        <v>233</v>
      </c>
      <c r="E72" s="698">
        <v>0.39</v>
      </c>
      <c r="F72" s="698">
        <v>0</v>
      </c>
      <c r="G72" s="698">
        <v>814</v>
      </c>
      <c r="J72" s="8"/>
      <c r="K72" s="8"/>
      <c r="L72" s="8"/>
      <c r="M72" s="8">
        <v>5716.4029329004325</v>
      </c>
      <c r="N72">
        <v>290.25</v>
      </c>
      <c r="O72" s="8"/>
      <c r="P72" s="465"/>
      <c r="Q72" s="8"/>
    </row>
    <row r="73" spans="1:17" x14ac:dyDescent="0.2">
      <c r="C73" s="379"/>
      <c r="E73" s="454"/>
      <c r="F73" s="454"/>
      <c r="G73" s="454"/>
      <c r="J73" s="8"/>
      <c r="K73" s="8"/>
      <c r="L73" s="8"/>
      <c r="M73" s="8"/>
      <c r="O73" s="8"/>
      <c r="P73" s="465"/>
      <c r="Q73" s="8"/>
    </row>
    <row r="74" spans="1:17" x14ac:dyDescent="0.2">
      <c r="C74" s="379"/>
      <c r="E74" s="454"/>
      <c r="F74" s="454"/>
      <c r="G74" s="454"/>
      <c r="J74" s="8"/>
      <c r="K74" s="8"/>
      <c r="L74" s="8"/>
      <c r="M74" s="8"/>
      <c r="O74" s="8"/>
      <c r="P74" s="465"/>
      <c r="Q74" s="8"/>
    </row>
    <row r="75" spans="1:17" ht="13.5" thickBot="1" x14ac:dyDescent="0.25">
      <c r="C75" s="379"/>
      <c r="E75" s="454"/>
      <c r="F75" s="454"/>
      <c r="G75" s="454"/>
      <c r="J75" s="8"/>
      <c r="K75" s="8"/>
      <c r="L75" s="8"/>
      <c r="M75" s="8"/>
      <c r="O75" s="8"/>
      <c r="P75" s="8"/>
      <c r="Q75" s="8"/>
    </row>
    <row r="76" spans="1:17" ht="13.5" thickBot="1" x14ac:dyDescent="0.25">
      <c r="C76" s="838" t="s">
        <v>46</v>
      </c>
      <c r="D76" s="175"/>
      <c r="E76" s="333"/>
      <c r="G76" s="332"/>
      <c r="H76" s="846" t="s">
        <v>203</v>
      </c>
      <c r="I76" s="847"/>
      <c r="J76" s="846" t="s">
        <v>203</v>
      </c>
      <c r="K76" s="175"/>
      <c r="L76" s="848" t="s">
        <v>203</v>
      </c>
      <c r="O76" s="7"/>
      <c r="P76" s="465"/>
      <c r="Q76" s="8"/>
    </row>
    <row r="77" spans="1:17" x14ac:dyDescent="0.2">
      <c r="C77" s="839" t="str">
        <f>C71</f>
        <v>DX Units</v>
      </c>
      <c r="D77" s="840" t="str">
        <f>C72</f>
        <v>PTAC Units</v>
      </c>
      <c r="E77" s="455" t="s">
        <v>228</v>
      </c>
      <c r="F77" s="459"/>
      <c r="G77" s="849" t="s">
        <v>223</v>
      </c>
      <c r="H77" s="850" t="str">
        <f>G77</f>
        <v>Sum KW</v>
      </c>
      <c r="I77" s="458" t="s">
        <v>224</v>
      </c>
      <c r="J77" s="850" t="str">
        <f>I77</f>
        <v>Win KW</v>
      </c>
      <c r="K77" s="458" t="s">
        <v>52</v>
      </c>
      <c r="L77" s="851" t="str">
        <f>K77</f>
        <v>Energy</v>
      </c>
      <c r="O77" s="8"/>
      <c r="P77" s="8"/>
      <c r="Q77" s="8"/>
    </row>
    <row r="78" spans="1:17" hidden="1" x14ac:dyDescent="0.2">
      <c r="B78" s="683"/>
      <c r="C78" s="871"/>
      <c r="D78" s="872"/>
      <c r="E78" s="870"/>
      <c r="F78" s="683"/>
      <c r="G78" s="873"/>
      <c r="H78" s="874"/>
      <c r="I78" s="875"/>
      <c r="J78" s="874"/>
      <c r="K78" s="876"/>
      <c r="L78" s="877"/>
      <c r="O78" s="8"/>
      <c r="P78" s="8"/>
      <c r="Q78" s="8"/>
    </row>
    <row r="79" spans="1:17" hidden="1" x14ac:dyDescent="0.2">
      <c r="B79" s="683"/>
      <c r="C79" s="871"/>
      <c r="D79" s="872"/>
      <c r="E79" s="684"/>
      <c r="F79" s="683"/>
      <c r="G79" s="873"/>
      <c r="H79" s="874"/>
      <c r="I79" s="875"/>
      <c r="J79" s="874"/>
      <c r="K79" s="876"/>
      <c r="L79" s="877"/>
      <c r="O79" s="8"/>
      <c r="P79" s="8"/>
      <c r="Q79" s="8"/>
    </row>
    <row r="80" spans="1:17" hidden="1" x14ac:dyDescent="0.2">
      <c r="B80" s="683"/>
      <c r="C80" s="871"/>
      <c r="D80" s="872"/>
      <c r="E80" s="684"/>
      <c r="F80" s="683"/>
      <c r="G80" s="873"/>
      <c r="H80" s="874"/>
      <c r="I80" s="875"/>
      <c r="J80" s="874"/>
      <c r="K80" s="878"/>
      <c r="L80" s="877"/>
    </row>
    <row r="81" spans="2:12" hidden="1" x14ac:dyDescent="0.2">
      <c r="B81" s="683"/>
      <c r="C81" s="871"/>
      <c r="D81" s="872"/>
      <c r="E81" s="684"/>
      <c r="F81" s="683"/>
      <c r="G81" s="873"/>
      <c r="H81" s="874"/>
      <c r="I81" s="875"/>
      <c r="J81" s="874"/>
      <c r="K81" s="876"/>
      <c r="L81" s="877"/>
    </row>
    <row r="82" spans="2:12" x14ac:dyDescent="0.2">
      <c r="B82">
        <v>2014</v>
      </c>
      <c r="C82" s="844">
        <v>375</v>
      </c>
      <c r="D82" s="176">
        <v>0</v>
      </c>
      <c r="E82" s="456">
        <f t="shared" ref="E82:E87" si="74">SUM(C82:D82)</f>
        <v>375</v>
      </c>
      <c r="G82" s="861">
        <f t="shared" ref="G82:G87" si="75">($E$71*C82)+($E$72*D82)</f>
        <v>307.5</v>
      </c>
      <c r="H82" s="862">
        <f t="shared" ref="H82:H87" si="76">G82/$E82</f>
        <v>0.82</v>
      </c>
      <c r="I82" s="361">
        <f t="shared" ref="I82:I87" si="77">($F$71*C82)+($F$72*D82)</f>
        <v>0</v>
      </c>
      <c r="J82" s="862">
        <f t="shared" ref="J82:J87" si="78">I82/$E82</f>
        <v>0</v>
      </c>
      <c r="K82" s="428">
        <f t="shared" ref="K82:K87" si="79">($G$71*C82)+($G$72*D82)</f>
        <v>580875</v>
      </c>
      <c r="L82" s="864">
        <f t="shared" ref="L82:L87" si="80">K82/$E82</f>
        <v>1549</v>
      </c>
    </row>
    <row r="83" spans="2:12" x14ac:dyDescent="0.2">
      <c r="B83">
        <v>2015</v>
      </c>
      <c r="C83" s="844">
        <v>175</v>
      </c>
      <c r="D83" s="176">
        <v>35</v>
      </c>
      <c r="E83" s="456">
        <f t="shared" si="74"/>
        <v>210</v>
      </c>
      <c r="G83" s="861">
        <f t="shared" si="75"/>
        <v>157.15</v>
      </c>
      <c r="H83" s="862">
        <f t="shared" si="76"/>
        <v>0.74833333333333341</v>
      </c>
      <c r="I83" s="361">
        <f t="shared" si="77"/>
        <v>0</v>
      </c>
      <c r="J83" s="862">
        <f t="shared" si="78"/>
        <v>0</v>
      </c>
      <c r="K83" s="428">
        <f t="shared" si="79"/>
        <v>299565</v>
      </c>
      <c r="L83" s="864">
        <f t="shared" si="80"/>
        <v>1426.5</v>
      </c>
    </row>
    <row r="84" spans="2:12" x14ac:dyDescent="0.2">
      <c r="B84">
        <v>2016</v>
      </c>
      <c r="C84" s="844">
        <v>200</v>
      </c>
      <c r="D84" s="176">
        <v>30</v>
      </c>
      <c r="E84" s="456">
        <f t="shared" si="74"/>
        <v>230</v>
      </c>
      <c r="G84" s="861">
        <f t="shared" si="75"/>
        <v>175.7</v>
      </c>
      <c r="H84" s="862">
        <f t="shared" si="76"/>
        <v>0.76391304347826083</v>
      </c>
      <c r="I84" s="361">
        <f t="shared" si="77"/>
        <v>0</v>
      </c>
      <c r="J84" s="862">
        <f t="shared" si="78"/>
        <v>0</v>
      </c>
      <c r="K84" s="428">
        <f t="shared" si="79"/>
        <v>334220</v>
      </c>
      <c r="L84" s="864">
        <f t="shared" si="80"/>
        <v>1453.1304347826087</v>
      </c>
    </row>
    <row r="85" spans="2:12" x14ac:dyDescent="0.2">
      <c r="B85">
        <v>2017</v>
      </c>
      <c r="C85" s="844">
        <v>250</v>
      </c>
      <c r="D85" s="176">
        <v>25</v>
      </c>
      <c r="E85" s="456">
        <f t="shared" si="74"/>
        <v>275</v>
      </c>
      <c r="G85" s="861">
        <f t="shared" si="75"/>
        <v>214.75</v>
      </c>
      <c r="H85" s="862">
        <f t="shared" si="76"/>
        <v>0.78090909090909089</v>
      </c>
      <c r="I85" s="361">
        <f t="shared" si="77"/>
        <v>0</v>
      </c>
      <c r="J85" s="862">
        <f t="shared" si="78"/>
        <v>0</v>
      </c>
      <c r="K85" s="428">
        <f t="shared" si="79"/>
        <v>407600</v>
      </c>
      <c r="L85" s="864">
        <f t="shared" si="80"/>
        <v>1482.1818181818182</v>
      </c>
    </row>
    <row r="86" spans="2:12" x14ac:dyDescent="0.2">
      <c r="B86">
        <v>2018</v>
      </c>
      <c r="C86" s="844">
        <v>225</v>
      </c>
      <c r="D86" s="176">
        <v>20</v>
      </c>
      <c r="E86" s="456">
        <f t="shared" si="74"/>
        <v>245</v>
      </c>
      <c r="G86" s="861">
        <f t="shared" si="75"/>
        <v>192.3</v>
      </c>
      <c r="H86" s="862">
        <f t="shared" si="76"/>
        <v>0.78489795918367355</v>
      </c>
      <c r="I86" s="361">
        <f t="shared" si="77"/>
        <v>0</v>
      </c>
      <c r="J86" s="862">
        <f t="shared" si="78"/>
        <v>0</v>
      </c>
      <c r="K86" s="428">
        <f t="shared" si="79"/>
        <v>364805</v>
      </c>
      <c r="L86" s="864">
        <f t="shared" si="80"/>
        <v>1489</v>
      </c>
    </row>
    <row r="87" spans="2:12" ht="13.5" thickBot="1" x14ac:dyDescent="0.25">
      <c r="B87">
        <v>2019</v>
      </c>
      <c r="C87" s="845">
        <v>200</v>
      </c>
      <c r="D87" s="376">
        <v>15</v>
      </c>
      <c r="E87" s="457">
        <f t="shared" si="74"/>
        <v>215</v>
      </c>
      <c r="G87" s="865">
        <f t="shared" si="75"/>
        <v>169.85</v>
      </c>
      <c r="H87" s="866">
        <f t="shared" si="76"/>
        <v>0.78999999999999992</v>
      </c>
      <c r="I87" s="867">
        <f t="shared" si="77"/>
        <v>0</v>
      </c>
      <c r="J87" s="866">
        <f t="shared" si="78"/>
        <v>0</v>
      </c>
      <c r="K87" s="879">
        <f t="shared" si="79"/>
        <v>322010</v>
      </c>
      <c r="L87" s="869">
        <f t="shared" si="80"/>
        <v>1497.7209302325582</v>
      </c>
    </row>
    <row r="89" spans="2:12" x14ac:dyDescent="0.2">
      <c r="F89" s="831"/>
    </row>
  </sheetData>
  <mergeCells count="5">
    <mergeCell ref="R4:U4"/>
    <mergeCell ref="G3:I3"/>
    <mergeCell ref="B4:I4"/>
    <mergeCell ref="J4:M4"/>
    <mergeCell ref="N4:Q4"/>
  </mergeCells>
  <phoneticPr fontId="7" type="noConversion"/>
  <pageMargins left="0.75" right="0.75" top="1" bottom="1" header="0.5" footer="0.5"/>
  <pageSetup scale="43" orientation="landscape" r:id="rId1"/>
  <headerFooter alignWithMargins="0"/>
  <ignoredErrors>
    <ignoredError sqref="E82:E8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1CBE06"/>
    <pageSetUpPr fitToPage="1"/>
  </sheetPr>
  <dimension ref="A1:X61"/>
  <sheetViews>
    <sheetView zoomScaleNormal="100"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114</v>
      </c>
      <c r="C2" s="27"/>
      <c r="D2" s="27"/>
      <c r="E2" s="27"/>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62">
        <f t="shared" ref="D8:D19" si="1">IF($B8=0,0,(G8*1000)/$B8)</f>
        <v>0</v>
      </c>
      <c r="E8" s="663">
        <f t="shared" ref="E8:E19" si="2">IF($B8=0,0,(H8*1000)/$B8)</f>
        <v>0</v>
      </c>
      <c r="F8" s="675">
        <f t="shared" ref="F8:F19" si="3">IF($B8=0,0,(I8*1000000)/$B8)</f>
        <v>0</v>
      </c>
      <c r="G8" s="626">
        <v>0</v>
      </c>
      <c r="H8" s="72">
        <v>0</v>
      </c>
      <c r="I8" s="630">
        <v>0</v>
      </c>
      <c r="J8" s="61">
        <f>+(B8+N8)/2</f>
        <v>0</v>
      </c>
      <c r="K8" s="188">
        <f t="shared" ref="K8:K39" si="4">+D8</f>
        <v>0</v>
      </c>
      <c r="L8" s="188">
        <f t="shared" ref="L8:L39" si="5">+J8*K8/1000</f>
        <v>0</v>
      </c>
      <c r="M8" s="188">
        <f t="shared" ref="M8:M39" si="6">+M7+L8</f>
        <v>0</v>
      </c>
      <c r="N8" s="51">
        <v>0</v>
      </c>
      <c r="O8" s="670">
        <f t="shared" ref="O8:O39" si="7">+E8</f>
        <v>0</v>
      </c>
      <c r="P8" s="670">
        <f t="shared" ref="P8:P39" si="8">+N8*O8/1000</f>
        <v>0</v>
      </c>
      <c r="Q8" s="670">
        <f t="shared" ref="Q8:Q39" si="9">+Q7+P8</f>
        <v>0</v>
      </c>
      <c r="R8" s="247">
        <f>J8</f>
        <v>0</v>
      </c>
      <c r="S8" s="24">
        <f t="shared" ref="S8:S37" si="10">+F8</f>
        <v>0</v>
      </c>
      <c r="T8" s="25">
        <f t="shared" ref="T8:T37" si="11">+R8*S8/1000000</f>
        <v>0</v>
      </c>
      <c r="U8" s="654">
        <f t="shared" ref="U8:U39" si="12">+U7+T8</f>
        <v>0</v>
      </c>
      <c r="V8" s="248"/>
      <c r="X8" s="1"/>
    </row>
    <row r="9" spans="1:24" x14ac:dyDescent="0.2">
      <c r="A9" s="33">
        <v>1996</v>
      </c>
      <c r="B9" s="30">
        <v>0</v>
      </c>
      <c r="C9" s="660">
        <f t="shared" si="0"/>
        <v>0</v>
      </c>
      <c r="D9" s="662">
        <f t="shared" si="1"/>
        <v>0</v>
      </c>
      <c r="E9" s="663">
        <f t="shared" si="2"/>
        <v>0</v>
      </c>
      <c r="F9" s="675">
        <f t="shared" si="3"/>
        <v>0</v>
      </c>
      <c r="G9" s="626">
        <v>0</v>
      </c>
      <c r="H9" s="72">
        <v>0</v>
      </c>
      <c r="I9" s="630">
        <v>0</v>
      </c>
      <c r="J9" s="61">
        <f t="shared" ref="J9:J39" si="13">+(B9+B8)/2</f>
        <v>0</v>
      </c>
      <c r="K9" s="188">
        <f t="shared" si="4"/>
        <v>0</v>
      </c>
      <c r="L9" s="188">
        <f t="shared" si="5"/>
        <v>0</v>
      </c>
      <c r="M9" s="188">
        <f t="shared" si="6"/>
        <v>0</v>
      </c>
      <c r="N9" s="54">
        <f t="shared" ref="N9:N39" si="14">+B8</f>
        <v>0</v>
      </c>
      <c r="O9" s="670">
        <f t="shared" si="7"/>
        <v>0</v>
      </c>
      <c r="P9" s="670">
        <f t="shared" si="8"/>
        <v>0</v>
      </c>
      <c r="Q9" s="670">
        <f t="shared" si="9"/>
        <v>0</v>
      </c>
      <c r="R9" s="247">
        <f t="shared" ref="R9:R37" si="15">+(B9+B8)/2</f>
        <v>0</v>
      </c>
      <c r="S9" s="24">
        <f t="shared" si="10"/>
        <v>0</v>
      </c>
      <c r="T9" s="25">
        <f t="shared" si="11"/>
        <v>0</v>
      </c>
      <c r="U9" s="654">
        <f t="shared" si="12"/>
        <v>0</v>
      </c>
      <c r="V9" s="10"/>
      <c r="X9" s="1"/>
    </row>
    <row r="10" spans="1:24" x14ac:dyDescent="0.2">
      <c r="A10" s="33">
        <v>1997</v>
      </c>
      <c r="B10" s="30">
        <v>0</v>
      </c>
      <c r="C10" s="660">
        <f t="shared" si="0"/>
        <v>0</v>
      </c>
      <c r="D10" s="662">
        <f t="shared" si="1"/>
        <v>0</v>
      </c>
      <c r="E10" s="663">
        <f t="shared" si="2"/>
        <v>0</v>
      </c>
      <c r="F10" s="675">
        <f t="shared" si="3"/>
        <v>0</v>
      </c>
      <c r="G10" s="626">
        <v>0</v>
      </c>
      <c r="H10" s="72">
        <v>0</v>
      </c>
      <c r="I10" s="630">
        <v>0</v>
      </c>
      <c r="J10" s="61">
        <f t="shared" si="13"/>
        <v>0</v>
      </c>
      <c r="K10" s="188">
        <f t="shared" si="4"/>
        <v>0</v>
      </c>
      <c r="L10" s="188">
        <f t="shared" si="5"/>
        <v>0</v>
      </c>
      <c r="M10" s="188">
        <f t="shared" si="6"/>
        <v>0</v>
      </c>
      <c r="N10" s="54">
        <f t="shared" si="14"/>
        <v>0</v>
      </c>
      <c r="O10" s="670">
        <f t="shared" si="7"/>
        <v>0</v>
      </c>
      <c r="P10" s="670">
        <f t="shared" si="8"/>
        <v>0</v>
      </c>
      <c r="Q10" s="670">
        <f t="shared" si="9"/>
        <v>0</v>
      </c>
      <c r="R10" s="247">
        <f t="shared" si="15"/>
        <v>0</v>
      </c>
      <c r="S10" s="24">
        <f t="shared" si="10"/>
        <v>0</v>
      </c>
      <c r="T10" s="25">
        <f t="shared" si="11"/>
        <v>0</v>
      </c>
      <c r="U10" s="654">
        <f t="shared" si="12"/>
        <v>0</v>
      </c>
      <c r="V10" s="10"/>
      <c r="X10" s="1"/>
    </row>
    <row r="11" spans="1:24" x14ac:dyDescent="0.2">
      <c r="A11" s="33">
        <v>1998</v>
      </c>
      <c r="B11" s="30">
        <v>0</v>
      </c>
      <c r="C11" s="660">
        <f t="shared" si="0"/>
        <v>0</v>
      </c>
      <c r="D11" s="662">
        <f t="shared" si="1"/>
        <v>0</v>
      </c>
      <c r="E11" s="663">
        <f t="shared" si="2"/>
        <v>0</v>
      </c>
      <c r="F11" s="675">
        <f t="shared" si="3"/>
        <v>0</v>
      </c>
      <c r="G11" s="626">
        <v>0</v>
      </c>
      <c r="H11" s="72">
        <v>0</v>
      </c>
      <c r="I11" s="630">
        <v>0</v>
      </c>
      <c r="J11" s="61">
        <f t="shared" si="13"/>
        <v>0</v>
      </c>
      <c r="K11" s="188">
        <f t="shared" si="4"/>
        <v>0</v>
      </c>
      <c r="L11" s="188">
        <f t="shared" si="5"/>
        <v>0</v>
      </c>
      <c r="M11" s="188">
        <f t="shared" si="6"/>
        <v>0</v>
      </c>
      <c r="N11" s="54">
        <f t="shared" si="14"/>
        <v>0</v>
      </c>
      <c r="O11" s="670">
        <f t="shared" si="7"/>
        <v>0</v>
      </c>
      <c r="P11" s="670">
        <f t="shared" si="8"/>
        <v>0</v>
      </c>
      <c r="Q11" s="670">
        <f t="shared" si="9"/>
        <v>0</v>
      </c>
      <c r="R11" s="247">
        <f t="shared" si="15"/>
        <v>0</v>
      </c>
      <c r="S11" s="24">
        <f t="shared" si="10"/>
        <v>0</v>
      </c>
      <c r="T11" s="25">
        <f t="shared" si="11"/>
        <v>0</v>
      </c>
      <c r="U11" s="654">
        <f t="shared" si="12"/>
        <v>0</v>
      </c>
      <c r="V11" s="10"/>
      <c r="X11" s="1"/>
    </row>
    <row r="12" spans="1:24" x14ac:dyDescent="0.2">
      <c r="A12" s="33">
        <v>1999</v>
      </c>
      <c r="B12" s="30">
        <v>0</v>
      </c>
      <c r="C12" s="660">
        <f t="shared" si="0"/>
        <v>0</v>
      </c>
      <c r="D12" s="662">
        <f t="shared" si="1"/>
        <v>0</v>
      </c>
      <c r="E12" s="663">
        <f t="shared" si="2"/>
        <v>0</v>
      </c>
      <c r="F12" s="675">
        <f t="shared" si="3"/>
        <v>0</v>
      </c>
      <c r="G12" s="626">
        <v>0</v>
      </c>
      <c r="H12" s="72">
        <v>0</v>
      </c>
      <c r="I12" s="630">
        <v>0</v>
      </c>
      <c r="J12" s="61">
        <f t="shared" si="13"/>
        <v>0</v>
      </c>
      <c r="K12" s="188">
        <f t="shared" si="4"/>
        <v>0</v>
      </c>
      <c r="L12" s="188">
        <f t="shared" si="5"/>
        <v>0</v>
      </c>
      <c r="M12" s="188">
        <f t="shared" si="6"/>
        <v>0</v>
      </c>
      <c r="N12" s="54">
        <f t="shared" si="14"/>
        <v>0</v>
      </c>
      <c r="O12" s="670">
        <f t="shared" si="7"/>
        <v>0</v>
      </c>
      <c r="P12" s="670">
        <f t="shared" si="8"/>
        <v>0</v>
      </c>
      <c r="Q12" s="670">
        <f t="shared" si="9"/>
        <v>0</v>
      </c>
      <c r="R12" s="247">
        <f t="shared" si="15"/>
        <v>0</v>
      </c>
      <c r="S12" s="24">
        <f t="shared" si="10"/>
        <v>0</v>
      </c>
      <c r="T12" s="25">
        <f t="shared" si="11"/>
        <v>0</v>
      </c>
      <c r="U12" s="654">
        <f t="shared" si="12"/>
        <v>0</v>
      </c>
      <c r="V12" s="10"/>
      <c r="X12" s="1"/>
    </row>
    <row r="13" spans="1:24" x14ac:dyDescent="0.2">
      <c r="A13" s="33">
        <v>2000</v>
      </c>
      <c r="B13" s="30">
        <v>0</v>
      </c>
      <c r="C13" s="660">
        <f t="shared" si="0"/>
        <v>0</v>
      </c>
      <c r="D13" s="662">
        <f t="shared" si="1"/>
        <v>0</v>
      </c>
      <c r="E13" s="663">
        <f t="shared" si="2"/>
        <v>0</v>
      </c>
      <c r="F13" s="675">
        <f t="shared" si="3"/>
        <v>0</v>
      </c>
      <c r="G13" s="626">
        <v>0</v>
      </c>
      <c r="H13" s="72">
        <v>0</v>
      </c>
      <c r="I13" s="630">
        <v>0</v>
      </c>
      <c r="J13" s="61">
        <f t="shared" si="13"/>
        <v>0</v>
      </c>
      <c r="K13" s="188">
        <f t="shared" si="4"/>
        <v>0</v>
      </c>
      <c r="L13" s="188">
        <f t="shared" si="5"/>
        <v>0</v>
      </c>
      <c r="M13" s="188">
        <f t="shared" si="6"/>
        <v>0</v>
      </c>
      <c r="N13" s="54">
        <f t="shared" si="14"/>
        <v>0</v>
      </c>
      <c r="O13" s="670">
        <f t="shared" si="7"/>
        <v>0</v>
      </c>
      <c r="P13" s="670">
        <f t="shared" si="8"/>
        <v>0</v>
      </c>
      <c r="Q13" s="670">
        <f t="shared" si="9"/>
        <v>0</v>
      </c>
      <c r="R13" s="247">
        <f t="shared" si="15"/>
        <v>0</v>
      </c>
      <c r="S13" s="24">
        <f t="shared" si="10"/>
        <v>0</v>
      </c>
      <c r="T13" s="25">
        <f t="shared" si="11"/>
        <v>0</v>
      </c>
      <c r="U13" s="654">
        <f t="shared" si="12"/>
        <v>0</v>
      </c>
      <c r="V13" s="248"/>
      <c r="X13" s="1"/>
    </row>
    <row r="14" spans="1:24" x14ac:dyDescent="0.2">
      <c r="A14" s="33">
        <v>2001</v>
      </c>
      <c r="B14" s="30">
        <v>0</v>
      </c>
      <c r="C14" s="660">
        <f t="shared" si="0"/>
        <v>0</v>
      </c>
      <c r="D14" s="662">
        <f t="shared" si="1"/>
        <v>0</v>
      </c>
      <c r="E14" s="663">
        <f t="shared" si="2"/>
        <v>0</v>
      </c>
      <c r="F14" s="675">
        <f t="shared" si="3"/>
        <v>0</v>
      </c>
      <c r="G14" s="626">
        <v>0</v>
      </c>
      <c r="H14" s="72">
        <v>0</v>
      </c>
      <c r="I14" s="630">
        <v>0</v>
      </c>
      <c r="J14" s="61">
        <f t="shared" si="13"/>
        <v>0</v>
      </c>
      <c r="K14" s="188">
        <f t="shared" si="4"/>
        <v>0</v>
      </c>
      <c r="L14" s="188">
        <f t="shared" si="5"/>
        <v>0</v>
      </c>
      <c r="M14" s="188">
        <f t="shared" si="6"/>
        <v>0</v>
      </c>
      <c r="N14" s="54">
        <f t="shared" si="14"/>
        <v>0</v>
      </c>
      <c r="O14" s="670">
        <f t="shared" si="7"/>
        <v>0</v>
      </c>
      <c r="P14" s="670">
        <f t="shared" si="8"/>
        <v>0</v>
      </c>
      <c r="Q14" s="670">
        <f t="shared" si="9"/>
        <v>0</v>
      </c>
      <c r="R14" s="247">
        <f t="shared" si="15"/>
        <v>0</v>
      </c>
      <c r="S14" s="24">
        <f t="shared" si="10"/>
        <v>0</v>
      </c>
      <c r="T14" s="25">
        <f t="shared" si="11"/>
        <v>0</v>
      </c>
      <c r="U14" s="654">
        <f t="shared" si="12"/>
        <v>0</v>
      </c>
      <c r="V14" s="248"/>
      <c r="X14" s="1"/>
    </row>
    <row r="15" spans="1:24" x14ac:dyDescent="0.2">
      <c r="A15" s="33">
        <v>2002</v>
      </c>
      <c r="B15" s="30">
        <v>0</v>
      </c>
      <c r="C15" s="660">
        <f t="shared" si="0"/>
        <v>0</v>
      </c>
      <c r="D15" s="662">
        <f t="shared" si="1"/>
        <v>0</v>
      </c>
      <c r="E15" s="663">
        <f t="shared" si="2"/>
        <v>0</v>
      </c>
      <c r="F15" s="675">
        <f t="shared" si="3"/>
        <v>0</v>
      </c>
      <c r="G15" s="626">
        <v>0</v>
      </c>
      <c r="H15" s="72">
        <v>0</v>
      </c>
      <c r="I15" s="630">
        <v>0</v>
      </c>
      <c r="J15" s="61">
        <f t="shared" si="13"/>
        <v>0</v>
      </c>
      <c r="K15" s="188">
        <f t="shared" si="4"/>
        <v>0</v>
      </c>
      <c r="L15" s="188">
        <f t="shared" si="5"/>
        <v>0</v>
      </c>
      <c r="M15" s="188">
        <f t="shared" si="6"/>
        <v>0</v>
      </c>
      <c r="N15" s="54">
        <f t="shared" si="14"/>
        <v>0</v>
      </c>
      <c r="O15" s="670">
        <f t="shared" si="7"/>
        <v>0</v>
      </c>
      <c r="P15" s="670">
        <f t="shared" si="8"/>
        <v>0</v>
      </c>
      <c r="Q15" s="670">
        <f t="shared" si="9"/>
        <v>0</v>
      </c>
      <c r="R15" s="247">
        <f t="shared" si="15"/>
        <v>0</v>
      </c>
      <c r="S15" s="24">
        <f t="shared" si="10"/>
        <v>0</v>
      </c>
      <c r="T15" s="25">
        <f t="shared" si="11"/>
        <v>0</v>
      </c>
      <c r="U15" s="654">
        <f t="shared" si="12"/>
        <v>0</v>
      </c>
      <c r="V15" s="248"/>
      <c r="X15" s="1"/>
    </row>
    <row r="16" spans="1:24" x14ac:dyDescent="0.2">
      <c r="A16" s="33">
        <v>2003</v>
      </c>
      <c r="B16" s="30">
        <v>0</v>
      </c>
      <c r="C16" s="660">
        <f t="shared" si="0"/>
        <v>0</v>
      </c>
      <c r="D16" s="662">
        <f t="shared" si="1"/>
        <v>0</v>
      </c>
      <c r="E16" s="663">
        <f t="shared" si="2"/>
        <v>0</v>
      </c>
      <c r="F16" s="675">
        <f t="shared" si="3"/>
        <v>0</v>
      </c>
      <c r="G16" s="626">
        <v>0</v>
      </c>
      <c r="H16" s="72">
        <v>0</v>
      </c>
      <c r="I16" s="630">
        <v>0</v>
      </c>
      <c r="J16" s="61">
        <f t="shared" si="13"/>
        <v>0</v>
      </c>
      <c r="K16" s="188">
        <f t="shared" si="4"/>
        <v>0</v>
      </c>
      <c r="L16" s="188">
        <f t="shared" si="5"/>
        <v>0</v>
      </c>
      <c r="M16" s="188">
        <f t="shared" si="6"/>
        <v>0</v>
      </c>
      <c r="N16" s="54">
        <f t="shared" si="14"/>
        <v>0</v>
      </c>
      <c r="O16" s="670">
        <f t="shared" si="7"/>
        <v>0</v>
      </c>
      <c r="P16" s="670">
        <f t="shared" si="8"/>
        <v>0</v>
      </c>
      <c r="Q16" s="670">
        <f t="shared" si="9"/>
        <v>0</v>
      </c>
      <c r="R16" s="247">
        <f t="shared" si="15"/>
        <v>0</v>
      </c>
      <c r="S16" s="24">
        <f t="shared" si="10"/>
        <v>0</v>
      </c>
      <c r="T16" s="25">
        <f t="shared" si="11"/>
        <v>0</v>
      </c>
      <c r="U16" s="654">
        <f t="shared" si="12"/>
        <v>0</v>
      </c>
      <c r="V16" s="248"/>
      <c r="X16" s="1"/>
    </row>
    <row r="17" spans="1:24" x14ac:dyDescent="0.2">
      <c r="A17" s="33">
        <f t="shared" ref="A17:A54" si="16">+A16+1</f>
        <v>2004</v>
      </c>
      <c r="B17" s="30">
        <v>0</v>
      </c>
      <c r="C17" s="660">
        <f t="shared" si="0"/>
        <v>0</v>
      </c>
      <c r="D17" s="662">
        <f t="shared" si="1"/>
        <v>0</v>
      </c>
      <c r="E17" s="663">
        <f t="shared" si="2"/>
        <v>0</v>
      </c>
      <c r="F17" s="675">
        <f t="shared" si="3"/>
        <v>0</v>
      </c>
      <c r="G17" s="626">
        <v>0</v>
      </c>
      <c r="H17" s="72">
        <v>0</v>
      </c>
      <c r="I17" s="630">
        <v>0</v>
      </c>
      <c r="J17" s="61">
        <f t="shared" si="13"/>
        <v>0</v>
      </c>
      <c r="K17" s="188">
        <f t="shared" si="4"/>
        <v>0</v>
      </c>
      <c r="L17" s="188">
        <f t="shared" si="5"/>
        <v>0</v>
      </c>
      <c r="M17" s="188">
        <f t="shared" si="6"/>
        <v>0</v>
      </c>
      <c r="N17" s="54">
        <f t="shared" si="14"/>
        <v>0</v>
      </c>
      <c r="O17" s="670">
        <f t="shared" si="7"/>
        <v>0</v>
      </c>
      <c r="P17" s="670">
        <f t="shared" si="8"/>
        <v>0</v>
      </c>
      <c r="Q17" s="670">
        <f t="shared" si="9"/>
        <v>0</v>
      </c>
      <c r="R17" s="247">
        <f t="shared" si="15"/>
        <v>0</v>
      </c>
      <c r="S17" s="24">
        <f t="shared" si="10"/>
        <v>0</v>
      </c>
      <c r="T17" s="25">
        <f t="shared" si="11"/>
        <v>0</v>
      </c>
      <c r="U17" s="654">
        <f t="shared" si="12"/>
        <v>0</v>
      </c>
      <c r="V17" s="248"/>
      <c r="X17" s="1"/>
    </row>
    <row r="18" spans="1:24" x14ac:dyDescent="0.2">
      <c r="A18" s="33">
        <f t="shared" si="16"/>
        <v>2005</v>
      </c>
      <c r="B18" s="30">
        <v>0</v>
      </c>
      <c r="C18" s="660">
        <f t="shared" si="0"/>
        <v>0</v>
      </c>
      <c r="D18" s="662">
        <f t="shared" si="1"/>
        <v>0</v>
      </c>
      <c r="E18" s="663">
        <f t="shared" si="2"/>
        <v>0</v>
      </c>
      <c r="F18" s="675">
        <f t="shared" si="3"/>
        <v>0</v>
      </c>
      <c r="G18" s="626">
        <v>0</v>
      </c>
      <c r="H18" s="72">
        <v>0</v>
      </c>
      <c r="I18" s="630">
        <v>0</v>
      </c>
      <c r="J18" s="61">
        <f t="shared" si="13"/>
        <v>0</v>
      </c>
      <c r="K18" s="188">
        <f t="shared" si="4"/>
        <v>0</v>
      </c>
      <c r="L18" s="188">
        <f t="shared" si="5"/>
        <v>0</v>
      </c>
      <c r="M18" s="188">
        <f t="shared" si="6"/>
        <v>0</v>
      </c>
      <c r="N18" s="54">
        <f t="shared" si="14"/>
        <v>0</v>
      </c>
      <c r="O18" s="670">
        <f t="shared" si="7"/>
        <v>0</v>
      </c>
      <c r="P18" s="670">
        <f t="shared" si="8"/>
        <v>0</v>
      </c>
      <c r="Q18" s="670">
        <f t="shared" si="9"/>
        <v>0</v>
      </c>
      <c r="R18" s="247">
        <f t="shared" si="15"/>
        <v>0</v>
      </c>
      <c r="S18" s="24">
        <f t="shared" si="10"/>
        <v>0</v>
      </c>
      <c r="T18" s="25">
        <f t="shared" si="11"/>
        <v>0</v>
      </c>
      <c r="U18" s="654">
        <f t="shared" si="12"/>
        <v>0</v>
      </c>
      <c r="V18" s="248"/>
      <c r="X18" s="1"/>
    </row>
    <row r="19" spans="1:24" x14ac:dyDescent="0.2">
      <c r="A19" s="33">
        <f t="shared" si="16"/>
        <v>2006</v>
      </c>
      <c r="B19" s="30">
        <v>0</v>
      </c>
      <c r="C19" s="660">
        <f t="shared" si="0"/>
        <v>0</v>
      </c>
      <c r="D19" s="662">
        <f t="shared" si="1"/>
        <v>0</v>
      </c>
      <c r="E19" s="663">
        <f t="shared" si="2"/>
        <v>0</v>
      </c>
      <c r="F19" s="675">
        <f t="shared" si="3"/>
        <v>0</v>
      </c>
      <c r="G19" s="626">
        <v>0</v>
      </c>
      <c r="H19" s="72">
        <v>0</v>
      </c>
      <c r="I19" s="630">
        <v>0</v>
      </c>
      <c r="J19" s="61">
        <f t="shared" si="13"/>
        <v>0</v>
      </c>
      <c r="K19" s="188">
        <f t="shared" si="4"/>
        <v>0</v>
      </c>
      <c r="L19" s="188">
        <f t="shared" si="5"/>
        <v>0</v>
      </c>
      <c r="M19" s="188">
        <f t="shared" si="6"/>
        <v>0</v>
      </c>
      <c r="N19" s="54">
        <f t="shared" si="14"/>
        <v>0</v>
      </c>
      <c r="O19" s="670">
        <f t="shared" si="7"/>
        <v>0</v>
      </c>
      <c r="P19" s="670">
        <f t="shared" si="8"/>
        <v>0</v>
      </c>
      <c r="Q19" s="670">
        <f t="shared" si="9"/>
        <v>0</v>
      </c>
      <c r="R19" s="247">
        <f t="shared" si="15"/>
        <v>0</v>
      </c>
      <c r="S19" s="24">
        <f t="shared" si="10"/>
        <v>0</v>
      </c>
      <c r="T19" s="25">
        <f t="shared" si="11"/>
        <v>0</v>
      </c>
      <c r="U19" s="654">
        <f t="shared" si="12"/>
        <v>0</v>
      </c>
      <c r="V19" s="8"/>
      <c r="X19" s="1"/>
    </row>
    <row r="20" spans="1:24" x14ac:dyDescent="0.2">
      <c r="A20" s="33">
        <f t="shared" si="16"/>
        <v>2007</v>
      </c>
      <c r="B20" s="30">
        <v>0</v>
      </c>
      <c r="C20" s="660">
        <f t="shared" si="0"/>
        <v>0</v>
      </c>
      <c r="D20" s="662">
        <f>IF($B20=0,0,(G20*1000)/$B20)</f>
        <v>0</v>
      </c>
      <c r="E20" s="663">
        <f>IF($B20=0,0,(H20*1000)/$B20)</f>
        <v>0</v>
      </c>
      <c r="F20" s="675">
        <f>IF($B20=0,0,(I20*1000000)/$B20)</f>
        <v>0</v>
      </c>
      <c r="G20" s="626">
        <v>0</v>
      </c>
      <c r="H20" s="72">
        <v>0</v>
      </c>
      <c r="I20" s="630">
        <v>0</v>
      </c>
      <c r="J20" s="61">
        <f t="shared" si="13"/>
        <v>0</v>
      </c>
      <c r="K20" s="188">
        <f t="shared" si="4"/>
        <v>0</v>
      </c>
      <c r="L20" s="188">
        <f t="shared" si="5"/>
        <v>0</v>
      </c>
      <c r="M20" s="188">
        <f t="shared" si="6"/>
        <v>0</v>
      </c>
      <c r="N20" s="54">
        <f t="shared" si="14"/>
        <v>0</v>
      </c>
      <c r="O20" s="670">
        <f t="shared" si="7"/>
        <v>0</v>
      </c>
      <c r="P20" s="670">
        <f t="shared" si="8"/>
        <v>0</v>
      </c>
      <c r="Q20" s="670">
        <f t="shared" si="9"/>
        <v>0</v>
      </c>
      <c r="R20" s="247">
        <f t="shared" si="15"/>
        <v>0</v>
      </c>
      <c r="S20" s="24">
        <f t="shared" si="10"/>
        <v>0</v>
      </c>
      <c r="T20" s="25">
        <f t="shared" si="11"/>
        <v>0</v>
      </c>
      <c r="U20" s="654">
        <f t="shared" si="12"/>
        <v>0</v>
      </c>
    </row>
    <row r="21" spans="1:24" x14ac:dyDescent="0.2">
      <c r="A21" s="33">
        <f t="shared" si="16"/>
        <v>2008</v>
      </c>
      <c r="B21" s="30">
        <v>52</v>
      </c>
      <c r="C21" s="660">
        <f t="shared" si="0"/>
        <v>52</v>
      </c>
      <c r="D21" s="662">
        <v>0.47</v>
      </c>
      <c r="E21" s="663">
        <v>0.17</v>
      </c>
      <c r="F21" s="617">
        <v>684</v>
      </c>
      <c r="G21" s="626">
        <f>+$B21*D21/1000</f>
        <v>2.4439999999999996E-2</v>
      </c>
      <c r="H21" s="72">
        <f>+$B21*E21/1000</f>
        <v>8.8400000000000006E-3</v>
      </c>
      <c r="I21" s="630">
        <f>+$B21*F21/1000000</f>
        <v>3.5568000000000002E-2</v>
      </c>
      <c r="J21" s="61">
        <f t="shared" si="13"/>
        <v>26</v>
      </c>
      <c r="K21" s="188">
        <f t="shared" si="4"/>
        <v>0.47</v>
      </c>
      <c r="L21" s="188">
        <f t="shared" si="5"/>
        <v>1.2219999999999998E-2</v>
      </c>
      <c r="M21" s="188">
        <f t="shared" si="6"/>
        <v>1.2219999999999998E-2</v>
      </c>
      <c r="N21" s="54">
        <f t="shared" si="14"/>
        <v>0</v>
      </c>
      <c r="O21" s="670">
        <f t="shared" si="7"/>
        <v>0.17</v>
      </c>
      <c r="P21" s="670">
        <f t="shared" si="8"/>
        <v>0</v>
      </c>
      <c r="Q21" s="670">
        <f t="shared" si="9"/>
        <v>0</v>
      </c>
      <c r="R21" s="247">
        <f t="shared" si="15"/>
        <v>26</v>
      </c>
      <c r="S21" s="24">
        <f t="shared" si="10"/>
        <v>684</v>
      </c>
      <c r="T21" s="25">
        <f t="shared" si="11"/>
        <v>1.7784000000000001E-2</v>
      </c>
      <c r="U21" s="654">
        <f t="shared" si="12"/>
        <v>1.7784000000000001E-2</v>
      </c>
    </row>
    <row r="22" spans="1:24" x14ac:dyDescent="0.2">
      <c r="A22" s="33">
        <f t="shared" si="16"/>
        <v>2009</v>
      </c>
      <c r="B22" s="30">
        <v>1185</v>
      </c>
      <c r="C22" s="660">
        <f t="shared" si="0"/>
        <v>1237</v>
      </c>
      <c r="D22" s="662">
        <v>0.47</v>
      </c>
      <c r="E22" s="663">
        <v>0.17</v>
      </c>
      <c r="F22" s="675">
        <v>684</v>
      </c>
      <c r="G22" s="626">
        <f t="shared" ref="G22:G39" si="17">+$B22*D22/1000</f>
        <v>0.55694999999999995</v>
      </c>
      <c r="H22" s="72">
        <f t="shared" ref="H22:H39" si="18">+$B22*E22/1000</f>
        <v>0.20145000000000002</v>
      </c>
      <c r="I22" s="630">
        <f t="shared" ref="I22:I39" si="19">+$B22*F22/1000000</f>
        <v>0.81054000000000004</v>
      </c>
      <c r="J22" s="61">
        <f t="shared" si="13"/>
        <v>618.5</v>
      </c>
      <c r="K22" s="188">
        <f t="shared" si="4"/>
        <v>0.47</v>
      </c>
      <c r="L22" s="188">
        <f t="shared" si="5"/>
        <v>0.29069499999999998</v>
      </c>
      <c r="M22" s="188">
        <f t="shared" si="6"/>
        <v>0.30291499999999999</v>
      </c>
      <c r="N22" s="54">
        <f t="shared" si="14"/>
        <v>52</v>
      </c>
      <c r="O22" s="670">
        <f t="shared" si="7"/>
        <v>0.17</v>
      </c>
      <c r="P22" s="670">
        <f t="shared" si="8"/>
        <v>8.8400000000000006E-3</v>
      </c>
      <c r="Q22" s="670">
        <f t="shared" si="9"/>
        <v>8.8400000000000006E-3</v>
      </c>
      <c r="R22" s="247">
        <f t="shared" si="15"/>
        <v>618.5</v>
      </c>
      <c r="S22" s="24">
        <f t="shared" si="10"/>
        <v>684</v>
      </c>
      <c r="T22" s="25">
        <f t="shared" si="11"/>
        <v>0.42305399999999999</v>
      </c>
      <c r="U22" s="654">
        <f t="shared" si="12"/>
        <v>0.44083800000000001</v>
      </c>
    </row>
    <row r="23" spans="1:24" x14ac:dyDescent="0.2">
      <c r="A23" s="33">
        <f t="shared" si="16"/>
        <v>2010</v>
      </c>
      <c r="B23" s="1247">
        <v>5494</v>
      </c>
      <c r="C23" s="661">
        <f t="shared" si="0"/>
        <v>6731</v>
      </c>
      <c r="D23" s="662">
        <v>0.47</v>
      </c>
      <c r="E23" s="663">
        <v>0.17</v>
      </c>
      <c r="F23" s="617">
        <v>684</v>
      </c>
      <c r="G23" s="626">
        <f t="shared" si="17"/>
        <v>2.5821799999999997</v>
      </c>
      <c r="H23" s="72">
        <f t="shared" si="18"/>
        <v>0.93398000000000003</v>
      </c>
      <c r="I23" s="630">
        <f t="shared" si="19"/>
        <v>3.7578960000000001</v>
      </c>
      <c r="J23" s="61">
        <f t="shared" si="13"/>
        <v>3339.5</v>
      </c>
      <c r="K23" s="188">
        <f t="shared" si="4"/>
        <v>0.47</v>
      </c>
      <c r="L23" s="188">
        <f t="shared" si="5"/>
        <v>1.5695649999999999</v>
      </c>
      <c r="M23" s="188">
        <f t="shared" si="6"/>
        <v>1.8724799999999999</v>
      </c>
      <c r="N23" s="54">
        <f t="shared" si="14"/>
        <v>1185</v>
      </c>
      <c r="O23" s="670">
        <f t="shared" si="7"/>
        <v>0.17</v>
      </c>
      <c r="P23" s="670">
        <f t="shared" si="8"/>
        <v>0.20145000000000002</v>
      </c>
      <c r="Q23" s="670">
        <f t="shared" si="9"/>
        <v>0.21029000000000003</v>
      </c>
      <c r="R23" s="247">
        <f t="shared" si="15"/>
        <v>3339.5</v>
      </c>
      <c r="S23" s="24">
        <f t="shared" si="10"/>
        <v>684</v>
      </c>
      <c r="T23" s="25">
        <f t="shared" si="11"/>
        <v>2.2842180000000001</v>
      </c>
      <c r="U23" s="654">
        <f t="shared" si="12"/>
        <v>2.7250559999999999</v>
      </c>
    </row>
    <row r="24" spans="1:24" x14ac:dyDescent="0.2">
      <c r="A24" s="33">
        <f t="shared" si="16"/>
        <v>2011</v>
      </c>
      <c r="B24" s="30">
        <v>2655</v>
      </c>
      <c r="C24" s="661">
        <f t="shared" si="0"/>
        <v>9386</v>
      </c>
      <c r="D24" s="662">
        <v>0.65</v>
      </c>
      <c r="E24" s="663">
        <v>0.1</v>
      </c>
      <c r="F24" s="617">
        <v>2426</v>
      </c>
      <c r="G24" s="626">
        <f t="shared" si="17"/>
        <v>1.7257499999999999</v>
      </c>
      <c r="H24" s="72">
        <f t="shared" si="18"/>
        <v>0.26550000000000001</v>
      </c>
      <c r="I24" s="630">
        <f t="shared" si="19"/>
        <v>6.4410299999999996</v>
      </c>
      <c r="J24" s="61">
        <f t="shared" si="13"/>
        <v>4074.5</v>
      </c>
      <c r="K24" s="188">
        <f t="shared" si="4"/>
        <v>0.65</v>
      </c>
      <c r="L24" s="188">
        <f t="shared" si="5"/>
        <v>2.648425</v>
      </c>
      <c r="M24" s="188">
        <f t="shared" si="6"/>
        <v>4.520905</v>
      </c>
      <c r="N24" s="54">
        <f t="shared" si="14"/>
        <v>5494</v>
      </c>
      <c r="O24" s="670">
        <f t="shared" si="7"/>
        <v>0.1</v>
      </c>
      <c r="P24" s="670">
        <f t="shared" si="8"/>
        <v>0.5494</v>
      </c>
      <c r="Q24" s="670">
        <f t="shared" si="9"/>
        <v>0.75968999999999998</v>
      </c>
      <c r="R24" s="247">
        <f t="shared" si="15"/>
        <v>4074.5</v>
      </c>
      <c r="S24" s="24">
        <f t="shared" si="10"/>
        <v>2426</v>
      </c>
      <c r="T24" s="25">
        <f t="shared" si="11"/>
        <v>9.8847369999999994</v>
      </c>
      <c r="U24" s="654">
        <f t="shared" si="12"/>
        <v>12.609793</v>
      </c>
    </row>
    <row r="25" spans="1:24" x14ac:dyDescent="0.2">
      <c r="A25" s="33">
        <f t="shared" si="16"/>
        <v>2012</v>
      </c>
      <c r="B25" s="30">
        <v>643</v>
      </c>
      <c r="C25" s="661">
        <f t="shared" si="0"/>
        <v>10029</v>
      </c>
      <c r="D25" s="662">
        <v>0.31</v>
      </c>
      <c r="E25" s="663">
        <v>0</v>
      </c>
      <c r="F25" s="617">
        <v>1450</v>
      </c>
      <c r="G25" s="626">
        <f t="shared" si="17"/>
        <v>0.19933000000000001</v>
      </c>
      <c r="H25" s="72">
        <f t="shared" si="18"/>
        <v>0</v>
      </c>
      <c r="I25" s="630">
        <f t="shared" si="19"/>
        <v>0.93235000000000001</v>
      </c>
      <c r="J25" s="61">
        <f t="shared" si="13"/>
        <v>1649</v>
      </c>
      <c r="K25" s="188">
        <f t="shared" si="4"/>
        <v>0.31</v>
      </c>
      <c r="L25" s="188">
        <f t="shared" si="5"/>
        <v>0.51119000000000003</v>
      </c>
      <c r="M25" s="188">
        <f t="shared" si="6"/>
        <v>5.032095</v>
      </c>
      <c r="N25" s="54">
        <f t="shared" si="14"/>
        <v>2655</v>
      </c>
      <c r="O25" s="670">
        <f t="shared" si="7"/>
        <v>0</v>
      </c>
      <c r="P25" s="670">
        <f t="shared" si="8"/>
        <v>0</v>
      </c>
      <c r="Q25" s="670">
        <f t="shared" si="9"/>
        <v>0.75968999999999998</v>
      </c>
      <c r="R25" s="247">
        <f t="shared" si="15"/>
        <v>1649</v>
      </c>
      <c r="S25" s="24">
        <f t="shared" si="10"/>
        <v>1450</v>
      </c>
      <c r="T25" s="25">
        <f t="shared" si="11"/>
        <v>2.3910499999999999</v>
      </c>
      <c r="U25" s="654">
        <f t="shared" si="12"/>
        <v>15.000843</v>
      </c>
    </row>
    <row r="26" spans="1:24" s="831" customFormat="1" x14ac:dyDescent="0.2">
      <c r="A26" s="33">
        <f t="shared" si="16"/>
        <v>2013</v>
      </c>
      <c r="B26" s="30">
        <v>476</v>
      </c>
      <c r="C26" s="619">
        <f t="shared" si="0"/>
        <v>10505</v>
      </c>
      <c r="D26" s="807">
        <v>0.79</v>
      </c>
      <c r="E26" s="808">
        <v>0.01</v>
      </c>
      <c r="F26" s="806">
        <v>3446</v>
      </c>
      <c r="G26" s="626">
        <f t="shared" si="17"/>
        <v>0.37604000000000004</v>
      </c>
      <c r="H26" s="72">
        <f t="shared" si="18"/>
        <v>4.7599999999999995E-3</v>
      </c>
      <c r="I26" s="630">
        <f t="shared" si="19"/>
        <v>1.640296</v>
      </c>
      <c r="J26" s="61">
        <f t="shared" si="13"/>
        <v>559.5</v>
      </c>
      <c r="K26" s="188">
        <f t="shared" si="4"/>
        <v>0.79</v>
      </c>
      <c r="L26" s="188">
        <f t="shared" si="5"/>
        <v>0.44200499999999998</v>
      </c>
      <c r="M26" s="829">
        <f t="shared" si="6"/>
        <v>5.4741</v>
      </c>
      <c r="N26" s="54">
        <f t="shared" si="14"/>
        <v>643</v>
      </c>
      <c r="O26" s="670">
        <f t="shared" si="7"/>
        <v>0.01</v>
      </c>
      <c r="P26" s="670">
        <f t="shared" si="8"/>
        <v>6.43E-3</v>
      </c>
      <c r="Q26" s="671">
        <f t="shared" si="9"/>
        <v>0.76612000000000002</v>
      </c>
      <c r="R26" s="247">
        <f t="shared" si="15"/>
        <v>559.5</v>
      </c>
      <c r="S26" s="24">
        <f t="shared" si="10"/>
        <v>3446</v>
      </c>
      <c r="T26" s="25">
        <f t="shared" si="11"/>
        <v>1.928037</v>
      </c>
      <c r="U26" s="654">
        <f t="shared" si="12"/>
        <v>16.928879999999999</v>
      </c>
      <c r="V26" s="830"/>
    </row>
    <row r="27" spans="1:24" s="831" customFormat="1" x14ac:dyDescent="0.2">
      <c r="A27" s="33">
        <f t="shared" si="16"/>
        <v>2014</v>
      </c>
      <c r="B27" s="30">
        <v>172</v>
      </c>
      <c r="C27" s="619">
        <f t="shared" si="0"/>
        <v>10677</v>
      </c>
      <c r="D27" s="807">
        <v>0.24</v>
      </c>
      <c r="E27" s="808">
        <v>0</v>
      </c>
      <c r="F27" s="806">
        <v>1170</v>
      </c>
      <c r="G27" s="626">
        <f t="shared" si="17"/>
        <v>4.1280000000000004E-2</v>
      </c>
      <c r="H27" s="72">
        <f t="shared" si="18"/>
        <v>0</v>
      </c>
      <c r="I27" s="630">
        <f t="shared" si="19"/>
        <v>0.20124</v>
      </c>
      <c r="J27" s="61">
        <f t="shared" si="13"/>
        <v>324</v>
      </c>
      <c r="K27" s="188">
        <f t="shared" si="4"/>
        <v>0.24</v>
      </c>
      <c r="L27" s="188">
        <f t="shared" si="5"/>
        <v>7.7759999999999996E-2</v>
      </c>
      <c r="M27" s="829">
        <f t="shared" si="6"/>
        <v>5.5518599999999996</v>
      </c>
      <c r="N27" s="54">
        <f t="shared" si="14"/>
        <v>476</v>
      </c>
      <c r="O27" s="670">
        <f t="shared" si="7"/>
        <v>0</v>
      </c>
      <c r="P27" s="670">
        <f t="shared" si="8"/>
        <v>0</v>
      </c>
      <c r="Q27" s="671">
        <f t="shared" si="9"/>
        <v>0.76612000000000002</v>
      </c>
      <c r="R27" s="247">
        <f t="shared" si="15"/>
        <v>324</v>
      </c>
      <c r="S27" s="24">
        <f t="shared" si="10"/>
        <v>1170</v>
      </c>
      <c r="T27" s="25">
        <f t="shared" si="11"/>
        <v>0.37907999999999997</v>
      </c>
      <c r="U27" s="654">
        <f t="shared" si="12"/>
        <v>17.307959999999998</v>
      </c>
      <c r="V27" s="830"/>
    </row>
    <row r="28" spans="1:24" s="831" customFormat="1" x14ac:dyDescent="0.2">
      <c r="A28" s="33">
        <f t="shared" si="16"/>
        <v>2015</v>
      </c>
      <c r="B28" s="30">
        <v>257</v>
      </c>
      <c r="C28" s="619">
        <f t="shared" si="0"/>
        <v>10934</v>
      </c>
      <c r="D28" s="807">
        <f>D61</f>
        <v>0.22303501945525292</v>
      </c>
      <c r="E28" s="808">
        <f t="shared" ref="E28:F28" si="20">E61</f>
        <v>0</v>
      </c>
      <c r="F28" s="806">
        <f t="shared" si="20"/>
        <v>1039.2663424124514</v>
      </c>
      <c r="G28" s="626">
        <f t="shared" si="17"/>
        <v>5.7320000000000003E-2</v>
      </c>
      <c r="H28" s="72">
        <f t="shared" si="18"/>
        <v>0</v>
      </c>
      <c r="I28" s="630">
        <f t="shared" si="19"/>
        <v>0.26709145000000001</v>
      </c>
      <c r="J28" s="61">
        <f t="shared" si="13"/>
        <v>214.5</v>
      </c>
      <c r="K28" s="188">
        <f t="shared" si="4"/>
        <v>0.22303501945525292</v>
      </c>
      <c r="L28" s="188">
        <f t="shared" si="5"/>
        <v>4.7841011673151752E-2</v>
      </c>
      <c r="M28" s="829">
        <f t="shared" si="6"/>
        <v>5.5997010116731509</v>
      </c>
      <c r="N28" s="54">
        <f t="shared" si="14"/>
        <v>172</v>
      </c>
      <c r="O28" s="670">
        <f t="shared" si="7"/>
        <v>0</v>
      </c>
      <c r="P28" s="670">
        <f t="shared" si="8"/>
        <v>0</v>
      </c>
      <c r="Q28" s="671">
        <f t="shared" si="9"/>
        <v>0.76612000000000002</v>
      </c>
      <c r="R28" s="247">
        <f t="shared" si="15"/>
        <v>214.5</v>
      </c>
      <c r="S28" s="24">
        <f t="shared" si="10"/>
        <v>1039.2663424124514</v>
      </c>
      <c r="T28" s="25">
        <f t="shared" si="11"/>
        <v>0.22292263044747082</v>
      </c>
      <c r="U28" s="654">
        <f t="shared" si="12"/>
        <v>17.530882630447469</v>
      </c>
      <c r="V28" s="830"/>
    </row>
    <row r="29" spans="1:24" ht="13.5" thickBot="1" x14ac:dyDescent="0.25">
      <c r="A29" s="701">
        <f t="shared" si="16"/>
        <v>2016</v>
      </c>
      <c r="B29" s="702">
        <v>96</v>
      </c>
      <c r="C29" s="703">
        <f t="shared" si="0"/>
        <v>11030</v>
      </c>
      <c r="D29" s="835">
        <v>0.19</v>
      </c>
      <c r="E29" s="835">
        <v>0</v>
      </c>
      <c r="F29" s="702">
        <v>867</v>
      </c>
      <c r="G29" s="823">
        <f t="shared" si="17"/>
        <v>1.8240000000000003E-2</v>
      </c>
      <c r="H29" s="707">
        <f t="shared" si="18"/>
        <v>0</v>
      </c>
      <c r="I29" s="824">
        <f t="shared" si="19"/>
        <v>8.3232E-2</v>
      </c>
      <c r="J29" s="708">
        <f t="shared" si="13"/>
        <v>176.5</v>
      </c>
      <c r="K29" s="825">
        <f t="shared" si="4"/>
        <v>0.19</v>
      </c>
      <c r="L29" s="825">
        <f t="shared" si="5"/>
        <v>3.3535000000000002E-2</v>
      </c>
      <c r="M29" s="826">
        <f t="shared" si="6"/>
        <v>5.6332360116731506</v>
      </c>
      <c r="N29" s="711">
        <f t="shared" si="14"/>
        <v>257</v>
      </c>
      <c r="O29" s="827">
        <f t="shared" si="7"/>
        <v>0</v>
      </c>
      <c r="P29" s="827">
        <f t="shared" si="8"/>
        <v>0</v>
      </c>
      <c r="Q29" s="828">
        <f t="shared" si="9"/>
        <v>0.76612000000000002</v>
      </c>
      <c r="R29" s="714">
        <f t="shared" si="15"/>
        <v>176.5</v>
      </c>
      <c r="S29" s="715">
        <f t="shared" si="10"/>
        <v>867</v>
      </c>
      <c r="T29" s="716">
        <f t="shared" si="11"/>
        <v>0.15302550000000001</v>
      </c>
      <c r="U29" s="717">
        <f t="shared" si="12"/>
        <v>17.683908130447467</v>
      </c>
    </row>
    <row r="30" spans="1:24" x14ac:dyDescent="0.2">
      <c r="A30" s="33">
        <f t="shared" si="16"/>
        <v>2017</v>
      </c>
      <c r="B30" s="787">
        <v>250</v>
      </c>
      <c r="C30" s="565">
        <f t="shared" si="0"/>
        <v>11280</v>
      </c>
      <c r="D30" s="965">
        <f t="shared" ref="D30:D54" si="21">+D29</f>
        <v>0.19</v>
      </c>
      <c r="E30" s="966">
        <f t="shared" ref="E30:E54" si="22">+E29</f>
        <v>0</v>
      </c>
      <c r="F30" s="790">
        <f t="shared" ref="F30:F54" si="23">+F29</f>
        <v>867</v>
      </c>
      <c r="G30" s="473">
        <f t="shared" si="17"/>
        <v>4.7500000000000001E-2</v>
      </c>
      <c r="H30" s="474">
        <f t="shared" si="18"/>
        <v>0</v>
      </c>
      <c r="I30" s="474">
        <f t="shared" si="19"/>
        <v>0.21675</v>
      </c>
      <c r="J30" s="61">
        <f t="shared" si="13"/>
        <v>173</v>
      </c>
      <c r="K30" s="967">
        <f t="shared" si="4"/>
        <v>0.19</v>
      </c>
      <c r="L30" s="967">
        <f t="shared" si="5"/>
        <v>3.2869999999999996E-2</v>
      </c>
      <c r="M30" s="967">
        <f t="shared" si="6"/>
        <v>5.6661060116731505</v>
      </c>
      <c r="N30" s="54">
        <f t="shared" si="14"/>
        <v>96</v>
      </c>
      <c r="O30" s="968">
        <f t="shared" si="7"/>
        <v>0</v>
      </c>
      <c r="P30" s="968">
        <f t="shared" si="8"/>
        <v>0</v>
      </c>
      <c r="Q30" s="969">
        <f t="shared" si="9"/>
        <v>0.76612000000000002</v>
      </c>
      <c r="R30" s="247">
        <f t="shared" si="15"/>
        <v>173</v>
      </c>
      <c r="S30" s="24">
        <f t="shared" si="10"/>
        <v>867</v>
      </c>
      <c r="T30" s="970">
        <f t="shared" si="11"/>
        <v>0.14999100000000001</v>
      </c>
      <c r="U30" s="971">
        <f t="shared" si="12"/>
        <v>17.833899130447467</v>
      </c>
    </row>
    <row r="31" spans="1:24" x14ac:dyDescent="0.2">
      <c r="A31" s="33">
        <f t="shared" si="16"/>
        <v>2018</v>
      </c>
      <c r="B31" s="787">
        <v>250</v>
      </c>
      <c r="C31" s="565">
        <f t="shared" si="0"/>
        <v>11530</v>
      </c>
      <c r="D31" s="965">
        <f t="shared" si="21"/>
        <v>0.19</v>
      </c>
      <c r="E31" s="966">
        <f t="shared" si="22"/>
        <v>0</v>
      </c>
      <c r="F31" s="790">
        <f t="shared" si="23"/>
        <v>867</v>
      </c>
      <c r="G31" s="473">
        <f t="shared" si="17"/>
        <v>4.7500000000000001E-2</v>
      </c>
      <c r="H31" s="474">
        <f t="shared" si="18"/>
        <v>0</v>
      </c>
      <c r="I31" s="474">
        <f t="shared" si="19"/>
        <v>0.21675</v>
      </c>
      <c r="J31" s="61">
        <f t="shared" si="13"/>
        <v>250</v>
      </c>
      <c r="K31" s="967">
        <f t="shared" si="4"/>
        <v>0.19</v>
      </c>
      <c r="L31" s="967">
        <f t="shared" si="5"/>
        <v>4.7500000000000001E-2</v>
      </c>
      <c r="M31" s="967">
        <f t="shared" si="6"/>
        <v>5.7136060116731509</v>
      </c>
      <c r="N31" s="54">
        <f t="shared" si="14"/>
        <v>250</v>
      </c>
      <c r="O31" s="968">
        <f t="shared" si="7"/>
        <v>0</v>
      </c>
      <c r="P31" s="968">
        <f t="shared" si="8"/>
        <v>0</v>
      </c>
      <c r="Q31" s="969">
        <f t="shared" si="9"/>
        <v>0.76612000000000002</v>
      </c>
      <c r="R31" s="247">
        <f t="shared" si="15"/>
        <v>250</v>
      </c>
      <c r="S31" s="24">
        <f t="shared" si="10"/>
        <v>867</v>
      </c>
      <c r="T31" s="970">
        <f t="shared" si="11"/>
        <v>0.21675</v>
      </c>
      <c r="U31" s="971">
        <f t="shared" si="12"/>
        <v>18.050649130447468</v>
      </c>
    </row>
    <row r="32" spans="1:24" x14ac:dyDescent="0.2">
      <c r="A32" s="33">
        <f t="shared" si="16"/>
        <v>2019</v>
      </c>
      <c r="B32" s="787">
        <v>250</v>
      </c>
      <c r="C32" s="565">
        <f t="shared" si="0"/>
        <v>11780</v>
      </c>
      <c r="D32" s="965">
        <f t="shared" si="21"/>
        <v>0.19</v>
      </c>
      <c r="E32" s="966">
        <f t="shared" si="22"/>
        <v>0</v>
      </c>
      <c r="F32" s="790">
        <f t="shared" si="23"/>
        <v>867</v>
      </c>
      <c r="G32" s="473">
        <f t="shared" si="17"/>
        <v>4.7500000000000001E-2</v>
      </c>
      <c r="H32" s="474">
        <f t="shared" si="18"/>
        <v>0</v>
      </c>
      <c r="I32" s="474">
        <f t="shared" si="19"/>
        <v>0.21675</v>
      </c>
      <c r="J32" s="61">
        <f t="shared" si="13"/>
        <v>250</v>
      </c>
      <c r="K32" s="967">
        <f t="shared" si="4"/>
        <v>0.19</v>
      </c>
      <c r="L32" s="967">
        <f t="shared" si="5"/>
        <v>4.7500000000000001E-2</v>
      </c>
      <c r="M32" s="967">
        <f t="shared" si="6"/>
        <v>5.7611060116731512</v>
      </c>
      <c r="N32" s="54">
        <f t="shared" si="14"/>
        <v>250</v>
      </c>
      <c r="O32" s="968">
        <f t="shared" si="7"/>
        <v>0</v>
      </c>
      <c r="P32" s="968">
        <f t="shared" si="8"/>
        <v>0</v>
      </c>
      <c r="Q32" s="969">
        <f t="shared" si="9"/>
        <v>0.76612000000000002</v>
      </c>
      <c r="R32" s="247">
        <f t="shared" si="15"/>
        <v>250</v>
      </c>
      <c r="S32" s="24">
        <f t="shared" si="10"/>
        <v>867</v>
      </c>
      <c r="T32" s="970">
        <f t="shared" si="11"/>
        <v>0.21675</v>
      </c>
      <c r="U32" s="971">
        <f t="shared" si="12"/>
        <v>18.267399130447469</v>
      </c>
    </row>
    <row r="33" spans="1:21" x14ac:dyDescent="0.2">
      <c r="A33" s="33">
        <f t="shared" si="16"/>
        <v>2020</v>
      </c>
      <c r="B33" s="787">
        <v>200</v>
      </c>
      <c r="C33" s="565">
        <f t="shared" si="0"/>
        <v>11980</v>
      </c>
      <c r="D33" s="965">
        <f t="shared" si="21"/>
        <v>0.19</v>
      </c>
      <c r="E33" s="966">
        <f t="shared" si="22"/>
        <v>0</v>
      </c>
      <c r="F33" s="790">
        <f t="shared" si="23"/>
        <v>867</v>
      </c>
      <c r="G33" s="473">
        <f t="shared" si="17"/>
        <v>3.7999999999999999E-2</v>
      </c>
      <c r="H33" s="474">
        <f t="shared" si="18"/>
        <v>0</v>
      </c>
      <c r="I33" s="474">
        <f t="shared" si="19"/>
        <v>0.1734</v>
      </c>
      <c r="J33" s="61">
        <f t="shared" si="13"/>
        <v>225</v>
      </c>
      <c r="K33" s="967">
        <f t="shared" si="4"/>
        <v>0.19</v>
      </c>
      <c r="L33" s="967">
        <f t="shared" si="5"/>
        <v>4.2750000000000003E-2</v>
      </c>
      <c r="M33" s="967">
        <f t="shared" si="6"/>
        <v>5.803856011673151</v>
      </c>
      <c r="N33" s="54">
        <f t="shared" si="14"/>
        <v>250</v>
      </c>
      <c r="O33" s="968">
        <f t="shared" si="7"/>
        <v>0</v>
      </c>
      <c r="P33" s="968">
        <f t="shared" si="8"/>
        <v>0</v>
      </c>
      <c r="Q33" s="969">
        <f t="shared" si="9"/>
        <v>0.76612000000000002</v>
      </c>
      <c r="R33" s="247">
        <f t="shared" si="15"/>
        <v>225</v>
      </c>
      <c r="S33" s="24">
        <f t="shared" si="10"/>
        <v>867</v>
      </c>
      <c r="T33" s="970">
        <f t="shared" si="11"/>
        <v>0.195075</v>
      </c>
      <c r="U33" s="971">
        <f t="shared" si="12"/>
        <v>18.462474130447468</v>
      </c>
    </row>
    <row r="34" spans="1:21" x14ac:dyDescent="0.2">
      <c r="A34" s="33">
        <f t="shared" si="16"/>
        <v>2021</v>
      </c>
      <c r="B34" s="787">
        <f t="shared" ref="B34:B47" si="24">B33</f>
        <v>200</v>
      </c>
      <c r="C34" s="565">
        <f t="shared" si="0"/>
        <v>12180</v>
      </c>
      <c r="D34" s="965">
        <f t="shared" si="21"/>
        <v>0.19</v>
      </c>
      <c r="E34" s="966">
        <f t="shared" si="22"/>
        <v>0</v>
      </c>
      <c r="F34" s="790">
        <f t="shared" si="23"/>
        <v>867</v>
      </c>
      <c r="G34" s="473">
        <f t="shared" si="17"/>
        <v>3.7999999999999999E-2</v>
      </c>
      <c r="H34" s="474">
        <f t="shared" si="18"/>
        <v>0</v>
      </c>
      <c r="I34" s="474">
        <f t="shared" si="19"/>
        <v>0.1734</v>
      </c>
      <c r="J34" s="61">
        <f t="shared" si="13"/>
        <v>200</v>
      </c>
      <c r="K34" s="967">
        <f t="shared" si="4"/>
        <v>0.19</v>
      </c>
      <c r="L34" s="967">
        <f t="shared" si="5"/>
        <v>3.7999999999999999E-2</v>
      </c>
      <c r="M34" s="967">
        <f t="shared" si="6"/>
        <v>5.8418560116731513</v>
      </c>
      <c r="N34" s="54">
        <f t="shared" si="14"/>
        <v>200</v>
      </c>
      <c r="O34" s="968">
        <f t="shared" si="7"/>
        <v>0</v>
      </c>
      <c r="P34" s="968">
        <f t="shared" si="8"/>
        <v>0</v>
      </c>
      <c r="Q34" s="969">
        <f t="shared" si="9"/>
        <v>0.76612000000000002</v>
      </c>
      <c r="R34" s="247">
        <f t="shared" si="15"/>
        <v>200</v>
      </c>
      <c r="S34" s="24">
        <f t="shared" si="10"/>
        <v>867</v>
      </c>
      <c r="T34" s="970">
        <f t="shared" si="11"/>
        <v>0.1734</v>
      </c>
      <c r="U34" s="971">
        <f t="shared" si="12"/>
        <v>18.635874130447469</v>
      </c>
    </row>
    <row r="35" spans="1:21" x14ac:dyDescent="0.2">
      <c r="A35" s="33">
        <f t="shared" si="16"/>
        <v>2022</v>
      </c>
      <c r="B35" s="787">
        <f t="shared" si="24"/>
        <v>200</v>
      </c>
      <c r="C35" s="565">
        <f t="shared" si="0"/>
        <v>12380</v>
      </c>
      <c r="D35" s="965">
        <f t="shared" si="21"/>
        <v>0.19</v>
      </c>
      <c r="E35" s="966">
        <f t="shared" si="22"/>
        <v>0</v>
      </c>
      <c r="F35" s="790">
        <f t="shared" si="23"/>
        <v>867</v>
      </c>
      <c r="G35" s="473">
        <f t="shared" si="17"/>
        <v>3.7999999999999999E-2</v>
      </c>
      <c r="H35" s="474">
        <f t="shared" si="18"/>
        <v>0</v>
      </c>
      <c r="I35" s="474">
        <f t="shared" si="19"/>
        <v>0.1734</v>
      </c>
      <c r="J35" s="61">
        <f t="shared" si="13"/>
        <v>200</v>
      </c>
      <c r="K35" s="967">
        <f t="shared" si="4"/>
        <v>0.19</v>
      </c>
      <c r="L35" s="967">
        <f t="shared" si="5"/>
        <v>3.7999999999999999E-2</v>
      </c>
      <c r="M35" s="967">
        <f t="shared" si="6"/>
        <v>5.8798560116731515</v>
      </c>
      <c r="N35" s="54">
        <f t="shared" si="14"/>
        <v>200</v>
      </c>
      <c r="O35" s="968">
        <f t="shared" si="7"/>
        <v>0</v>
      </c>
      <c r="P35" s="968">
        <f t="shared" si="8"/>
        <v>0</v>
      </c>
      <c r="Q35" s="969">
        <f t="shared" si="9"/>
        <v>0.76612000000000002</v>
      </c>
      <c r="R35" s="247">
        <f t="shared" si="15"/>
        <v>200</v>
      </c>
      <c r="S35" s="24">
        <f t="shared" si="10"/>
        <v>867</v>
      </c>
      <c r="T35" s="970">
        <f t="shared" si="11"/>
        <v>0.1734</v>
      </c>
      <c r="U35" s="971">
        <f t="shared" si="12"/>
        <v>18.80927413044747</v>
      </c>
    </row>
    <row r="36" spans="1:21" x14ac:dyDescent="0.2">
      <c r="A36" s="33">
        <f t="shared" si="16"/>
        <v>2023</v>
      </c>
      <c r="B36" s="787">
        <f t="shared" si="24"/>
        <v>200</v>
      </c>
      <c r="C36" s="565">
        <f t="shared" si="0"/>
        <v>12580</v>
      </c>
      <c r="D36" s="965">
        <f t="shared" si="21"/>
        <v>0.19</v>
      </c>
      <c r="E36" s="966">
        <f t="shared" si="22"/>
        <v>0</v>
      </c>
      <c r="F36" s="790">
        <f t="shared" si="23"/>
        <v>867</v>
      </c>
      <c r="G36" s="473">
        <f t="shared" si="17"/>
        <v>3.7999999999999999E-2</v>
      </c>
      <c r="H36" s="474">
        <f t="shared" si="18"/>
        <v>0</v>
      </c>
      <c r="I36" s="474">
        <f t="shared" si="19"/>
        <v>0.1734</v>
      </c>
      <c r="J36" s="61">
        <f t="shared" si="13"/>
        <v>200</v>
      </c>
      <c r="K36" s="967">
        <f t="shared" si="4"/>
        <v>0.19</v>
      </c>
      <c r="L36" s="967">
        <f t="shared" si="5"/>
        <v>3.7999999999999999E-2</v>
      </c>
      <c r="M36" s="967">
        <f t="shared" si="6"/>
        <v>5.9178560116731518</v>
      </c>
      <c r="N36" s="54">
        <f t="shared" si="14"/>
        <v>200</v>
      </c>
      <c r="O36" s="968">
        <f t="shared" si="7"/>
        <v>0</v>
      </c>
      <c r="P36" s="968">
        <f t="shared" si="8"/>
        <v>0</v>
      </c>
      <c r="Q36" s="969">
        <f t="shared" si="9"/>
        <v>0.76612000000000002</v>
      </c>
      <c r="R36" s="247">
        <f t="shared" si="15"/>
        <v>200</v>
      </c>
      <c r="S36" s="24">
        <f t="shared" si="10"/>
        <v>867</v>
      </c>
      <c r="T36" s="970">
        <f t="shared" si="11"/>
        <v>0.1734</v>
      </c>
      <c r="U36" s="971">
        <f t="shared" si="12"/>
        <v>18.982674130447471</v>
      </c>
    </row>
    <row r="37" spans="1:21" x14ac:dyDescent="0.2">
      <c r="A37" s="33">
        <f t="shared" si="16"/>
        <v>2024</v>
      </c>
      <c r="B37" s="787">
        <f t="shared" si="24"/>
        <v>200</v>
      </c>
      <c r="C37" s="565">
        <f t="shared" si="0"/>
        <v>12780</v>
      </c>
      <c r="D37" s="965">
        <f t="shared" si="21"/>
        <v>0.19</v>
      </c>
      <c r="E37" s="966">
        <f t="shared" si="22"/>
        <v>0</v>
      </c>
      <c r="F37" s="790">
        <f t="shared" si="23"/>
        <v>867</v>
      </c>
      <c r="G37" s="473">
        <f t="shared" si="17"/>
        <v>3.7999999999999999E-2</v>
      </c>
      <c r="H37" s="474">
        <f t="shared" si="18"/>
        <v>0</v>
      </c>
      <c r="I37" s="474">
        <f t="shared" si="19"/>
        <v>0.1734</v>
      </c>
      <c r="J37" s="61">
        <f t="shared" si="13"/>
        <v>200</v>
      </c>
      <c r="K37" s="967">
        <f t="shared" si="4"/>
        <v>0.19</v>
      </c>
      <c r="L37" s="967">
        <f t="shared" si="5"/>
        <v>3.7999999999999999E-2</v>
      </c>
      <c r="M37" s="967">
        <f t="shared" si="6"/>
        <v>5.955856011673152</v>
      </c>
      <c r="N37" s="54">
        <f t="shared" si="14"/>
        <v>200</v>
      </c>
      <c r="O37" s="968">
        <f t="shared" si="7"/>
        <v>0</v>
      </c>
      <c r="P37" s="968">
        <f t="shared" si="8"/>
        <v>0</v>
      </c>
      <c r="Q37" s="969">
        <f t="shared" si="9"/>
        <v>0.76612000000000002</v>
      </c>
      <c r="R37" s="247">
        <f t="shared" si="15"/>
        <v>200</v>
      </c>
      <c r="S37" s="24">
        <f t="shared" si="10"/>
        <v>867</v>
      </c>
      <c r="T37" s="970">
        <f t="shared" si="11"/>
        <v>0.1734</v>
      </c>
      <c r="U37" s="971">
        <f t="shared" si="12"/>
        <v>19.156074130447472</v>
      </c>
    </row>
    <row r="38" spans="1:21" x14ac:dyDescent="0.2">
      <c r="A38" s="33">
        <f t="shared" si="16"/>
        <v>2025</v>
      </c>
      <c r="B38" s="787">
        <f t="shared" si="24"/>
        <v>200</v>
      </c>
      <c r="C38" s="565">
        <f t="shared" si="0"/>
        <v>12980</v>
      </c>
      <c r="D38" s="965">
        <f t="shared" si="21"/>
        <v>0.19</v>
      </c>
      <c r="E38" s="966">
        <f t="shared" si="22"/>
        <v>0</v>
      </c>
      <c r="F38" s="790">
        <f t="shared" si="23"/>
        <v>867</v>
      </c>
      <c r="G38" s="473">
        <f t="shared" si="17"/>
        <v>3.7999999999999999E-2</v>
      </c>
      <c r="H38" s="474">
        <f t="shared" si="18"/>
        <v>0</v>
      </c>
      <c r="I38" s="474">
        <f t="shared" si="19"/>
        <v>0.1734</v>
      </c>
      <c r="J38" s="61">
        <f t="shared" si="13"/>
        <v>200</v>
      </c>
      <c r="K38" s="967">
        <f t="shared" si="4"/>
        <v>0.19</v>
      </c>
      <c r="L38" s="967">
        <f t="shared" si="5"/>
        <v>3.7999999999999999E-2</v>
      </c>
      <c r="M38" s="967">
        <f t="shared" si="6"/>
        <v>5.9938560116731523</v>
      </c>
      <c r="N38" s="54">
        <f t="shared" si="14"/>
        <v>200</v>
      </c>
      <c r="O38" s="968">
        <f t="shared" si="7"/>
        <v>0</v>
      </c>
      <c r="P38" s="968">
        <f t="shared" si="8"/>
        <v>0</v>
      </c>
      <c r="Q38" s="969">
        <f t="shared" si="9"/>
        <v>0.76612000000000002</v>
      </c>
      <c r="R38" s="247">
        <f t="shared" ref="R38:R42" si="25">+(B38+B37)/2</f>
        <v>200</v>
      </c>
      <c r="S38" s="24">
        <f t="shared" ref="S38:S42" si="26">+F38</f>
        <v>867</v>
      </c>
      <c r="T38" s="970">
        <f t="shared" ref="T38:T42" si="27">+R38*S38/1000000</f>
        <v>0.1734</v>
      </c>
      <c r="U38" s="971">
        <f t="shared" si="12"/>
        <v>19.329474130447473</v>
      </c>
    </row>
    <row r="39" spans="1:21" x14ac:dyDescent="0.2">
      <c r="A39" s="33">
        <f t="shared" si="16"/>
        <v>2026</v>
      </c>
      <c r="B39" s="787">
        <f t="shared" si="24"/>
        <v>200</v>
      </c>
      <c r="C39" s="565">
        <f t="shared" si="0"/>
        <v>13180</v>
      </c>
      <c r="D39" s="965">
        <f t="shared" si="21"/>
        <v>0.19</v>
      </c>
      <c r="E39" s="966">
        <f t="shared" si="22"/>
        <v>0</v>
      </c>
      <c r="F39" s="790">
        <f t="shared" si="23"/>
        <v>867</v>
      </c>
      <c r="G39" s="473">
        <f t="shared" si="17"/>
        <v>3.7999999999999999E-2</v>
      </c>
      <c r="H39" s="474">
        <f t="shared" si="18"/>
        <v>0</v>
      </c>
      <c r="I39" s="474">
        <f t="shared" si="19"/>
        <v>0.1734</v>
      </c>
      <c r="J39" s="61">
        <f t="shared" si="13"/>
        <v>200</v>
      </c>
      <c r="K39" s="967">
        <f t="shared" si="4"/>
        <v>0.19</v>
      </c>
      <c r="L39" s="967">
        <f t="shared" si="5"/>
        <v>3.7999999999999999E-2</v>
      </c>
      <c r="M39" s="967">
        <f t="shared" si="6"/>
        <v>6.0318560116731526</v>
      </c>
      <c r="N39" s="54">
        <f t="shared" si="14"/>
        <v>200</v>
      </c>
      <c r="O39" s="968">
        <f t="shared" si="7"/>
        <v>0</v>
      </c>
      <c r="P39" s="968">
        <f t="shared" si="8"/>
        <v>0</v>
      </c>
      <c r="Q39" s="969">
        <f t="shared" si="9"/>
        <v>0.76612000000000002</v>
      </c>
      <c r="R39" s="247">
        <f t="shared" si="25"/>
        <v>200</v>
      </c>
      <c r="S39" s="24">
        <f t="shared" si="26"/>
        <v>867</v>
      </c>
      <c r="T39" s="970">
        <f t="shared" si="27"/>
        <v>0.1734</v>
      </c>
      <c r="U39" s="971">
        <f t="shared" si="12"/>
        <v>19.502874130447474</v>
      </c>
    </row>
    <row r="40" spans="1:21" x14ac:dyDescent="0.2">
      <c r="A40" s="33">
        <f>+A39+1</f>
        <v>2027</v>
      </c>
      <c r="B40" s="787">
        <f t="shared" si="24"/>
        <v>200</v>
      </c>
      <c r="C40" s="565">
        <f>+C39+B40</f>
        <v>13380</v>
      </c>
      <c r="D40" s="965">
        <f t="shared" si="21"/>
        <v>0.19</v>
      </c>
      <c r="E40" s="966">
        <f t="shared" si="22"/>
        <v>0</v>
      </c>
      <c r="F40" s="790">
        <f t="shared" si="23"/>
        <v>867</v>
      </c>
      <c r="G40" s="473">
        <f t="shared" ref="G40:H42" si="28">+$B40*D40/1000</f>
        <v>3.7999999999999999E-2</v>
      </c>
      <c r="H40" s="474">
        <f t="shared" si="28"/>
        <v>0</v>
      </c>
      <c r="I40" s="474">
        <f>+$B40*F40/1000000</f>
        <v>0.1734</v>
      </c>
      <c r="J40" s="61">
        <f>+(B40+B39)/2</f>
        <v>200</v>
      </c>
      <c r="K40" s="967">
        <f>+D40</f>
        <v>0.19</v>
      </c>
      <c r="L40" s="967">
        <f>+J40*K40/1000</f>
        <v>3.7999999999999999E-2</v>
      </c>
      <c r="M40" s="967">
        <f>+M39+L40</f>
        <v>6.0698560116731528</v>
      </c>
      <c r="N40" s="54">
        <f>+B39</f>
        <v>200</v>
      </c>
      <c r="O40" s="968">
        <f>+E40</f>
        <v>0</v>
      </c>
      <c r="P40" s="968">
        <f>+N40*O40/1000</f>
        <v>0</v>
      </c>
      <c r="Q40" s="969">
        <f>+Q39+P40</f>
        <v>0.76612000000000002</v>
      </c>
      <c r="R40" s="247">
        <f t="shared" si="25"/>
        <v>200</v>
      </c>
      <c r="S40" s="24">
        <f t="shared" si="26"/>
        <v>867</v>
      </c>
      <c r="T40" s="970">
        <f t="shared" si="27"/>
        <v>0.1734</v>
      </c>
      <c r="U40" s="971">
        <f>+U39+T40</f>
        <v>19.676274130447474</v>
      </c>
    </row>
    <row r="41" spans="1:21" x14ac:dyDescent="0.2">
      <c r="A41" s="33">
        <f t="shared" si="16"/>
        <v>2028</v>
      </c>
      <c r="B41" s="787">
        <f t="shared" si="24"/>
        <v>200</v>
      </c>
      <c r="C41" s="565">
        <f>+C40+B41</f>
        <v>13580</v>
      </c>
      <c r="D41" s="965">
        <f>+D40</f>
        <v>0.19</v>
      </c>
      <c r="E41" s="966">
        <f>+E40</f>
        <v>0</v>
      </c>
      <c r="F41" s="790">
        <f>+F40</f>
        <v>867</v>
      </c>
      <c r="G41" s="473">
        <f t="shared" si="28"/>
        <v>3.7999999999999999E-2</v>
      </c>
      <c r="H41" s="474">
        <f t="shared" si="28"/>
        <v>0</v>
      </c>
      <c r="I41" s="474">
        <f>+$B41*F41/1000000</f>
        <v>0.1734</v>
      </c>
      <c r="J41" s="61">
        <f>+(B41+B40)/2</f>
        <v>200</v>
      </c>
      <c r="K41" s="967">
        <f>+D41</f>
        <v>0.19</v>
      </c>
      <c r="L41" s="967">
        <f>+J41*K41/1000</f>
        <v>3.7999999999999999E-2</v>
      </c>
      <c r="M41" s="967">
        <f>+M40+L41</f>
        <v>6.1078560116731531</v>
      </c>
      <c r="N41" s="54">
        <f>+B40</f>
        <v>200</v>
      </c>
      <c r="O41" s="968">
        <f>+E41</f>
        <v>0</v>
      </c>
      <c r="P41" s="968">
        <f>+N41*O41/1000</f>
        <v>0</v>
      </c>
      <c r="Q41" s="969">
        <f>+Q40+P41</f>
        <v>0.76612000000000002</v>
      </c>
      <c r="R41" s="247">
        <f t="shared" si="25"/>
        <v>200</v>
      </c>
      <c r="S41" s="24">
        <f t="shared" si="26"/>
        <v>867</v>
      </c>
      <c r="T41" s="970">
        <f t="shared" si="27"/>
        <v>0.1734</v>
      </c>
      <c r="U41" s="971">
        <f>+U40+T41</f>
        <v>19.849674130447475</v>
      </c>
    </row>
    <row r="42" spans="1:21" x14ac:dyDescent="0.2">
      <c r="A42" s="33">
        <f t="shared" si="16"/>
        <v>2029</v>
      </c>
      <c r="B42" s="787">
        <f t="shared" si="24"/>
        <v>200</v>
      </c>
      <c r="C42" s="565">
        <f>+C41+B42</f>
        <v>13780</v>
      </c>
      <c r="D42" s="965">
        <f t="shared" si="21"/>
        <v>0.19</v>
      </c>
      <c r="E42" s="966">
        <f t="shared" si="22"/>
        <v>0</v>
      </c>
      <c r="F42" s="790">
        <f t="shared" si="23"/>
        <v>867</v>
      </c>
      <c r="G42" s="473">
        <f t="shared" si="28"/>
        <v>3.7999999999999999E-2</v>
      </c>
      <c r="H42" s="474">
        <f t="shared" si="28"/>
        <v>0</v>
      </c>
      <c r="I42" s="474">
        <f>+$B42*F42/1000000</f>
        <v>0.1734</v>
      </c>
      <c r="J42" s="61">
        <f>+(B42+B41)/2</f>
        <v>200</v>
      </c>
      <c r="K42" s="967">
        <f>+D42</f>
        <v>0.19</v>
      </c>
      <c r="L42" s="967">
        <f>+J42*K42/1000</f>
        <v>3.7999999999999999E-2</v>
      </c>
      <c r="M42" s="967">
        <f>+M41+L42</f>
        <v>6.1458560116731533</v>
      </c>
      <c r="N42" s="54">
        <f>+B41</f>
        <v>200</v>
      </c>
      <c r="O42" s="968">
        <f>+E42</f>
        <v>0</v>
      </c>
      <c r="P42" s="968">
        <f>+N42*O42/1000</f>
        <v>0</v>
      </c>
      <c r="Q42" s="969">
        <f>+Q41+P42</f>
        <v>0.76612000000000002</v>
      </c>
      <c r="R42" s="247">
        <f t="shared" si="25"/>
        <v>200</v>
      </c>
      <c r="S42" s="24">
        <f t="shared" si="26"/>
        <v>867</v>
      </c>
      <c r="T42" s="970">
        <f t="shared" si="27"/>
        <v>0.1734</v>
      </c>
      <c r="U42" s="971">
        <f>+U41+T42</f>
        <v>20.023074130447476</v>
      </c>
    </row>
    <row r="43" spans="1:21" x14ac:dyDescent="0.2">
      <c r="A43" s="33">
        <f t="shared" si="16"/>
        <v>2030</v>
      </c>
      <c r="B43" s="787">
        <f t="shared" si="24"/>
        <v>200</v>
      </c>
      <c r="C43" s="565">
        <f t="shared" ref="C43:C47" si="29">+C42+B43</f>
        <v>13980</v>
      </c>
      <c r="D43" s="965">
        <f t="shared" si="21"/>
        <v>0.19</v>
      </c>
      <c r="E43" s="966">
        <f t="shared" si="22"/>
        <v>0</v>
      </c>
      <c r="F43" s="790">
        <f t="shared" si="23"/>
        <v>867</v>
      </c>
      <c r="G43" s="473">
        <f t="shared" ref="G43:G47" si="30">+$B43*D43/1000</f>
        <v>3.7999999999999999E-2</v>
      </c>
      <c r="H43" s="474">
        <f t="shared" ref="H43:H47" si="31">+$B43*E43/1000</f>
        <v>0</v>
      </c>
      <c r="I43" s="474">
        <f t="shared" ref="I43:I47" si="32">+$B43*F43/1000000</f>
        <v>0.1734</v>
      </c>
      <c r="J43" s="61">
        <f t="shared" ref="J43:J47" si="33">+(B43+B42)/2</f>
        <v>200</v>
      </c>
      <c r="K43" s="967">
        <f t="shared" ref="K43:K47" si="34">+D43</f>
        <v>0.19</v>
      </c>
      <c r="L43" s="967">
        <f t="shared" ref="L43:L47" si="35">+J43*K43/1000</f>
        <v>3.7999999999999999E-2</v>
      </c>
      <c r="M43" s="967">
        <f t="shared" ref="M43:M47" si="36">+M42+L43</f>
        <v>6.1838560116731536</v>
      </c>
      <c r="N43" s="54">
        <f t="shared" ref="N43:N47" si="37">+B42</f>
        <v>200</v>
      </c>
      <c r="O43" s="968">
        <f t="shared" ref="O43:O47" si="38">+E43</f>
        <v>0</v>
      </c>
      <c r="P43" s="968">
        <f t="shared" ref="P43:P47" si="39">+N43*O43/1000</f>
        <v>0</v>
      </c>
      <c r="Q43" s="969">
        <f t="shared" ref="Q43:Q47" si="40">+Q42+P43</f>
        <v>0.76612000000000002</v>
      </c>
      <c r="R43" s="247">
        <f t="shared" ref="R43:R47" si="41">+(B43+B42)/2</f>
        <v>200</v>
      </c>
      <c r="S43" s="24">
        <f t="shared" ref="S43:S47" si="42">+F43</f>
        <v>867</v>
      </c>
      <c r="T43" s="970">
        <f t="shared" ref="T43:T47" si="43">+R43*S43/1000000</f>
        <v>0.1734</v>
      </c>
      <c r="U43" s="971">
        <f t="shared" ref="U43:U47" si="44">+U42+T43</f>
        <v>20.196474130447477</v>
      </c>
    </row>
    <row r="44" spans="1:21" x14ac:dyDescent="0.2">
      <c r="A44" s="33">
        <f t="shared" si="16"/>
        <v>2031</v>
      </c>
      <c r="B44" s="787">
        <f t="shared" si="24"/>
        <v>200</v>
      </c>
      <c r="C44" s="565">
        <f t="shared" si="29"/>
        <v>14180</v>
      </c>
      <c r="D44" s="965">
        <f t="shared" si="21"/>
        <v>0.19</v>
      </c>
      <c r="E44" s="966">
        <f t="shared" si="22"/>
        <v>0</v>
      </c>
      <c r="F44" s="790">
        <f t="shared" si="23"/>
        <v>867</v>
      </c>
      <c r="G44" s="473">
        <f t="shared" si="30"/>
        <v>3.7999999999999999E-2</v>
      </c>
      <c r="H44" s="474">
        <f t="shared" si="31"/>
        <v>0</v>
      </c>
      <c r="I44" s="474">
        <f t="shared" si="32"/>
        <v>0.1734</v>
      </c>
      <c r="J44" s="61">
        <f t="shared" si="33"/>
        <v>200</v>
      </c>
      <c r="K44" s="967">
        <f t="shared" si="34"/>
        <v>0.19</v>
      </c>
      <c r="L44" s="967">
        <f t="shared" si="35"/>
        <v>3.7999999999999999E-2</v>
      </c>
      <c r="M44" s="967">
        <f t="shared" si="36"/>
        <v>6.2218560116731538</v>
      </c>
      <c r="N44" s="54">
        <f t="shared" si="37"/>
        <v>200</v>
      </c>
      <c r="O44" s="968">
        <f t="shared" si="38"/>
        <v>0</v>
      </c>
      <c r="P44" s="968">
        <f t="shared" si="39"/>
        <v>0</v>
      </c>
      <c r="Q44" s="969">
        <f t="shared" si="40"/>
        <v>0.76612000000000002</v>
      </c>
      <c r="R44" s="247">
        <f t="shared" si="41"/>
        <v>200</v>
      </c>
      <c r="S44" s="24">
        <f t="shared" si="42"/>
        <v>867</v>
      </c>
      <c r="T44" s="970">
        <f t="shared" si="43"/>
        <v>0.1734</v>
      </c>
      <c r="U44" s="971">
        <f t="shared" si="44"/>
        <v>20.369874130447478</v>
      </c>
    </row>
    <row r="45" spans="1:21" x14ac:dyDescent="0.2">
      <c r="A45" s="33">
        <f t="shared" si="16"/>
        <v>2032</v>
      </c>
      <c r="B45" s="787">
        <f t="shared" si="24"/>
        <v>200</v>
      </c>
      <c r="C45" s="565">
        <f t="shared" si="29"/>
        <v>14380</v>
      </c>
      <c r="D45" s="965">
        <f t="shared" si="21"/>
        <v>0.19</v>
      </c>
      <c r="E45" s="966">
        <f t="shared" si="22"/>
        <v>0</v>
      </c>
      <c r="F45" s="790">
        <f t="shared" si="23"/>
        <v>867</v>
      </c>
      <c r="G45" s="473">
        <f t="shared" si="30"/>
        <v>3.7999999999999999E-2</v>
      </c>
      <c r="H45" s="474">
        <f t="shared" si="31"/>
        <v>0</v>
      </c>
      <c r="I45" s="474">
        <f t="shared" si="32"/>
        <v>0.1734</v>
      </c>
      <c r="J45" s="61">
        <f t="shared" si="33"/>
        <v>200</v>
      </c>
      <c r="K45" s="967">
        <f t="shared" si="34"/>
        <v>0.19</v>
      </c>
      <c r="L45" s="967">
        <f t="shared" si="35"/>
        <v>3.7999999999999999E-2</v>
      </c>
      <c r="M45" s="967">
        <f t="shared" si="36"/>
        <v>6.2598560116731541</v>
      </c>
      <c r="N45" s="54">
        <f t="shared" si="37"/>
        <v>200</v>
      </c>
      <c r="O45" s="968">
        <f t="shared" si="38"/>
        <v>0</v>
      </c>
      <c r="P45" s="968">
        <f t="shared" si="39"/>
        <v>0</v>
      </c>
      <c r="Q45" s="969">
        <f t="shared" si="40"/>
        <v>0.76612000000000002</v>
      </c>
      <c r="R45" s="247">
        <f t="shared" si="41"/>
        <v>200</v>
      </c>
      <c r="S45" s="24">
        <f t="shared" si="42"/>
        <v>867</v>
      </c>
      <c r="T45" s="970">
        <f t="shared" si="43"/>
        <v>0.1734</v>
      </c>
      <c r="U45" s="971">
        <f t="shared" si="44"/>
        <v>20.543274130447479</v>
      </c>
    </row>
    <row r="46" spans="1:21" x14ac:dyDescent="0.2">
      <c r="A46" s="33">
        <f t="shared" si="16"/>
        <v>2033</v>
      </c>
      <c r="B46" s="787">
        <f t="shared" si="24"/>
        <v>200</v>
      </c>
      <c r="C46" s="565">
        <f t="shared" si="29"/>
        <v>14580</v>
      </c>
      <c r="D46" s="965">
        <f t="shared" si="21"/>
        <v>0.19</v>
      </c>
      <c r="E46" s="966">
        <f t="shared" si="22"/>
        <v>0</v>
      </c>
      <c r="F46" s="790">
        <f t="shared" si="23"/>
        <v>867</v>
      </c>
      <c r="G46" s="473">
        <f t="shared" si="30"/>
        <v>3.7999999999999999E-2</v>
      </c>
      <c r="H46" s="474">
        <f t="shared" si="31"/>
        <v>0</v>
      </c>
      <c r="I46" s="474">
        <f t="shared" si="32"/>
        <v>0.1734</v>
      </c>
      <c r="J46" s="61">
        <f t="shared" si="33"/>
        <v>200</v>
      </c>
      <c r="K46" s="967">
        <f t="shared" si="34"/>
        <v>0.19</v>
      </c>
      <c r="L46" s="967">
        <f t="shared" si="35"/>
        <v>3.7999999999999999E-2</v>
      </c>
      <c r="M46" s="967">
        <f t="shared" si="36"/>
        <v>6.2978560116731543</v>
      </c>
      <c r="N46" s="54">
        <f t="shared" si="37"/>
        <v>200</v>
      </c>
      <c r="O46" s="968">
        <f t="shared" si="38"/>
        <v>0</v>
      </c>
      <c r="P46" s="968">
        <f t="shared" si="39"/>
        <v>0</v>
      </c>
      <c r="Q46" s="969">
        <f t="shared" si="40"/>
        <v>0.76612000000000002</v>
      </c>
      <c r="R46" s="247">
        <f t="shared" si="41"/>
        <v>200</v>
      </c>
      <c r="S46" s="24">
        <f t="shared" si="42"/>
        <v>867</v>
      </c>
      <c r="T46" s="970">
        <f t="shared" si="43"/>
        <v>0.1734</v>
      </c>
      <c r="U46" s="971">
        <f t="shared" si="44"/>
        <v>20.71667413044748</v>
      </c>
    </row>
    <row r="47" spans="1:21" x14ac:dyDescent="0.2">
      <c r="A47" s="33">
        <f t="shared" si="16"/>
        <v>2034</v>
      </c>
      <c r="B47" s="787">
        <f t="shared" si="24"/>
        <v>200</v>
      </c>
      <c r="C47" s="565">
        <f t="shared" si="29"/>
        <v>14780</v>
      </c>
      <c r="D47" s="965">
        <f t="shared" si="21"/>
        <v>0.19</v>
      </c>
      <c r="E47" s="966">
        <f t="shared" si="22"/>
        <v>0</v>
      </c>
      <c r="F47" s="790">
        <f t="shared" si="23"/>
        <v>867</v>
      </c>
      <c r="G47" s="473">
        <f t="shared" si="30"/>
        <v>3.7999999999999999E-2</v>
      </c>
      <c r="H47" s="474">
        <f t="shared" si="31"/>
        <v>0</v>
      </c>
      <c r="I47" s="474">
        <f t="shared" si="32"/>
        <v>0.1734</v>
      </c>
      <c r="J47" s="61">
        <f t="shared" si="33"/>
        <v>200</v>
      </c>
      <c r="K47" s="967">
        <f t="shared" si="34"/>
        <v>0.19</v>
      </c>
      <c r="L47" s="967">
        <f t="shared" si="35"/>
        <v>3.7999999999999999E-2</v>
      </c>
      <c r="M47" s="967">
        <f t="shared" si="36"/>
        <v>6.3358560116731546</v>
      </c>
      <c r="N47" s="54">
        <f t="shared" si="37"/>
        <v>200</v>
      </c>
      <c r="O47" s="968">
        <f t="shared" si="38"/>
        <v>0</v>
      </c>
      <c r="P47" s="968">
        <f t="shared" si="39"/>
        <v>0</v>
      </c>
      <c r="Q47" s="969">
        <f t="shared" si="40"/>
        <v>0.76612000000000002</v>
      </c>
      <c r="R47" s="247">
        <f t="shared" si="41"/>
        <v>200</v>
      </c>
      <c r="S47" s="24">
        <f t="shared" si="42"/>
        <v>867</v>
      </c>
      <c r="T47" s="970">
        <f t="shared" si="43"/>
        <v>0.1734</v>
      </c>
      <c r="U47" s="971">
        <f t="shared" si="44"/>
        <v>20.890074130447481</v>
      </c>
    </row>
    <row r="48" spans="1:21" x14ac:dyDescent="0.2">
      <c r="A48" s="33">
        <f t="shared" si="16"/>
        <v>2035</v>
      </c>
      <c r="B48" s="787">
        <f>B47</f>
        <v>200</v>
      </c>
      <c r="C48" s="565">
        <f t="shared" ref="C48:C54" si="45">+C47+B48</f>
        <v>14980</v>
      </c>
      <c r="D48" s="965">
        <f t="shared" si="21"/>
        <v>0.19</v>
      </c>
      <c r="E48" s="966">
        <f t="shared" si="22"/>
        <v>0</v>
      </c>
      <c r="F48" s="790">
        <f t="shared" si="23"/>
        <v>867</v>
      </c>
      <c r="G48" s="473">
        <f t="shared" ref="G48:G54" si="46">+$B48*D48/1000</f>
        <v>3.7999999999999999E-2</v>
      </c>
      <c r="H48" s="474">
        <f t="shared" ref="H48:H54" si="47">+$B48*E48/1000</f>
        <v>0</v>
      </c>
      <c r="I48" s="474">
        <f t="shared" ref="I48:I54" si="48">+$B48*F48/1000000</f>
        <v>0.1734</v>
      </c>
      <c r="J48" s="61">
        <f t="shared" ref="J48:J54" si="49">+(B48+B47)/2</f>
        <v>200</v>
      </c>
      <c r="K48" s="967">
        <f t="shared" ref="K48:K54" si="50">+D48</f>
        <v>0.19</v>
      </c>
      <c r="L48" s="967">
        <f t="shared" ref="L48:L54" si="51">+J48*K48/1000</f>
        <v>3.7999999999999999E-2</v>
      </c>
      <c r="M48" s="967">
        <f t="shared" ref="M48:M54" si="52">+M47+L48</f>
        <v>6.3738560116731549</v>
      </c>
      <c r="N48" s="54">
        <f t="shared" ref="N48:N54" si="53">+B47</f>
        <v>200</v>
      </c>
      <c r="O48" s="968">
        <f t="shared" ref="O48:O54" si="54">+E48</f>
        <v>0</v>
      </c>
      <c r="P48" s="968">
        <f t="shared" ref="P48:P54" si="55">+N48*O48/1000</f>
        <v>0</v>
      </c>
      <c r="Q48" s="969">
        <f t="shared" ref="Q48:Q54" si="56">+Q47+P48</f>
        <v>0.76612000000000002</v>
      </c>
      <c r="R48" s="247">
        <f t="shared" ref="R48:R54" si="57">+(B48+B47)/2</f>
        <v>200</v>
      </c>
      <c r="S48" s="24">
        <f t="shared" ref="S48:S54" si="58">+F48</f>
        <v>867</v>
      </c>
      <c r="T48" s="970">
        <f t="shared" ref="T48:T54" si="59">+R48*S48/1000000</f>
        <v>0.1734</v>
      </c>
      <c r="U48" s="971">
        <f t="shared" ref="U48:U54" si="60">+U47+T48</f>
        <v>21.063474130447482</v>
      </c>
    </row>
    <row r="49" spans="1:21" x14ac:dyDescent="0.2">
      <c r="A49" s="33">
        <f t="shared" si="16"/>
        <v>2036</v>
      </c>
      <c r="B49" s="787">
        <f t="shared" ref="B49:B54" si="61">B48</f>
        <v>200</v>
      </c>
      <c r="C49" s="565">
        <f t="shared" si="45"/>
        <v>15180</v>
      </c>
      <c r="D49" s="965">
        <f t="shared" si="21"/>
        <v>0.19</v>
      </c>
      <c r="E49" s="966">
        <f t="shared" si="22"/>
        <v>0</v>
      </c>
      <c r="F49" s="790">
        <f t="shared" si="23"/>
        <v>867</v>
      </c>
      <c r="G49" s="473">
        <f t="shared" si="46"/>
        <v>3.7999999999999999E-2</v>
      </c>
      <c r="H49" s="474">
        <f t="shared" si="47"/>
        <v>0</v>
      </c>
      <c r="I49" s="474">
        <f t="shared" si="48"/>
        <v>0.1734</v>
      </c>
      <c r="J49" s="61">
        <f t="shared" si="49"/>
        <v>200</v>
      </c>
      <c r="K49" s="967">
        <f t="shared" si="50"/>
        <v>0.19</v>
      </c>
      <c r="L49" s="967">
        <f t="shared" si="51"/>
        <v>3.7999999999999999E-2</v>
      </c>
      <c r="M49" s="967">
        <f t="shared" si="52"/>
        <v>6.4118560116731551</v>
      </c>
      <c r="N49" s="54">
        <f t="shared" si="53"/>
        <v>200</v>
      </c>
      <c r="O49" s="968">
        <f t="shared" si="54"/>
        <v>0</v>
      </c>
      <c r="P49" s="968">
        <f t="shared" si="55"/>
        <v>0</v>
      </c>
      <c r="Q49" s="969">
        <f t="shared" si="56"/>
        <v>0.76612000000000002</v>
      </c>
      <c r="R49" s="247">
        <f t="shared" si="57"/>
        <v>200</v>
      </c>
      <c r="S49" s="24">
        <f t="shared" si="58"/>
        <v>867</v>
      </c>
      <c r="T49" s="970">
        <f t="shared" si="59"/>
        <v>0.1734</v>
      </c>
      <c r="U49" s="971">
        <f t="shared" si="60"/>
        <v>21.236874130447482</v>
      </c>
    </row>
    <row r="50" spans="1:21" x14ac:dyDescent="0.2">
      <c r="A50" s="33">
        <f t="shared" si="16"/>
        <v>2037</v>
      </c>
      <c r="B50" s="787">
        <f t="shared" si="61"/>
        <v>200</v>
      </c>
      <c r="C50" s="565">
        <f t="shared" si="45"/>
        <v>15380</v>
      </c>
      <c r="D50" s="965">
        <f t="shared" si="21"/>
        <v>0.19</v>
      </c>
      <c r="E50" s="966">
        <f t="shared" si="22"/>
        <v>0</v>
      </c>
      <c r="F50" s="790">
        <f t="shared" si="23"/>
        <v>867</v>
      </c>
      <c r="G50" s="473">
        <f t="shared" si="46"/>
        <v>3.7999999999999999E-2</v>
      </c>
      <c r="H50" s="474">
        <f t="shared" si="47"/>
        <v>0</v>
      </c>
      <c r="I50" s="474">
        <f t="shared" si="48"/>
        <v>0.1734</v>
      </c>
      <c r="J50" s="61">
        <f t="shared" si="49"/>
        <v>200</v>
      </c>
      <c r="K50" s="967">
        <f t="shared" si="50"/>
        <v>0.19</v>
      </c>
      <c r="L50" s="967">
        <f t="shared" si="51"/>
        <v>3.7999999999999999E-2</v>
      </c>
      <c r="M50" s="967">
        <f t="shared" si="52"/>
        <v>6.4498560116731554</v>
      </c>
      <c r="N50" s="54">
        <f t="shared" si="53"/>
        <v>200</v>
      </c>
      <c r="O50" s="968">
        <f t="shared" si="54"/>
        <v>0</v>
      </c>
      <c r="P50" s="968">
        <f t="shared" si="55"/>
        <v>0</v>
      </c>
      <c r="Q50" s="969">
        <f t="shared" si="56"/>
        <v>0.76612000000000002</v>
      </c>
      <c r="R50" s="247">
        <f t="shared" si="57"/>
        <v>200</v>
      </c>
      <c r="S50" s="24">
        <f t="shared" si="58"/>
        <v>867</v>
      </c>
      <c r="T50" s="970">
        <f t="shared" si="59"/>
        <v>0.1734</v>
      </c>
      <c r="U50" s="971">
        <f t="shared" si="60"/>
        <v>21.410274130447483</v>
      </c>
    </row>
    <row r="51" spans="1:21" x14ac:dyDescent="0.2">
      <c r="A51" s="33">
        <f t="shared" si="16"/>
        <v>2038</v>
      </c>
      <c r="B51" s="787">
        <f t="shared" si="61"/>
        <v>200</v>
      </c>
      <c r="C51" s="565">
        <f t="shared" si="45"/>
        <v>15580</v>
      </c>
      <c r="D51" s="965">
        <f t="shared" si="21"/>
        <v>0.19</v>
      </c>
      <c r="E51" s="966">
        <f t="shared" si="22"/>
        <v>0</v>
      </c>
      <c r="F51" s="790">
        <f t="shared" si="23"/>
        <v>867</v>
      </c>
      <c r="G51" s="473">
        <f t="shared" si="46"/>
        <v>3.7999999999999999E-2</v>
      </c>
      <c r="H51" s="474">
        <f t="shared" si="47"/>
        <v>0</v>
      </c>
      <c r="I51" s="474">
        <f t="shared" si="48"/>
        <v>0.1734</v>
      </c>
      <c r="J51" s="61">
        <f t="shared" si="49"/>
        <v>200</v>
      </c>
      <c r="K51" s="967">
        <f t="shared" si="50"/>
        <v>0.19</v>
      </c>
      <c r="L51" s="967">
        <f t="shared" si="51"/>
        <v>3.7999999999999999E-2</v>
      </c>
      <c r="M51" s="967">
        <f t="shared" si="52"/>
        <v>6.4878560116731556</v>
      </c>
      <c r="N51" s="54">
        <f t="shared" si="53"/>
        <v>200</v>
      </c>
      <c r="O51" s="968">
        <f t="shared" si="54"/>
        <v>0</v>
      </c>
      <c r="P51" s="968">
        <f t="shared" si="55"/>
        <v>0</v>
      </c>
      <c r="Q51" s="969">
        <f t="shared" si="56"/>
        <v>0.76612000000000002</v>
      </c>
      <c r="R51" s="247">
        <f t="shared" si="57"/>
        <v>200</v>
      </c>
      <c r="S51" s="24">
        <f t="shared" si="58"/>
        <v>867</v>
      </c>
      <c r="T51" s="970">
        <f t="shared" si="59"/>
        <v>0.1734</v>
      </c>
      <c r="U51" s="971">
        <f t="shared" si="60"/>
        <v>21.583674130447484</v>
      </c>
    </row>
    <row r="52" spans="1:21" x14ac:dyDescent="0.2">
      <c r="A52" s="33">
        <f t="shared" si="16"/>
        <v>2039</v>
      </c>
      <c r="B52" s="787">
        <f t="shared" si="61"/>
        <v>200</v>
      </c>
      <c r="C52" s="565">
        <f t="shared" si="45"/>
        <v>15780</v>
      </c>
      <c r="D52" s="965">
        <f t="shared" si="21"/>
        <v>0.19</v>
      </c>
      <c r="E52" s="966">
        <f t="shared" si="22"/>
        <v>0</v>
      </c>
      <c r="F52" s="790">
        <f t="shared" si="23"/>
        <v>867</v>
      </c>
      <c r="G52" s="473">
        <f t="shared" si="46"/>
        <v>3.7999999999999999E-2</v>
      </c>
      <c r="H52" s="474">
        <f t="shared" si="47"/>
        <v>0</v>
      </c>
      <c r="I52" s="474">
        <f t="shared" si="48"/>
        <v>0.1734</v>
      </c>
      <c r="J52" s="61">
        <f t="shared" si="49"/>
        <v>200</v>
      </c>
      <c r="K52" s="967">
        <f t="shared" si="50"/>
        <v>0.19</v>
      </c>
      <c r="L52" s="967">
        <f t="shared" si="51"/>
        <v>3.7999999999999999E-2</v>
      </c>
      <c r="M52" s="967">
        <f t="shared" si="52"/>
        <v>6.5258560116731559</v>
      </c>
      <c r="N52" s="54">
        <f t="shared" si="53"/>
        <v>200</v>
      </c>
      <c r="O52" s="968">
        <f t="shared" si="54"/>
        <v>0</v>
      </c>
      <c r="P52" s="968">
        <f t="shared" si="55"/>
        <v>0</v>
      </c>
      <c r="Q52" s="969">
        <f t="shared" si="56"/>
        <v>0.76612000000000002</v>
      </c>
      <c r="R52" s="247">
        <f t="shared" si="57"/>
        <v>200</v>
      </c>
      <c r="S52" s="24">
        <f t="shared" si="58"/>
        <v>867</v>
      </c>
      <c r="T52" s="970">
        <f t="shared" si="59"/>
        <v>0.1734</v>
      </c>
      <c r="U52" s="971">
        <f t="shared" si="60"/>
        <v>21.757074130447485</v>
      </c>
    </row>
    <row r="53" spans="1:21" x14ac:dyDescent="0.2">
      <c r="A53" s="33">
        <f t="shared" si="16"/>
        <v>2040</v>
      </c>
      <c r="B53" s="787">
        <f t="shared" si="61"/>
        <v>200</v>
      </c>
      <c r="C53" s="565">
        <f t="shared" si="45"/>
        <v>15980</v>
      </c>
      <c r="D53" s="965">
        <f t="shared" si="21"/>
        <v>0.19</v>
      </c>
      <c r="E53" s="966">
        <f t="shared" si="22"/>
        <v>0</v>
      </c>
      <c r="F53" s="790">
        <f t="shared" si="23"/>
        <v>867</v>
      </c>
      <c r="G53" s="473">
        <f t="shared" si="46"/>
        <v>3.7999999999999999E-2</v>
      </c>
      <c r="H53" s="474">
        <f t="shared" si="47"/>
        <v>0</v>
      </c>
      <c r="I53" s="474">
        <f t="shared" si="48"/>
        <v>0.1734</v>
      </c>
      <c r="J53" s="61">
        <f t="shared" si="49"/>
        <v>200</v>
      </c>
      <c r="K53" s="967">
        <f t="shared" si="50"/>
        <v>0.19</v>
      </c>
      <c r="L53" s="967">
        <f t="shared" si="51"/>
        <v>3.7999999999999999E-2</v>
      </c>
      <c r="M53" s="967">
        <f t="shared" si="52"/>
        <v>6.5638560116731561</v>
      </c>
      <c r="N53" s="54">
        <f t="shared" si="53"/>
        <v>200</v>
      </c>
      <c r="O53" s="968">
        <f t="shared" si="54"/>
        <v>0</v>
      </c>
      <c r="P53" s="968">
        <f t="shared" si="55"/>
        <v>0</v>
      </c>
      <c r="Q53" s="969">
        <f t="shared" si="56"/>
        <v>0.76612000000000002</v>
      </c>
      <c r="R53" s="247">
        <f t="shared" si="57"/>
        <v>200</v>
      </c>
      <c r="S53" s="24">
        <f t="shared" si="58"/>
        <v>867</v>
      </c>
      <c r="T53" s="970">
        <f t="shared" si="59"/>
        <v>0.1734</v>
      </c>
      <c r="U53" s="971">
        <f t="shared" si="60"/>
        <v>21.930474130447486</v>
      </c>
    </row>
    <row r="54" spans="1:21" x14ac:dyDescent="0.2">
      <c r="A54" s="33">
        <f t="shared" si="16"/>
        <v>2041</v>
      </c>
      <c r="B54" s="787">
        <f t="shared" si="61"/>
        <v>200</v>
      </c>
      <c r="C54" s="565">
        <f t="shared" si="45"/>
        <v>16180</v>
      </c>
      <c r="D54" s="965">
        <f t="shared" si="21"/>
        <v>0.19</v>
      </c>
      <c r="E54" s="966">
        <f t="shared" si="22"/>
        <v>0</v>
      </c>
      <c r="F54" s="790">
        <f t="shared" si="23"/>
        <v>867</v>
      </c>
      <c r="G54" s="473">
        <f t="shared" si="46"/>
        <v>3.7999999999999999E-2</v>
      </c>
      <c r="H54" s="474">
        <f t="shared" si="47"/>
        <v>0</v>
      </c>
      <c r="I54" s="474">
        <f t="shared" si="48"/>
        <v>0.1734</v>
      </c>
      <c r="J54" s="61">
        <f t="shared" si="49"/>
        <v>200</v>
      </c>
      <c r="K54" s="967">
        <f t="shared" si="50"/>
        <v>0.19</v>
      </c>
      <c r="L54" s="967">
        <f t="shared" si="51"/>
        <v>3.7999999999999999E-2</v>
      </c>
      <c r="M54" s="967">
        <f t="shared" si="52"/>
        <v>6.6018560116731564</v>
      </c>
      <c r="N54" s="54">
        <f t="shared" si="53"/>
        <v>200</v>
      </c>
      <c r="O54" s="968">
        <f t="shared" si="54"/>
        <v>0</v>
      </c>
      <c r="P54" s="968">
        <f t="shared" si="55"/>
        <v>0</v>
      </c>
      <c r="Q54" s="969">
        <f t="shared" si="56"/>
        <v>0.76612000000000002</v>
      </c>
      <c r="R54" s="247">
        <f t="shared" si="57"/>
        <v>200</v>
      </c>
      <c r="S54" s="24">
        <f t="shared" si="58"/>
        <v>867</v>
      </c>
      <c r="T54" s="970">
        <f t="shared" si="59"/>
        <v>0.1734</v>
      </c>
      <c r="U54" s="971">
        <f t="shared" si="60"/>
        <v>22.103874130447487</v>
      </c>
    </row>
    <row r="56" spans="1:21" x14ac:dyDescent="0.2">
      <c r="A56" s="69" t="s">
        <v>38</v>
      </c>
    </row>
    <row r="57" spans="1:21" x14ac:dyDescent="0.2">
      <c r="A57" s="69" t="s">
        <v>39</v>
      </c>
    </row>
    <row r="58" spans="1:21" x14ac:dyDescent="0.2">
      <c r="A58" s="86" t="s">
        <v>57</v>
      </c>
    </row>
    <row r="59" spans="1:21" x14ac:dyDescent="0.2">
      <c r="A59" s="86" t="s">
        <v>58</v>
      </c>
      <c r="N59">
        <v>0.47</v>
      </c>
      <c r="O59">
        <v>0.17</v>
      </c>
      <c r="P59">
        <v>684</v>
      </c>
    </row>
    <row r="60" spans="1:21" x14ac:dyDescent="0.2">
      <c r="N60">
        <v>0.47</v>
      </c>
      <c r="O60">
        <v>0.17</v>
      </c>
      <c r="P60">
        <v>684</v>
      </c>
    </row>
    <row r="61" spans="1:21" x14ac:dyDescent="0.2">
      <c r="B61">
        <v>2015</v>
      </c>
      <c r="C61" s="956" t="s">
        <v>386</v>
      </c>
      <c r="D61">
        <f>57.32/B28</f>
        <v>0.22303501945525292</v>
      </c>
      <c r="E61">
        <v>0</v>
      </c>
      <c r="F61">
        <f>267091.45/B28</f>
        <v>1039.2663424124514</v>
      </c>
    </row>
  </sheetData>
  <mergeCells count="5">
    <mergeCell ref="R4:U4"/>
    <mergeCell ref="G3:I3"/>
    <mergeCell ref="B4:I4"/>
    <mergeCell ref="J4:M4"/>
    <mergeCell ref="N4:Q4"/>
  </mergeCells>
  <phoneticPr fontId="7" type="noConversion"/>
  <pageMargins left="0.28999999999999998" right="0.44" top="0.49" bottom="1" header="0.5" footer="0.5"/>
  <pageSetup scale="4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1CBE06"/>
  </sheetPr>
  <dimension ref="A1:X61"/>
  <sheetViews>
    <sheetView topLeftCell="A10" zoomScaleNormal="100" workbookViewId="0">
      <selection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331</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42"/>
      <c r="E8" s="63"/>
      <c r="F8" s="641"/>
      <c r="G8" s="643"/>
      <c r="H8" s="87"/>
      <c r="I8" s="88"/>
      <c r="J8" s="61"/>
      <c r="K8" s="59"/>
      <c r="L8" s="59"/>
      <c r="M8" s="60"/>
      <c r="N8" s="51"/>
      <c r="O8" s="55"/>
      <c r="P8" s="55"/>
      <c r="Q8" s="56"/>
      <c r="R8" s="247"/>
      <c r="S8" s="24"/>
      <c r="T8" s="25"/>
      <c r="U8" s="53"/>
      <c r="V8" s="248"/>
      <c r="X8" s="1"/>
    </row>
    <row r="9" spans="1:24" x14ac:dyDescent="0.2">
      <c r="A9" s="33">
        <v>1996</v>
      </c>
      <c r="B9" s="30"/>
      <c r="C9" s="660"/>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660"/>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660"/>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660"/>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660"/>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660"/>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660"/>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660"/>
      <c r="D16" s="642"/>
      <c r="E16" s="63"/>
      <c r="F16" s="641"/>
      <c r="G16" s="616"/>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660"/>
      <c r="D17" s="642"/>
      <c r="E17" s="63"/>
      <c r="F17" s="641"/>
      <c r="G17" s="616"/>
      <c r="H17" s="62"/>
      <c r="I17" s="67"/>
      <c r="J17" s="61"/>
      <c r="K17" s="59"/>
      <c r="L17" s="59"/>
      <c r="M17" s="60"/>
      <c r="N17" s="54"/>
      <c r="O17" s="55"/>
      <c r="P17" s="55"/>
      <c r="Q17" s="56"/>
      <c r="R17" s="247"/>
      <c r="S17" s="24"/>
      <c r="T17" s="25"/>
      <c r="U17" s="53"/>
      <c r="V17" s="248"/>
      <c r="X17" s="1"/>
    </row>
    <row r="18" spans="1:24" x14ac:dyDescent="0.2">
      <c r="A18" s="33">
        <f t="shared" si="0"/>
        <v>2005</v>
      </c>
      <c r="B18" s="30"/>
      <c r="C18" s="660"/>
      <c r="D18" s="642"/>
      <c r="E18" s="63"/>
      <c r="F18" s="641"/>
      <c r="G18" s="616"/>
      <c r="H18" s="62"/>
      <c r="I18" s="67"/>
      <c r="J18" s="61"/>
      <c r="K18" s="59"/>
      <c r="L18" s="59"/>
      <c r="M18" s="60"/>
      <c r="N18" s="54"/>
      <c r="O18" s="55"/>
      <c r="P18" s="55"/>
      <c r="Q18" s="56"/>
      <c r="R18" s="247"/>
      <c r="S18" s="24"/>
      <c r="T18" s="25"/>
      <c r="U18" s="53"/>
      <c r="V18" s="248"/>
      <c r="X18" s="1"/>
    </row>
    <row r="19" spans="1:24" x14ac:dyDescent="0.2">
      <c r="A19" s="33">
        <f t="shared" si="0"/>
        <v>2006</v>
      </c>
      <c r="B19" s="30"/>
      <c r="C19" s="660"/>
      <c r="D19" s="642"/>
      <c r="E19" s="63"/>
      <c r="F19" s="641"/>
      <c r="G19" s="616"/>
      <c r="H19" s="62"/>
      <c r="I19" s="67"/>
      <c r="J19" s="61"/>
      <c r="K19" s="59"/>
      <c r="L19" s="59"/>
      <c r="M19" s="60"/>
      <c r="N19" s="54"/>
      <c r="O19" s="55"/>
      <c r="P19" s="55"/>
      <c r="Q19" s="56"/>
      <c r="R19" s="247"/>
      <c r="S19" s="24"/>
      <c r="T19" s="25"/>
      <c r="U19" s="53"/>
      <c r="V19" s="8"/>
      <c r="X19" s="1"/>
    </row>
    <row r="20" spans="1:24" x14ac:dyDescent="0.2">
      <c r="A20" s="33">
        <f t="shared" si="0"/>
        <v>2007</v>
      </c>
      <c r="B20" s="30"/>
      <c r="C20" s="660"/>
      <c r="D20" s="642"/>
      <c r="E20" s="63"/>
      <c r="F20" s="641"/>
      <c r="G20" s="616"/>
      <c r="H20" s="62"/>
      <c r="I20" s="62"/>
      <c r="J20" s="61"/>
      <c r="K20" s="59"/>
      <c r="L20" s="59"/>
      <c r="M20" s="60"/>
      <c r="N20" s="54"/>
      <c r="O20" s="55"/>
      <c r="P20" s="55"/>
      <c r="Q20" s="56"/>
      <c r="R20" s="247"/>
      <c r="S20" s="24"/>
      <c r="T20" s="25"/>
      <c r="U20" s="53"/>
    </row>
    <row r="21" spans="1:24" x14ac:dyDescent="0.2">
      <c r="A21" s="33">
        <f t="shared" si="0"/>
        <v>2008</v>
      </c>
      <c r="B21" s="30"/>
      <c r="C21" s="660"/>
      <c r="D21" s="642"/>
      <c r="E21" s="63"/>
      <c r="F21" s="641"/>
      <c r="G21" s="616"/>
      <c r="H21" s="62"/>
      <c r="I21" s="67"/>
      <c r="J21" s="61"/>
      <c r="K21" s="59"/>
      <c r="L21" s="59"/>
      <c r="M21" s="60"/>
      <c r="N21" s="54"/>
      <c r="O21" s="55"/>
      <c r="P21" s="55"/>
      <c r="Q21" s="56"/>
      <c r="R21" s="247"/>
      <c r="S21" s="24"/>
      <c r="T21" s="25"/>
      <c r="U21" s="53"/>
    </row>
    <row r="22" spans="1:24" x14ac:dyDescent="0.2">
      <c r="A22" s="33">
        <f t="shared" si="0"/>
        <v>2009</v>
      </c>
      <c r="B22" s="30"/>
      <c r="C22" s="660"/>
      <c r="D22" s="642"/>
      <c r="E22" s="63"/>
      <c r="F22" s="641"/>
      <c r="G22" s="616"/>
      <c r="H22" s="62"/>
      <c r="I22" s="67"/>
      <c r="J22" s="61"/>
      <c r="K22" s="59"/>
      <c r="L22" s="59"/>
      <c r="M22" s="60"/>
      <c r="N22" s="54"/>
      <c r="O22" s="55"/>
      <c r="P22" s="55"/>
      <c r="Q22" s="56"/>
      <c r="R22" s="247"/>
      <c r="S22" s="24"/>
      <c r="T22" s="25"/>
      <c r="U22" s="53"/>
    </row>
    <row r="23" spans="1:24" x14ac:dyDescent="0.2">
      <c r="A23" s="33">
        <f t="shared" si="0"/>
        <v>2010</v>
      </c>
      <c r="B23" s="30">
        <v>0</v>
      </c>
      <c r="C23" s="661">
        <f t="shared" ref="C23:C39" si="1">+C22+B23</f>
        <v>0</v>
      </c>
      <c r="D23" s="662">
        <v>0.13</v>
      </c>
      <c r="E23" s="663">
        <v>0</v>
      </c>
      <c r="F23" s="617">
        <v>1148</v>
      </c>
      <c r="G23" s="452">
        <f t="shared" ref="G23:H39" si="2">+$B23*D23/1000</f>
        <v>0</v>
      </c>
      <c r="H23" s="72">
        <f t="shared" si="2"/>
        <v>0</v>
      </c>
      <c r="I23" s="72">
        <f t="shared" ref="I23:I39" si="3">+$B23*F23/1000000</f>
        <v>0</v>
      </c>
      <c r="J23" s="61">
        <f t="shared" ref="J23:J39" si="4">+(B23+B22)/2</f>
        <v>0</v>
      </c>
      <c r="K23" s="651">
        <f t="shared" ref="K23:K39" si="5">+D23</f>
        <v>0.13</v>
      </c>
      <c r="L23" s="651">
        <f t="shared" ref="L23:L39" si="6">+J23*K23/1000</f>
        <v>0</v>
      </c>
      <c r="M23" s="652">
        <f t="shared" ref="M23:M39" si="7">+M22+L23</f>
        <v>0</v>
      </c>
      <c r="N23" s="54">
        <f t="shared" ref="N23:N39" si="8">+B22</f>
        <v>0</v>
      </c>
      <c r="O23" s="597">
        <f t="shared" ref="O23:O39" si="9">+E23</f>
        <v>0</v>
      </c>
      <c r="P23" s="597">
        <f t="shared" ref="P23:P39" si="10">+N23*O23/1000</f>
        <v>0</v>
      </c>
      <c r="Q23" s="653">
        <f t="shared" ref="Q23:Q39" si="11">+Q22+P23</f>
        <v>0</v>
      </c>
      <c r="R23" s="247">
        <f t="shared" ref="R23:R38" si="12">+(B23+B22)/2</f>
        <v>0</v>
      </c>
      <c r="S23" s="24">
        <f t="shared" ref="S23:S38" si="13">+F23</f>
        <v>1148</v>
      </c>
      <c r="T23" s="25">
        <f t="shared" ref="T23:T38" si="14">+R23*S23/1000000</f>
        <v>0</v>
      </c>
      <c r="U23" s="654">
        <f t="shared" ref="U23:U39" si="15">+U22+T23</f>
        <v>0</v>
      </c>
    </row>
    <row r="24" spans="1:24" x14ac:dyDescent="0.2">
      <c r="A24" s="33">
        <f t="shared" si="0"/>
        <v>2011</v>
      </c>
      <c r="B24" s="30">
        <v>0</v>
      </c>
      <c r="C24" s="661">
        <f t="shared" si="1"/>
        <v>0</v>
      </c>
      <c r="D24" s="662">
        <v>0.13</v>
      </c>
      <c r="E24" s="63">
        <v>0</v>
      </c>
      <c r="F24" s="617">
        <v>1148</v>
      </c>
      <c r="G24" s="452">
        <f t="shared" si="2"/>
        <v>0</v>
      </c>
      <c r="H24" s="72">
        <f t="shared" si="2"/>
        <v>0</v>
      </c>
      <c r="I24" s="72">
        <f t="shared" si="3"/>
        <v>0</v>
      </c>
      <c r="J24" s="61">
        <f t="shared" si="4"/>
        <v>0</v>
      </c>
      <c r="K24" s="651">
        <f t="shared" si="5"/>
        <v>0.13</v>
      </c>
      <c r="L24" s="651">
        <f t="shared" si="6"/>
        <v>0</v>
      </c>
      <c r="M24" s="652">
        <f t="shared" si="7"/>
        <v>0</v>
      </c>
      <c r="N24" s="54">
        <f t="shared" si="8"/>
        <v>0</v>
      </c>
      <c r="O24" s="597">
        <f t="shared" si="9"/>
        <v>0</v>
      </c>
      <c r="P24" s="597">
        <f t="shared" si="10"/>
        <v>0</v>
      </c>
      <c r="Q24" s="653">
        <f t="shared" si="11"/>
        <v>0</v>
      </c>
      <c r="R24" s="247">
        <f t="shared" si="12"/>
        <v>0</v>
      </c>
      <c r="S24" s="24">
        <f t="shared" si="13"/>
        <v>1148</v>
      </c>
      <c r="T24" s="25">
        <f t="shared" si="14"/>
        <v>0</v>
      </c>
      <c r="U24" s="654">
        <f t="shared" si="15"/>
        <v>0</v>
      </c>
    </row>
    <row r="25" spans="1:24" x14ac:dyDescent="0.2">
      <c r="A25" s="33">
        <f t="shared" si="0"/>
        <v>2012</v>
      </c>
      <c r="B25" s="30">
        <v>0</v>
      </c>
      <c r="C25" s="661">
        <f t="shared" si="1"/>
        <v>0</v>
      </c>
      <c r="D25" s="662">
        <v>0.13</v>
      </c>
      <c r="E25" s="63">
        <v>0</v>
      </c>
      <c r="F25" s="617">
        <v>1148</v>
      </c>
      <c r="G25" s="452">
        <f t="shared" si="2"/>
        <v>0</v>
      </c>
      <c r="H25" s="72">
        <f t="shared" si="2"/>
        <v>0</v>
      </c>
      <c r="I25" s="72">
        <f t="shared" si="3"/>
        <v>0</v>
      </c>
      <c r="J25" s="61">
        <f t="shared" si="4"/>
        <v>0</v>
      </c>
      <c r="K25" s="651">
        <f t="shared" si="5"/>
        <v>0.13</v>
      </c>
      <c r="L25" s="651">
        <f t="shared" si="6"/>
        <v>0</v>
      </c>
      <c r="M25" s="652">
        <f t="shared" si="7"/>
        <v>0</v>
      </c>
      <c r="N25" s="54">
        <f t="shared" si="8"/>
        <v>0</v>
      </c>
      <c r="O25" s="597">
        <f t="shared" si="9"/>
        <v>0</v>
      </c>
      <c r="P25" s="597">
        <f t="shared" si="10"/>
        <v>0</v>
      </c>
      <c r="Q25" s="653">
        <f t="shared" si="11"/>
        <v>0</v>
      </c>
      <c r="R25" s="247">
        <f t="shared" si="12"/>
        <v>0</v>
      </c>
      <c r="S25" s="24">
        <f t="shared" si="13"/>
        <v>1148</v>
      </c>
      <c r="T25" s="25">
        <f t="shared" si="14"/>
        <v>0</v>
      </c>
      <c r="U25" s="654">
        <f t="shared" si="15"/>
        <v>0</v>
      </c>
    </row>
    <row r="26" spans="1:24" s="831" customFormat="1" x14ac:dyDescent="0.2">
      <c r="A26" s="33">
        <f t="shared" si="0"/>
        <v>2013</v>
      </c>
      <c r="B26" s="30">
        <v>0</v>
      </c>
      <c r="C26" s="619">
        <f t="shared" si="1"/>
        <v>0</v>
      </c>
      <c r="D26" s="807">
        <f t="shared" ref="D26:F38" si="16">+D25</f>
        <v>0.13</v>
      </c>
      <c r="E26" s="808">
        <f t="shared" si="16"/>
        <v>0</v>
      </c>
      <c r="F26" s="806">
        <f t="shared" si="16"/>
        <v>1148</v>
      </c>
      <c r="G26" s="452">
        <f t="shared" si="2"/>
        <v>0</v>
      </c>
      <c r="H26" s="72">
        <f t="shared" si="2"/>
        <v>0</v>
      </c>
      <c r="I26" s="72">
        <f t="shared" si="3"/>
        <v>0</v>
      </c>
      <c r="J26" s="61">
        <f t="shared" si="4"/>
        <v>0</v>
      </c>
      <c r="K26" s="651">
        <f t="shared" si="5"/>
        <v>0.13</v>
      </c>
      <c r="L26" s="651">
        <f t="shared" si="6"/>
        <v>0</v>
      </c>
      <c r="M26" s="652">
        <f t="shared" si="7"/>
        <v>0</v>
      </c>
      <c r="N26" s="54">
        <f t="shared" si="8"/>
        <v>0</v>
      </c>
      <c r="O26" s="597">
        <f t="shared" si="9"/>
        <v>0</v>
      </c>
      <c r="P26" s="597">
        <f t="shared" si="10"/>
        <v>0</v>
      </c>
      <c r="Q26" s="653">
        <f t="shared" si="11"/>
        <v>0</v>
      </c>
      <c r="R26" s="247">
        <f t="shared" si="12"/>
        <v>0</v>
      </c>
      <c r="S26" s="24">
        <f t="shared" si="13"/>
        <v>1148</v>
      </c>
      <c r="T26" s="25">
        <f t="shared" si="14"/>
        <v>0</v>
      </c>
      <c r="U26" s="654">
        <f t="shared" si="15"/>
        <v>0</v>
      </c>
      <c r="V26" s="830"/>
    </row>
    <row r="27" spans="1:24" s="831" customFormat="1" x14ac:dyDescent="0.2">
      <c r="A27" s="33">
        <f t="shared" si="0"/>
        <v>2014</v>
      </c>
      <c r="B27" s="30">
        <v>0</v>
      </c>
      <c r="C27" s="619">
        <f t="shared" si="1"/>
        <v>0</v>
      </c>
      <c r="D27" s="807">
        <f t="shared" si="16"/>
        <v>0.13</v>
      </c>
      <c r="E27" s="808">
        <f t="shared" si="16"/>
        <v>0</v>
      </c>
      <c r="F27" s="806">
        <f t="shared" si="16"/>
        <v>1148</v>
      </c>
      <c r="G27" s="452">
        <f t="shared" si="2"/>
        <v>0</v>
      </c>
      <c r="H27" s="72">
        <f t="shared" si="2"/>
        <v>0</v>
      </c>
      <c r="I27" s="72">
        <f t="shared" si="3"/>
        <v>0</v>
      </c>
      <c r="J27" s="61">
        <f t="shared" si="4"/>
        <v>0</v>
      </c>
      <c r="K27" s="651">
        <f t="shared" si="5"/>
        <v>0.13</v>
      </c>
      <c r="L27" s="651">
        <f t="shared" si="6"/>
        <v>0</v>
      </c>
      <c r="M27" s="652">
        <f t="shared" si="7"/>
        <v>0</v>
      </c>
      <c r="N27" s="54">
        <f t="shared" si="8"/>
        <v>0</v>
      </c>
      <c r="O27" s="597">
        <f t="shared" si="9"/>
        <v>0</v>
      </c>
      <c r="P27" s="597">
        <f t="shared" si="10"/>
        <v>0</v>
      </c>
      <c r="Q27" s="653">
        <f t="shared" si="11"/>
        <v>0</v>
      </c>
      <c r="R27" s="247">
        <f t="shared" si="12"/>
        <v>0</v>
      </c>
      <c r="S27" s="24">
        <f t="shared" si="13"/>
        <v>1148</v>
      </c>
      <c r="T27" s="25">
        <f t="shared" si="14"/>
        <v>0</v>
      </c>
      <c r="U27" s="654">
        <f t="shared" si="15"/>
        <v>0</v>
      </c>
      <c r="V27" s="830"/>
    </row>
    <row r="28" spans="1:24" s="831" customFormat="1" x14ac:dyDescent="0.2">
      <c r="A28" s="33">
        <f t="shared" si="0"/>
        <v>2015</v>
      </c>
      <c r="B28" s="30">
        <v>85</v>
      </c>
      <c r="C28" s="619">
        <f t="shared" si="1"/>
        <v>85</v>
      </c>
      <c r="D28" s="807">
        <f>D61</f>
        <v>0.04</v>
      </c>
      <c r="E28" s="808">
        <f t="shared" ref="E28:F28" si="17">E61</f>
        <v>1.4588235294117647E-2</v>
      </c>
      <c r="F28" s="806">
        <f t="shared" si="17"/>
        <v>297.97294117647061</v>
      </c>
      <c r="G28" s="452">
        <f t="shared" si="2"/>
        <v>3.3999999999999998E-3</v>
      </c>
      <c r="H28" s="72">
        <f t="shared" si="2"/>
        <v>1.24E-3</v>
      </c>
      <c r="I28" s="72">
        <f t="shared" si="3"/>
        <v>2.5327700000000002E-2</v>
      </c>
      <c r="J28" s="61">
        <f t="shared" si="4"/>
        <v>42.5</v>
      </c>
      <c r="K28" s="651">
        <f t="shared" si="5"/>
        <v>0.04</v>
      </c>
      <c r="L28" s="651">
        <f t="shared" si="6"/>
        <v>1.6999999999999999E-3</v>
      </c>
      <c r="M28" s="652">
        <f t="shared" si="7"/>
        <v>1.6999999999999999E-3</v>
      </c>
      <c r="N28" s="54">
        <f t="shared" si="8"/>
        <v>0</v>
      </c>
      <c r="O28" s="597">
        <f t="shared" si="9"/>
        <v>1.4588235294117647E-2</v>
      </c>
      <c r="P28" s="597">
        <f t="shared" si="10"/>
        <v>0</v>
      </c>
      <c r="Q28" s="653">
        <f t="shared" si="11"/>
        <v>0</v>
      </c>
      <c r="R28" s="247">
        <f t="shared" si="12"/>
        <v>42.5</v>
      </c>
      <c r="S28" s="24">
        <f t="shared" si="13"/>
        <v>297.97294117647061</v>
      </c>
      <c r="T28" s="25">
        <f t="shared" si="14"/>
        <v>1.2663850000000001E-2</v>
      </c>
      <c r="U28" s="654">
        <f t="shared" si="15"/>
        <v>1.2663850000000001E-2</v>
      </c>
      <c r="V28" s="830"/>
    </row>
    <row r="29" spans="1:24" ht="13.5" thickBot="1" x14ac:dyDescent="0.25">
      <c r="A29" s="701">
        <f t="shared" si="0"/>
        <v>2016</v>
      </c>
      <c r="B29" s="702">
        <v>1225</v>
      </c>
      <c r="C29" s="703">
        <f t="shared" si="1"/>
        <v>1310</v>
      </c>
      <c r="D29" s="835">
        <v>0.04</v>
      </c>
      <c r="E29" s="835">
        <v>0</v>
      </c>
      <c r="F29" s="702">
        <v>12</v>
      </c>
      <c r="G29" s="706">
        <f t="shared" si="2"/>
        <v>4.9000000000000002E-2</v>
      </c>
      <c r="H29" s="707">
        <f t="shared" si="2"/>
        <v>0</v>
      </c>
      <c r="I29" s="707">
        <f t="shared" si="3"/>
        <v>1.47E-2</v>
      </c>
      <c r="J29" s="708">
        <f t="shared" si="4"/>
        <v>655</v>
      </c>
      <c r="K29" s="709">
        <f t="shared" si="5"/>
        <v>0.04</v>
      </c>
      <c r="L29" s="709">
        <f t="shared" si="6"/>
        <v>2.6199999999999998E-2</v>
      </c>
      <c r="M29" s="710">
        <f t="shared" si="7"/>
        <v>2.7899999999999998E-2</v>
      </c>
      <c r="N29" s="711">
        <f t="shared" si="8"/>
        <v>85</v>
      </c>
      <c r="O29" s="712">
        <f t="shared" si="9"/>
        <v>0</v>
      </c>
      <c r="P29" s="712">
        <f t="shared" si="10"/>
        <v>0</v>
      </c>
      <c r="Q29" s="713">
        <f t="shared" si="11"/>
        <v>0</v>
      </c>
      <c r="R29" s="714">
        <f t="shared" si="12"/>
        <v>655</v>
      </c>
      <c r="S29" s="715">
        <f t="shared" si="13"/>
        <v>12</v>
      </c>
      <c r="T29" s="716">
        <f t="shared" si="14"/>
        <v>7.8600000000000007E-3</v>
      </c>
      <c r="U29" s="717">
        <f t="shared" si="15"/>
        <v>2.0523850000000003E-2</v>
      </c>
    </row>
    <row r="30" spans="1:24" x14ac:dyDescent="0.2">
      <c r="A30" s="33">
        <f t="shared" si="0"/>
        <v>2017</v>
      </c>
      <c r="B30" s="787">
        <v>5</v>
      </c>
      <c r="C30" s="565">
        <f t="shared" si="1"/>
        <v>1315</v>
      </c>
      <c r="D30" s="965">
        <f t="shared" si="16"/>
        <v>0.04</v>
      </c>
      <c r="E30" s="966">
        <f t="shared" si="16"/>
        <v>0</v>
      </c>
      <c r="F30" s="790">
        <f t="shared" si="16"/>
        <v>12</v>
      </c>
      <c r="G30" s="473">
        <f t="shared" si="2"/>
        <v>2.0000000000000001E-4</v>
      </c>
      <c r="H30" s="474">
        <f t="shared" si="2"/>
        <v>0</v>
      </c>
      <c r="I30" s="474">
        <f t="shared" si="3"/>
        <v>6.0000000000000002E-5</v>
      </c>
      <c r="J30" s="61">
        <f t="shared" si="4"/>
        <v>615</v>
      </c>
      <c r="K30" s="967">
        <f t="shared" si="5"/>
        <v>0.04</v>
      </c>
      <c r="L30" s="967">
        <f t="shared" si="6"/>
        <v>2.46E-2</v>
      </c>
      <c r="M30" s="967">
        <f t="shared" si="7"/>
        <v>5.2499999999999998E-2</v>
      </c>
      <c r="N30" s="54">
        <f t="shared" si="8"/>
        <v>1225</v>
      </c>
      <c r="O30" s="968">
        <f t="shared" si="9"/>
        <v>0</v>
      </c>
      <c r="P30" s="968">
        <f t="shared" si="10"/>
        <v>0</v>
      </c>
      <c r="Q30" s="969">
        <f t="shared" si="11"/>
        <v>0</v>
      </c>
      <c r="R30" s="247">
        <f t="shared" si="12"/>
        <v>615</v>
      </c>
      <c r="S30" s="24">
        <f t="shared" si="13"/>
        <v>12</v>
      </c>
      <c r="T30" s="970">
        <f t="shared" si="14"/>
        <v>7.3800000000000003E-3</v>
      </c>
      <c r="U30" s="971">
        <f t="shared" si="15"/>
        <v>2.7903850000000004E-2</v>
      </c>
    </row>
    <row r="31" spans="1:24" x14ac:dyDescent="0.2">
      <c r="A31" s="33">
        <f t="shared" si="0"/>
        <v>2018</v>
      </c>
      <c r="B31" s="787">
        <v>5</v>
      </c>
      <c r="C31" s="565">
        <f t="shared" si="1"/>
        <v>1320</v>
      </c>
      <c r="D31" s="965">
        <f t="shared" si="16"/>
        <v>0.04</v>
      </c>
      <c r="E31" s="966">
        <f t="shared" si="16"/>
        <v>0</v>
      </c>
      <c r="F31" s="790">
        <f t="shared" si="16"/>
        <v>12</v>
      </c>
      <c r="G31" s="473">
        <f t="shared" si="2"/>
        <v>2.0000000000000001E-4</v>
      </c>
      <c r="H31" s="474">
        <f t="shared" si="2"/>
        <v>0</v>
      </c>
      <c r="I31" s="474">
        <f t="shared" si="3"/>
        <v>6.0000000000000002E-5</v>
      </c>
      <c r="J31" s="61">
        <f t="shared" si="4"/>
        <v>5</v>
      </c>
      <c r="K31" s="967">
        <f t="shared" si="5"/>
        <v>0.04</v>
      </c>
      <c r="L31" s="967">
        <f t="shared" si="6"/>
        <v>2.0000000000000001E-4</v>
      </c>
      <c r="M31" s="967">
        <f t="shared" si="7"/>
        <v>5.2699999999999997E-2</v>
      </c>
      <c r="N31" s="54">
        <f t="shared" si="8"/>
        <v>5</v>
      </c>
      <c r="O31" s="968">
        <f t="shared" si="9"/>
        <v>0</v>
      </c>
      <c r="P31" s="968">
        <f t="shared" si="10"/>
        <v>0</v>
      </c>
      <c r="Q31" s="969">
        <f t="shared" si="11"/>
        <v>0</v>
      </c>
      <c r="R31" s="247">
        <f t="shared" si="12"/>
        <v>5</v>
      </c>
      <c r="S31" s="24">
        <f t="shared" si="13"/>
        <v>12</v>
      </c>
      <c r="T31" s="970">
        <f t="shared" si="14"/>
        <v>6.0000000000000002E-5</v>
      </c>
      <c r="U31" s="971">
        <f t="shared" si="15"/>
        <v>2.7963850000000005E-2</v>
      </c>
    </row>
    <row r="32" spans="1:24" x14ac:dyDescent="0.2">
      <c r="A32" s="33">
        <f t="shared" si="0"/>
        <v>2019</v>
      </c>
      <c r="B32" s="787">
        <v>5</v>
      </c>
      <c r="C32" s="565">
        <f t="shared" si="1"/>
        <v>1325</v>
      </c>
      <c r="D32" s="965">
        <f t="shared" si="16"/>
        <v>0.04</v>
      </c>
      <c r="E32" s="966">
        <f t="shared" si="16"/>
        <v>0</v>
      </c>
      <c r="F32" s="790">
        <f t="shared" si="16"/>
        <v>12</v>
      </c>
      <c r="G32" s="473">
        <f t="shared" si="2"/>
        <v>2.0000000000000001E-4</v>
      </c>
      <c r="H32" s="474">
        <f t="shared" si="2"/>
        <v>0</v>
      </c>
      <c r="I32" s="474">
        <f t="shared" si="3"/>
        <v>6.0000000000000002E-5</v>
      </c>
      <c r="J32" s="61">
        <f t="shared" si="4"/>
        <v>5</v>
      </c>
      <c r="K32" s="967">
        <f t="shared" si="5"/>
        <v>0.04</v>
      </c>
      <c r="L32" s="967">
        <f t="shared" si="6"/>
        <v>2.0000000000000001E-4</v>
      </c>
      <c r="M32" s="967">
        <f t="shared" si="7"/>
        <v>5.2899999999999996E-2</v>
      </c>
      <c r="N32" s="54">
        <f t="shared" si="8"/>
        <v>5</v>
      </c>
      <c r="O32" s="968">
        <f t="shared" si="9"/>
        <v>0</v>
      </c>
      <c r="P32" s="968">
        <f t="shared" si="10"/>
        <v>0</v>
      </c>
      <c r="Q32" s="969">
        <f t="shared" si="11"/>
        <v>0</v>
      </c>
      <c r="R32" s="247">
        <f t="shared" si="12"/>
        <v>5</v>
      </c>
      <c r="S32" s="24">
        <f t="shared" si="13"/>
        <v>12</v>
      </c>
      <c r="T32" s="970">
        <f t="shared" si="14"/>
        <v>6.0000000000000002E-5</v>
      </c>
      <c r="U32" s="971">
        <f t="shared" si="15"/>
        <v>2.8023850000000006E-2</v>
      </c>
    </row>
    <row r="33" spans="1:21" x14ac:dyDescent="0.2">
      <c r="A33" s="33">
        <f t="shared" si="0"/>
        <v>2020</v>
      </c>
      <c r="B33" s="787">
        <v>5</v>
      </c>
      <c r="C33" s="565">
        <f t="shared" si="1"/>
        <v>1330</v>
      </c>
      <c r="D33" s="965">
        <f t="shared" si="16"/>
        <v>0.04</v>
      </c>
      <c r="E33" s="966">
        <f t="shared" si="16"/>
        <v>0</v>
      </c>
      <c r="F33" s="790">
        <f t="shared" si="16"/>
        <v>12</v>
      </c>
      <c r="G33" s="473">
        <f t="shared" si="2"/>
        <v>2.0000000000000001E-4</v>
      </c>
      <c r="H33" s="474">
        <f t="shared" si="2"/>
        <v>0</v>
      </c>
      <c r="I33" s="474">
        <f t="shared" si="3"/>
        <v>6.0000000000000002E-5</v>
      </c>
      <c r="J33" s="61">
        <f t="shared" si="4"/>
        <v>5</v>
      </c>
      <c r="K33" s="967">
        <f t="shared" si="5"/>
        <v>0.04</v>
      </c>
      <c r="L33" s="967">
        <f t="shared" si="6"/>
        <v>2.0000000000000001E-4</v>
      </c>
      <c r="M33" s="967">
        <f t="shared" si="7"/>
        <v>5.3099999999999994E-2</v>
      </c>
      <c r="N33" s="54">
        <f t="shared" si="8"/>
        <v>5</v>
      </c>
      <c r="O33" s="968">
        <f t="shared" si="9"/>
        <v>0</v>
      </c>
      <c r="P33" s="968">
        <f t="shared" si="10"/>
        <v>0</v>
      </c>
      <c r="Q33" s="969">
        <f t="shared" si="11"/>
        <v>0</v>
      </c>
      <c r="R33" s="247">
        <f t="shared" si="12"/>
        <v>5</v>
      </c>
      <c r="S33" s="24">
        <f t="shared" si="13"/>
        <v>12</v>
      </c>
      <c r="T33" s="970">
        <f t="shared" si="14"/>
        <v>6.0000000000000002E-5</v>
      </c>
      <c r="U33" s="971">
        <f t="shared" si="15"/>
        <v>2.8083850000000007E-2</v>
      </c>
    </row>
    <row r="34" spans="1:21" x14ac:dyDescent="0.2">
      <c r="A34" s="33">
        <f t="shared" si="0"/>
        <v>2021</v>
      </c>
      <c r="B34" s="787">
        <v>5</v>
      </c>
      <c r="C34" s="565">
        <f t="shared" si="1"/>
        <v>1335</v>
      </c>
      <c r="D34" s="965">
        <f t="shared" si="16"/>
        <v>0.04</v>
      </c>
      <c r="E34" s="966">
        <f t="shared" si="16"/>
        <v>0</v>
      </c>
      <c r="F34" s="790">
        <f t="shared" si="16"/>
        <v>12</v>
      </c>
      <c r="G34" s="473">
        <f t="shared" si="2"/>
        <v>2.0000000000000001E-4</v>
      </c>
      <c r="H34" s="474">
        <f t="shared" si="2"/>
        <v>0</v>
      </c>
      <c r="I34" s="474">
        <f t="shared" si="3"/>
        <v>6.0000000000000002E-5</v>
      </c>
      <c r="J34" s="61">
        <f t="shared" si="4"/>
        <v>5</v>
      </c>
      <c r="K34" s="967">
        <f t="shared" si="5"/>
        <v>0.04</v>
      </c>
      <c r="L34" s="967">
        <f t="shared" si="6"/>
        <v>2.0000000000000001E-4</v>
      </c>
      <c r="M34" s="967">
        <f t="shared" si="7"/>
        <v>5.3299999999999993E-2</v>
      </c>
      <c r="N34" s="54">
        <f t="shared" si="8"/>
        <v>5</v>
      </c>
      <c r="O34" s="968">
        <f t="shared" si="9"/>
        <v>0</v>
      </c>
      <c r="P34" s="968">
        <f t="shared" si="10"/>
        <v>0</v>
      </c>
      <c r="Q34" s="969">
        <f t="shared" si="11"/>
        <v>0</v>
      </c>
      <c r="R34" s="247">
        <f t="shared" si="12"/>
        <v>5</v>
      </c>
      <c r="S34" s="24">
        <f t="shared" si="13"/>
        <v>12</v>
      </c>
      <c r="T34" s="970">
        <f t="shared" si="14"/>
        <v>6.0000000000000002E-5</v>
      </c>
      <c r="U34" s="971">
        <f t="shared" si="15"/>
        <v>2.8143850000000008E-2</v>
      </c>
    </row>
    <row r="35" spans="1:21" x14ac:dyDescent="0.2">
      <c r="A35" s="33">
        <f t="shared" si="0"/>
        <v>2022</v>
      </c>
      <c r="B35" s="787">
        <v>5</v>
      </c>
      <c r="C35" s="565">
        <f t="shared" si="1"/>
        <v>1340</v>
      </c>
      <c r="D35" s="965">
        <f t="shared" si="16"/>
        <v>0.04</v>
      </c>
      <c r="E35" s="966">
        <f t="shared" si="16"/>
        <v>0</v>
      </c>
      <c r="F35" s="790">
        <f t="shared" si="16"/>
        <v>12</v>
      </c>
      <c r="G35" s="473">
        <f t="shared" si="2"/>
        <v>2.0000000000000001E-4</v>
      </c>
      <c r="H35" s="474">
        <f t="shared" si="2"/>
        <v>0</v>
      </c>
      <c r="I35" s="474">
        <f t="shared" si="3"/>
        <v>6.0000000000000002E-5</v>
      </c>
      <c r="J35" s="61">
        <f t="shared" si="4"/>
        <v>5</v>
      </c>
      <c r="K35" s="967">
        <f t="shared" si="5"/>
        <v>0.04</v>
      </c>
      <c r="L35" s="967">
        <f t="shared" si="6"/>
        <v>2.0000000000000001E-4</v>
      </c>
      <c r="M35" s="967">
        <f t="shared" si="7"/>
        <v>5.3499999999999992E-2</v>
      </c>
      <c r="N35" s="54">
        <f t="shared" si="8"/>
        <v>5</v>
      </c>
      <c r="O35" s="968">
        <f t="shared" si="9"/>
        <v>0</v>
      </c>
      <c r="P35" s="968">
        <f t="shared" si="10"/>
        <v>0</v>
      </c>
      <c r="Q35" s="969">
        <f t="shared" si="11"/>
        <v>0</v>
      </c>
      <c r="R35" s="247">
        <f t="shared" si="12"/>
        <v>5</v>
      </c>
      <c r="S35" s="24">
        <f t="shared" si="13"/>
        <v>12</v>
      </c>
      <c r="T35" s="970">
        <f t="shared" si="14"/>
        <v>6.0000000000000002E-5</v>
      </c>
      <c r="U35" s="971">
        <f t="shared" si="15"/>
        <v>2.8203850000000009E-2</v>
      </c>
    </row>
    <row r="36" spans="1:21" x14ac:dyDescent="0.2">
      <c r="A36" s="33">
        <f t="shared" si="0"/>
        <v>2023</v>
      </c>
      <c r="B36" s="787">
        <v>5</v>
      </c>
      <c r="C36" s="565">
        <f t="shared" si="1"/>
        <v>1345</v>
      </c>
      <c r="D36" s="965">
        <f t="shared" si="16"/>
        <v>0.04</v>
      </c>
      <c r="E36" s="966">
        <f t="shared" si="16"/>
        <v>0</v>
      </c>
      <c r="F36" s="790">
        <f t="shared" si="16"/>
        <v>12</v>
      </c>
      <c r="G36" s="473">
        <f t="shared" si="2"/>
        <v>2.0000000000000001E-4</v>
      </c>
      <c r="H36" s="474">
        <f t="shared" si="2"/>
        <v>0</v>
      </c>
      <c r="I36" s="474">
        <f t="shared" si="3"/>
        <v>6.0000000000000002E-5</v>
      </c>
      <c r="J36" s="61">
        <f t="shared" si="4"/>
        <v>5</v>
      </c>
      <c r="K36" s="967">
        <f t="shared" si="5"/>
        <v>0.04</v>
      </c>
      <c r="L36" s="967">
        <f t="shared" si="6"/>
        <v>2.0000000000000001E-4</v>
      </c>
      <c r="M36" s="967">
        <f t="shared" si="7"/>
        <v>5.3699999999999991E-2</v>
      </c>
      <c r="N36" s="54">
        <f t="shared" si="8"/>
        <v>5</v>
      </c>
      <c r="O36" s="968">
        <f t="shared" si="9"/>
        <v>0</v>
      </c>
      <c r="P36" s="968">
        <f t="shared" si="10"/>
        <v>0</v>
      </c>
      <c r="Q36" s="969">
        <f t="shared" si="11"/>
        <v>0</v>
      </c>
      <c r="R36" s="247">
        <f t="shared" si="12"/>
        <v>5</v>
      </c>
      <c r="S36" s="24">
        <f t="shared" si="13"/>
        <v>12</v>
      </c>
      <c r="T36" s="970">
        <f t="shared" si="14"/>
        <v>6.0000000000000002E-5</v>
      </c>
      <c r="U36" s="971">
        <f t="shared" si="15"/>
        <v>2.826385000000001E-2</v>
      </c>
    </row>
    <row r="37" spans="1:21" x14ac:dyDescent="0.2">
      <c r="A37" s="33">
        <f t="shared" si="0"/>
        <v>2024</v>
      </c>
      <c r="B37" s="787">
        <v>5</v>
      </c>
      <c r="C37" s="565">
        <f t="shared" si="1"/>
        <v>1350</v>
      </c>
      <c r="D37" s="965">
        <f t="shared" si="16"/>
        <v>0.04</v>
      </c>
      <c r="E37" s="966">
        <f t="shared" si="16"/>
        <v>0</v>
      </c>
      <c r="F37" s="790">
        <f t="shared" si="16"/>
        <v>12</v>
      </c>
      <c r="G37" s="473">
        <f t="shared" si="2"/>
        <v>2.0000000000000001E-4</v>
      </c>
      <c r="H37" s="474">
        <f t="shared" si="2"/>
        <v>0</v>
      </c>
      <c r="I37" s="474">
        <f t="shared" si="3"/>
        <v>6.0000000000000002E-5</v>
      </c>
      <c r="J37" s="61">
        <f t="shared" si="4"/>
        <v>5</v>
      </c>
      <c r="K37" s="967">
        <f t="shared" si="5"/>
        <v>0.04</v>
      </c>
      <c r="L37" s="967">
        <f t="shared" si="6"/>
        <v>2.0000000000000001E-4</v>
      </c>
      <c r="M37" s="967">
        <f t="shared" si="7"/>
        <v>5.389999999999999E-2</v>
      </c>
      <c r="N37" s="54">
        <f t="shared" si="8"/>
        <v>5</v>
      </c>
      <c r="O37" s="968">
        <f t="shared" si="9"/>
        <v>0</v>
      </c>
      <c r="P37" s="968">
        <f t="shared" si="10"/>
        <v>0</v>
      </c>
      <c r="Q37" s="969">
        <f t="shared" si="11"/>
        <v>0</v>
      </c>
      <c r="R37" s="247">
        <f t="shared" si="12"/>
        <v>5</v>
      </c>
      <c r="S37" s="24">
        <f t="shared" si="13"/>
        <v>12</v>
      </c>
      <c r="T37" s="970">
        <f t="shared" si="14"/>
        <v>6.0000000000000002E-5</v>
      </c>
      <c r="U37" s="971">
        <f t="shared" si="15"/>
        <v>2.8323850000000012E-2</v>
      </c>
    </row>
    <row r="38" spans="1:21" x14ac:dyDescent="0.2">
      <c r="A38" s="33">
        <f t="shared" si="0"/>
        <v>2025</v>
      </c>
      <c r="B38" s="787">
        <f t="shared" ref="B38:B47" si="18">B37</f>
        <v>5</v>
      </c>
      <c r="C38" s="565">
        <f t="shared" si="1"/>
        <v>1355</v>
      </c>
      <c r="D38" s="965">
        <f t="shared" si="16"/>
        <v>0.04</v>
      </c>
      <c r="E38" s="966">
        <f t="shared" si="16"/>
        <v>0</v>
      </c>
      <c r="F38" s="790">
        <f t="shared" si="16"/>
        <v>12</v>
      </c>
      <c r="G38" s="473">
        <f t="shared" si="2"/>
        <v>2.0000000000000001E-4</v>
      </c>
      <c r="H38" s="474">
        <f t="shared" si="2"/>
        <v>0</v>
      </c>
      <c r="I38" s="474">
        <f t="shared" si="3"/>
        <v>6.0000000000000002E-5</v>
      </c>
      <c r="J38" s="61">
        <f t="shared" si="4"/>
        <v>5</v>
      </c>
      <c r="K38" s="967">
        <f t="shared" si="5"/>
        <v>0.04</v>
      </c>
      <c r="L38" s="967">
        <f t="shared" si="6"/>
        <v>2.0000000000000001E-4</v>
      </c>
      <c r="M38" s="967">
        <f t="shared" si="7"/>
        <v>5.4099999999999988E-2</v>
      </c>
      <c r="N38" s="54">
        <f t="shared" si="8"/>
        <v>5</v>
      </c>
      <c r="O38" s="968">
        <f t="shared" si="9"/>
        <v>0</v>
      </c>
      <c r="P38" s="968">
        <f t="shared" si="10"/>
        <v>0</v>
      </c>
      <c r="Q38" s="969">
        <f t="shared" si="11"/>
        <v>0</v>
      </c>
      <c r="R38" s="247">
        <f t="shared" si="12"/>
        <v>5</v>
      </c>
      <c r="S38" s="24">
        <f t="shared" si="13"/>
        <v>12</v>
      </c>
      <c r="T38" s="970">
        <f t="shared" si="14"/>
        <v>6.0000000000000002E-5</v>
      </c>
      <c r="U38" s="971">
        <f t="shared" si="15"/>
        <v>2.8383850000000013E-2</v>
      </c>
    </row>
    <row r="39" spans="1:21" x14ac:dyDescent="0.2">
      <c r="A39" s="33">
        <f t="shared" si="0"/>
        <v>2026</v>
      </c>
      <c r="B39" s="787">
        <f t="shared" si="18"/>
        <v>5</v>
      </c>
      <c r="C39" s="565">
        <f t="shared" si="1"/>
        <v>1360</v>
      </c>
      <c r="D39" s="965">
        <f t="shared" ref="D39:F42" si="19">+D38</f>
        <v>0.04</v>
      </c>
      <c r="E39" s="966">
        <f t="shared" si="19"/>
        <v>0</v>
      </c>
      <c r="F39" s="790">
        <f t="shared" si="19"/>
        <v>12</v>
      </c>
      <c r="G39" s="473">
        <f t="shared" si="2"/>
        <v>2.0000000000000001E-4</v>
      </c>
      <c r="H39" s="474">
        <f t="shared" si="2"/>
        <v>0</v>
      </c>
      <c r="I39" s="474">
        <f t="shared" si="3"/>
        <v>6.0000000000000002E-5</v>
      </c>
      <c r="J39" s="61">
        <f t="shared" si="4"/>
        <v>5</v>
      </c>
      <c r="K39" s="967">
        <f t="shared" si="5"/>
        <v>0.04</v>
      </c>
      <c r="L39" s="967">
        <f t="shared" si="6"/>
        <v>2.0000000000000001E-4</v>
      </c>
      <c r="M39" s="967">
        <f t="shared" si="7"/>
        <v>5.4299999999999987E-2</v>
      </c>
      <c r="N39" s="54">
        <f t="shared" si="8"/>
        <v>5</v>
      </c>
      <c r="O39" s="968">
        <f t="shared" si="9"/>
        <v>0</v>
      </c>
      <c r="P39" s="968">
        <f t="shared" si="10"/>
        <v>0</v>
      </c>
      <c r="Q39" s="969">
        <f t="shared" si="11"/>
        <v>0</v>
      </c>
      <c r="R39" s="247">
        <f>+(B39+B38)/2</f>
        <v>5</v>
      </c>
      <c r="S39" s="24">
        <f>+F39</f>
        <v>12</v>
      </c>
      <c r="T39" s="970">
        <f>+R39*S39/1000000</f>
        <v>6.0000000000000002E-5</v>
      </c>
      <c r="U39" s="971">
        <f t="shared" si="15"/>
        <v>2.8443850000000014E-2</v>
      </c>
    </row>
    <row r="40" spans="1:21" x14ac:dyDescent="0.2">
      <c r="A40" s="33">
        <f>+A39+1</f>
        <v>2027</v>
      </c>
      <c r="B40" s="787">
        <f t="shared" si="18"/>
        <v>5</v>
      </c>
      <c r="C40" s="565">
        <f>+C39+B40</f>
        <v>1365</v>
      </c>
      <c r="D40" s="965">
        <f t="shared" si="19"/>
        <v>0.04</v>
      </c>
      <c r="E40" s="966">
        <f t="shared" si="19"/>
        <v>0</v>
      </c>
      <c r="F40" s="790">
        <f t="shared" si="19"/>
        <v>12</v>
      </c>
      <c r="G40" s="473">
        <f t="shared" ref="G40:H42" si="20">+$B40*D40/1000</f>
        <v>2.0000000000000001E-4</v>
      </c>
      <c r="H40" s="474">
        <f t="shared" si="20"/>
        <v>0</v>
      </c>
      <c r="I40" s="474">
        <f>+$B40*F40/1000000</f>
        <v>6.0000000000000002E-5</v>
      </c>
      <c r="J40" s="61">
        <f>+(B40+B39)/2</f>
        <v>5</v>
      </c>
      <c r="K40" s="967">
        <f>+D40</f>
        <v>0.04</v>
      </c>
      <c r="L40" s="967">
        <f>+J40*K40/1000</f>
        <v>2.0000000000000001E-4</v>
      </c>
      <c r="M40" s="967">
        <f>+M39+L40</f>
        <v>5.4499999999999986E-2</v>
      </c>
      <c r="N40" s="54">
        <f>+B39</f>
        <v>5</v>
      </c>
      <c r="O40" s="968">
        <f>+E40</f>
        <v>0</v>
      </c>
      <c r="P40" s="968">
        <f>+N40*O40/1000</f>
        <v>0</v>
      </c>
      <c r="Q40" s="969">
        <f>+Q39+P40</f>
        <v>0</v>
      </c>
      <c r="R40" s="247">
        <f>+(B40+B39)/2</f>
        <v>5</v>
      </c>
      <c r="S40" s="24">
        <f>+F40</f>
        <v>12</v>
      </c>
      <c r="T40" s="970">
        <f>+R40*S40/1000000</f>
        <v>6.0000000000000002E-5</v>
      </c>
      <c r="U40" s="971">
        <f>+U39+T40</f>
        <v>2.8503850000000015E-2</v>
      </c>
    </row>
    <row r="41" spans="1:21" x14ac:dyDescent="0.2">
      <c r="A41" s="33">
        <f t="shared" si="0"/>
        <v>2028</v>
      </c>
      <c r="B41" s="787">
        <f t="shared" si="18"/>
        <v>5</v>
      </c>
      <c r="C41" s="565">
        <f>+C40+B41</f>
        <v>1370</v>
      </c>
      <c r="D41" s="965">
        <f>+D40</f>
        <v>0.04</v>
      </c>
      <c r="E41" s="966">
        <f>+E40</f>
        <v>0</v>
      </c>
      <c r="F41" s="790">
        <f>+F40</f>
        <v>12</v>
      </c>
      <c r="G41" s="473">
        <f t="shared" si="20"/>
        <v>2.0000000000000001E-4</v>
      </c>
      <c r="H41" s="474">
        <f t="shared" si="20"/>
        <v>0</v>
      </c>
      <c r="I41" s="474">
        <f>+$B41*F41/1000000</f>
        <v>6.0000000000000002E-5</v>
      </c>
      <c r="J41" s="61">
        <f>+(B41+B40)/2</f>
        <v>5</v>
      </c>
      <c r="K41" s="967">
        <f>+D41</f>
        <v>0.04</v>
      </c>
      <c r="L41" s="967">
        <f>+J41*K41/1000</f>
        <v>2.0000000000000001E-4</v>
      </c>
      <c r="M41" s="967">
        <f>+M40+L41</f>
        <v>5.4699999999999985E-2</v>
      </c>
      <c r="N41" s="54">
        <f>+B40</f>
        <v>5</v>
      </c>
      <c r="O41" s="968">
        <f>+E41</f>
        <v>0</v>
      </c>
      <c r="P41" s="968">
        <f>+N41*O41/1000</f>
        <v>0</v>
      </c>
      <c r="Q41" s="969">
        <f>+Q40+P41</f>
        <v>0</v>
      </c>
      <c r="R41" s="247">
        <f>+(B41+B40)/2</f>
        <v>5</v>
      </c>
      <c r="S41" s="24">
        <f>+F41</f>
        <v>12</v>
      </c>
      <c r="T41" s="970">
        <f>+R41*S41/1000000</f>
        <v>6.0000000000000002E-5</v>
      </c>
      <c r="U41" s="971">
        <f>+U40+T41</f>
        <v>2.8563850000000016E-2</v>
      </c>
    </row>
    <row r="42" spans="1:21" x14ac:dyDescent="0.2">
      <c r="A42" s="33">
        <f t="shared" si="0"/>
        <v>2029</v>
      </c>
      <c r="B42" s="787">
        <f t="shared" si="18"/>
        <v>5</v>
      </c>
      <c r="C42" s="565">
        <f>+C41+B42</f>
        <v>1375</v>
      </c>
      <c r="D42" s="965">
        <f t="shared" si="19"/>
        <v>0.04</v>
      </c>
      <c r="E42" s="966">
        <f t="shared" si="19"/>
        <v>0</v>
      </c>
      <c r="F42" s="790">
        <f t="shared" si="19"/>
        <v>12</v>
      </c>
      <c r="G42" s="473">
        <f t="shared" si="20"/>
        <v>2.0000000000000001E-4</v>
      </c>
      <c r="H42" s="474">
        <f t="shared" si="20"/>
        <v>0</v>
      </c>
      <c r="I42" s="474">
        <f>+$B42*F42/1000000</f>
        <v>6.0000000000000002E-5</v>
      </c>
      <c r="J42" s="61">
        <f>+(B42+B41)/2</f>
        <v>5</v>
      </c>
      <c r="K42" s="967">
        <f>+D42</f>
        <v>0.04</v>
      </c>
      <c r="L42" s="967">
        <f>+J42*K42/1000</f>
        <v>2.0000000000000001E-4</v>
      </c>
      <c r="M42" s="967">
        <f>+M41+L42</f>
        <v>5.4899999999999984E-2</v>
      </c>
      <c r="N42" s="54">
        <f>+B41</f>
        <v>5</v>
      </c>
      <c r="O42" s="968">
        <f>+E42</f>
        <v>0</v>
      </c>
      <c r="P42" s="968">
        <f>+N42*O42/1000</f>
        <v>0</v>
      </c>
      <c r="Q42" s="969">
        <f>+Q41+P42</f>
        <v>0</v>
      </c>
      <c r="R42" s="247">
        <f>+(B42+B41)/2</f>
        <v>5</v>
      </c>
      <c r="S42" s="24">
        <f>+F42</f>
        <v>12</v>
      </c>
      <c r="T42" s="970">
        <f>+R42*S42/1000000</f>
        <v>6.0000000000000002E-5</v>
      </c>
      <c r="U42" s="971">
        <f>+U41+T42</f>
        <v>2.8623850000000017E-2</v>
      </c>
    </row>
    <row r="43" spans="1:21" x14ac:dyDescent="0.2">
      <c r="A43" s="33">
        <f t="shared" si="0"/>
        <v>2030</v>
      </c>
      <c r="B43" s="787">
        <f t="shared" si="18"/>
        <v>5</v>
      </c>
      <c r="C43" s="565">
        <f t="shared" ref="C43:C47" si="21">+C42+B43</f>
        <v>1380</v>
      </c>
      <c r="D43" s="965">
        <f t="shared" ref="D43:F43" si="22">+D42</f>
        <v>0.04</v>
      </c>
      <c r="E43" s="966">
        <f t="shared" si="22"/>
        <v>0</v>
      </c>
      <c r="F43" s="790">
        <f t="shared" si="22"/>
        <v>12</v>
      </c>
      <c r="G43" s="473">
        <f t="shared" ref="G43:G47" si="23">+$B43*D43/1000</f>
        <v>2.0000000000000001E-4</v>
      </c>
      <c r="H43" s="474">
        <f t="shared" ref="H43:H47" si="24">+$B43*E43/1000</f>
        <v>0</v>
      </c>
      <c r="I43" s="474">
        <f t="shared" ref="I43:I47" si="25">+$B43*F43/1000000</f>
        <v>6.0000000000000002E-5</v>
      </c>
      <c r="J43" s="61">
        <f t="shared" ref="J43:J47" si="26">+(B43+B42)/2</f>
        <v>5</v>
      </c>
      <c r="K43" s="967">
        <f t="shared" ref="K43:K47" si="27">+D43</f>
        <v>0.04</v>
      </c>
      <c r="L43" s="967">
        <f t="shared" ref="L43:L47" si="28">+J43*K43/1000</f>
        <v>2.0000000000000001E-4</v>
      </c>
      <c r="M43" s="967">
        <f t="shared" ref="M43:M47" si="29">+M42+L43</f>
        <v>5.5099999999999982E-2</v>
      </c>
      <c r="N43" s="54">
        <f t="shared" ref="N43:N47" si="30">+B42</f>
        <v>5</v>
      </c>
      <c r="O43" s="968">
        <f t="shared" ref="O43:O47" si="31">+E43</f>
        <v>0</v>
      </c>
      <c r="P43" s="968">
        <f t="shared" ref="P43:P47" si="32">+N43*O43/1000</f>
        <v>0</v>
      </c>
      <c r="Q43" s="969">
        <f t="shared" ref="Q43:Q47" si="33">+Q42+P43</f>
        <v>0</v>
      </c>
      <c r="R43" s="247">
        <f t="shared" ref="R43:R47" si="34">+(B43+B42)/2</f>
        <v>5</v>
      </c>
      <c r="S43" s="24">
        <f t="shared" ref="S43:S47" si="35">+F43</f>
        <v>12</v>
      </c>
      <c r="T43" s="970">
        <f t="shared" ref="T43:T47" si="36">+R43*S43/1000000</f>
        <v>6.0000000000000002E-5</v>
      </c>
      <c r="U43" s="971">
        <f t="shared" ref="U43:U47" si="37">+U42+T43</f>
        <v>2.8683850000000018E-2</v>
      </c>
    </row>
    <row r="44" spans="1:21" x14ac:dyDescent="0.2">
      <c r="A44" s="33">
        <f t="shared" si="0"/>
        <v>2031</v>
      </c>
      <c r="B44" s="787">
        <f t="shared" si="18"/>
        <v>5</v>
      </c>
      <c r="C44" s="565">
        <f t="shared" si="21"/>
        <v>1385</v>
      </c>
      <c r="D44" s="965">
        <f t="shared" ref="D44:F44" si="38">+D43</f>
        <v>0.04</v>
      </c>
      <c r="E44" s="966">
        <f t="shared" si="38"/>
        <v>0</v>
      </c>
      <c r="F44" s="790">
        <f t="shared" si="38"/>
        <v>12</v>
      </c>
      <c r="G44" s="473">
        <f t="shared" si="23"/>
        <v>2.0000000000000001E-4</v>
      </c>
      <c r="H44" s="474">
        <f t="shared" si="24"/>
        <v>0</v>
      </c>
      <c r="I44" s="474">
        <f t="shared" si="25"/>
        <v>6.0000000000000002E-5</v>
      </c>
      <c r="J44" s="61">
        <f t="shared" si="26"/>
        <v>5</v>
      </c>
      <c r="K44" s="967">
        <f t="shared" si="27"/>
        <v>0.04</v>
      </c>
      <c r="L44" s="967">
        <f t="shared" si="28"/>
        <v>2.0000000000000001E-4</v>
      </c>
      <c r="M44" s="967">
        <f t="shared" si="29"/>
        <v>5.5299999999999981E-2</v>
      </c>
      <c r="N44" s="54">
        <f t="shared" si="30"/>
        <v>5</v>
      </c>
      <c r="O44" s="968">
        <f t="shared" si="31"/>
        <v>0</v>
      </c>
      <c r="P44" s="968">
        <f t="shared" si="32"/>
        <v>0</v>
      </c>
      <c r="Q44" s="969">
        <f t="shared" si="33"/>
        <v>0</v>
      </c>
      <c r="R44" s="247">
        <f t="shared" si="34"/>
        <v>5</v>
      </c>
      <c r="S44" s="24">
        <f t="shared" si="35"/>
        <v>12</v>
      </c>
      <c r="T44" s="970">
        <f t="shared" si="36"/>
        <v>6.0000000000000002E-5</v>
      </c>
      <c r="U44" s="971">
        <f t="shared" si="37"/>
        <v>2.8743850000000019E-2</v>
      </c>
    </row>
    <row r="45" spans="1:21" x14ac:dyDescent="0.2">
      <c r="A45" s="33">
        <f t="shared" si="0"/>
        <v>2032</v>
      </c>
      <c r="B45" s="787">
        <f t="shared" si="18"/>
        <v>5</v>
      </c>
      <c r="C45" s="565">
        <f t="shared" si="21"/>
        <v>1390</v>
      </c>
      <c r="D45" s="965">
        <f t="shared" ref="D45:F45" si="39">+D44</f>
        <v>0.04</v>
      </c>
      <c r="E45" s="966">
        <f t="shared" si="39"/>
        <v>0</v>
      </c>
      <c r="F45" s="790">
        <f t="shared" si="39"/>
        <v>12</v>
      </c>
      <c r="G45" s="473">
        <f t="shared" si="23"/>
        <v>2.0000000000000001E-4</v>
      </c>
      <c r="H45" s="474">
        <f t="shared" si="24"/>
        <v>0</v>
      </c>
      <c r="I45" s="474">
        <f t="shared" si="25"/>
        <v>6.0000000000000002E-5</v>
      </c>
      <c r="J45" s="61">
        <f t="shared" si="26"/>
        <v>5</v>
      </c>
      <c r="K45" s="967">
        <f t="shared" si="27"/>
        <v>0.04</v>
      </c>
      <c r="L45" s="967">
        <f t="shared" si="28"/>
        <v>2.0000000000000001E-4</v>
      </c>
      <c r="M45" s="967">
        <f t="shared" si="29"/>
        <v>5.549999999999998E-2</v>
      </c>
      <c r="N45" s="54">
        <f t="shared" si="30"/>
        <v>5</v>
      </c>
      <c r="O45" s="968">
        <f t="shared" si="31"/>
        <v>0</v>
      </c>
      <c r="P45" s="968">
        <f t="shared" si="32"/>
        <v>0</v>
      </c>
      <c r="Q45" s="969">
        <f t="shared" si="33"/>
        <v>0</v>
      </c>
      <c r="R45" s="247">
        <f t="shared" si="34"/>
        <v>5</v>
      </c>
      <c r="S45" s="24">
        <f t="shared" si="35"/>
        <v>12</v>
      </c>
      <c r="T45" s="970">
        <f t="shared" si="36"/>
        <v>6.0000000000000002E-5</v>
      </c>
      <c r="U45" s="971">
        <f t="shared" si="37"/>
        <v>2.880385000000002E-2</v>
      </c>
    </row>
    <row r="46" spans="1:21" x14ac:dyDescent="0.2">
      <c r="A46" s="33">
        <f t="shared" si="0"/>
        <v>2033</v>
      </c>
      <c r="B46" s="787">
        <f t="shared" si="18"/>
        <v>5</v>
      </c>
      <c r="C46" s="565">
        <f t="shared" si="21"/>
        <v>1395</v>
      </c>
      <c r="D46" s="965">
        <f t="shared" ref="D46:F46" si="40">+D45</f>
        <v>0.04</v>
      </c>
      <c r="E46" s="966">
        <f t="shared" si="40"/>
        <v>0</v>
      </c>
      <c r="F46" s="790">
        <f t="shared" si="40"/>
        <v>12</v>
      </c>
      <c r="G46" s="473">
        <f t="shared" si="23"/>
        <v>2.0000000000000001E-4</v>
      </c>
      <c r="H46" s="474">
        <f t="shared" si="24"/>
        <v>0</v>
      </c>
      <c r="I46" s="474">
        <f t="shared" si="25"/>
        <v>6.0000000000000002E-5</v>
      </c>
      <c r="J46" s="61">
        <f t="shared" si="26"/>
        <v>5</v>
      </c>
      <c r="K46" s="967">
        <f t="shared" si="27"/>
        <v>0.04</v>
      </c>
      <c r="L46" s="967">
        <f t="shared" si="28"/>
        <v>2.0000000000000001E-4</v>
      </c>
      <c r="M46" s="967">
        <f t="shared" si="29"/>
        <v>5.5699999999999979E-2</v>
      </c>
      <c r="N46" s="54">
        <f t="shared" si="30"/>
        <v>5</v>
      </c>
      <c r="O46" s="968">
        <f t="shared" si="31"/>
        <v>0</v>
      </c>
      <c r="P46" s="968">
        <f t="shared" si="32"/>
        <v>0</v>
      </c>
      <c r="Q46" s="969">
        <f t="shared" si="33"/>
        <v>0</v>
      </c>
      <c r="R46" s="247">
        <f t="shared" si="34"/>
        <v>5</v>
      </c>
      <c r="S46" s="24">
        <f t="shared" si="35"/>
        <v>12</v>
      </c>
      <c r="T46" s="970">
        <f t="shared" si="36"/>
        <v>6.0000000000000002E-5</v>
      </c>
      <c r="U46" s="971">
        <f t="shared" si="37"/>
        <v>2.8863850000000021E-2</v>
      </c>
    </row>
    <row r="47" spans="1:21" x14ac:dyDescent="0.2">
      <c r="A47" s="33">
        <f t="shared" si="0"/>
        <v>2034</v>
      </c>
      <c r="B47" s="787">
        <f t="shared" si="18"/>
        <v>5</v>
      </c>
      <c r="C47" s="565">
        <f t="shared" si="21"/>
        <v>1400</v>
      </c>
      <c r="D47" s="965">
        <f t="shared" ref="D47:F47" si="41">+D46</f>
        <v>0.04</v>
      </c>
      <c r="E47" s="966">
        <f t="shared" si="41"/>
        <v>0</v>
      </c>
      <c r="F47" s="790">
        <f t="shared" si="41"/>
        <v>12</v>
      </c>
      <c r="G47" s="473">
        <f t="shared" si="23"/>
        <v>2.0000000000000001E-4</v>
      </c>
      <c r="H47" s="474">
        <f t="shared" si="24"/>
        <v>0</v>
      </c>
      <c r="I47" s="474">
        <f t="shared" si="25"/>
        <v>6.0000000000000002E-5</v>
      </c>
      <c r="J47" s="61">
        <f t="shared" si="26"/>
        <v>5</v>
      </c>
      <c r="K47" s="967">
        <f t="shared" si="27"/>
        <v>0.04</v>
      </c>
      <c r="L47" s="967">
        <f t="shared" si="28"/>
        <v>2.0000000000000001E-4</v>
      </c>
      <c r="M47" s="967">
        <f t="shared" si="29"/>
        <v>5.5899999999999977E-2</v>
      </c>
      <c r="N47" s="54">
        <f t="shared" si="30"/>
        <v>5</v>
      </c>
      <c r="O47" s="968">
        <f t="shared" si="31"/>
        <v>0</v>
      </c>
      <c r="P47" s="968">
        <f t="shared" si="32"/>
        <v>0</v>
      </c>
      <c r="Q47" s="969">
        <f t="shared" si="33"/>
        <v>0</v>
      </c>
      <c r="R47" s="247">
        <f t="shared" si="34"/>
        <v>5</v>
      </c>
      <c r="S47" s="24">
        <f t="shared" si="35"/>
        <v>12</v>
      </c>
      <c r="T47" s="970">
        <f t="shared" si="36"/>
        <v>6.0000000000000002E-5</v>
      </c>
      <c r="U47" s="971">
        <f t="shared" si="37"/>
        <v>2.8923850000000022E-2</v>
      </c>
    </row>
    <row r="48" spans="1:21" x14ac:dyDescent="0.2">
      <c r="A48" s="33">
        <f t="shared" si="0"/>
        <v>2035</v>
      </c>
      <c r="B48" s="787">
        <f>B47</f>
        <v>5</v>
      </c>
      <c r="C48" s="565">
        <f t="shared" ref="C48:C54" si="42">+C47+B48</f>
        <v>1405</v>
      </c>
      <c r="D48" s="965">
        <f t="shared" ref="D48:F48" si="43">+D47</f>
        <v>0.04</v>
      </c>
      <c r="E48" s="966">
        <f t="shared" si="43"/>
        <v>0</v>
      </c>
      <c r="F48" s="790">
        <f t="shared" si="43"/>
        <v>12</v>
      </c>
      <c r="G48" s="473">
        <f t="shared" ref="G48:G54" si="44">+$B48*D48/1000</f>
        <v>2.0000000000000001E-4</v>
      </c>
      <c r="H48" s="474">
        <f t="shared" ref="H48:H54" si="45">+$B48*E48/1000</f>
        <v>0</v>
      </c>
      <c r="I48" s="474">
        <f t="shared" ref="I48:I54" si="46">+$B48*F48/1000000</f>
        <v>6.0000000000000002E-5</v>
      </c>
      <c r="J48" s="61">
        <f t="shared" ref="J48:J54" si="47">+(B48+B47)/2</f>
        <v>5</v>
      </c>
      <c r="K48" s="967">
        <f t="shared" ref="K48:K54" si="48">+D48</f>
        <v>0.04</v>
      </c>
      <c r="L48" s="967">
        <f t="shared" ref="L48:L54" si="49">+J48*K48/1000</f>
        <v>2.0000000000000001E-4</v>
      </c>
      <c r="M48" s="967">
        <f t="shared" ref="M48:M54" si="50">+M47+L48</f>
        <v>5.6099999999999976E-2</v>
      </c>
      <c r="N48" s="54">
        <f t="shared" ref="N48:N54" si="51">+B47</f>
        <v>5</v>
      </c>
      <c r="O48" s="968">
        <f t="shared" ref="O48:O54" si="52">+E48</f>
        <v>0</v>
      </c>
      <c r="P48" s="968">
        <f t="shared" ref="P48:P54" si="53">+N48*O48/1000</f>
        <v>0</v>
      </c>
      <c r="Q48" s="969">
        <f t="shared" ref="Q48:Q54" si="54">+Q47+P48</f>
        <v>0</v>
      </c>
      <c r="R48" s="247">
        <f t="shared" ref="R48:R54" si="55">+(B48+B47)/2</f>
        <v>5</v>
      </c>
      <c r="S48" s="24">
        <f t="shared" ref="S48:S54" si="56">+F48</f>
        <v>12</v>
      </c>
      <c r="T48" s="970">
        <f t="shared" ref="T48:T54" si="57">+R48*S48/1000000</f>
        <v>6.0000000000000002E-5</v>
      </c>
      <c r="U48" s="971">
        <f t="shared" ref="U48:U54" si="58">+U47+T48</f>
        <v>2.8983850000000023E-2</v>
      </c>
    </row>
    <row r="49" spans="1:21" x14ac:dyDescent="0.2">
      <c r="A49" s="33">
        <f t="shared" si="0"/>
        <v>2036</v>
      </c>
      <c r="B49" s="787">
        <f t="shared" ref="B49:B54" si="59">B48</f>
        <v>5</v>
      </c>
      <c r="C49" s="565">
        <f t="shared" si="42"/>
        <v>1410</v>
      </c>
      <c r="D49" s="965">
        <f t="shared" ref="D49:F49" si="60">+D48</f>
        <v>0.04</v>
      </c>
      <c r="E49" s="966">
        <f t="shared" si="60"/>
        <v>0</v>
      </c>
      <c r="F49" s="790">
        <f t="shared" si="60"/>
        <v>12</v>
      </c>
      <c r="G49" s="473">
        <f t="shared" si="44"/>
        <v>2.0000000000000001E-4</v>
      </c>
      <c r="H49" s="474">
        <f t="shared" si="45"/>
        <v>0</v>
      </c>
      <c r="I49" s="474">
        <f t="shared" si="46"/>
        <v>6.0000000000000002E-5</v>
      </c>
      <c r="J49" s="61">
        <f t="shared" si="47"/>
        <v>5</v>
      </c>
      <c r="K49" s="967">
        <f t="shared" si="48"/>
        <v>0.04</v>
      </c>
      <c r="L49" s="967">
        <f t="shared" si="49"/>
        <v>2.0000000000000001E-4</v>
      </c>
      <c r="M49" s="967">
        <f t="shared" si="50"/>
        <v>5.6299999999999975E-2</v>
      </c>
      <c r="N49" s="54">
        <f t="shared" si="51"/>
        <v>5</v>
      </c>
      <c r="O49" s="968">
        <f t="shared" si="52"/>
        <v>0</v>
      </c>
      <c r="P49" s="968">
        <f t="shared" si="53"/>
        <v>0</v>
      </c>
      <c r="Q49" s="969">
        <f t="shared" si="54"/>
        <v>0</v>
      </c>
      <c r="R49" s="247">
        <f t="shared" si="55"/>
        <v>5</v>
      </c>
      <c r="S49" s="24">
        <f t="shared" si="56"/>
        <v>12</v>
      </c>
      <c r="T49" s="970">
        <f t="shared" si="57"/>
        <v>6.0000000000000002E-5</v>
      </c>
      <c r="U49" s="971">
        <f t="shared" si="58"/>
        <v>2.9043850000000024E-2</v>
      </c>
    </row>
    <row r="50" spans="1:21" x14ac:dyDescent="0.2">
      <c r="A50" s="33">
        <f t="shared" si="0"/>
        <v>2037</v>
      </c>
      <c r="B50" s="787">
        <f t="shared" si="59"/>
        <v>5</v>
      </c>
      <c r="C50" s="565">
        <f t="shared" si="42"/>
        <v>1415</v>
      </c>
      <c r="D50" s="965">
        <f t="shared" ref="D50:F50" si="61">+D49</f>
        <v>0.04</v>
      </c>
      <c r="E50" s="966">
        <f t="shared" si="61"/>
        <v>0</v>
      </c>
      <c r="F50" s="790">
        <f t="shared" si="61"/>
        <v>12</v>
      </c>
      <c r="G50" s="473">
        <f t="shared" si="44"/>
        <v>2.0000000000000001E-4</v>
      </c>
      <c r="H50" s="474">
        <f t="shared" si="45"/>
        <v>0</v>
      </c>
      <c r="I50" s="474">
        <f t="shared" si="46"/>
        <v>6.0000000000000002E-5</v>
      </c>
      <c r="J50" s="61">
        <f t="shared" si="47"/>
        <v>5</v>
      </c>
      <c r="K50" s="967">
        <f t="shared" si="48"/>
        <v>0.04</v>
      </c>
      <c r="L50" s="967">
        <f t="shared" si="49"/>
        <v>2.0000000000000001E-4</v>
      </c>
      <c r="M50" s="967">
        <f t="shared" si="50"/>
        <v>5.6499999999999974E-2</v>
      </c>
      <c r="N50" s="54">
        <f t="shared" si="51"/>
        <v>5</v>
      </c>
      <c r="O50" s="968">
        <f t="shared" si="52"/>
        <v>0</v>
      </c>
      <c r="P50" s="968">
        <f t="shared" si="53"/>
        <v>0</v>
      </c>
      <c r="Q50" s="969">
        <f t="shared" si="54"/>
        <v>0</v>
      </c>
      <c r="R50" s="247">
        <f t="shared" si="55"/>
        <v>5</v>
      </c>
      <c r="S50" s="24">
        <f t="shared" si="56"/>
        <v>12</v>
      </c>
      <c r="T50" s="970">
        <f t="shared" si="57"/>
        <v>6.0000000000000002E-5</v>
      </c>
      <c r="U50" s="971">
        <f t="shared" si="58"/>
        <v>2.9103850000000025E-2</v>
      </c>
    </row>
    <row r="51" spans="1:21" x14ac:dyDescent="0.2">
      <c r="A51" s="33">
        <f t="shared" si="0"/>
        <v>2038</v>
      </c>
      <c r="B51" s="787">
        <f t="shared" si="59"/>
        <v>5</v>
      </c>
      <c r="C51" s="565">
        <f t="shared" si="42"/>
        <v>1420</v>
      </c>
      <c r="D51" s="965">
        <f t="shared" ref="D51:F51" si="62">+D50</f>
        <v>0.04</v>
      </c>
      <c r="E51" s="966">
        <f t="shared" si="62"/>
        <v>0</v>
      </c>
      <c r="F51" s="790">
        <f t="shared" si="62"/>
        <v>12</v>
      </c>
      <c r="G51" s="473">
        <f t="shared" si="44"/>
        <v>2.0000000000000001E-4</v>
      </c>
      <c r="H51" s="474">
        <f t="shared" si="45"/>
        <v>0</v>
      </c>
      <c r="I51" s="474">
        <f t="shared" si="46"/>
        <v>6.0000000000000002E-5</v>
      </c>
      <c r="J51" s="61">
        <f t="shared" si="47"/>
        <v>5</v>
      </c>
      <c r="K51" s="967">
        <f t="shared" si="48"/>
        <v>0.04</v>
      </c>
      <c r="L51" s="967">
        <f t="shared" si="49"/>
        <v>2.0000000000000001E-4</v>
      </c>
      <c r="M51" s="967">
        <f t="shared" si="50"/>
        <v>5.6699999999999973E-2</v>
      </c>
      <c r="N51" s="54">
        <f t="shared" si="51"/>
        <v>5</v>
      </c>
      <c r="O51" s="968">
        <f t="shared" si="52"/>
        <v>0</v>
      </c>
      <c r="P51" s="968">
        <f t="shared" si="53"/>
        <v>0</v>
      </c>
      <c r="Q51" s="969">
        <f t="shared" si="54"/>
        <v>0</v>
      </c>
      <c r="R51" s="247">
        <f t="shared" si="55"/>
        <v>5</v>
      </c>
      <c r="S51" s="24">
        <f t="shared" si="56"/>
        <v>12</v>
      </c>
      <c r="T51" s="970">
        <f t="shared" si="57"/>
        <v>6.0000000000000002E-5</v>
      </c>
      <c r="U51" s="971">
        <f t="shared" si="58"/>
        <v>2.9163850000000026E-2</v>
      </c>
    </row>
    <row r="52" spans="1:21" x14ac:dyDescent="0.2">
      <c r="A52" s="33">
        <f t="shared" si="0"/>
        <v>2039</v>
      </c>
      <c r="B52" s="787">
        <f t="shared" si="59"/>
        <v>5</v>
      </c>
      <c r="C52" s="565">
        <f t="shared" si="42"/>
        <v>1425</v>
      </c>
      <c r="D52" s="965">
        <f t="shared" ref="D52:F52" si="63">+D51</f>
        <v>0.04</v>
      </c>
      <c r="E52" s="966">
        <f t="shared" si="63"/>
        <v>0</v>
      </c>
      <c r="F52" s="790">
        <f t="shared" si="63"/>
        <v>12</v>
      </c>
      <c r="G52" s="473">
        <f t="shared" si="44"/>
        <v>2.0000000000000001E-4</v>
      </c>
      <c r="H52" s="474">
        <f t="shared" si="45"/>
        <v>0</v>
      </c>
      <c r="I52" s="474">
        <f t="shared" si="46"/>
        <v>6.0000000000000002E-5</v>
      </c>
      <c r="J52" s="61">
        <f t="shared" si="47"/>
        <v>5</v>
      </c>
      <c r="K52" s="967">
        <f t="shared" si="48"/>
        <v>0.04</v>
      </c>
      <c r="L52" s="967">
        <f t="shared" si="49"/>
        <v>2.0000000000000001E-4</v>
      </c>
      <c r="M52" s="967">
        <f t="shared" si="50"/>
        <v>5.6899999999999971E-2</v>
      </c>
      <c r="N52" s="54">
        <f t="shared" si="51"/>
        <v>5</v>
      </c>
      <c r="O52" s="968">
        <f t="shared" si="52"/>
        <v>0</v>
      </c>
      <c r="P52" s="968">
        <f t="shared" si="53"/>
        <v>0</v>
      </c>
      <c r="Q52" s="969">
        <f t="shared" si="54"/>
        <v>0</v>
      </c>
      <c r="R52" s="247">
        <f t="shared" si="55"/>
        <v>5</v>
      </c>
      <c r="S52" s="24">
        <f t="shared" si="56"/>
        <v>12</v>
      </c>
      <c r="T52" s="970">
        <f t="shared" si="57"/>
        <v>6.0000000000000002E-5</v>
      </c>
      <c r="U52" s="971">
        <f t="shared" si="58"/>
        <v>2.9223850000000027E-2</v>
      </c>
    </row>
    <row r="53" spans="1:21" x14ac:dyDescent="0.2">
      <c r="A53" s="33">
        <f t="shared" si="0"/>
        <v>2040</v>
      </c>
      <c r="B53" s="787">
        <f t="shared" si="59"/>
        <v>5</v>
      </c>
      <c r="C53" s="565">
        <f t="shared" si="42"/>
        <v>1430</v>
      </c>
      <c r="D53" s="965">
        <f t="shared" ref="D53:F53" si="64">+D52</f>
        <v>0.04</v>
      </c>
      <c r="E53" s="966">
        <f t="shared" si="64"/>
        <v>0</v>
      </c>
      <c r="F53" s="790">
        <f t="shared" si="64"/>
        <v>12</v>
      </c>
      <c r="G53" s="473">
        <f t="shared" si="44"/>
        <v>2.0000000000000001E-4</v>
      </c>
      <c r="H53" s="474">
        <f t="shared" si="45"/>
        <v>0</v>
      </c>
      <c r="I53" s="474">
        <f t="shared" si="46"/>
        <v>6.0000000000000002E-5</v>
      </c>
      <c r="J53" s="61">
        <f t="shared" si="47"/>
        <v>5</v>
      </c>
      <c r="K53" s="967">
        <f t="shared" si="48"/>
        <v>0.04</v>
      </c>
      <c r="L53" s="967">
        <f t="shared" si="49"/>
        <v>2.0000000000000001E-4</v>
      </c>
      <c r="M53" s="967">
        <f t="shared" si="50"/>
        <v>5.709999999999997E-2</v>
      </c>
      <c r="N53" s="54">
        <f t="shared" si="51"/>
        <v>5</v>
      </c>
      <c r="O53" s="968">
        <f t="shared" si="52"/>
        <v>0</v>
      </c>
      <c r="P53" s="968">
        <f t="shared" si="53"/>
        <v>0</v>
      </c>
      <c r="Q53" s="969">
        <f t="shared" si="54"/>
        <v>0</v>
      </c>
      <c r="R53" s="247">
        <f t="shared" si="55"/>
        <v>5</v>
      </c>
      <c r="S53" s="24">
        <f t="shared" si="56"/>
        <v>12</v>
      </c>
      <c r="T53" s="970">
        <f t="shared" si="57"/>
        <v>6.0000000000000002E-5</v>
      </c>
      <c r="U53" s="971">
        <f t="shared" si="58"/>
        <v>2.9283850000000028E-2</v>
      </c>
    </row>
    <row r="54" spans="1:21" x14ac:dyDescent="0.2">
      <c r="A54" s="33">
        <f t="shared" si="0"/>
        <v>2041</v>
      </c>
      <c r="B54" s="787">
        <f t="shared" si="59"/>
        <v>5</v>
      </c>
      <c r="C54" s="565">
        <f t="shared" si="42"/>
        <v>1435</v>
      </c>
      <c r="D54" s="965">
        <f t="shared" ref="D54:F54" si="65">+D53</f>
        <v>0.04</v>
      </c>
      <c r="E54" s="966">
        <f t="shared" si="65"/>
        <v>0</v>
      </c>
      <c r="F54" s="790">
        <f t="shared" si="65"/>
        <v>12</v>
      </c>
      <c r="G54" s="473">
        <f t="shared" si="44"/>
        <v>2.0000000000000001E-4</v>
      </c>
      <c r="H54" s="474">
        <f t="shared" si="45"/>
        <v>0</v>
      </c>
      <c r="I54" s="474">
        <f t="shared" si="46"/>
        <v>6.0000000000000002E-5</v>
      </c>
      <c r="J54" s="61">
        <f t="shared" si="47"/>
        <v>5</v>
      </c>
      <c r="K54" s="967">
        <f t="shared" si="48"/>
        <v>0.04</v>
      </c>
      <c r="L54" s="967">
        <f t="shared" si="49"/>
        <v>2.0000000000000001E-4</v>
      </c>
      <c r="M54" s="967">
        <f t="shared" si="50"/>
        <v>5.7299999999999969E-2</v>
      </c>
      <c r="N54" s="54">
        <f t="shared" si="51"/>
        <v>5</v>
      </c>
      <c r="O54" s="968">
        <f t="shared" si="52"/>
        <v>0</v>
      </c>
      <c r="P54" s="968">
        <f t="shared" si="53"/>
        <v>0</v>
      </c>
      <c r="Q54" s="969">
        <f t="shared" si="54"/>
        <v>0</v>
      </c>
      <c r="R54" s="247">
        <f t="shared" si="55"/>
        <v>5</v>
      </c>
      <c r="S54" s="24">
        <f t="shared" si="56"/>
        <v>12</v>
      </c>
      <c r="T54" s="970">
        <f t="shared" si="57"/>
        <v>6.0000000000000002E-5</v>
      </c>
      <c r="U54" s="971">
        <f t="shared" si="58"/>
        <v>2.9343850000000029E-2</v>
      </c>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v>2015</v>
      </c>
      <c r="B61" s="956" t="s">
        <v>386</v>
      </c>
      <c r="D61">
        <f>3.4/B28</f>
        <v>0.04</v>
      </c>
      <c r="E61">
        <f>1.24/B28</f>
        <v>1.4588235294117647E-2</v>
      </c>
      <c r="F61">
        <f>25327.7/B28</f>
        <v>297.97294117647061</v>
      </c>
    </row>
  </sheetData>
  <mergeCells count="5">
    <mergeCell ref="G3:I3"/>
    <mergeCell ref="B4:I4"/>
    <mergeCell ref="J4:M4"/>
    <mergeCell ref="N4:Q4"/>
    <mergeCell ref="R4:U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AC80"/>
  <sheetViews>
    <sheetView workbookViewId="0">
      <selection activeCell="B21" sqref="B21"/>
    </sheetView>
  </sheetViews>
  <sheetFormatPr defaultRowHeight="12.75" x14ac:dyDescent="0.2"/>
  <cols>
    <col min="5" max="5" width="8" customWidth="1"/>
    <col min="6" max="6" width="5.7109375" customWidth="1"/>
    <col min="9" max="9" width="2.7109375" customWidth="1"/>
    <col min="12" max="12" width="2.5703125" customWidth="1"/>
    <col min="13" max="13" width="11.42578125" customWidth="1"/>
    <col min="14" max="14" width="13.7109375" customWidth="1"/>
    <col min="15" max="15" width="3.5703125" customWidth="1"/>
    <col min="16" max="16" width="3" customWidth="1"/>
    <col min="17" max="17" width="9.5703125" style="301" customWidth="1"/>
    <col min="18" max="18" width="8.42578125" style="301" customWidth="1"/>
    <col min="19" max="19" width="11.28515625" customWidth="1"/>
  </cols>
  <sheetData>
    <row r="1" spans="1:29" ht="13.5" thickBot="1" x14ac:dyDescent="0.25">
      <c r="A1" s="1308"/>
      <c r="B1" s="1409" t="s">
        <v>195</v>
      </c>
      <c r="C1" s="1410"/>
      <c r="D1" s="1410"/>
      <c r="E1" s="1410"/>
      <c r="F1" s="1411"/>
      <c r="G1" s="1410"/>
      <c r="H1" s="1412"/>
      <c r="J1" s="1413" t="s">
        <v>308</v>
      </c>
      <c r="K1" s="1414"/>
      <c r="M1" s="1415" t="s">
        <v>196</v>
      </c>
      <c r="N1" s="1416"/>
      <c r="Q1" s="1417" t="s">
        <v>309</v>
      </c>
      <c r="R1" s="1418"/>
    </row>
    <row r="2" spans="1:29" ht="27" customHeight="1" thickTop="1" thickBot="1" x14ac:dyDescent="0.25">
      <c r="A2" s="1268"/>
      <c r="B2" s="1426" t="s">
        <v>494</v>
      </c>
      <c r="C2" s="1430"/>
      <c r="D2" s="1430"/>
      <c r="E2" s="1427"/>
      <c r="F2" s="355"/>
      <c r="G2" s="1426" t="s">
        <v>164</v>
      </c>
      <c r="H2" s="1427"/>
      <c r="J2" s="1428" t="s">
        <v>165</v>
      </c>
      <c r="K2" s="1429"/>
      <c r="M2" s="1419" t="s">
        <v>493</v>
      </c>
      <c r="N2" s="1420"/>
      <c r="Q2" s="1419" t="s">
        <v>165</v>
      </c>
      <c r="R2" s="1420"/>
    </row>
    <row r="3" spans="1:29" ht="38.25" x14ac:dyDescent="0.2">
      <c r="A3" s="302" t="s">
        <v>0</v>
      </c>
      <c r="B3" s="1309" t="s">
        <v>166</v>
      </c>
      <c r="C3" s="303" t="s">
        <v>80</v>
      </c>
      <c r="D3" s="303" t="s">
        <v>81</v>
      </c>
      <c r="E3" s="303" t="s">
        <v>187</v>
      </c>
      <c r="F3" s="304"/>
      <c r="G3" s="304" t="s">
        <v>167</v>
      </c>
      <c r="H3" s="387" t="s">
        <v>168</v>
      </c>
      <c r="J3" s="1312" t="s">
        <v>167</v>
      </c>
      <c r="K3" s="1313" t="s">
        <v>168</v>
      </c>
      <c r="M3" s="386" t="s">
        <v>167</v>
      </c>
      <c r="N3" s="387" t="s">
        <v>168</v>
      </c>
      <c r="Q3" s="546" t="s">
        <v>167</v>
      </c>
      <c r="R3" s="547" t="s">
        <v>168</v>
      </c>
      <c r="T3" t="s">
        <v>293</v>
      </c>
    </row>
    <row r="4" spans="1:29" x14ac:dyDescent="0.2">
      <c r="A4" s="396">
        <v>2000</v>
      </c>
      <c r="B4" s="388">
        <f>+'Res Summary'!BL64+'Res Summary'!BO64</f>
        <v>332.50130344606549</v>
      </c>
      <c r="C4" s="356">
        <f>((('ComInd Summary'!CT64-'ComInd Summary'!BW64)+'ComInd Summary'!CY64)*$C$51)+'ComInd Summary'!BW64</f>
        <v>106.6923538658876</v>
      </c>
      <c r="D4" s="356">
        <f>(('ComInd Summary'!CT64-'ComInd Summary'!BW64)+'ComInd Summary'!CY64)*$D$51</f>
        <v>11.854142717654177</v>
      </c>
      <c r="E4" s="356">
        <f t="shared" ref="E4:E11" si="0">+B4+C4+D4</f>
        <v>451.04780002960723</v>
      </c>
      <c r="F4" s="356"/>
      <c r="G4" s="356">
        <f>+'Res Summary'!AO64+'ComInd Summary'!BK64</f>
        <v>446.06259309066087</v>
      </c>
      <c r="H4" s="389">
        <f>+'Res Summary'!R64+'ComInd Summary'!AB64</f>
        <v>89.313433677892533</v>
      </c>
      <c r="J4" s="1314">
        <f>+'Res Summary'!AR64+'ComInd Summary'!BP64</f>
        <v>228.71355000000003</v>
      </c>
      <c r="K4" s="1315">
        <f>+'Res Summary'!U64+'ComInd Summary'!AG64</f>
        <v>99.118499999999997</v>
      </c>
      <c r="L4" s="385"/>
      <c r="M4" s="388">
        <f t="shared" ref="M4:N10" si="1">+G4+J4</f>
        <v>674.77614309066087</v>
      </c>
      <c r="N4" s="390">
        <f t="shared" si="1"/>
        <v>188.43193367789252</v>
      </c>
      <c r="Q4" s="548">
        <f>+'Res Summary'!AR64+'ComInd Summary'!BP64-'Res Summary'!AQ64</f>
        <v>228.71355000000003</v>
      </c>
      <c r="R4" s="549">
        <f>+'Res Summary'!U64+'ComInd Summary'!AG64-'Res Summary'!T64</f>
        <v>99.118499999999997</v>
      </c>
      <c r="T4" s="760" t="s">
        <v>299</v>
      </c>
      <c r="U4" s="760"/>
      <c r="V4" s="760"/>
      <c r="W4" s="760"/>
      <c r="X4" s="760"/>
      <c r="Y4" s="760"/>
      <c r="Z4" s="760"/>
      <c r="AA4" s="760"/>
      <c r="AB4" s="760"/>
      <c r="AC4" s="760"/>
    </row>
    <row r="5" spans="1:29" x14ac:dyDescent="0.2">
      <c r="A5" s="306">
        <f t="shared" ref="A5:A10" si="2">+A4+1</f>
        <v>2001</v>
      </c>
      <c r="B5" s="388">
        <f>+'Res Summary'!BL65+'Res Summary'!BO65</f>
        <v>346.0424367580024</v>
      </c>
      <c r="C5" s="356">
        <f>((('ComInd Summary'!CT65-'ComInd Summary'!BW65)+'ComInd Summary'!CY65)*$C$51)+'ComInd Summary'!BW65</f>
        <v>113.84269631248759</v>
      </c>
      <c r="D5" s="356">
        <f>(('ComInd Summary'!CT65-'ComInd Summary'!BW65)+'ComInd Summary'!CY65)*$D$51</f>
        <v>12.631344315820844</v>
      </c>
      <c r="E5" s="356">
        <f t="shared" si="0"/>
        <v>472.51647738631084</v>
      </c>
      <c r="F5" s="356"/>
      <c r="G5" s="356">
        <f>+'Res Summary'!AO65+'ComInd Summary'!BK65</f>
        <v>454.31694002921256</v>
      </c>
      <c r="H5" s="389">
        <f>+'Res Summary'!R65+'ComInd Summary'!AB65</f>
        <v>95.865493346462884</v>
      </c>
      <c r="J5" s="1314">
        <f>+'Res Summary'!AR65+'ComInd Summary'!BP65</f>
        <v>217.09285000000003</v>
      </c>
      <c r="K5" s="1315">
        <f>+'Res Summary'!U65+'ComInd Summary'!AG65</f>
        <v>110.7381</v>
      </c>
      <c r="L5" s="385"/>
      <c r="M5" s="388">
        <f t="shared" si="1"/>
        <v>671.40979002921256</v>
      </c>
      <c r="N5" s="390">
        <f t="shared" si="1"/>
        <v>206.6035933464629</v>
      </c>
      <c r="Q5" s="548">
        <f>+'Res Summary'!AR65+'ComInd Summary'!BP65-'Res Summary'!AQ65</f>
        <v>217.09285000000003</v>
      </c>
      <c r="R5" s="549">
        <f>+'Res Summary'!U65+'ComInd Summary'!AG65-'Res Summary'!T65</f>
        <v>110.7381</v>
      </c>
      <c r="T5" t="s">
        <v>294</v>
      </c>
    </row>
    <row r="6" spans="1:29" x14ac:dyDescent="0.2">
      <c r="A6" s="306">
        <f t="shared" si="2"/>
        <v>2002</v>
      </c>
      <c r="B6" s="388">
        <f>+'Res Summary'!BL66+'Res Summary'!BO66</f>
        <v>361.43288390143141</v>
      </c>
      <c r="C6" s="356">
        <f>((('ComInd Summary'!CT66-'ComInd Summary'!BW66)+'ComInd Summary'!CY66)*$C$51)+'ComInd Summary'!BW66</f>
        <v>128.02607334896828</v>
      </c>
      <c r="D6" s="356">
        <f>(('ComInd Summary'!CT66-'ComInd Summary'!BW66)+'ComInd Summary'!CY66)*$D$51</f>
        <v>14.170888889620841</v>
      </c>
      <c r="E6" s="356">
        <f t="shared" si="0"/>
        <v>503.6298461400205</v>
      </c>
      <c r="F6" s="356"/>
      <c r="G6" s="356">
        <f>+'Res Summary'!AO66+'ComInd Summary'!BK66</f>
        <v>465.29666186318235</v>
      </c>
      <c r="H6" s="389">
        <f>+'Res Summary'!R66+'ComInd Summary'!AB66</f>
        <v>103.04988745104106</v>
      </c>
      <c r="J6" s="1314">
        <f>+'Res Summary'!AR66+'ComInd Summary'!BP66</f>
        <v>197.85688999999999</v>
      </c>
      <c r="K6" s="1315">
        <f>+'Res Summary'!U66+'ComInd Summary'!AG66</f>
        <v>119.4794</v>
      </c>
      <c r="L6" s="385"/>
      <c r="M6" s="388">
        <f t="shared" si="1"/>
        <v>663.15355186318232</v>
      </c>
      <c r="N6" s="390">
        <f t="shared" si="1"/>
        <v>222.52928745104106</v>
      </c>
      <c r="Q6" s="548">
        <f>+'Res Summary'!AR66+'ComInd Summary'!BP66-'Res Summary'!AQ66</f>
        <v>197.85688999999999</v>
      </c>
      <c r="R6" s="549">
        <f>+'Res Summary'!U66+'ComInd Summary'!AG66-'Res Summary'!T66</f>
        <v>119.4794</v>
      </c>
      <c r="T6" t="s">
        <v>295</v>
      </c>
    </row>
    <row r="7" spans="1:29" x14ac:dyDescent="0.2">
      <c r="A7" s="306">
        <f t="shared" si="2"/>
        <v>2003</v>
      </c>
      <c r="B7" s="388">
        <f>+'Res Summary'!BL67+'Res Summary'!BO67</f>
        <v>377.93090704233765</v>
      </c>
      <c r="C7" s="356">
        <f>((('ComInd Summary'!CT67-'ComInd Summary'!BW67)+'ComInd Summary'!CY67)*$C$51)+'ComInd Summary'!BW67</f>
        <v>141.17478880012752</v>
      </c>
      <c r="D7" s="356">
        <f>(('ComInd Summary'!CT67-'ComInd Summary'!BW67)+'ComInd Summary'!CY67)*$D$51</f>
        <v>15.551053187054174</v>
      </c>
      <c r="E7" s="356">
        <f t="shared" si="0"/>
        <v>534.65674902951935</v>
      </c>
      <c r="F7" s="356"/>
      <c r="G7" s="356">
        <f>+'Res Summary'!AO67+'ComInd Summary'!BK67</f>
        <v>475.05117752035949</v>
      </c>
      <c r="H7" s="389">
        <f>+'Res Summary'!R67+'ComInd Summary'!AB67</f>
        <v>109.85026823879632</v>
      </c>
      <c r="J7" s="1314">
        <f>+'Res Summary'!AR67+'ComInd Summary'!BP67</f>
        <v>231.0891</v>
      </c>
      <c r="K7" s="1315">
        <f>+'Res Summary'!U67+'ComInd Summary'!AG67</f>
        <v>84.088000000000008</v>
      </c>
      <c r="L7" s="385"/>
      <c r="M7" s="388">
        <f t="shared" si="1"/>
        <v>706.14027752035952</v>
      </c>
      <c r="N7" s="390">
        <f t="shared" si="1"/>
        <v>193.93826823879633</v>
      </c>
      <c r="Q7" s="548">
        <f>+'Res Summary'!AR67+'ComInd Summary'!BP67-'Res Summary'!AQ67</f>
        <v>231.0891</v>
      </c>
      <c r="R7" s="549">
        <f>+'Res Summary'!U67+'ComInd Summary'!AG67-'Res Summary'!T67</f>
        <v>84.088000000000008</v>
      </c>
      <c r="T7" t="s">
        <v>296</v>
      </c>
    </row>
    <row r="8" spans="1:29" x14ac:dyDescent="0.2">
      <c r="A8" s="306">
        <f t="shared" si="2"/>
        <v>2004</v>
      </c>
      <c r="B8" s="388">
        <f>+'Res Summary'!BL68+'Res Summary'!BO68</f>
        <v>393.90092587233767</v>
      </c>
      <c r="C8" s="356">
        <f>((('ComInd Summary'!CT68-'ComInd Summary'!BW68)+'ComInd Summary'!CY68)*$C$51)+'ComInd Summary'!BW68</f>
        <v>155.31190826872751</v>
      </c>
      <c r="D8" s="356">
        <f>(('ComInd Summary'!CT68-'ComInd Summary'!BW68)+'ComInd Summary'!CY68)*$D$51</f>
        <v>17.043653278120839</v>
      </c>
      <c r="E8" s="356">
        <f t="shared" si="0"/>
        <v>566.25648741918599</v>
      </c>
      <c r="F8" s="356"/>
      <c r="G8" s="356">
        <f>+'Res Summary'!AO68+'ComInd Summary'!BK68</f>
        <v>486.01268044006889</v>
      </c>
      <c r="H8" s="389">
        <f>+'Res Summary'!R68+'ComInd Summary'!AB68</f>
        <v>117.23609891379631</v>
      </c>
      <c r="J8" s="1314">
        <f>+'Res Summary'!AR68+'ComInd Summary'!BP68</f>
        <v>154.6593</v>
      </c>
      <c r="K8" s="1315">
        <f>+'Res Summary'!U68+'ComInd Summary'!AG68</f>
        <v>115.21540000000002</v>
      </c>
      <c r="L8" s="385"/>
      <c r="M8" s="388">
        <f t="shared" si="1"/>
        <v>640.67198044006886</v>
      </c>
      <c r="N8" s="390">
        <f t="shared" si="1"/>
        <v>232.45149891379634</v>
      </c>
      <c r="Q8" s="548">
        <f>+'Res Summary'!AR68+'ComInd Summary'!BP68-'Res Summary'!AQ68</f>
        <v>154.6593</v>
      </c>
      <c r="R8" s="549">
        <f>+'Res Summary'!U68+'ComInd Summary'!AG68-'Res Summary'!T68</f>
        <v>115.21540000000002</v>
      </c>
      <c r="T8" t="s">
        <v>297</v>
      </c>
    </row>
    <row r="9" spans="1:29" x14ac:dyDescent="0.2">
      <c r="A9" s="306">
        <f t="shared" si="2"/>
        <v>2005</v>
      </c>
      <c r="B9" s="388">
        <f>+'Res Summary'!BL69+'Res Summary'!BO69</f>
        <v>403.84186823119717</v>
      </c>
      <c r="C9" s="356">
        <f>((('ComInd Summary'!CT69-'ComInd Summary'!BW69)+'ComInd Summary'!CY69)*$C$51)+'ComInd Summary'!BW69</f>
        <v>165.44849376560373</v>
      </c>
      <c r="D9" s="356">
        <f>(('ComInd Summary'!CT69-'ComInd Summary'!BW69)+'ComInd Summary'!CY69)*$D$51</f>
        <v>18.121231453504173</v>
      </c>
      <c r="E9" s="356">
        <f t="shared" si="0"/>
        <v>587.41159345030508</v>
      </c>
      <c r="F9" s="356"/>
      <c r="G9" s="356">
        <f>+'Res Summary'!AO69+'ComInd Summary'!BK69</f>
        <v>492.71515694479291</v>
      </c>
      <c r="H9" s="389">
        <f>+'Res Summary'!R69+'ComInd Summary'!AB69</f>
        <v>122.65695719658706</v>
      </c>
      <c r="J9" s="1314">
        <f>+'Res Summary'!AR69+'ComInd Summary'!BP69</f>
        <v>205.61590000000001</v>
      </c>
      <c r="K9" s="1315">
        <f>+'Res Summary'!U69+'ComInd Summary'!AG69</f>
        <v>96.702500000000001</v>
      </c>
      <c r="L9" s="385"/>
      <c r="M9" s="388">
        <f t="shared" si="1"/>
        <v>698.33105694479286</v>
      </c>
      <c r="N9" s="390">
        <f t="shared" si="1"/>
        <v>219.35945719658707</v>
      </c>
      <c r="Q9" s="548">
        <f>+'Res Summary'!AR69+'ComInd Summary'!BP69-'Res Summary'!AQ69</f>
        <v>205.61590000000001</v>
      </c>
      <c r="R9" s="549">
        <f>+'Res Summary'!U69+'ComInd Summary'!AG69-'Res Summary'!T69</f>
        <v>96.702500000000001</v>
      </c>
      <c r="T9" t="s">
        <v>298</v>
      </c>
    </row>
    <row r="10" spans="1:29" x14ac:dyDescent="0.2">
      <c r="A10" s="306">
        <f t="shared" si="2"/>
        <v>2006</v>
      </c>
      <c r="B10" s="388">
        <f>+'Res Summary'!BL70+'Res Summary'!BO70</f>
        <v>412.03406345044323</v>
      </c>
      <c r="C10" s="356">
        <f>((('ComInd Summary'!CT70-'ComInd Summary'!BW70)+'ComInd Summary'!CY70)*$C$51)+'ComInd Summary'!BW70</f>
        <v>173.53360967378711</v>
      </c>
      <c r="D10" s="356">
        <f>(('ComInd Summary'!CT70-'ComInd Summary'!BW70)+'ComInd Summary'!CY70)*$D$51</f>
        <v>18.968755807737509</v>
      </c>
      <c r="E10" s="397">
        <f t="shared" si="0"/>
        <v>604.53642893196786</v>
      </c>
      <c r="F10" s="356"/>
      <c r="G10" s="356">
        <f>+'Res Summary'!AO70+'ComInd Summary'!BK70</f>
        <v>497.34361354459668</v>
      </c>
      <c r="H10" s="389">
        <f>+'Res Summary'!R70+'ComInd Summary'!AB70</f>
        <v>127.57029957076068</v>
      </c>
      <c r="J10" s="1314">
        <f>+'Res Summary'!AR70+'ComInd Summary'!BP70</f>
        <v>146.45200000000003</v>
      </c>
      <c r="K10" s="1315">
        <f>+'Res Summary'!U70+'ComInd Summary'!AG70</f>
        <v>94.897316750000016</v>
      </c>
      <c r="L10" s="274"/>
      <c r="M10" s="397">
        <f t="shared" si="1"/>
        <v>643.79561354459668</v>
      </c>
      <c r="N10" s="397">
        <f t="shared" si="1"/>
        <v>222.4676163207607</v>
      </c>
      <c r="O10" s="337"/>
      <c r="P10" s="339"/>
      <c r="Q10" s="548">
        <f>+'Res Summary'!AR70+'ComInd Summary'!BP70-'Res Summary'!AQ70</f>
        <v>146.45200000000003</v>
      </c>
      <c r="R10" s="549">
        <f>+'Res Summary'!U70+'ComInd Summary'!AG70-'Res Summary'!T70</f>
        <v>94.897316750000016</v>
      </c>
      <c r="T10" s="760" t="s">
        <v>300</v>
      </c>
      <c r="U10" s="760"/>
      <c r="V10" s="760"/>
    </row>
    <row r="11" spans="1:29" x14ac:dyDescent="0.2">
      <c r="A11" s="306">
        <f t="shared" ref="A11:A32" si="3">+A10+1</f>
        <v>2007</v>
      </c>
      <c r="B11" s="388">
        <f>+'Res Summary'!BL71+'Res Summary'!BO71</f>
        <v>420.61748659044326</v>
      </c>
      <c r="C11" s="356">
        <f>((('ComInd Summary'!CT71-'ComInd Summary'!BW71)+'ComInd Summary'!CY71)*$C$51)+'ComInd Summary'!BW71</f>
        <v>182.71635102348708</v>
      </c>
      <c r="D11" s="356">
        <f>(('ComInd Summary'!CT71-'ComInd Summary'!BW71)+'ComInd Summary'!CY71)*$D$51</f>
        <v>19.901668661704175</v>
      </c>
      <c r="E11" s="399">
        <f t="shared" si="0"/>
        <v>623.23550627563452</v>
      </c>
      <c r="F11" s="356"/>
      <c r="G11" s="356">
        <f>+'Res Summary'!AO71+'ComInd Summary'!BK71</f>
        <v>502.66284023459662</v>
      </c>
      <c r="H11" s="389">
        <f>+'Res Summary'!R71+'ComInd Summary'!AB71</f>
        <v>133.71267099076067</v>
      </c>
      <c r="J11" s="1314">
        <f>+'Res Summary'!AR71+'ComInd Summary'!BP71</f>
        <v>114.15170000000001</v>
      </c>
      <c r="K11" s="1315">
        <f>+'Res Summary'!U71+'ComInd Summary'!AG71</f>
        <v>87.527057500000012</v>
      </c>
      <c r="L11" s="274"/>
      <c r="M11" s="398">
        <f t="shared" ref="M11:M26" si="4">+G11+J11</f>
        <v>616.81454023459662</v>
      </c>
      <c r="N11" s="398">
        <f t="shared" ref="N11:N26" si="5">+H11+K11</f>
        <v>221.23972849076068</v>
      </c>
      <c r="O11" s="338"/>
      <c r="P11" s="339"/>
      <c r="Q11" s="548">
        <f>+'Res Summary'!AR71+'ComInd Summary'!BP71-'Res Summary'!AQ71</f>
        <v>114.15170000000001</v>
      </c>
      <c r="R11" s="549">
        <f>+'Res Summary'!U71+'ComInd Summary'!AG71-'Res Summary'!T71</f>
        <v>87.309593500000005</v>
      </c>
    </row>
    <row r="12" spans="1:29" x14ac:dyDescent="0.2">
      <c r="A12" s="306">
        <f>+A11+1</f>
        <v>2008</v>
      </c>
      <c r="B12" s="388">
        <f>+'Res Summary'!BL72+'Res Summary'!BO72</f>
        <v>430.65923218306881</v>
      </c>
      <c r="C12" s="356">
        <f>((('ComInd Summary'!CT72-'ComInd Summary'!BW72)+'ComInd Summary'!CY72)*$C$51)+'ComInd Summary'!BW72</f>
        <v>196.8879446074271</v>
      </c>
      <c r="D12" s="356">
        <f>(('ComInd Summary'!CT72-'ComInd Summary'!BW72)+'ComInd Summary'!CY72)*$D$51</f>
        <v>21.42589974703084</v>
      </c>
      <c r="E12" s="356">
        <f t="shared" ref="E12:E26" si="6">+B12+C12+D12</f>
        <v>648.97307653752671</v>
      </c>
      <c r="F12" s="356"/>
      <c r="G12" s="356">
        <f>+'Res Summary'!AO72+'ComInd Summary'!BK72</f>
        <v>507.8611413410149</v>
      </c>
      <c r="H12" s="389">
        <f>+'Res Summary'!R72+'ComInd Summary'!AB72</f>
        <v>139.94628613717884</v>
      </c>
      <c r="J12" s="1314">
        <f>+'Res Summary'!AR72+'ComInd Summary'!BP72</f>
        <v>190.94729512500001</v>
      </c>
      <c r="K12" s="1315">
        <f>+'Res Summary'!U72+'ComInd Summary'!AG72</f>
        <v>124.22911914597043</v>
      </c>
      <c r="L12" s="385"/>
      <c r="M12" s="388">
        <f t="shared" si="4"/>
        <v>698.80843646601488</v>
      </c>
      <c r="N12" s="390">
        <f t="shared" si="5"/>
        <v>264.1754052831493</v>
      </c>
      <c r="Q12" s="548">
        <f>+'Res Summary'!AR72+'ComInd Summary'!BP72-'Res Summary'!AQ72</f>
        <v>190.38551312500002</v>
      </c>
      <c r="R12" s="549">
        <f>+'Res Summary'!U72+'ComInd Summary'!AG72-'Res Summary'!T72</f>
        <v>123.81082074597043</v>
      </c>
    </row>
    <row r="13" spans="1:29" x14ac:dyDescent="0.2">
      <c r="A13" s="306">
        <f t="shared" si="3"/>
        <v>2009</v>
      </c>
      <c r="B13" s="388">
        <f>+'Res Summary'!BL73+'Res Summary'!BO73</f>
        <v>443.57724002390904</v>
      </c>
      <c r="C13" s="356">
        <f>((('ComInd Summary'!CT73-'ComInd Summary'!BW73)+'ComInd Summary'!CY73)*$C$51)+'ComInd Summary'!BW73</f>
        <v>215.92261346402648</v>
      </c>
      <c r="D13" s="356">
        <f>(('ComInd Summary'!CT73-'ComInd Summary'!BW73)+'ComInd Summary'!CY73)*$D$51</f>
        <v>23.42526569661549</v>
      </c>
      <c r="E13" s="356">
        <f t="shared" si="6"/>
        <v>682.92511918455102</v>
      </c>
      <c r="F13" s="356"/>
      <c r="G13" s="356">
        <f>+'Res Summary'!AO73+'ComInd Summary'!BK73</f>
        <v>514.00197824676286</v>
      </c>
      <c r="H13" s="389">
        <f>+'Res Summary'!R73+'ComInd Summary'!AB73</f>
        <v>148.60203992337759</v>
      </c>
      <c r="J13" s="1314">
        <f>+'Res Summary'!AR73+'ComInd Summary'!BP73</f>
        <v>160.69956241912757</v>
      </c>
      <c r="K13" s="1315">
        <f>+'Res Summary'!U73+'ComInd Summary'!AG73</f>
        <v>134.23170097746103</v>
      </c>
      <c r="L13" s="385"/>
      <c r="M13" s="552">
        <f>+G13+J13</f>
        <v>674.70154066589043</v>
      </c>
      <c r="N13" s="553">
        <f t="shared" si="5"/>
        <v>282.83374090083862</v>
      </c>
      <c r="P13" s="8"/>
      <c r="Q13" s="548">
        <f>+'Res Summary'!AR73+'ComInd Summary'!BP73-'Res Summary'!AQ73</f>
        <v>160.17554346912758</v>
      </c>
      <c r="R13" s="549">
        <f>+'Res Summary'!U73+'ComInd Summary'!AG73-'Res Summary'!T73</f>
        <v>133.25034990546104</v>
      </c>
      <c r="S13" s="8"/>
      <c r="T13" s="1307" t="s">
        <v>492</v>
      </c>
      <c r="U13" s="8"/>
      <c r="V13" s="2"/>
    </row>
    <row r="14" spans="1:29" s="176" customFormat="1" ht="12" customHeight="1" x14ac:dyDescent="0.2">
      <c r="A14" s="306">
        <f t="shared" si="3"/>
        <v>2010</v>
      </c>
      <c r="B14" s="388">
        <f>+'Res Summary'!BL74+'Res Summary'!BO74</f>
        <v>458.240093353909</v>
      </c>
      <c r="C14" s="356">
        <f>((('ComInd Summary'!CT74-'ComInd Summary'!BW74)+'ComInd Summary'!CY74)*$C$51)+'ComInd Summary'!BW74</f>
        <v>227.64765147392654</v>
      </c>
      <c r="D14" s="356">
        <f>(('ComInd Summary'!CT74-'ComInd Summary'!BW74)+'ComInd Summary'!CY74)*$D$51</f>
        <v>24.617394299048833</v>
      </c>
      <c r="E14" s="356">
        <f t="shared" si="6"/>
        <v>710.50513912688439</v>
      </c>
      <c r="F14" s="356"/>
      <c r="G14" s="356">
        <f>+'Res Summary'!AO74+'ComInd Summary'!BK74</f>
        <v>524.38564726276286</v>
      </c>
      <c r="H14" s="389">
        <f>+'Res Summary'!R74+'ComInd Summary'!AB74</f>
        <v>158.41719807137758</v>
      </c>
      <c r="I14"/>
      <c r="J14" s="1314">
        <f>+'Res Summary'!AR74+'ComInd Summary'!BP74</f>
        <v>188.64699768513549</v>
      </c>
      <c r="K14" s="1315">
        <f>+'Res Summary'!U74+'ComInd Summary'!AG74</f>
        <v>129.4777189143021</v>
      </c>
      <c r="L14" s="385"/>
      <c r="M14" s="388">
        <f t="shared" si="4"/>
        <v>713.03264494789835</v>
      </c>
      <c r="N14" s="390">
        <f t="shared" si="5"/>
        <v>287.89491698567969</v>
      </c>
      <c r="P14" s="8"/>
      <c r="Q14" s="548">
        <f>+'Res Summary'!AR74+'ComInd Summary'!BP74-'Res Summary'!AQ74</f>
        <v>186.62117128513549</v>
      </c>
      <c r="R14" s="549">
        <f>+'Res Summary'!U74+'ComInd Summary'!AG74-'Res Summary'!T74</f>
        <v>127.1658207543021</v>
      </c>
      <c r="S14" s="8"/>
      <c r="T14" s="428">
        <f t="shared" ref="T14:T32" si="7">+Q14-J14</f>
        <v>-2.0258263999999997</v>
      </c>
      <c r="U14" s="428">
        <f t="shared" ref="U14:U32" si="8">+R14-K14</f>
        <v>-2.3118981599999984</v>
      </c>
      <c r="V14" s="8"/>
      <c r="W14" s="786"/>
      <c r="X14"/>
      <c r="Y14"/>
    </row>
    <row r="15" spans="1:29" s="176" customFormat="1" x14ac:dyDescent="0.2">
      <c r="A15" s="306">
        <f t="shared" si="3"/>
        <v>2011</v>
      </c>
      <c r="B15" s="388">
        <f>+'Res Summary'!BL75+'Res Summary'!BO75</f>
        <v>474.3381278539091</v>
      </c>
      <c r="C15" s="356">
        <f>((('ComInd Summary'!CT75-'ComInd Summary'!BW75)+'ComInd Summary'!CY75)*$C$51)+'ComInd Summary'!BW75</f>
        <v>240.93566346762648</v>
      </c>
      <c r="D15" s="356">
        <f>(('ComInd Summary'!CT75-'ComInd Summary'!BW75)+'ComInd Summary'!CY75)*$D$51</f>
        <v>26.018024266348824</v>
      </c>
      <c r="E15" s="356">
        <f t="shared" si="6"/>
        <v>741.29181558788434</v>
      </c>
      <c r="F15" s="356"/>
      <c r="G15" s="356">
        <f>+'Res Summary'!AO75+'ComInd Summary'!BK75</f>
        <v>533.34753707276286</v>
      </c>
      <c r="H15" s="389">
        <f>+'Res Summary'!R75+'ComInd Summary'!AB75</f>
        <v>168.01794310137757</v>
      </c>
      <c r="I15"/>
      <c r="J15" s="1314">
        <f>+'Res Summary'!AR75+'ComInd Summary'!BP75</f>
        <v>171.71433623228688</v>
      </c>
      <c r="K15" s="1315">
        <f>+'Res Summary'!U75+'ComInd Summary'!AG75</f>
        <v>131.3860288136074</v>
      </c>
      <c r="L15" s="385"/>
      <c r="M15" s="388">
        <f t="shared" si="4"/>
        <v>705.06187330504974</v>
      </c>
      <c r="N15" s="390">
        <f t="shared" si="5"/>
        <v>299.40397191498494</v>
      </c>
      <c r="P15" s="8"/>
      <c r="Q15" s="548">
        <f>+'Res Summary'!AR75+'ComInd Summary'!BP75-'Res Summary'!AQ75</f>
        <v>167.46120943228689</v>
      </c>
      <c r="R15" s="549">
        <f>+'Res Summary'!U75+'ComInd Summary'!AG75-'Res Summary'!T75</f>
        <v>127.8343726536074</v>
      </c>
      <c r="S15" s="8"/>
      <c r="T15" s="428">
        <f t="shared" si="7"/>
        <v>-4.2531267999999898</v>
      </c>
      <c r="U15" s="428">
        <f t="shared" si="8"/>
        <v>-3.5516561599999932</v>
      </c>
      <c r="V15" s="8"/>
      <c r="X15"/>
      <c r="Y15"/>
    </row>
    <row r="16" spans="1:29" s="176" customFormat="1" x14ac:dyDescent="0.2">
      <c r="A16" s="306">
        <f t="shared" si="3"/>
        <v>2012</v>
      </c>
      <c r="B16" s="388">
        <f>+'Res Summary'!BL76+'Res Summary'!BO76</f>
        <v>493.149727373909</v>
      </c>
      <c r="C16" s="356">
        <f>((('ComInd Summary'!CT76-'ComInd Summary'!BW76)+'ComInd Summary'!CY76)*$C$51)+'ComInd Summary'!BW76</f>
        <v>254.74016508742645</v>
      </c>
      <c r="D16" s="356">
        <f>(('ComInd Summary'!CT76-'ComInd Summary'!BW76)+'ComInd Summary'!CY76)*$D$51</f>
        <v>27.518562108215487</v>
      </c>
      <c r="E16" s="356">
        <f t="shared" si="6"/>
        <v>775.40845456955094</v>
      </c>
      <c r="F16" s="356"/>
      <c r="G16" s="356">
        <f>+'Res Summary'!AO76+'ComInd Summary'!BK76</f>
        <v>539.77656330276295</v>
      </c>
      <c r="H16" s="389">
        <f>+'Res Summary'!R76+'ComInd Summary'!AB76</f>
        <v>179.34344138603279</v>
      </c>
      <c r="I16"/>
      <c r="J16" s="1314">
        <f>+'Res Summary'!AR76+'ComInd Summary'!BP76</f>
        <v>179.1726759810725</v>
      </c>
      <c r="K16" s="1315">
        <f>+'Res Summary'!U76+'ComInd Summary'!AG76</f>
        <v>141.28642990766031</v>
      </c>
      <c r="L16" s="385"/>
      <c r="M16" s="388">
        <f t="shared" si="4"/>
        <v>718.94923928383548</v>
      </c>
      <c r="N16" s="390">
        <f t="shared" si="5"/>
        <v>320.6298712936931</v>
      </c>
      <c r="P16" s="8"/>
      <c r="Q16" s="548">
        <f>+'Res Summary'!AR76+'ComInd Summary'!BP76-'Res Summary'!AQ76</f>
        <v>173.30359978107251</v>
      </c>
      <c r="R16" s="549">
        <f>+'Res Summary'!U76+'ComInd Summary'!AG76-'Res Summary'!T76</f>
        <v>137.0973057476603</v>
      </c>
      <c r="S16" s="8"/>
      <c r="T16" s="428">
        <f t="shared" si="7"/>
        <v>-5.869076199999995</v>
      </c>
      <c r="U16" s="428">
        <f t="shared" si="8"/>
        <v>-4.1891241600000058</v>
      </c>
      <c r="V16" s="8"/>
      <c r="W16" s="361"/>
      <c r="X16"/>
      <c r="Y16"/>
    </row>
    <row r="17" spans="1:25" s="176" customFormat="1" x14ac:dyDescent="0.2">
      <c r="A17" s="1049">
        <f t="shared" si="3"/>
        <v>2013</v>
      </c>
      <c r="B17" s="388">
        <f>+'Res Summary'!BL77+'Res Summary'!BO77</f>
        <v>513.42413408285427</v>
      </c>
      <c r="C17" s="356">
        <f>((('ComInd Summary'!CT77-'ComInd Summary'!BW77)+'ComInd Summary'!CY77)*$C$51)+'ComInd Summary'!BW77</f>
        <v>273.96178857347974</v>
      </c>
      <c r="D17" s="356">
        <f>(('ComInd Summary'!CT77-'ComInd Summary'!BW77)+'ComInd Summary'!CY77)*$D$51</f>
        <v>29.61420889144015</v>
      </c>
      <c r="E17" s="356">
        <f t="shared" si="6"/>
        <v>817.00013154777423</v>
      </c>
      <c r="F17" s="356"/>
      <c r="G17" s="356">
        <f>+'Res Summary'!AO77+'ComInd Summary'!BK77</f>
        <v>555.61456521251262</v>
      </c>
      <c r="H17" s="389">
        <f>+'Res Summary'!R77+'ComInd Summary'!AB77</f>
        <v>195.31549665572354</v>
      </c>
      <c r="I17"/>
      <c r="J17" s="1314">
        <f>+'Res Summary'!AR77+'ComInd Summary'!BP77</f>
        <v>168.13863611805101</v>
      </c>
      <c r="K17" s="1315">
        <f>+'Res Summary'!U77+'ComInd Summary'!AG77</f>
        <v>136.14877457584498</v>
      </c>
      <c r="L17" s="385"/>
      <c r="M17" s="388">
        <f>+G17+J17</f>
        <v>723.75320133056357</v>
      </c>
      <c r="N17" s="390">
        <f t="shared" si="5"/>
        <v>331.46427123156855</v>
      </c>
      <c r="P17" s="804"/>
      <c r="Q17" s="548">
        <f>+'Res Summary'!AR77+'ComInd Summary'!BP77-'Res Summary'!AQ77</f>
        <v>161.86845331805102</v>
      </c>
      <c r="R17" s="549">
        <f>+'Res Summary'!U77+'ComInd Summary'!AG77-'Res Summary'!T77</f>
        <v>131.47890689584497</v>
      </c>
      <c r="S17" s="804"/>
      <c r="T17" s="428">
        <f t="shared" si="7"/>
        <v>-6.2701827999999864</v>
      </c>
      <c r="U17" s="428">
        <f t="shared" si="8"/>
        <v>-4.6698676800000101</v>
      </c>
      <c r="V17" s="804"/>
      <c r="W17" s="361"/>
      <c r="X17"/>
      <c r="Y17"/>
    </row>
    <row r="18" spans="1:25" s="176" customFormat="1" x14ac:dyDescent="0.2">
      <c r="A18" s="1257">
        <f t="shared" si="3"/>
        <v>2014</v>
      </c>
      <c r="B18" s="388">
        <f>+'Res Summary'!BL78+'Res Summary'!BO78</f>
        <v>546.68364060500437</v>
      </c>
      <c r="C18" s="356">
        <f>((('ComInd Summary'!CT78-'ComInd Summary'!BW78)+'ComInd Summary'!CY78)*$C$51)+'ComInd Summary'!BW78</f>
        <v>284.4799983390094</v>
      </c>
      <c r="D18" s="356">
        <f>(('ComInd Summary'!CT78-'ComInd Summary'!BW78)+'ComInd Summary'!CY78)*$D$51</f>
        <v>30.731115451165678</v>
      </c>
      <c r="E18" s="356">
        <f t="shared" si="6"/>
        <v>861.89475439517946</v>
      </c>
      <c r="F18" s="356"/>
      <c r="G18" s="356">
        <f>+'Res Summary'!AO78+'ComInd Summary'!BK78</f>
        <v>569.66278499847454</v>
      </c>
      <c r="H18" s="389">
        <f>+'Res Summary'!R78+'ComInd Summary'!AB78</f>
        <v>210.6182069513431</v>
      </c>
      <c r="I18"/>
      <c r="J18" s="1314">
        <f>+'Res Summary'!AR78+'ComInd Summary'!BP78</f>
        <v>170.88106933853697</v>
      </c>
      <c r="K18" s="1315">
        <f>+'Res Summary'!U78+'ComInd Summary'!AG78</f>
        <v>137.92677507038331</v>
      </c>
      <c r="L18" s="385"/>
      <c r="M18" s="388">
        <f t="shared" si="4"/>
        <v>740.54385433701145</v>
      </c>
      <c r="N18" s="390">
        <f t="shared" si="5"/>
        <v>348.54498202172641</v>
      </c>
      <c r="P18" s="804"/>
      <c r="Q18" s="548">
        <f>+'Res Summary'!AR78+'ComInd Summary'!BP78-'Res Summary'!AQ78</f>
        <v>163.79477346853699</v>
      </c>
      <c r="R18" s="549">
        <f>+'Res Summary'!U78+'ComInd Summary'!AG78-'Res Summary'!T78</f>
        <v>131.90895114038332</v>
      </c>
      <c r="S18" s="804"/>
      <c r="T18" s="428">
        <f t="shared" si="7"/>
        <v>-7.0862958699999865</v>
      </c>
      <c r="U18" s="428">
        <f t="shared" si="8"/>
        <v>-6.0178239299999916</v>
      </c>
      <c r="V18" s="804"/>
      <c r="W18" s="361"/>
      <c r="X18"/>
      <c r="Y18"/>
    </row>
    <row r="19" spans="1:25" s="176" customFormat="1" x14ac:dyDescent="0.2">
      <c r="A19" s="1257">
        <f t="shared" si="3"/>
        <v>2015</v>
      </c>
      <c r="B19" s="388">
        <f>+'Res Summary'!BL79+'Res Summary'!BO79</f>
        <v>568.45487131027994</v>
      </c>
      <c r="C19" s="356">
        <f>((('ComInd Summary'!CT79-'ComInd Summary'!BW79)+'ComInd Summary'!CY79)*$C$51)+'ComInd Summary'!BW79</f>
        <v>294.39200280688391</v>
      </c>
      <c r="D19" s="356">
        <f>(('ComInd Summary'!CT79-'ComInd Summary'!BW79)+'ComInd Summary'!CY79)*$D$51</f>
        <v>31.503749388903351</v>
      </c>
      <c r="E19" s="356">
        <f t="shared" si="6"/>
        <v>894.35062350606722</v>
      </c>
      <c r="F19" s="356"/>
      <c r="G19" s="356">
        <f>+'Res Summary'!AO79+'ComInd Summary'!BK79</f>
        <v>576.37179320252619</v>
      </c>
      <c r="H19" s="389">
        <f>+'Res Summary'!R79+'ComInd Summary'!AB79</f>
        <v>223.56808009944771</v>
      </c>
      <c r="I19"/>
      <c r="J19" s="1314">
        <f>+'Res Summary'!AR79+'ComInd Summary'!BP79</f>
        <v>156.90348299912685</v>
      </c>
      <c r="K19" s="1315">
        <f>+'Res Summary'!U79+'ComInd Summary'!AG79</f>
        <v>131.23281093017519</v>
      </c>
      <c r="L19" s="385"/>
      <c r="M19" s="388">
        <f t="shared" si="4"/>
        <v>733.27527620165301</v>
      </c>
      <c r="N19" s="390">
        <f t="shared" si="5"/>
        <v>354.8008910296229</v>
      </c>
      <c r="P19" s="804"/>
      <c r="Q19" s="548">
        <f>+'Res Summary'!AR79+'ComInd Summary'!BP79-'Res Summary'!AQ79</f>
        <v>146.46284600000001</v>
      </c>
      <c r="R19" s="549">
        <f>+'Res Summary'!U79+'ComInd Summary'!AG79-'Res Summary'!T79</f>
        <v>122.96530613154007</v>
      </c>
      <c r="S19" s="804"/>
      <c r="T19" s="428">
        <f t="shared" si="7"/>
        <v>-10.440636999126838</v>
      </c>
      <c r="U19" s="428">
        <f t="shared" si="8"/>
        <v>-8.267504798635116</v>
      </c>
      <c r="V19" s="804"/>
      <c r="W19" s="361"/>
      <c r="X19"/>
      <c r="Y19"/>
    </row>
    <row r="20" spans="1:25" ht="13.5" thickBot="1" x14ac:dyDescent="0.25">
      <c r="A20" s="576">
        <f t="shared" si="3"/>
        <v>2016</v>
      </c>
      <c r="B20" s="572">
        <f>+'Res Summary'!BL80+'Res Summary'!BO80</f>
        <v>587.63827449428004</v>
      </c>
      <c r="C20" s="577">
        <f>((('ComInd Summary'!CT80-'ComInd Summary'!BW80)+'ComInd Summary'!CY80)*$C$51)+'ComInd Summary'!BW80</f>
        <v>307.1585605940657</v>
      </c>
      <c r="D20" s="577">
        <f>(('ComInd Summary'!CT80-'ComInd Summary'!BW80)+'ComInd Summary'!CY80)*$D$51</f>
        <v>32.896493381701326</v>
      </c>
      <c r="E20" s="577">
        <f t="shared" si="6"/>
        <v>927.69332847004705</v>
      </c>
      <c r="F20" s="577"/>
      <c r="G20" s="577">
        <f>+'Res Summary'!AO80+'ComInd Summary'!BK80</f>
        <v>585.95222733752621</v>
      </c>
      <c r="H20" s="573">
        <f>+'Res Summary'!R80+'ComInd Summary'!AB80</f>
        <v>232.03831808994769</v>
      </c>
      <c r="J20" s="1316">
        <f>+'Res Summary'!AR80+'ComInd Summary'!BP80</f>
        <v>132.89848942479102</v>
      </c>
      <c r="K20" s="1317">
        <f>+'Res Summary'!U80+'ComInd Summary'!AG80</f>
        <v>110.97754325596846</v>
      </c>
      <c r="L20" s="574"/>
      <c r="M20" s="572">
        <f t="shared" si="4"/>
        <v>718.85071676231723</v>
      </c>
      <c r="N20" s="809">
        <f t="shared" si="5"/>
        <v>343.01586134591616</v>
      </c>
      <c r="O20" s="376"/>
      <c r="P20" s="360"/>
      <c r="Q20" s="578">
        <f>+'Res Summary'!AR80+'ComInd Summary'!BP80-'Res Summary'!AQ80</f>
        <v>118.79914560966418</v>
      </c>
      <c r="R20" s="579">
        <f>+'Res Summary'!U80+'ComInd Summary'!AG80-'Res Summary'!T80</f>
        <v>100.55332133333334</v>
      </c>
      <c r="S20" s="804"/>
      <c r="T20" s="359">
        <f>+Q20-J20</f>
        <v>-14.099343815126844</v>
      </c>
      <c r="U20" s="359">
        <f t="shared" si="8"/>
        <v>-10.424221922635112</v>
      </c>
      <c r="V20" s="2"/>
      <c r="W20" s="167"/>
    </row>
    <row r="21" spans="1:25" x14ac:dyDescent="0.2">
      <c r="A21" s="393">
        <f t="shared" si="3"/>
        <v>2017</v>
      </c>
      <c r="B21" s="1310">
        <f>+'Res Summary'!BL81+'Res Summary'!BO81</f>
        <v>599.89542700627999</v>
      </c>
      <c r="C21" s="384">
        <f>((('ComInd Summary'!CT81-'ComInd Summary'!BW81)+'ComInd Summary'!CY81)*$C$51)+'ComInd Summary'!BW81</f>
        <v>316.75016881176015</v>
      </c>
      <c r="D21" s="384">
        <f>(('ComInd Summary'!CT81-'ComInd Summary'!BW81)+'ComInd Summary'!CY81)*$D$51</f>
        <v>33.945008316778498</v>
      </c>
      <c r="E21" s="384">
        <f t="shared" si="6"/>
        <v>950.5906041348187</v>
      </c>
      <c r="F21" s="384"/>
      <c r="G21" s="384">
        <f>+'Res Summary'!AO81+'ComInd Summary'!BK81</f>
        <v>593.62682534252622</v>
      </c>
      <c r="H21" s="1311">
        <f>+'Res Summary'!R81+'ComInd Summary'!AB81</f>
        <v>238.34028642644768</v>
      </c>
      <c r="J21" s="1314">
        <f>+'Res Summary'!AR81+'ComInd Summary'!BP81</f>
        <v>111.84863690987433</v>
      </c>
      <c r="K21" s="1315">
        <f>+'Res Summary'!U81+'ComInd Summary'!AG81</f>
        <v>111.55745906948003</v>
      </c>
      <c r="L21" s="385"/>
      <c r="M21" s="388">
        <f t="shared" si="4"/>
        <v>705.47546225240058</v>
      </c>
      <c r="N21" s="390">
        <f t="shared" si="5"/>
        <v>349.89774549592772</v>
      </c>
      <c r="P21" s="804"/>
      <c r="Q21" s="550">
        <f>+'Res Summary'!AR81+'ComInd Summary'!BP81-'Res Summary'!AQ81</f>
        <v>94.689161474747493</v>
      </c>
      <c r="R21" s="551">
        <f>+'Res Summary'!U81+'ComInd Summary'!AG81-'Res Summary'!T81</f>
        <v>99.071510566844921</v>
      </c>
      <c r="S21" s="299"/>
      <c r="T21" s="359">
        <f t="shared" si="7"/>
        <v>-17.159475435126836</v>
      </c>
      <c r="U21" s="359">
        <f t="shared" si="8"/>
        <v>-12.485948502635111</v>
      </c>
    </row>
    <row r="22" spans="1:25" x14ac:dyDescent="0.2">
      <c r="A22" s="393">
        <f t="shared" si="3"/>
        <v>2018</v>
      </c>
      <c r="B22" s="1310">
        <f>+'Res Summary'!BL82+'Res Summary'!BO82</f>
        <v>611.48530895828014</v>
      </c>
      <c r="C22" s="384">
        <f>((('ComInd Summary'!CT82-'ComInd Summary'!BW82)+'ComInd Summary'!CY82)*$C$51)+'ComInd Summary'!BW82</f>
        <v>321.08515900889944</v>
      </c>
      <c r="D22" s="384">
        <f>(('ComInd Summary'!CT82-'ComInd Summary'!BW82)+'ComInd Summary'!CY82)*$D$51</f>
        <v>34.395078827571744</v>
      </c>
      <c r="E22" s="384">
        <f t="shared" si="6"/>
        <v>966.96554679475139</v>
      </c>
      <c r="F22" s="384"/>
      <c r="G22" s="384">
        <f>+'Res Summary'!AO82+'ComInd Summary'!BK82</f>
        <v>597.83280902652621</v>
      </c>
      <c r="H22" s="1311">
        <f>+'Res Summary'!R82+'ComInd Summary'!AB82</f>
        <v>243.5491963274477</v>
      </c>
      <c r="J22" s="1314">
        <f>+'Res Summary'!AR82+'ComInd Summary'!BP82</f>
        <v>115.84582947553089</v>
      </c>
      <c r="K22" s="1315">
        <f>+'Res Summary'!U82+'ComInd Summary'!AG82</f>
        <v>114.14775906948006</v>
      </c>
      <c r="L22" s="385"/>
      <c r="M22" s="388">
        <f t="shared" si="4"/>
        <v>713.67863850205708</v>
      </c>
      <c r="N22" s="390">
        <f t="shared" si="5"/>
        <v>357.69695539692776</v>
      </c>
      <c r="Q22" s="550">
        <f>+'Res Summary'!AR82+'ComInd Summary'!BP82-'Res Summary'!AQ82</f>
        <v>95.323572040404059</v>
      </c>
      <c r="R22" s="551">
        <f>+'Res Summary'!U82+'ComInd Summary'!AG82-'Res Summary'!T82</f>
        <v>99.502934566844942</v>
      </c>
      <c r="T22" s="359">
        <f t="shared" si="7"/>
        <v>-20.522257435126832</v>
      </c>
      <c r="U22" s="359">
        <f t="shared" si="8"/>
        <v>-14.644824502635117</v>
      </c>
    </row>
    <row r="23" spans="1:25" x14ac:dyDescent="0.2">
      <c r="A23" s="393">
        <f t="shared" si="3"/>
        <v>2019</v>
      </c>
      <c r="B23" s="1310">
        <f>+'Res Summary'!BL83+'Res Summary'!BO83</f>
        <v>623.76988579027989</v>
      </c>
      <c r="C23" s="384">
        <f>((('ComInd Summary'!CT83-'ComInd Summary'!BW83)+'ComInd Summary'!CY83)*$C$51)+'ComInd Summary'!BW83</f>
        <v>325.94185304843899</v>
      </c>
      <c r="D23" s="384">
        <f>(('ComInd Summary'!CT83-'ComInd Summary'!BW83)+'ComInd Summary'!CY83)*$D$51</f>
        <v>34.903116431965024</v>
      </c>
      <c r="E23" s="384">
        <f t="shared" si="6"/>
        <v>984.61485527068396</v>
      </c>
      <c r="F23" s="384"/>
      <c r="G23" s="384">
        <f>+'Res Summary'!AO83+'ComInd Summary'!BK83</f>
        <v>602.20401325052626</v>
      </c>
      <c r="H23" s="1311">
        <f>+'Res Summary'!R83+'ComInd Summary'!AB83</f>
        <v>249.21878269844768</v>
      </c>
      <c r="J23" s="1314">
        <f>+'Res Summary'!AR83+'ComInd Summary'!BP83</f>
        <v>119.84302204118747</v>
      </c>
      <c r="K23" s="1315">
        <f>+'Res Summary'!U83+'ComInd Summary'!AG83</f>
        <v>117.00791856948004</v>
      </c>
      <c r="L23" s="385"/>
      <c r="M23" s="388">
        <f t="shared" si="4"/>
        <v>722.04703529171377</v>
      </c>
      <c r="N23" s="390">
        <f t="shared" si="5"/>
        <v>366.22670126792775</v>
      </c>
      <c r="Q23" s="550">
        <f>+'Res Summary'!AR83+'ComInd Summary'!BP83-'Res Summary'!AQ83</f>
        <v>95.957982606060625</v>
      </c>
      <c r="R23" s="551">
        <f>+'Res Summary'!U83+'ComInd Summary'!AG83-'Res Summary'!T83</f>
        <v>99.934358566844935</v>
      </c>
      <c r="T23" s="359">
        <f t="shared" si="7"/>
        <v>-23.885039435126842</v>
      </c>
      <c r="U23" s="359">
        <f t="shared" si="8"/>
        <v>-17.073560002635105</v>
      </c>
    </row>
    <row r="24" spans="1:25" x14ac:dyDescent="0.2">
      <c r="A24" s="393">
        <f t="shared" si="3"/>
        <v>2020</v>
      </c>
      <c r="B24" s="1310">
        <f>+'Res Summary'!BL84+'Res Summary'!BO84</f>
        <v>636.43327094227982</v>
      </c>
      <c r="C24" s="384">
        <f>((('ComInd Summary'!CT84-'ComInd Summary'!BW84)+'ComInd Summary'!CY84)*$C$51)+'ComInd Summary'!BW84</f>
        <v>331.41014106917834</v>
      </c>
      <c r="D24" s="384">
        <f>(('ComInd Summary'!CT84-'ComInd Summary'!BW84)+'ComInd Summary'!CY84)*$D$51</f>
        <v>35.479108923158286</v>
      </c>
      <c r="E24" s="384">
        <f t="shared" si="6"/>
        <v>1003.3225209346165</v>
      </c>
      <c r="F24" s="384"/>
      <c r="G24" s="384">
        <f>+'Res Summary'!AO84+'ComInd Summary'!BK84</f>
        <v>606.99426242452626</v>
      </c>
      <c r="H24" s="1311">
        <f>+'Res Summary'!R84+'ComInd Summary'!AB84</f>
        <v>255.11203526444768</v>
      </c>
      <c r="J24" s="1314">
        <f>+'Res Summary'!AR84+'ComInd Summary'!BP84</f>
        <v>124.68091010684402</v>
      </c>
      <c r="K24" s="1315">
        <f>+'Res Summary'!U84+'ComInd Summary'!AG84</f>
        <v>120.13793756948004</v>
      </c>
      <c r="L24" s="385"/>
      <c r="M24" s="388">
        <f t="shared" si="4"/>
        <v>731.67517253137032</v>
      </c>
      <c r="N24" s="390">
        <f t="shared" si="5"/>
        <v>375.2499728339277</v>
      </c>
      <c r="Q24" s="550">
        <f>+'Res Summary'!AR84+'ComInd Summary'!BP84-'Res Summary'!AQ84</f>
        <v>96.592393171717191</v>
      </c>
      <c r="R24" s="551">
        <f>+'Res Summary'!U84+'ComInd Summary'!AG84-'Res Summary'!T84</f>
        <v>100.36578256684493</v>
      </c>
      <c r="S24" s="167"/>
      <c r="T24" s="359">
        <f t="shared" si="7"/>
        <v>-28.088516935126833</v>
      </c>
      <c r="U24" s="359">
        <f t="shared" si="8"/>
        <v>-19.772155002635117</v>
      </c>
    </row>
    <row r="25" spans="1:25" x14ac:dyDescent="0.2">
      <c r="A25" s="393">
        <f t="shared" si="3"/>
        <v>2021</v>
      </c>
      <c r="B25" s="1310">
        <f>+'Res Summary'!BL85+'Res Summary'!BO85</f>
        <v>649.09665609428032</v>
      </c>
      <c r="C25" s="384">
        <f>((('ComInd Summary'!CT85-'ComInd Summary'!BW85)+'ComInd Summary'!CY85)*$C$51)+'ComInd Summary'!BW85</f>
        <v>336.98653944791778</v>
      </c>
      <c r="D25" s="384">
        <f>(('ComInd Summary'!CT85-'ComInd Summary'!BW85)+'ComInd Summary'!CY85)*$D$51</f>
        <v>36.067113676351561</v>
      </c>
      <c r="E25" s="384">
        <f t="shared" si="6"/>
        <v>1022.1503092185498</v>
      </c>
      <c r="F25" s="384"/>
      <c r="G25" s="384">
        <f>+'Res Summary'!AO85+'ComInd Summary'!BK85</f>
        <v>611.84309409852631</v>
      </c>
      <c r="H25" s="1311">
        <f>+'Res Summary'!R85+'ComInd Summary'!AB85</f>
        <v>261.0294965804477</v>
      </c>
      <c r="J25" s="1314">
        <f>+'Res Summary'!AR85+'ComInd Summary'!BP85</f>
        <v>129.5187981725006</v>
      </c>
      <c r="K25" s="1315">
        <f>+'Res Summary'!U85+'ComInd Summary'!AG85</f>
        <v>123.26795656948003</v>
      </c>
      <c r="L25" s="385"/>
      <c r="M25" s="388">
        <f t="shared" si="4"/>
        <v>741.36189227102693</v>
      </c>
      <c r="N25" s="390">
        <f t="shared" si="5"/>
        <v>384.29745314992772</v>
      </c>
      <c r="Q25" s="550">
        <f>+'Res Summary'!AR85+'ComInd Summary'!BP85-'Res Summary'!AQ85</f>
        <v>97.226803737373757</v>
      </c>
      <c r="R25" s="551">
        <f>+'Res Summary'!U85+'ComInd Summary'!AG85-'Res Summary'!T85</f>
        <v>100.79720656684492</v>
      </c>
      <c r="T25" s="359">
        <f t="shared" si="7"/>
        <v>-32.291994435126838</v>
      </c>
      <c r="U25" s="359">
        <f t="shared" si="8"/>
        <v>-22.470750002635114</v>
      </c>
    </row>
    <row r="26" spans="1:25" x14ac:dyDescent="0.2">
      <c r="A26" s="393">
        <f t="shared" si="3"/>
        <v>2022</v>
      </c>
      <c r="B26" s="1310">
        <f>+'Res Summary'!BL86+'Res Summary'!BO86</f>
        <v>661.72086364628012</v>
      </c>
      <c r="C26" s="384">
        <f>((('ComInd Summary'!CT86-'ComInd Summary'!BW86)+'ComInd Summary'!CY86)*$C$51)+'ComInd Summary'!BW86</f>
        <v>342.5690603088571</v>
      </c>
      <c r="D26" s="384">
        <f>(('ComInd Summary'!CT86-'ComInd Summary'!BW86)+'ComInd Summary'!CY86)*$D$51</f>
        <v>36.655798705344822</v>
      </c>
      <c r="E26" s="384">
        <f t="shared" si="6"/>
        <v>1040.945722660482</v>
      </c>
      <c r="F26" s="384"/>
      <c r="G26" s="384">
        <f>+'Res Summary'!AO86+'ComInd Summary'!BK86</f>
        <v>616.69192577252625</v>
      </c>
      <c r="H26" s="1311">
        <f>+'Res Summary'!R86+'ComInd Summary'!AB86</f>
        <v>266.93644236644769</v>
      </c>
      <c r="J26" s="1314">
        <f>+'Res Summary'!AR86+'ComInd Summary'!BP86</f>
        <v>134.35668623815715</v>
      </c>
      <c r="K26" s="1315">
        <f>+'Res Summary'!U86+'ComInd Summary'!AG86</f>
        <v>126.39797556948004</v>
      </c>
      <c r="L26" s="385"/>
      <c r="M26" s="388">
        <f t="shared" si="4"/>
        <v>751.04861201068343</v>
      </c>
      <c r="N26" s="390">
        <f t="shared" si="5"/>
        <v>393.33441793592772</v>
      </c>
      <c r="Q26" s="550">
        <f>+'Res Summary'!AR86+'ComInd Summary'!BP86-'Res Summary'!AQ86</f>
        <v>97.861214303030323</v>
      </c>
      <c r="R26" s="551">
        <f>+'Res Summary'!U86+'ComInd Summary'!AG86-'Res Summary'!T86</f>
        <v>101.22863056684493</v>
      </c>
      <c r="T26" s="359">
        <f t="shared" si="7"/>
        <v>-36.49547193512683</v>
      </c>
      <c r="U26" s="359">
        <f t="shared" si="8"/>
        <v>-25.169345002635112</v>
      </c>
    </row>
    <row r="27" spans="1:25" x14ac:dyDescent="0.2">
      <c r="A27" s="393">
        <f t="shared" si="3"/>
        <v>2023</v>
      </c>
      <c r="B27" s="1310">
        <f>+'Res Summary'!BL87+'Res Summary'!BO87</f>
        <v>674.28630479828007</v>
      </c>
      <c r="C27" s="384">
        <f>((('ComInd Summary'!CT87-'ComInd Summary'!BW87)+'ComInd Summary'!CY87)*$C$51)+'ComInd Summary'!BW87</f>
        <v>348.1577036519966</v>
      </c>
      <c r="D27" s="384">
        <f>(('ComInd Summary'!CT87-'ComInd Summary'!BW87)+'ComInd Summary'!CY87)*$D$51</f>
        <v>37.24516401013809</v>
      </c>
      <c r="E27" s="384">
        <f t="shared" ref="E27:E33" si="9">+B27+C27+D27</f>
        <v>1059.6891724604147</v>
      </c>
      <c r="F27" s="384"/>
      <c r="G27" s="384">
        <f>+'Res Summary'!AO87+'ComInd Summary'!BK87</f>
        <v>621.47070376652619</v>
      </c>
      <c r="H27" s="1311">
        <f>+'Res Summary'!R87+'ComInd Summary'!AB87</f>
        <v>272.82740032244772</v>
      </c>
      <c r="J27" s="1314">
        <f>+'Res Summary'!AR87+'ComInd Summary'!BP87</f>
        <v>139.19457430381374</v>
      </c>
      <c r="K27" s="1315">
        <f>+'Res Summary'!U87+'ComInd Summary'!AG87</f>
        <v>129.52799456948006</v>
      </c>
      <c r="L27" s="385"/>
      <c r="M27" s="388">
        <f t="shared" ref="M27:M33" si="10">+G27+J27</f>
        <v>760.66527807033992</v>
      </c>
      <c r="N27" s="390">
        <f t="shared" ref="N27:N33" si="11">+H27+K27</f>
        <v>402.35539489192774</v>
      </c>
      <c r="Q27" s="550">
        <f>+'Res Summary'!AR87+'ComInd Summary'!BP87-'Res Summary'!AQ87</f>
        <v>98.495624868686903</v>
      </c>
      <c r="R27" s="551">
        <f>+'Res Summary'!U87+'ComInd Summary'!AG87-'Res Summary'!T87</f>
        <v>101.66005456684495</v>
      </c>
      <c r="T27" s="359">
        <f t="shared" si="7"/>
        <v>-40.698949435126835</v>
      </c>
      <c r="U27" s="359">
        <f t="shared" si="8"/>
        <v>-27.867940002635109</v>
      </c>
    </row>
    <row r="28" spans="1:25" x14ac:dyDescent="0.2">
      <c r="A28" s="393">
        <f t="shared" si="3"/>
        <v>2024</v>
      </c>
      <c r="B28" s="1310">
        <f>+'Res Summary'!BL88+'Res Summary'!BO88</f>
        <v>686.81256835028012</v>
      </c>
      <c r="C28" s="384">
        <f>((('ComInd Summary'!CT88-'ComInd Summary'!BW88)+'ComInd Summary'!CY88)*$C$51)+'ComInd Summary'!BW88</f>
        <v>353.74634699513592</v>
      </c>
      <c r="D28" s="384">
        <f>(('ComInd Summary'!CT88-'ComInd Summary'!BW88)+'ComInd Summary'!CY88)*$D$51</f>
        <v>37.834529314931352</v>
      </c>
      <c r="E28" s="384">
        <f t="shared" si="9"/>
        <v>1078.3934446603475</v>
      </c>
      <c r="F28" s="384"/>
      <c r="G28" s="384">
        <f>+'Res Summary'!AO88+'ComInd Summary'!BK88</f>
        <v>626.21375086052626</v>
      </c>
      <c r="H28" s="1311">
        <f>+'Res Summary'!R88+'ComInd Summary'!AB88</f>
        <v>278.70741367844772</v>
      </c>
      <c r="J28" s="1314">
        <f>+'Res Summary'!AR88+'ComInd Summary'!BP88</f>
        <v>144.0324623694703</v>
      </c>
      <c r="K28" s="1315">
        <f>+'Res Summary'!U88+'ComInd Summary'!AG88</f>
        <v>132.65801356948003</v>
      </c>
      <c r="L28" s="385"/>
      <c r="M28" s="388">
        <f t="shared" si="10"/>
        <v>770.24621322999656</v>
      </c>
      <c r="N28" s="390">
        <f t="shared" si="11"/>
        <v>411.36542724792776</v>
      </c>
      <c r="Q28" s="550">
        <f>+'Res Summary'!AR88+'ComInd Summary'!BP88-'Res Summary'!AQ88</f>
        <v>99.130035434343455</v>
      </c>
      <c r="R28" s="551">
        <f>+'Res Summary'!U88+'ComInd Summary'!AG88-'Res Summary'!T88</f>
        <v>102.09147856684493</v>
      </c>
      <c r="T28" s="359">
        <f t="shared" si="7"/>
        <v>-44.90242693512684</v>
      </c>
      <c r="U28" s="359">
        <f t="shared" si="8"/>
        <v>-30.566535002635106</v>
      </c>
    </row>
    <row r="29" spans="1:25" x14ac:dyDescent="0.2">
      <c r="A29" s="393">
        <f t="shared" si="3"/>
        <v>2025</v>
      </c>
      <c r="B29" s="1310">
        <f>+'Res Summary'!BL89+'Res Summary'!BO89</f>
        <v>699.3192431022801</v>
      </c>
      <c r="C29" s="384">
        <f>((('ComInd Summary'!CT89-'ComInd Summary'!BW89)+'ComInd Summary'!CY89)*$C$51)+'ComInd Summary'!BW89</f>
        <v>359.33499033827536</v>
      </c>
      <c r="D29" s="384">
        <f>(('ComInd Summary'!CT89-'ComInd Summary'!BW89)+'ComInd Summary'!CY89)*$D$51</f>
        <v>38.423894619724621</v>
      </c>
      <c r="E29" s="384">
        <f t="shared" si="9"/>
        <v>1097.0781280602801</v>
      </c>
      <c r="F29" s="384"/>
      <c r="G29" s="384">
        <f>+'Res Summary'!AO89+'ComInd Summary'!BK89</f>
        <v>630.92106705452602</v>
      </c>
      <c r="H29" s="1311">
        <f>+'Res Summary'!R89+'ComInd Summary'!AB89</f>
        <v>284.58195473444772</v>
      </c>
      <c r="J29" s="1314">
        <f>+'Res Summary'!AR89+'ComInd Summary'!BP89</f>
        <v>148.87035043512685</v>
      </c>
      <c r="K29" s="1315">
        <f>+'Res Summary'!U89+'ComInd Summary'!AG89</f>
        <v>135.78803256948007</v>
      </c>
      <c r="L29" s="385"/>
      <c r="M29" s="388">
        <f t="shared" si="10"/>
        <v>779.79141748965287</v>
      </c>
      <c r="N29" s="390">
        <f t="shared" si="11"/>
        <v>420.36998730392781</v>
      </c>
      <c r="Q29" s="550">
        <f>+'Res Summary'!AR89+'ComInd Summary'!BP89-'Res Summary'!AQ89</f>
        <v>99.764446000000021</v>
      </c>
      <c r="R29" s="551">
        <f>+'Res Summary'!U89+'ComInd Summary'!AG89-'Res Summary'!T89</f>
        <v>102.52290256684495</v>
      </c>
      <c r="T29" s="359">
        <f t="shared" si="7"/>
        <v>-49.105904435126831</v>
      </c>
      <c r="U29" s="359">
        <f t="shared" si="8"/>
        <v>-33.265130002635118</v>
      </c>
    </row>
    <row r="30" spans="1:25" x14ac:dyDescent="0.2">
      <c r="A30" s="393">
        <f t="shared" si="3"/>
        <v>2026</v>
      </c>
      <c r="B30" s="1310">
        <f>+'Res Summary'!BL90+'Res Summary'!BO90</f>
        <v>711.82591785428008</v>
      </c>
      <c r="C30" s="384">
        <f>((('ComInd Summary'!CT90-'ComInd Summary'!BW90)+'ComInd Summary'!CY90)*$C$51)+'ComInd Summary'!BW90</f>
        <v>364.88559977861468</v>
      </c>
      <c r="D30" s="384">
        <f>(('ComInd Summary'!CT90-'ComInd Summary'!BW90)+'ComInd Summary'!CY90)*$D$51</f>
        <v>39.009033935317888</v>
      </c>
      <c r="E30" s="384">
        <f t="shared" si="9"/>
        <v>1115.7205515682126</v>
      </c>
      <c r="F30" s="384"/>
      <c r="G30" s="384">
        <f>+'Res Summary'!AO90+'ComInd Summary'!BK90</f>
        <v>635.62838324852612</v>
      </c>
      <c r="H30" s="1311">
        <f>+'Res Summary'!R90+'ComInd Summary'!AB90</f>
        <v>290.45649579044778</v>
      </c>
      <c r="J30" s="1314">
        <f>+'Res Summary'!AR90+'ComInd Summary'!BP90</f>
        <v>153.70823850078341</v>
      </c>
      <c r="K30" s="1315">
        <f>+'Res Summary'!U90+'ComInd Summary'!AG90</f>
        <v>138.91805156948004</v>
      </c>
      <c r="L30" s="385"/>
      <c r="M30" s="388">
        <f t="shared" si="10"/>
        <v>789.33662174930953</v>
      </c>
      <c r="N30" s="390">
        <f t="shared" si="11"/>
        <v>429.37454735992782</v>
      </c>
      <c r="Q30" s="550">
        <f>+'Res Summary'!AR90+'ComInd Summary'!BP90-'Res Summary'!AQ90</f>
        <v>100.39885656565659</v>
      </c>
      <c r="R30" s="551">
        <f>+'Res Summary'!U90+'ComInd Summary'!AG90-'Res Summary'!T90</f>
        <v>102.95432656684494</v>
      </c>
      <c r="T30" s="359">
        <f t="shared" si="7"/>
        <v>-53.309381935126822</v>
      </c>
      <c r="U30" s="359">
        <f t="shared" si="8"/>
        <v>-35.963725002635101</v>
      </c>
    </row>
    <row r="31" spans="1:25" x14ac:dyDescent="0.2">
      <c r="A31" s="393">
        <f>+A30+1</f>
        <v>2027</v>
      </c>
      <c r="B31" s="1310">
        <f>+'Res Summary'!BL91+'Res Summary'!BO91</f>
        <v>724.33259260627995</v>
      </c>
      <c r="C31" s="384">
        <f>((('ComInd Summary'!CT91-'ComInd Summary'!BW91)+'ComInd Summary'!CY91)*$C$51)+'ComInd Summary'!BW91</f>
        <v>370.47424312175417</v>
      </c>
      <c r="D31" s="384">
        <f>(('ComInd Summary'!CT91-'ComInd Summary'!BW91)+'ComInd Summary'!CY91)*$D$51</f>
        <v>39.598399240111156</v>
      </c>
      <c r="E31" s="384">
        <f t="shared" si="9"/>
        <v>1134.4052349681451</v>
      </c>
      <c r="F31" s="384"/>
      <c r="G31" s="384">
        <f>+'Res Summary'!AO91+'ComInd Summary'!BK91</f>
        <v>640.33569944252611</v>
      </c>
      <c r="H31" s="1311">
        <f>+'Res Summary'!R91+'ComInd Summary'!AB91</f>
        <v>296.33103684644766</v>
      </c>
      <c r="J31" s="1314">
        <f>+'Res Summary'!AR91+'ComInd Summary'!BP91</f>
        <v>158.54612656643997</v>
      </c>
      <c r="K31" s="1315">
        <f>+'Res Summary'!U91+'ComInd Summary'!AG91</f>
        <v>142.04807056948005</v>
      </c>
      <c r="L31" s="385"/>
      <c r="M31" s="388">
        <f t="shared" si="10"/>
        <v>798.88182600896607</v>
      </c>
      <c r="N31" s="390">
        <f t="shared" si="11"/>
        <v>438.37910741592771</v>
      </c>
      <c r="Q31" s="550">
        <f>+'Res Summary'!AR91+'ComInd Summary'!BP91-'Res Summary'!AQ91</f>
        <v>101.03326713131315</v>
      </c>
      <c r="R31" s="551">
        <f>+'Res Summary'!U91+'ComInd Summary'!AG91-'Res Summary'!T91</f>
        <v>103.38575056684493</v>
      </c>
      <c r="T31" s="359">
        <f t="shared" si="7"/>
        <v>-57.512859435126813</v>
      </c>
      <c r="U31" s="359">
        <f t="shared" si="8"/>
        <v>-38.662320002635113</v>
      </c>
    </row>
    <row r="32" spans="1:25" x14ac:dyDescent="0.2">
      <c r="A32" s="393">
        <f t="shared" si="3"/>
        <v>2028</v>
      </c>
      <c r="B32" s="1310">
        <f>+'Res Summary'!BL92+'Res Summary'!BO92</f>
        <v>736.83926735827981</v>
      </c>
      <c r="C32" s="384">
        <f>((('ComInd Summary'!CT92-'ComInd Summary'!BW92)+'ComInd Summary'!CY92)*$C$51)+'ComInd Summary'!BW92</f>
        <v>376.0628864648935</v>
      </c>
      <c r="D32" s="384">
        <f>(('ComInd Summary'!CT92-'ComInd Summary'!BW92)+'ComInd Summary'!CY92)*$D$51</f>
        <v>40.187764544904425</v>
      </c>
      <c r="E32" s="384">
        <f t="shared" si="9"/>
        <v>1153.0899183680776</v>
      </c>
      <c r="F32" s="384"/>
      <c r="G32" s="384">
        <f>+'Res Summary'!AO92+'ComInd Summary'!BK92</f>
        <v>645.04301563652598</v>
      </c>
      <c r="H32" s="1311">
        <f>+'Res Summary'!R92+'ComInd Summary'!AB92</f>
        <v>302.20557790244766</v>
      </c>
      <c r="J32" s="1314">
        <f>+'Res Summary'!AR92+'ComInd Summary'!BP92</f>
        <v>163.38401463209652</v>
      </c>
      <c r="K32" s="1315">
        <f>+'Res Summary'!U92+'ComInd Summary'!AG92</f>
        <v>145.17808956948005</v>
      </c>
      <c r="L32" s="385"/>
      <c r="M32" s="388">
        <f t="shared" si="10"/>
        <v>808.4270302686225</v>
      </c>
      <c r="N32" s="390">
        <f t="shared" si="11"/>
        <v>447.38366747192771</v>
      </c>
      <c r="Q32" s="550">
        <f>+'Res Summary'!AR92+'ComInd Summary'!BP92-'Res Summary'!AQ92</f>
        <v>101.6676776969697</v>
      </c>
      <c r="R32" s="551">
        <f>+'Res Summary'!U92+'ComInd Summary'!AG92-'Res Summary'!T92</f>
        <v>103.81717456684494</v>
      </c>
      <c r="T32" s="359">
        <f t="shared" si="7"/>
        <v>-61.716336935126819</v>
      </c>
      <c r="U32" s="359">
        <f t="shared" si="8"/>
        <v>-41.36091500263511</v>
      </c>
    </row>
    <row r="33" spans="1:23" x14ac:dyDescent="0.2">
      <c r="A33" s="393">
        <f>+A32+1</f>
        <v>2029</v>
      </c>
      <c r="B33" s="1310">
        <f>+'Res Summary'!BL93+'Res Summary'!BO93</f>
        <v>749.34594211028025</v>
      </c>
      <c r="C33" s="384">
        <f>((('ComInd Summary'!CT93-'ComInd Summary'!BW93)+'ComInd Summary'!CY93)*$C$51)+'ComInd Summary'!BW93</f>
        <v>381.65152980803288</v>
      </c>
      <c r="D33" s="384">
        <f>(('ComInd Summary'!CT93-'ComInd Summary'!BW93)+'ComInd Summary'!CY93)*$D$51</f>
        <v>40.777129849697687</v>
      </c>
      <c r="E33" s="384">
        <f t="shared" si="9"/>
        <v>1171.7746017680108</v>
      </c>
      <c r="F33" s="384"/>
      <c r="G33" s="384">
        <f>+'Res Summary'!AO93+'ComInd Summary'!BK93</f>
        <v>649.75033183052608</v>
      </c>
      <c r="H33" s="1311">
        <f>+'Res Summary'!R93+'ComInd Summary'!AB93</f>
        <v>308.08011895844771</v>
      </c>
      <c r="J33" s="1314">
        <f>+'Res Summary'!AR93+'ComInd Summary'!BP93</f>
        <v>168.22190269775308</v>
      </c>
      <c r="K33" s="1315">
        <f>+'Res Summary'!U93+'ComInd Summary'!AG93</f>
        <v>148.30810856948005</v>
      </c>
      <c r="L33" s="385"/>
      <c r="M33" s="388">
        <f t="shared" si="10"/>
        <v>817.97223452827916</v>
      </c>
      <c r="N33" s="390">
        <f t="shared" si="11"/>
        <v>456.38822752792777</v>
      </c>
      <c r="Q33" s="550">
        <f>+'Res Summary'!AR93+'ComInd Summary'!BP93-'Res Summary'!AQ93</f>
        <v>102.30208826262627</v>
      </c>
      <c r="R33" s="551">
        <f>+'Res Summary'!U93+'ComInd Summary'!AG93-'Res Summary'!T93</f>
        <v>104.24859856684495</v>
      </c>
      <c r="T33" s="359">
        <f>+Q33-J33</f>
        <v>-65.91981443512681</v>
      </c>
      <c r="U33" s="359">
        <f>+R33-K33</f>
        <v>-44.059510002635108</v>
      </c>
      <c r="V33" s="162"/>
      <c r="W33" s="162"/>
    </row>
    <row r="34" spans="1:23" x14ac:dyDescent="0.2">
      <c r="A34" s="393">
        <f>+A33+1</f>
        <v>2030</v>
      </c>
      <c r="B34" s="1310">
        <f>+'Res Summary'!BL94+'Res Summary'!BO94</f>
        <v>761.85261686228012</v>
      </c>
      <c r="C34" s="384">
        <f>((('ComInd Summary'!CT94-'ComInd Summary'!BW94)+'ComInd Summary'!CY94)*$C$51)+'ComInd Summary'!BW94</f>
        <v>387.24017315117226</v>
      </c>
      <c r="D34" s="384">
        <f>(('ComInd Summary'!CT94-'ComInd Summary'!BW94)+'ComInd Summary'!CY94)*$D$51</f>
        <v>41.366495154490948</v>
      </c>
      <c r="E34" s="384">
        <f t="shared" ref="E34:E45" si="12">+B34+C34+D34</f>
        <v>1190.4592851679433</v>
      </c>
      <c r="F34" s="384"/>
      <c r="G34" s="384">
        <f>+'Res Summary'!AO94+'ComInd Summary'!BK94</f>
        <v>654.45764802452607</v>
      </c>
      <c r="H34" s="1311">
        <f>+'Res Summary'!R94+'ComInd Summary'!AB94</f>
        <v>313.95466001444777</v>
      </c>
      <c r="J34" s="1314">
        <f>+'Res Summary'!AR94+'ComInd Summary'!BP94</f>
        <v>173.05979076340967</v>
      </c>
      <c r="K34" s="1315">
        <f>+'Res Summary'!U94+'ComInd Summary'!AG94</f>
        <v>151.43812756948006</v>
      </c>
      <c r="L34" s="385"/>
      <c r="M34" s="388">
        <f t="shared" ref="M34:M45" si="13">+G34+J34</f>
        <v>827.5174387879357</v>
      </c>
      <c r="N34" s="390">
        <f t="shared" ref="N34:N45" si="14">+H34+K34</f>
        <v>465.39278758392783</v>
      </c>
      <c r="Q34" s="550">
        <f>+'Res Summary'!AR94+'ComInd Summary'!BP94-'Res Summary'!AQ94</f>
        <v>102.93649882828285</v>
      </c>
      <c r="R34" s="551">
        <f>+'Res Summary'!U94+'ComInd Summary'!AG94-'Res Summary'!T94</f>
        <v>104.68002256684494</v>
      </c>
      <c r="T34" s="359">
        <f>+Q34-J34</f>
        <v>-70.123291935126815</v>
      </c>
      <c r="U34" s="359">
        <f>+R34-K34</f>
        <v>-46.758105002635119</v>
      </c>
    </row>
    <row r="35" spans="1:23" x14ac:dyDescent="0.2">
      <c r="A35" s="393">
        <f t="shared" ref="A35:A45" si="15">+A34+1</f>
        <v>2031</v>
      </c>
      <c r="B35" s="1310">
        <f>+'Res Summary'!BL95+'Res Summary'!BO95</f>
        <v>774.35929161427987</v>
      </c>
      <c r="C35" s="384">
        <f>((('ComInd Summary'!CT95-'ComInd Summary'!BW95)+'ComInd Summary'!CY95)*$C$51)+'ComInd Summary'!BW95</f>
        <v>392.82881649431175</v>
      </c>
      <c r="D35" s="384">
        <f>(('ComInd Summary'!CT95-'ComInd Summary'!BW95)+'ComInd Summary'!CY95)*$D$51</f>
        <v>41.955860459284224</v>
      </c>
      <c r="E35" s="384">
        <f t="shared" si="12"/>
        <v>1209.1439685678758</v>
      </c>
      <c r="F35" s="384"/>
      <c r="G35" s="384">
        <f>+'Res Summary'!AO95+'ComInd Summary'!BK95</f>
        <v>659.16496421852617</v>
      </c>
      <c r="H35" s="1311">
        <f>+'Res Summary'!R95+'ComInd Summary'!AB95</f>
        <v>319.82920107044777</v>
      </c>
      <c r="J35" s="1314">
        <f>+'Res Summary'!AR95+'ComInd Summary'!BP95</f>
        <v>177.89767882906625</v>
      </c>
      <c r="K35" s="1315">
        <f>+'Res Summary'!U95+'ComInd Summary'!AG95</f>
        <v>154.56814656948006</v>
      </c>
      <c r="L35" s="385"/>
      <c r="M35" s="388">
        <f t="shared" si="13"/>
        <v>837.06264304759247</v>
      </c>
      <c r="N35" s="390">
        <f t="shared" si="14"/>
        <v>474.39734763992783</v>
      </c>
      <c r="Q35" s="550">
        <f>+'Res Summary'!AR95+'ComInd Summary'!BP95-'Res Summary'!AQ95</f>
        <v>103.57090939393943</v>
      </c>
      <c r="R35" s="551">
        <f>+'Res Summary'!U95+'ComInd Summary'!AG95-'Res Summary'!T95</f>
        <v>105.11144656684496</v>
      </c>
      <c r="T35" s="359">
        <f t="shared" ref="T35:T46" si="16">+Q35-J35</f>
        <v>-74.32676943512682</v>
      </c>
      <c r="U35" s="359">
        <f t="shared" ref="U35:U46" si="17">+R35-K35</f>
        <v>-49.456700002635102</v>
      </c>
    </row>
    <row r="36" spans="1:23" x14ac:dyDescent="0.2">
      <c r="A36" s="393">
        <f t="shared" si="15"/>
        <v>2032</v>
      </c>
      <c r="B36" s="1310">
        <f>+'Res Summary'!BL96+'Res Summary'!BO96</f>
        <v>786.86596636627996</v>
      </c>
      <c r="C36" s="384">
        <f>((('ComInd Summary'!CT96-'ComInd Summary'!BW96)+'ComInd Summary'!CY96)*$C$51)+'ComInd Summary'!BW96</f>
        <v>398.41745983745108</v>
      </c>
      <c r="D36" s="384">
        <f>(('ComInd Summary'!CT96-'ComInd Summary'!BW96)+'ComInd Summary'!CY96)*$D$51</f>
        <v>42.545225764077486</v>
      </c>
      <c r="E36" s="384">
        <f t="shared" si="12"/>
        <v>1227.8286519678086</v>
      </c>
      <c r="F36" s="384"/>
      <c r="G36" s="384">
        <f>+'Res Summary'!AO96+'ComInd Summary'!BK96</f>
        <v>663.87228041252615</v>
      </c>
      <c r="H36" s="1311">
        <f>+'Res Summary'!R96+'ComInd Summary'!AB96</f>
        <v>325.70374212644771</v>
      </c>
      <c r="J36" s="1314">
        <f>+'Res Summary'!AR96+'ComInd Summary'!BP96</f>
        <v>182.73556689472281</v>
      </c>
      <c r="K36" s="1315">
        <f>+'Res Summary'!U96+'ComInd Summary'!AG96</f>
        <v>157.69816556948007</v>
      </c>
      <c r="L36" s="385"/>
      <c r="M36" s="388">
        <f t="shared" si="13"/>
        <v>846.6078473072489</v>
      </c>
      <c r="N36" s="390">
        <f t="shared" si="14"/>
        <v>483.40190769592778</v>
      </c>
      <c r="Q36" s="550">
        <f>+'Res Summary'!AR96+'ComInd Summary'!BP96-'Res Summary'!AQ96</f>
        <v>104.20531995959598</v>
      </c>
      <c r="R36" s="551">
        <f>+'Res Summary'!U96+'ComInd Summary'!AG96-'Res Summary'!T96</f>
        <v>105.54287056684495</v>
      </c>
      <c r="T36" s="359">
        <f t="shared" si="16"/>
        <v>-78.530246935126826</v>
      </c>
      <c r="U36" s="359">
        <f t="shared" si="17"/>
        <v>-52.155295002635114</v>
      </c>
    </row>
    <row r="37" spans="1:23" x14ac:dyDescent="0.2">
      <c r="A37" s="393">
        <f t="shared" si="15"/>
        <v>2033</v>
      </c>
      <c r="B37" s="1310">
        <f>+'Res Summary'!BL97+'Res Summary'!BO97</f>
        <v>799.37264111827994</v>
      </c>
      <c r="C37" s="384">
        <f>((('ComInd Summary'!CT97-'ComInd Summary'!BW97)+'ComInd Summary'!CY97)*$C$51)+'ComInd Summary'!BW97</f>
        <v>404.00610318059046</v>
      </c>
      <c r="D37" s="384">
        <f>(('ComInd Summary'!CT97-'ComInd Summary'!BW97)+'ComInd Summary'!CY97)*$D$51</f>
        <v>43.134591068870748</v>
      </c>
      <c r="E37" s="384">
        <f t="shared" si="12"/>
        <v>1246.5133353677413</v>
      </c>
      <c r="F37" s="384"/>
      <c r="G37" s="384">
        <f>+'Res Summary'!AO97+'ComInd Summary'!BK97</f>
        <v>668.57959660652614</v>
      </c>
      <c r="H37" s="1311">
        <f>+'Res Summary'!R97+'ComInd Summary'!AB97</f>
        <v>331.57828318244776</v>
      </c>
      <c r="J37" s="1314">
        <f>+'Res Summary'!AR97+'ComInd Summary'!BP97</f>
        <v>187.57345496037937</v>
      </c>
      <c r="K37" s="1315">
        <f>+'Res Summary'!U97+'ComInd Summary'!AG97</f>
        <v>160.82818456948007</v>
      </c>
      <c r="L37" s="385"/>
      <c r="M37" s="388">
        <f t="shared" si="13"/>
        <v>856.15305156690556</v>
      </c>
      <c r="N37" s="390">
        <f t="shared" si="14"/>
        <v>492.40646775192783</v>
      </c>
      <c r="Q37" s="550">
        <f>+'Res Summary'!AR97+'ComInd Summary'!BP97-'Res Summary'!AQ97</f>
        <v>104.83973052525253</v>
      </c>
      <c r="R37" s="551">
        <f>+'Res Summary'!U97+'ComInd Summary'!AG97-'Res Summary'!T97</f>
        <v>105.97429456684496</v>
      </c>
      <c r="T37" s="359">
        <f t="shared" si="16"/>
        <v>-82.733724435126831</v>
      </c>
      <c r="U37" s="359">
        <f t="shared" si="17"/>
        <v>-54.853890002635112</v>
      </c>
    </row>
    <row r="38" spans="1:23" x14ac:dyDescent="0.2">
      <c r="A38" s="393">
        <f t="shared" si="15"/>
        <v>2034</v>
      </c>
      <c r="B38" s="1310">
        <f>+'Res Summary'!BL98+'Res Summary'!BO98</f>
        <v>811.87931587028004</v>
      </c>
      <c r="C38" s="384">
        <f>((('ComInd Summary'!CT98-'ComInd Summary'!BW98)+'ComInd Summary'!CY98)*$C$51)+'ComInd Summary'!BW98</f>
        <v>409.5947465237299</v>
      </c>
      <c r="D38" s="384">
        <f>(('ComInd Summary'!CT98-'ComInd Summary'!BW98)+'ComInd Summary'!CY98)*$D$51</f>
        <v>43.723956373664016</v>
      </c>
      <c r="E38" s="384">
        <f t="shared" si="12"/>
        <v>1265.1980187676741</v>
      </c>
      <c r="F38" s="384"/>
      <c r="G38" s="384">
        <f>+'Res Summary'!AO98+'ComInd Summary'!BK98</f>
        <v>673.28691280052601</v>
      </c>
      <c r="H38" s="1311">
        <f>+'Res Summary'!R98+'ComInd Summary'!AB98</f>
        <v>337.45282423844776</v>
      </c>
      <c r="J38" s="1314">
        <f>+'Res Summary'!AR98+'ComInd Summary'!BP98</f>
        <v>192.41134302603595</v>
      </c>
      <c r="K38" s="1315">
        <f>+'Res Summary'!U98+'ComInd Summary'!AG98</f>
        <v>163.95820356948008</v>
      </c>
      <c r="L38" s="385"/>
      <c r="M38" s="388">
        <f t="shared" si="13"/>
        <v>865.69825582656199</v>
      </c>
      <c r="N38" s="390">
        <f t="shared" si="14"/>
        <v>501.41102780792784</v>
      </c>
      <c r="Q38" s="550">
        <f>+'Res Summary'!AR98+'ComInd Summary'!BP98-'Res Summary'!AQ98</f>
        <v>105.47414109090911</v>
      </c>
      <c r="R38" s="551">
        <f>+'Res Summary'!U98+'ComInd Summary'!AG98-'Res Summary'!T98</f>
        <v>106.40571856684497</v>
      </c>
      <c r="T38" s="359">
        <f t="shared" si="16"/>
        <v>-86.937201935126836</v>
      </c>
      <c r="U38" s="359">
        <f t="shared" si="17"/>
        <v>-57.552485002635109</v>
      </c>
    </row>
    <row r="39" spans="1:23" x14ac:dyDescent="0.2">
      <c r="A39" s="393">
        <f t="shared" si="15"/>
        <v>2035</v>
      </c>
      <c r="B39" s="1310">
        <f>+'Res Summary'!BL99+'Res Summary'!BO99</f>
        <v>824.38599062227991</v>
      </c>
      <c r="C39" s="384">
        <f>((('ComInd Summary'!CT99-'ComInd Summary'!BW99)+'ComInd Summary'!CY99)*$C$51)+'ComInd Summary'!BW99</f>
        <v>415.18341306346935</v>
      </c>
      <c r="D39" s="384">
        <f>(('ComInd Summary'!CT99-'ComInd Summary'!BW99)+'ComInd Summary'!CY99)*$D$51</f>
        <v>44.313324255857289</v>
      </c>
      <c r="E39" s="384">
        <f t="shared" si="12"/>
        <v>1283.8827279416064</v>
      </c>
      <c r="F39" s="384"/>
      <c r="G39" s="384">
        <f>+'Res Summary'!AO99+'ComInd Summary'!BK99</f>
        <v>677.99422899452577</v>
      </c>
      <c r="H39" s="1311">
        <f>+'Res Summary'!R99+'ComInd Summary'!AB99</f>
        <v>343.32736529444776</v>
      </c>
      <c r="J39" s="1314">
        <f>+'Res Summary'!AR99+'ComInd Summary'!BP99</f>
        <v>197.24923109169254</v>
      </c>
      <c r="K39" s="1315">
        <f>+'Res Summary'!U99+'ComInd Summary'!AG99</f>
        <v>167.08822256948008</v>
      </c>
      <c r="L39" s="385"/>
      <c r="M39" s="388">
        <f t="shared" si="13"/>
        <v>875.24346008621831</v>
      </c>
      <c r="N39" s="390">
        <f t="shared" si="14"/>
        <v>510.41558786392784</v>
      </c>
      <c r="Q39" s="550">
        <f>+'Res Summary'!AR99+'ComInd Summary'!BP99-'Res Summary'!AQ99</f>
        <v>106.10855165656569</v>
      </c>
      <c r="R39" s="551">
        <f>+'Res Summary'!U99+'ComInd Summary'!AG99-'Res Summary'!T99</f>
        <v>106.83714256684496</v>
      </c>
      <c r="T39" s="359">
        <f t="shared" si="16"/>
        <v>-91.140679435126842</v>
      </c>
      <c r="U39" s="359">
        <f t="shared" si="17"/>
        <v>-60.251080002635121</v>
      </c>
    </row>
    <row r="40" spans="1:23" x14ac:dyDescent="0.2">
      <c r="A40" s="393">
        <f t="shared" si="15"/>
        <v>2036</v>
      </c>
      <c r="B40" s="1310">
        <f>+'Res Summary'!BL100+'Res Summary'!BO100</f>
        <v>836.89266537427977</v>
      </c>
      <c r="C40" s="384">
        <f>((('ComInd Summary'!CT100-'ComInd Summary'!BW100)+'ComInd Summary'!CY100)*$C$51)+'ComInd Summary'!BW100</f>
        <v>420.77208149680865</v>
      </c>
      <c r="D40" s="384">
        <f>(('ComInd Summary'!CT100-'ComInd Summary'!BW100)+'ComInd Summary'!CY100)*$D$51</f>
        <v>44.90269234845055</v>
      </c>
      <c r="E40" s="384">
        <f t="shared" si="12"/>
        <v>1302.567439219539</v>
      </c>
      <c r="F40" s="384"/>
      <c r="G40" s="384">
        <f>+'Res Summary'!AO100+'ComInd Summary'!BK100</f>
        <v>682.70154518852587</v>
      </c>
      <c r="H40" s="1311">
        <f>+'Res Summary'!R100+'ComInd Summary'!AB100</f>
        <v>349.20190635044764</v>
      </c>
      <c r="J40" s="1314">
        <f>+'Res Summary'!AR100+'ComInd Summary'!BP100</f>
        <v>202.08711915734909</v>
      </c>
      <c r="K40" s="1315">
        <f>+'Res Summary'!U100+'ComInd Summary'!AG100</f>
        <v>170.21824156948009</v>
      </c>
      <c r="L40" s="385"/>
      <c r="M40" s="388">
        <f t="shared" si="13"/>
        <v>884.78866434587496</v>
      </c>
      <c r="N40" s="390">
        <f t="shared" si="14"/>
        <v>519.42014791992779</v>
      </c>
      <c r="Q40" s="550">
        <f>+'Res Summary'!AR100+'ComInd Summary'!BP100-'Res Summary'!AQ100</f>
        <v>106.74296222222225</v>
      </c>
      <c r="R40" s="551">
        <f>+'Res Summary'!U100+'ComInd Summary'!AG100-'Res Summary'!T100</f>
        <v>107.26856656684497</v>
      </c>
      <c r="T40" s="359">
        <f t="shared" si="16"/>
        <v>-95.344156935126847</v>
      </c>
      <c r="U40" s="359">
        <f t="shared" si="17"/>
        <v>-62.949675002635118</v>
      </c>
    </row>
    <row r="41" spans="1:23" x14ac:dyDescent="0.2">
      <c r="A41" s="393">
        <f t="shared" si="15"/>
        <v>2037</v>
      </c>
      <c r="B41" s="1310">
        <f>+'Res Summary'!BL101+'Res Summary'!BO101</f>
        <v>849.39934012628009</v>
      </c>
      <c r="C41" s="384">
        <f>((('ComInd Summary'!CT101-'ComInd Summary'!BW101)+'ComInd Summary'!CY101)*$C$51)+'ComInd Summary'!BW101</f>
        <v>426.3607518237481</v>
      </c>
      <c r="D41" s="384">
        <f>(('ComInd Summary'!CT101-'ComInd Summary'!BW101)+'ComInd Summary'!CY101)*$D$51</f>
        <v>45.492060651443822</v>
      </c>
      <c r="E41" s="384">
        <f t="shared" si="12"/>
        <v>1321.2521526014721</v>
      </c>
      <c r="F41" s="384"/>
      <c r="G41" s="384">
        <f>+'Res Summary'!AO101+'ComInd Summary'!BK101</f>
        <v>687.40886138252597</v>
      </c>
      <c r="H41" s="1311">
        <f>+'Res Summary'!R101+'ComInd Summary'!AB101</f>
        <v>355.0764474064477</v>
      </c>
      <c r="J41" s="1314">
        <f>+'Res Summary'!AR101+'ComInd Summary'!BP101</f>
        <v>206.92500722300565</v>
      </c>
      <c r="K41" s="1315">
        <f>+'Res Summary'!U101+'ComInd Summary'!AG101</f>
        <v>173.34826056948009</v>
      </c>
      <c r="L41" s="385"/>
      <c r="M41" s="388">
        <f t="shared" si="13"/>
        <v>894.33386860553162</v>
      </c>
      <c r="N41" s="390">
        <f t="shared" si="14"/>
        <v>528.42470797592773</v>
      </c>
      <c r="Q41" s="550">
        <f>+'Res Summary'!AR101+'ComInd Summary'!BP101-'Res Summary'!AQ101</f>
        <v>107.3773727878788</v>
      </c>
      <c r="R41" s="551">
        <f>+'Res Summary'!U101+'ComInd Summary'!AG101-'Res Summary'!T101</f>
        <v>107.69999056684497</v>
      </c>
      <c r="T41" s="359">
        <f t="shared" si="16"/>
        <v>-99.547634435126852</v>
      </c>
      <c r="U41" s="359">
        <f t="shared" si="17"/>
        <v>-65.648270002635115</v>
      </c>
    </row>
    <row r="42" spans="1:23" x14ac:dyDescent="0.2">
      <c r="A42" s="393">
        <f t="shared" si="15"/>
        <v>2038</v>
      </c>
      <c r="B42" s="1310">
        <f>+'Res Summary'!BL102+'Res Summary'!BO102</f>
        <v>861.90601487828008</v>
      </c>
      <c r="C42" s="384">
        <f>((('ComInd Summary'!CT102-'ComInd Summary'!BW102)+'ComInd Summary'!CY102)*$C$51)+'ComInd Summary'!BW102</f>
        <v>431.94942404428753</v>
      </c>
      <c r="D42" s="384">
        <f>(('ComInd Summary'!CT102-'ComInd Summary'!BW102)+'ComInd Summary'!CY102)*$D$51</f>
        <v>46.08142916483709</v>
      </c>
      <c r="E42" s="384">
        <f t="shared" si="12"/>
        <v>1339.9368680874047</v>
      </c>
      <c r="F42" s="384"/>
      <c r="G42" s="384">
        <f>+'Res Summary'!AO102+'ComInd Summary'!BK102</f>
        <v>692.11617757652596</v>
      </c>
      <c r="H42" s="1311">
        <f>+'Res Summary'!R102+'ComInd Summary'!AB102</f>
        <v>360.95098846244775</v>
      </c>
      <c r="J42" s="1314">
        <f>+'Res Summary'!AR102+'ComInd Summary'!BP102</f>
        <v>211.76289528866221</v>
      </c>
      <c r="K42" s="1315">
        <f>+'Res Summary'!U102+'ComInd Summary'!AG102</f>
        <v>176.47827956948009</v>
      </c>
      <c r="L42" s="385"/>
      <c r="M42" s="388">
        <f t="shared" si="13"/>
        <v>903.87907286518816</v>
      </c>
      <c r="N42" s="390">
        <f t="shared" si="14"/>
        <v>537.4292680319279</v>
      </c>
      <c r="Q42" s="550">
        <f>+'Res Summary'!AR102+'ComInd Summary'!BP102-'Res Summary'!AQ102</f>
        <v>108.01178335353536</v>
      </c>
      <c r="R42" s="551">
        <f>+'Res Summary'!U102+'ComInd Summary'!AG102-'Res Summary'!T102</f>
        <v>108.13141456684498</v>
      </c>
      <c r="T42" s="359">
        <f t="shared" si="16"/>
        <v>-103.75111193512684</v>
      </c>
      <c r="U42" s="359">
        <f t="shared" si="17"/>
        <v>-68.346865002635113</v>
      </c>
    </row>
    <row r="43" spans="1:23" x14ac:dyDescent="0.2">
      <c r="A43" s="393">
        <f t="shared" si="15"/>
        <v>2039</v>
      </c>
      <c r="B43" s="1310">
        <f>+'Res Summary'!BL103+'Res Summary'!BO103</f>
        <v>874.41268963027994</v>
      </c>
      <c r="C43" s="384">
        <f>((('ComInd Summary'!CT103-'ComInd Summary'!BW103)+'ComInd Summary'!CY103)*$C$51)+'ComInd Summary'!BW103</f>
        <v>437.53809815842692</v>
      </c>
      <c r="D43" s="384">
        <f>(('ComInd Summary'!CT103-'ComInd Summary'!BW103)+'ComInd Summary'!CY103)*$D$51</f>
        <v>46.670797888630361</v>
      </c>
      <c r="E43" s="384">
        <f t="shared" si="12"/>
        <v>1358.6215856773372</v>
      </c>
      <c r="F43" s="384"/>
      <c r="G43" s="384">
        <f>+'Res Summary'!AO103+'ComInd Summary'!BK103</f>
        <v>696.82349377052594</v>
      </c>
      <c r="H43" s="1311">
        <f>+'Res Summary'!R103+'ComInd Summary'!AB103</f>
        <v>366.82552951844775</v>
      </c>
      <c r="J43" s="1314">
        <f>+'Res Summary'!AR103+'ComInd Summary'!BP103</f>
        <v>216.60078335431879</v>
      </c>
      <c r="K43" s="1315">
        <f>+'Res Summary'!U103+'ComInd Summary'!AG103</f>
        <v>179.6082985694801</v>
      </c>
      <c r="L43" s="385"/>
      <c r="M43" s="388">
        <f t="shared" si="13"/>
        <v>913.42427712484471</v>
      </c>
      <c r="N43" s="390">
        <f t="shared" si="14"/>
        <v>546.43382808792785</v>
      </c>
      <c r="Q43" s="550">
        <f>+'Res Summary'!AR103+'ComInd Summary'!BP103-'Res Summary'!AQ103</f>
        <v>108.64619391919194</v>
      </c>
      <c r="R43" s="551">
        <f>+'Res Summary'!U103+'ComInd Summary'!AG103-'Res Summary'!T103</f>
        <v>108.56283856684499</v>
      </c>
      <c r="T43" s="359">
        <f t="shared" si="16"/>
        <v>-107.95458943512685</v>
      </c>
      <c r="U43" s="359">
        <f t="shared" si="17"/>
        <v>-71.04546000263511</v>
      </c>
    </row>
    <row r="44" spans="1:23" x14ac:dyDescent="0.2">
      <c r="A44" s="393">
        <f t="shared" si="15"/>
        <v>2040</v>
      </c>
      <c r="B44" s="1310">
        <f>+'Res Summary'!BL104+'Res Summary'!BO104</f>
        <v>886.91936438228004</v>
      </c>
      <c r="C44" s="384">
        <f>((('ComInd Summary'!CT104-'ComInd Summary'!BW104)+'ComInd Summary'!CY104)*$C$51)+'ComInd Summary'!BW104</f>
        <v>443.12677416616629</v>
      </c>
      <c r="D44" s="384">
        <f>(('ComInd Summary'!CT104-'ComInd Summary'!BW104)+'ComInd Summary'!CY104)*$D$51</f>
        <v>47.260166822823614</v>
      </c>
      <c r="E44" s="384">
        <f t="shared" si="12"/>
        <v>1377.3063053712699</v>
      </c>
      <c r="F44" s="384"/>
      <c r="G44" s="384">
        <f>+'Res Summary'!AO104+'ComInd Summary'!BK104</f>
        <v>701.53080996452593</v>
      </c>
      <c r="H44" s="1311">
        <f>+'Res Summary'!R104+'ComInd Summary'!AB104</f>
        <v>372.70007057444775</v>
      </c>
      <c r="J44" s="1314">
        <f>+'Res Summary'!AR104+'ComInd Summary'!BP104</f>
        <v>221.43867141997538</v>
      </c>
      <c r="K44" s="1315">
        <f>+'Res Summary'!U104+'ComInd Summary'!AG104</f>
        <v>182.7383175694801</v>
      </c>
      <c r="L44" s="385"/>
      <c r="M44" s="388">
        <f t="shared" si="13"/>
        <v>922.96948138450125</v>
      </c>
      <c r="N44" s="390">
        <f t="shared" si="14"/>
        <v>555.4383881439278</v>
      </c>
      <c r="Q44" s="550">
        <f>+'Res Summary'!AR104+'ComInd Summary'!BP104-'Res Summary'!AQ104</f>
        <v>109.28060448484852</v>
      </c>
      <c r="R44" s="551">
        <f>+'Res Summary'!U104+'ComInd Summary'!AG104-'Res Summary'!T104</f>
        <v>108.99426256684498</v>
      </c>
      <c r="T44" s="359">
        <f t="shared" si="16"/>
        <v>-112.15806693512685</v>
      </c>
      <c r="U44" s="359">
        <f t="shared" si="17"/>
        <v>-73.744055002635122</v>
      </c>
    </row>
    <row r="45" spans="1:23" x14ac:dyDescent="0.2">
      <c r="A45" s="393">
        <f t="shared" si="15"/>
        <v>2041</v>
      </c>
      <c r="B45" s="1310">
        <f>+'Res Summary'!BL105+'Res Summary'!BO105</f>
        <v>899.4260391342799</v>
      </c>
      <c r="C45" s="384">
        <f>((('ComInd Summary'!CT105-'ComInd Summary'!BW105)+'ComInd Summary'!CY105)*$C$51)+'ComInd Summary'!BW105</f>
        <v>448.71545206750568</v>
      </c>
      <c r="D45" s="384">
        <f>(('ComInd Summary'!CT105-'ComInd Summary'!BW105)+'ComInd Summary'!CY105)*$D$51</f>
        <v>47.849535967416884</v>
      </c>
      <c r="E45" s="384">
        <f t="shared" si="12"/>
        <v>1395.9910271692024</v>
      </c>
      <c r="F45" s="384"/>
      <c r="G45" s="384">
        <f>+'Res Summary'!AO105+'ComInd Summary'!BK105</f>
        <v>706.23812615852592</v>
      </c>
      <c r="H45" s="1311">
        <f>+'Res Summary'!R105+'ComInd Summary'!AB105</f>
        <v>378.57461163044775</v>
      </c>
      <c r="J45" s="1314">
        <f>+'Res Summary'!AR105+'ComInd Summary'!BP105</f>
        <v>226.27655948563194</v>
      </c>
      <c r="K45" s="1315">
        <f>+'Res Summary'!U105+'ComInd Summary'!AG105</f>
        <v>185.86833656948011</v>
      </c>
      <c r="L45" s="385"/>
      <c r="M45" s="388">
        <f t="shared" si="13"/>
        <v>932.51468564415791</v>
      </c>
      <c r="N45" s="390">
        <f t="shared" si="14"/>
        <v>564.44294819992786</v>
      </c>
      <c r="Q45" s="550">
        <f>+'Res Summary'!AR105+'ComInd Summary'!BP105-'Res Summary'!AQ105</f>
        <v>109.91501505050508</v>
      </c>
      <c r="R45" s="551">
        <f>+'Res Summary'!U105+'ComInd Summary'!AG105-'Res Summary'!T105</f>
        <v>109.42568656684499</v>
      </c>
      <c r="T45" s="359">
        <f t="shared" si="16"/>
        <v>-116.36154443512686</v>
      </c>
      <c r="U45" s="359">
        <f t="shared" si="17"/>
        <v>-76.442650002635119</v>
      </c>
    </row>
    <row r="46" spans="1:23" ht="13.5" thickBot="1" x14ac:dyDescent="0.25">
      <c r="A46" s="393"/>
      <c r="B46" s="1310"/>
      <c r="C46" s="384"/>
      <c r="D46" s="384"/>
      <c r="E46" s="384"/>
      <c r="F46" s="384"/>
      <c r="G46" s="384"/>
      <c r="H46" s="1311"/>
      <c r="J46" s="1314"/>
      <c r="K46" s="1315"/>
      <c r="L46" s="385"/>
      <c r="M46" s="388"/>
      <c r="N46" s="389"/>
      <c r="Q46" s="550"/>
      <c r="R46" s="551"/>
      <c r="T46" s="359">
        <f t="shared" si="16"/>
        <v>0</v>
      </c>
      <c r="U46" s="359">
        <f t="shared" si="17"/>
        <v>0</v>
      </c>
    </row>
    <row r="47" spans="1:23" ht="13.5" thickBot="1" x14ac:dyDescent="0.25">
      <c r="A47" s="394"/>
      <c r="B47" s="1421" t="s">
        <v>195</v>
      </c>
      <c r="C47" s="1422"/>
      <c r="D47" s="1422"/>
      <c r="E47" s="1422"/>
      <c r="F47" s="1422"/>
      <c r="G47" s="1422"/>
      <c r="H47" s="1423"/>
      <c r="J47" s="1424" t="s">
        <v>308</v>
      </c>
      <c r="K47" s="1425"/>
      <c r="M47" s="1415" t="s">
        <v>196</v>
      </c>
      <c r="N47" s="1416"/>
      <c r="Q47" s="1417" t="s">
        <v>309</v>
      </c>
      <c r="R47" s="1418"/>
    </row>
    <row r="48" spans="1:23" x14ac:dyDescent="0.2">
      <c r="A48" s="176"/>
      <c r="B48" s="176"/>
      <c r="C48" s="176"/>
      <c r="D48" s="176"/>
      <c r="E48" s="176"/>
      <c r="F48" s="176"/>
      <c r="G48" s="176"/>
      <c r="H48" s="176"/>
      <c r="M48" s="554"/>
      <c r="N48" s="554"/>
    </row>
    <row r="49" spans="3:19" ht="13.5" thickBot="1" x14ac:dyDescent="0.25">
      <c r="C49" s="307" t="s">
        <v>82</v>
      </c>
      <c r="D49" s="307"/>
      <c r="E49" s="334"/>
    </row>
    <row r="50" spans="3:19" x14ac:dyDescent="0.2">
      <c r="C50" s="308" t="s">
        <v>83</v>
      </c>
      <c r="D50" s="309" t="s">
        <v>84</v>
      </c>
      <c r="E50" s="335"/>
      <c r="M50" s="778" t="s">
        <v>305</v>
      </c>
      <c r="N50" s="760"/>
      <c r="O50" s="760"/>
      <c r="P50" s="760"/>
      <c r="Q50" s="760"/>
      <c r="R50" s="760"/>
      <c r="S50" s="760"/>
    </row>
    <row r="51" spans="3:19" ht="13.5" thickBot="1" x14ac:dyDescent="0.25">
      <c r="C51" s="310">
        <v>0.9</v>
      </c>
      <c r="D51" s="311">
        <v>0.1</v>
      </c>
      <c r="E51" s="336"/>
      <c r="M51" s="779" t="s">
        <v>306</v>
      </c>
      <c r="N51" s="760"/>
      <c r="O51" s="760"/>
      <c r="P51" s="760"/>
      <c r="Q51" s="760"/>
      <c r="R51" s="760"/>
      <c r="S51" s="760"/>
    </row>
    <row r="52" spans="3:19" ht="15.75" x14ac:dyDescent="0.25">
      <c r="C52" s="174" t="s">
        <v>87</v>
      </c>
      <c r="D52" s="171"/>
      <c r="E52" s="171"/>
      <c r="M52" s="779" t="s">
        <v>307</v>
      </c>
      <c r="N52" s="760"/>
      <c r="O52" s="760"/>
      <c r="P52" s="760"/>
      <c r="Q52" s="778"/>
      <c r="R52" s="760"/>
      <c r="S52" s="760"/>
    </row>
    <row r="53" spans="3:19" ht="15.75" x14ac:dyDescent="0.25">
      <c r="C53" s="1320" t="s">
        <v>495</v>
      </c>
      <c r="D53" s="171"/>
      <c r="E53" s="171"/>
      <c r="Q53"/>
      <c r="R53"/>
    </row>
    <row r="54" spans="3:19" ht="15.75" x14ac:dyDescent="0.25">
      <c r="C54" s="1320"/>
      <c r="D54" s="171"/>
      <c r="E54" s="171"/>
      <c r="Q54"/>
      <c r="R54"/>
    </row>
    <row r="55" spans="3:19" ht="15.75" x14ac:dyDescent="0.25">
      <c r="C55" s="171"/>
      <c r="D55" s="173"/>
      <c r="E55" s="173"/>
      <c r="Q55"/>
      <c r="R55"/>
    </row>
    <row r="56" spans="3:19" x14ac:dyDescent="0.2">
      <c r="Q56"/>
      <c r="R56"/>
    </row>
    <row r="57" spans="3:19" x14ac:dyDescent="0.2">
      <c r="Q57"/>
      <c r="R57"/>
    </row>
    <row r="58" spans="3:19" x14ac:dyDescent="0.2">
      <c r="Q58"/>
      <c r="R58"/>
    </row>
    <row r="59" spans="3:19" x14ac:dyDescent="0.2">
      <c r="Q59"/>
      <c r="R59"/>
    </row>
    <row r="60" spans="3:19" x14ac:dyDescent="0.2">
      <c r="Q60"/>
      <c r="R60"/>
    </row>
    <row r="61" spans="3:19" x14ac:dyDescent="0.2">
      <c r="Q61"/>
      <c r="R61"/>
    </row>
    <row r="62" spans="3:19" x14ac:dyDescent="0.2">
      <c r="Q62"/>
      <c r="R62"/>
    </row>
    <row r="63" spans="3:19" x14ac:dyDescent="0.2">
      <c r="Q63"/>
      <c r="R63"/>
    </row>
    <row r="64" spans="3:19" x14ac:dyDescent="0.2">
      <c r="Q64"/>
      <c r="R64"/>
    </row>
    <row r="65" spans="17:18" x14ac:dyDescent="0.2">
      <c r="Q65"/>
      <c r="R65"/>
    </row>
    <row r="66" spans="17:18" x14ac:dyDescent="0.2">
      <c r="Q66"/>
      <c r="R66"/>
    </row>
    <row r="67" spans="17:18" x14ac:dyDescent="0.2">
      <c r="Q67"/>
      <c r="R67"/>
    </row>
    <row r="68" spans="17:18" x14ac:dyDescent="0.2">
      <c r="Q68"/>
      <c r="R68"/>
    </row>
    <row r="69" spans="17:18" x14ac:dyDescent="0.2">
      <c r="Q69"/>
      <c r="R69"/>
    </row>
    <row r="70" spans="17:18" x14ac:dyDescent="0.2">
      <c r="Q70"/>
      <c r="R70"/>
    </row>
    <row r="71" spans="17:18" x14ac:dyDescent="0.2">
      <c r="Q71"/>
      <c r="R71"/>
    </row>
    <row r="72" spans="17:18" x14ac:dyDescent="0.2">
      <c r="Q72"/>
      <c r="R72"/>
    </row>
    <row r="73" spans="17:18" x14ac:dyDescent="0.2">
      <c r="Q73"/>
      <c r="R73"/>
    </row>
    <row r="74" spans="17:18" x14ac:dyDescent="0.2">
      <c r="Q74"/>
      <c r="R74"/>
    </row>
    <row r="75" spans="17:18" x14ac:dyDescent="0.2">
      <c r="Q75"/>
      <c r="R75"/>
    </row>
    <row r="76" spans="17:18" x14ac:dyDescent="0.2">
      <c r="Q76"/>
      <c r="R76"/>
    </row>
    <row r="77" spans="17:18" x14ac:dyDescent="0.2">
      <c r="Q77"/>
      <c r="R77"/>
    </row>
    <row r="78" spans="17:18" x14ac:dyDescent="0.2">
      <c r="Q78"/>
      <c r="R78"/>
    </row>
    <row r="79" spans="17:18" x14ac:dyDescent="0.2">
      <c r="Q79" s="167"/>
      <c r="R79" s="167"/>
    </row>
    <row r="80" spans="17:18" x14ac:dyDescent="0.2">
      <c r="Q80" s="167"/>
      <c r="R80" s="167"/>
    </row>
  </sheetData>
  <mergeCells count="13">
    <mergeCell ref="Q47:R47"/>
    <mergeCell ref="B47:H47"/>
    <mergeCell ref="J47:K47"/>
    <mergeCell ref="M47:N47"/>
    <mergeCell ref="M2:N2"/>
    <mergeCell ref="G2:H2"/>
    <mergeCell ref="J2:K2"/>
    <mergeCell ref="B2:E2"/>
    <mergeCell ref="B1:H1"/>
    <mergeCell ref="J1:K1"/>
    <mergeCell ref="M1:N1"/>
    <mergeCell ref="Q1:R1"/>
    <mergeCell ref="Q2:R2"/>
  </mergeCells>
  <phoneticPr fontId="7" type="noConversion"/>
  <pageMargins left="0.75" right="0.75" top="1" bottom="1" header="0.5" footer="0.5"/>
  <pageSetup scale="90" orientation="landscape" cellComments="asDisplayed"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1CBE06"/>
  </sheetPr>
  <dimension ref="A1:X61"/>
  <sheetViews>
    <sheetView topLeftCell="A10" workbookViewId="0">
      <selection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329</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30"/>
      <c r="E8" s="210"/>
      <c r="F8" s="806"/>
      <c r="G8" s="452"/>
      <c r="H8" s="72"/>
      <c r="I8" s="72"/>
      <c r="J8" s="61"/>
      <c r="K8" s="59"/>
      <c r="L8" s="59"/>
      <c r="M8" s="60"/>
      <c r="N8" s="51"/>
      <c r="O8" s="55"/>
      <c r="P8" s="55"/>
      <c r="Q8" s="56"/>
      <c r="R8" s="247"/>
      <c r="S8" s="24"/>
      <c r="T8" s="25"/>
      <c r="U8" s="53"/>
      <c r="V8" s="248"/>
      <c r="X8" s="1"/>
    </row>
    <row r="9" spans="1:24" x14ac:dyDescent="0.2">
      <c r="A9" s="33">
        <v>1996</v>
      </c>
      <c r="B9" s="30"/>
      <c r="C9" s="660"/>
      <c r="D9" s="30"/>
      <c r="E9" s="210"/>
      <c r="F9" s="806"/>
      <c r="G9" s="452"/>
      <c r="H9" s="72"/>
      <c r="I9" s="72"/>
      <c r="J9" s="61"/>
      <c r="K9" s="59"/>
      <c r="L9" s="59"/>
      <c r="M9" s="60"/>
      <c r="N9" s="54"/>
      <c r="O9" s="55"/>
      <c r="P9" s="55"/>
      <c r="Q9" s="56"/>
      <c r="R9" s="247"/>
      <c r="S9" s="24"/>
      <c r="T9" s="25"/>
      <c r="U9" s="53"/>
      <c r="V9" s="10"/>
      <c r="X9" s="1"/>
    </row>
    <row r="10" spans="1:24" x14ac:dyDescent="0.2">
      <c r="A10" s="33">
        <v>1997</v>
      </c>
      <c r="B10" s="30"/>
      <c r="C10" s="660"/>
      <c r="D10" s="30"/>
      <c r="E10" s="210"/>
      <c r="F10" s="806"/>
      <c r="G10" s="452"/>
      <c r="H10" s="72"/>
      <c r="I10" s="72"/>
      <c r="J10" s="61"/>
      <c r="K10" s="59"/>
      <c r="L10" s="59"/>
      <c r="M10" s="60"/>
      <c r="N10" s="54"/>
      <c r="O10" s="55"/>
      <c r="P10" s="55"/>
      <c r="Q10" s="56"/>
      <c r="R10" s="247"/>
      <c r="S10" s="24"/>
      <c r="T10" s="25"/>
      <c r="U10" s="53"/>
      <c r="V10" s="10"/>
      <c r="X10" s="1"/>
    </row>
    <row r="11" spans="1:24" x14ac:dyDescent="0.2">
      <c r="A11" s="33">
        <v>1998</v>
      </c>
      <c r="B11" s="30"/>
      <c r="C11" s="660"/>
      <c r="D11" s="30"/>
      <c r="E11" s="210"/>
      <c r="F11" s="806"/>
      <c r="G11" s="452"/>
      <c r="H11" s="72"/>
      <c r="I11" s="72"/>
      <c r="J11" s="61"/>
      <c r="K11" s="59"/>
      <c r="L11" s="59"/>
      <c r="M11" s="60"/>
      <c r="N11" s="54"/>
      <c r="O11" s="55"/>
      <c r="P11" s="55"/>
      <c r="Q11" s="56"/>
      <c r="R11" s="247"/>
      <c r="S11" s="24"/>
      <c r="T11" s="25"/>
      <c r="U11" s="53"/>
      <c r="V11" s="10"/>
      <c r="X11" s="1"/>
    </row>
    <row r="12" spans="1:24" x14ac:dyDescent="0.2">
      <c r="A12" s="33">
        <v>1999</v>
      </c>
      <c r="B12" s="30"/>
      <c r="C12" s="660"/>
      <c r="D12" s="30"/>
      <c r="E12" s="210"/>
      <c r="F12" s="806"/>
      <c r="G12" s="452"/>
      <c r="H12" s="72"/>
      <c r="I12" s="72"/>
      <c r="J12" s="61"/>
      <c r="K12" s="59"/>
      <c r="L12" s="59"/>
      <c r="M12" s="60"/>
      <c r="N12" s="54"/>
      <c r="O12" s="55"/>
      <c r="P12" s="55"/>
      <c r="Q12" s="56"/>
      <c r="R12" s="247"/>
      <c r="S12" s="24"/>
      <c r="T12" s="25"/>
      <c r="U12" s="53"/>
      <c r="V12" s="10"/>
      <c r="X12" s="1"/>
    </row>
    <row r="13" spans="1:24" x14ac:dyDescent="0.2">
      <c r="A13" s="33">
        <v>2000</v>
      </c>
      <c r="B13" s="30"/>
      <c r="C13" s="660"/>
      <c r="D13" s="30"/>
      <c r="E13" s="210"/>
      <c r="F13" s="806"/>
      <c r="G13" s="452"/>
      <c r="H13" s="72"/>
      <c r="I13" s="72"/>
      <c r="J13" s="61"/>
      <c r="K13" s="59"/>
      <c r="L13" s="59"/>
      <c r="M13" s="60"/>
      <c r="N13" s="54"/>
      <c r="O13" s="55"/>
      <c r="P13" s="55"/>
      <c r="Q13" s="56"/>
      <c r="R13" s="247"/>
      <c r="S13" s="24"/>
      <c r="T13" s="25"/>
      <c r="U13" s="53"/>
      <c r="V13" s="248"/>
      <c r="X13" s="1"/>
    </row>
    <row r="14" spans="1:24" x14ac:dyDescent="0.2">
      <c r="A14" s="33">
        <v>2001</v>
      </c>
      <c r="B14" s="30"/>
      <c r="C14" s="660"/>
      <c r="D14" s="30"/>
      <c r="E14" s="210"/>
      <c r="F14" s="806"/>
      <c r="G14" s="452"/>
      <c r="H14" s="72"/>
      <c r="I14" s="72"/>
      <c r="J14" s="61"/>
      <c r="K14" s="59"/>
      <c r="L14" s="59"/>
      <c r="M14" s="60"/>
      <c r="N14" s="54"/>
      <c r="O14" s="55"/>
      <c r="P14" s="55"/>
      <c r="Q14" s="56"/>
      <c r="R14" s="247"/>
      <c r="S14" s="24"/>
      <c r="T14" s="25"/>
      <c r="U14" s="53"/>
      <c r="V14" s="248"/>
      <c r="X14" s="1"/>
    </row>
    <row r="15" spans="1:24" x14ac:dyDescent="0.2">
      <c r="A15" s="33">
        <v>2002</v>
      </c>
      <c r="B15" s="30"/>
      <c r="C15" s="660"/>
      <c r="D15" s="30"/>
      <c r="E15" s="210"/>
      <c r="F15" s="806"/>
      <c r="G15" s="452"/>
      <c r="H15" s="72"/>
      <c r="I15" s="72"/>
      <c r="J15" s="61"/>
      <c r="K15" s="59"/>
      <c r="L15" s="59"/>
      <c r="M15" s="60"/>
      <c r="N15" s="54"/>
      <c r="O15" s="55"/>
      <c r="P15" s="55"/>
      <c r="Q15" s="56"/>
      <c r="R15" s="247"/>
      <c r="S15" s="24"/>
      <c r="T15" s="25"/>
      <c r="U15" s="53"/>
      <c r="V15" s="248"/>
      <c r="X15" s="1"/>
    </row>
    <row r="16" spans="1:24" x14ac:dyDescent="0.2">
      <c r="A16" s="33">
        <v>2003</v>
      </c>
      <c r="B16" s="30"/>
      <c r="C16" s="660"/>
      <c r="D16" s="30"/>
      <c r="E16" s="210"/>
      <c r="F16" s="806"/>
      <c r="G16" s="452"/>
      <c r="H16" s="72"/>
      <c r="I16" s="72"/>
      <c r="J16" s="61"/>
      <c r="K16" s="59"/>
      <c r="L16" s="59"/>
      <c r="M16" s="60"/>
      <c r="N16" s="54"/>
      <c r="O16" s="55"/>
      <c r="P16" s="55"/>
      <c r="Q16" s="56"/>
      <c r="R16" s="247"/>
      <c r="S16" s="24"/>
      <c r="T16" s="25"/>
      <c r="U16" s="53"/>
      <c r="V16" s="248"/>
      <c r="X16" s="1"/>
    </row>
    <row r="17" spans="1:24" x14ac:dyDescent="0.2">
      <c r="A17" s="33">
        <f t="shared" ref="A17:A54" si="0">+A16+1</f>
        <v>2004</v>
      </c>
      <c r="B17" s="30"/>
      <c r="C17" s="660"/>
      <c r="D17" s="30"/>
      <c r="E17" s="210"/>
      <c r="F17" s="806"/>
      <c r="G17" s="452"/>
      <c r="H17" s="72"/>
      <c r="I17" s="72"/>
      <c r="J17" s="61"/>
      <c r="K17" s="59"/>
      <c r="L17" s="59"/>
      <c r="M17" s="60"/>
      <c r="N17" s="54"/>
      <c r="O17" s="55"/>
      <c r="P17" s="55"/>
      <c r="Q17" s="56"/>
      <c r="R17" s="247"/>
      <c r="S17" s="24"/>
      <c r="T17" s="25"/>
      <c r="U17" s="53"/>
      <c r="V17" s="248"/>
      <c r="X17" s="1"/>
    </row>
    <row r="18" spans="1:24" x14ac:dyDescent="0.2">
      <c r="A18" s="33">
        <f t="shared" si="0"/>
        <v>2005</v>
      </c>
      <c r="B18" s="30"/>
      <c r="C18" s="660"/>
      <c r="D18" s="30"/>
      <c r="E18" s="210"/>
      <c r="F18" s="806"/>
      <c r="G18" s="452"/>
      <c r="H18" s="72"/>
      <c r="I18" s="72"/>
      <c r="J18" s="61"/>
      <c r="K18" s="59"/>
      <c r="L18" s="59"/>
      <c r="M18" s="60"/>
      <c r="N18" s="54"/>
      <c r="O18" s="55"/>
      <c r="P18" s="55"/>
      <c r="Q18" s="56"/>
      <c r="R18" s="247"/>
      <c r="S18" s="24"/>
      <c r="T18" s="25"/>
      <c r="U18" s="53"/>
      <c r="V18" s="248"/>
      <c r="X18" s="1"/>
    </row>
    <row r="19" spans="1:24" x14ac:dyDescent="0.2">
      <c r="A19" s="33">
        <f t="shared" si="0"/>
        <v>2006</v>
      </c>
      <c r="B19" s="30"/>
      <c r="C19" s="660"/>
      <c r="D19" s="30"/>
      <c r="E19" s="210"/>
      <c r="F19" s="806"/>
      <c r="G19" s="452"/>
      <c r="H19" s="72"/>
      <c r="I19" s="72"/>
      <c r="J19" s="61"/>
      <c r="K19" s="59"/>
      <c r="L19" s="59"/>
      <c r="M19" s="60"/>
      <c r="N19" s="54"/>
      <c r="O19" s="55"/>
      <c r="P19" s="55"/>
      <c r="Q19" s="56"/>
      <c r="R19" s="247"/>
      <c r="S19" s="24"/>
      <c r="T19" s="25"/>
      <c r="U19" s="53"/>
      <c r="V19" s="804"/>
      <c r="X19" s="1"/>
    </row>
    <row r="20" spans="1:24" x14ac:dyDescent="0.2">
      <c r="A20" s="33">
        <f t="shared" si="0"/>
        <v>2007</v>
      </c>
      <c r="B20" s="30"/>
      <c r="C20" s="660"/>
      <c r="D20" s="30"/>
      <c r="E20" s="210"/>
      <c r="F20" s="806"/>
      <c r="G20" s="452"/>
      <c r="H20" s="72"/>
      <c r="I20" s="72"/>
      <c r="J20" s="61"/>
      <c r="K20" s="59"/>
      <c r="L20" s="59"/>
      <c r="M20" s="60"/>
      <c r="N20" s="54"/>
      <c r="O20" s="55"/>
      <c r="P20" s="55"/>
      <c r="Q20" s="56"/>
      <c r="R20" s="247"/>
      <c r="S20" s="24"/>
      <c r="T20" s="25"/>
      <c r="U20" s="53"/>
    </row>
    <row r="21" spans="1:24" x14ac:dyDescent="0.2">
      <c r="A21" s="33">
        <f t="shared" si="0"/>
        <v>2008</v>
      </c>
      <c r="B21" s="30"/>
      <c r="C21" s="660"/>
      <c r="D21" s="30"/>
      <c r="E21" s="210"/>
      <c r="F21" s="806"/>
      <c r="G21" s="452"/>
      <c r="H21" s="72"/>
      <c r="I21" s="72"/>
      <c r="J21" s="61"/>
      <c r="K21" s="59"/>
      <c r="L21" s="59"/>
      <c r="M21" s="60"/>
      <c r="N21" s="54"/>
      <c r="O21" s="55"/>
      <c r="P21" s="55"/>
      <c r="Q21" s="56"/>
      <c r="R21" s="247"/>
      <c r="S21" s="24"/>
      <c r="T21" s="25"/>
      <c r="U21" s="53"/>
    </row>
    <row r="22" spans="1:24" x14ac:dyDescent="0.2">
      <c r="A22" s="33">
        <f t="shared" si="0"/>
        <v>2009</v>
      </c>
      <c r="B22" s="30"/>
      <c r="C22" s="660"/>
      <c r="D22" s="30">
        <v>0</v>
      </c>
      <c r="E22" s="210">
        <v>0</v>
      </c>
      <c r="F22" s="806">
        <v>0</v>
      </c>
      <c r="G22" s="452"/>
      <c r="H22" s="72"/>
      <c r="I22" s="72"/>
      <c r="J22" s="61"/>
      <c r="K22" s="59"/>
      <c r="L22" s="59"/>
      <c r="M22" s="60"/>
      <c r="N22" s="54"/>
      <c r="O22" s="55"/>
      <c r="P22" s="55"/>
      <c r="Q22" s="56"/>
      <c r="R22" s="247"/>
      <c r="S22" s="24"/>
      <c r="T22" s="25"/>
      <c r="U22" s="53"/>
    </row>
    <row r="23" spans="1:24" x14ac:dyDescent="0.2">
      <c r="A23" s="33">
        <f t="shared" si="0"/>
        <v>2010</v>
      </c>
      <c r="B23" s="30">
        <v>0</v>
      </c>
      <c r="C23" s="661">
        <f t="shared" ref="C23:C39" si="1">+C22+B23</f>
        <v>0</v>
      </c>
      <c r="D23" s="30">
        <f t="shared" ref="D23:F38" si="2">+D22</f>
        <v>0</v>
      </c>
      <c r="E23" s="210">
        <f t="shared" si="2"/>
        <v>0</v>
      </c>
      <c r="F23" s="806">
        <f t="shared" si="2"/>
        <v>0</v>
      </c>
      <c r="G23" s="452">
        <f t="shared" ref="G23:H39" si="3">+$B23*D23/1000</f>
        <v>0</v>
      </c>
      <c r="H23" s="72">
        <f t="shared" si="3"/>
        <v>0</v>
      </c>
      <c r="I23" s="72">
        <f t="shared" ref="I23:I39" si="4">+$B23*F23/1000000</f>
        <v>0</v>
      </c>
      <c r="J23" s="61">
        <f t="shared" ref="J23:J39" si="5">+(B23+B22)/2</f>
        <v>0</v>
      </c>
      <c r="K23" s="651">
        <f t="shared" ref="K23:K39" si="6">+D23</f>
        <v>0</v>
      </c>
      <c r="L23" s="651">
        <f t="shared" ref="L23:L39" si="7">+J23*K23/1000</f>
        <v>0</v>
      </c>
      <c r="M23" s="652">
        <f t="shared" ref="M23:M39" si="8">+M22+L23</f>
        <v>0</v>
      </c>
      <c r="N23" s="54">
        <f t="shared" ref="N23:N39" si="9">+B22</f>
        <v>0</v>
      </c>
      <c r="O23" s="597">
        <f t="shared" ref="O23:O39" si="10">+E23</f>
        <v>0</v>
      </c>
      <c r="P23" s="597">
        <f t="shared" ref="P23:P39" si="11">+N23*O23/1000</f>
        <v>0</v>
      </c>
      <c r="Q23" s="653">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0</v>
      </c>
      <c r="C24" s="661">
        <f t="shared" si="1"/>
        <v>0</v>
      </c>
      <c r="D24" s="30">
        <f t="shared" si="2"/>
        <v>0</v>
      </c>
      <c r="E24" s="210">
        <f t="shared" si="2"/>
        <v>0</v>
      </c>
      <c r="F24" s="806">
        <f t="shared" si="2"/>
        <v>0</v>
      </c>
      <c r="G24" s="452">
        <f t="shared" si="3"/>
        <v>0</v>
      </c>
      <c r="H24" s="72">
        <f t="shared" si="3"/>
        <v>0</v>
      </c>
      <c r="I24" s="72">
        <f t="shared" si="4"/>
        <v>0</v>
      </c>
      <c r="J24" s="61">
        <f t="shared" si="5"/>
        <v>0</v>
      </c>
      <c r="K24" s="651">
        <f t="shared" si="6"/>
        <v>0</v>
      </c>
      <c r="L24" s="651">
        <f t="shared" si="7"/>
        <v>0</v>
      </c>
      <c r="M24" s="652">
        <f t="shared" si="8"/>
        <v>0</v>
      </c>
      <c r="N24" s="54">
        <f t="shared" si="9"/>
        <v>0</v>
      </c>
      <c r="O24" s="597">
        <f t="shared" si="10"/>
        <v>0</v>
      </c>
      <c r="P24" s="597">
        <f t="shared" si="11"/>
        <v>0</v>
      </c>
      <c r="Q24" s="653">
        <f t="shared" si="12"/>
        <v>0</v>
      </c>
      <c r="R24" s="247">
        <f t="shared" si="13"/>
        <v>0</v>
      </c>
      <c r="S24" s="24">
        <f t="shared" si="14"/>
        <v>0</v>
      </c>
      <c r="T24" s="25">
        <f t="shared" si="15"/>
        <v>0</v>
      </c>
      <c r="U24" s="654">
        <f t="shared" si="16"/>
        <v>0</v>
      </c>
    </row>
    <row r="25" spans="1:24" x14ac:dyDescent="0.2">
      <c r="A25" s="33">
        <f t="shared" si="0"/>
        <v>2012</v>
      </c>
      <c r="B25" s="30">
        <v>0</v>
      </c>
      <c r="C25" s="619">
        <f t="shared" si="1"/>
        <v>0</v>
      </c>
      <c r="D25" s="30">
        <f t="shared" si="2"/>
        <v>0</v>
      </c>
      <c r="E25" s="210">
        <f t="shared" si="2"/>
        <v>0</v>
      </c>
      <c r="F25" s="806">
        <f t="shared" si="2"/>
        <v>0</v>
      </c>
      <c r="G25" s="452">
        <f t="shared" si="3"/>
        <v>0</v>
      </c>
      <c r="H25" s="72">
        <f t="shared" si="3"/>
        <v>0</v>
      </c>
      <c r="I25" s="72">
        <f t="shared" si="4"/>
        <v>0</v>
      </c>
      <c r="J25" s="61">
        <f t="shared" si="5"/>
        <v>0</v>
      </c>
      <c r="K25" s="651">
        <f t="shared" si="6"/>
        <v>0</v>
      </c>
      <c r="L25" s="651">
        <f t="shared" si="7"/>
        <v>0</v>
      </c>
      <c r="M25" s="652">
        <f t="shared" si="8"/>
        <v>0</v>
      </c>
      <c r="N25" s="54">
        <f t="shared" si="9"/>
        <v>0</v>
      </c>
      <c r="O25" s="597">
        <f t="shared" si="10"/>
        <v>0</v>
      </c>
      <c r="P25" s="597">
        <f t="shared" si="11"/>
        <v>0</v>
      </c>
      <c r="Q25" s="653">
        <f t="shared" si="12"/>
        <v>0</v>
      </c>
      <c r="R25" s="247">
        <f t="shared" si="13"/>
        <v>0</v>
      </c>
      <c r="S25" s="24">
        <f t="shared" si="14"/>
        <v>0</v>
      </c>
      <c r="T25" s="25">
        <f t="shared" si="15"/>
        <v>0</v>
      </c>
      <c r="U25" s="654">
        <f t="shared" si="16"/>
        <v>0</v>
      </c>
    </row>
    <row r="26" spans="1:24" x14ac:dyDescent="0.2">
      <c r="A26" s="283">
        <f t="shared" si="0"/>
        <v>2013</v>
      </c>
      <c r="B26" s="882">
        <v>0</v>
      </c>
      <c r="C26" s="883">
        <f t="shared" si="1"/>
        <v>0</v>
      </c>
      <c r="D26" s="882">
        <f t="shared" si="2"/>
        <v>0</v>
      </c>
      <c r="E26" s="884">
        <f t="shared" si="2"/>
        <v>0</v>
      </c>
      <c r="F26" s="834">
        <f t="shared" si="2"/>
        <v>0</v>
      </c>
      <c r="G26" s="885">
        <f t="shared" si="3"/>
        <v>0</v>
      </c>
      <c r="H26" s="886">
        <f t="shared" si="3"/>
        <v>0</v>
      </c>
      <c r="I26" s="886">
        <f t="shared" si="4"/>
        <v>0</v>
      </c>
      <c r="J26" s="138">
        <f t="shared" si="5"/>
        <v>0</v>
      </c>
      <c r="K26" s="887">
        <f t="shared" si="6"/>
        <v>0</v>
      </c>
      <c r="L26" s="887">
        <f t="shared" si="7"/>
        <v>0</v>
      </c>
      <c r="M26" s="888">
        <f t="shared" si="8"/>
        <v>0</v>
      </c>
      <c r="N26" s="141">
        <f t="shared" si="9"/>
        <v>0</v>
      </c>
      <c r="O26" s="889">
        <f t="shared" si="10"/>
        <v>0</v>
      </c>
      <c r="P26" s="889">
        <f t="shared" si="11"/>
        <v>0</v>
      </c>
      <c r="Q26" s="890">
        <f t="shared" si="12"/>
        <v>0</v>
      </c>
      <c r="R26" s="891">
        <f t="shared" si="13"/>
        <v>0</v>
      </c>
      <c r="S26" s="145">
        <f t="shared" si="14"/>
        <v>0</v>
      </c>
      <c r="T26" s="146">
        <f t="shared" si="15"/>
        <v>0</v>
      </c>
      <c r="U26" s="892">
        <f t="shared" si="16"/>
        <v>0</v>
      </c>
    </row>
    <row r="27" spans="1:24" x14ac:dyDescent="0.2">
      <c r="A27" s="283">
        <f t="shared" si="0"/>
        <v>2014</v>
      </c>
      <c r="B27" s="882">
        <v>0</v>
      </c>
      <c r="C27" s="1250">
        <v>1699</v>
      </c>
      <c r="D27" s="882">
        <f t="shared" si="2"/>
        <v>0</v>
      </c>
      <c r="E27" s="884">
        <f t="shared" si="2"/>
        <v>0</v>
      </c>
      <c r="F27" s="834">
        <f t="shared" si="2"/>
        <v>0</v>
      </c>
      <c r="G27" s="885">
        <f t="shared" si="3"/>
        <v>0</v>
      </c>
      <c r="H27" s="886">
        <f t="shared" si="3"/>
        <v>0</v>
      </c>
      <c r="I27" s="886">
        <f t="shared" si="4"/>
        <v>0</v>
      </c>
      <c r="J27" s="138">
        <f t="shared" si="5"/>
        <v>0</v>
      </c>
      <c r="K27" s="887">
        <f t="shared" si="6"/>
        <v>0</v>
      </c>
      <c r="L27" s="887">
        <f t="shared" si="7"/>
        <v>0</v>
      </c>
      <c r="M27" s="888">
        <f t="shared" si="8"/>
        <v>0</v>
      </c>
      <c r="N27" s="141">
        <f t="shared" si="9"/>
        <v>0</v>
      </c>
      <c r="O27" s="889">
        <f t="shared" si="10"/>
        <v>0</v>
      </c>
      <c r="P27" s="889">
        <f t="shared" si="11"/>
        <v>0</v>
      </c>
      <c r="Q27" s="890">
        <f t="shared" si="12"/>
        <v>0</v>
      </c>
      <c r="R27" s="891">
        <f t="shared" si="13"/>
        <v>0</v>
      </c>
      <c r="S27" s="145">
        <f t="shared" si="14"/>
        <v>0</v>
      </c>
      <c r="T27" s="146">
        <f t="shared" si="15"/>
        <v>0</v>
      </c>
      <c r="U27" s="892">
        <f t="shared" si="16"/>
        <v>0</v>
      </c>
    </row>
    <row r="28" spans="1:24" x14ac:dyDescent="0.2">
      <c r="A28" s="283">
        <f t="shared" si="0"/>
        <v>2015</v>
      </c>
      <c r="B28" s="882">
        <v>86</v>
      </c>
      <c r="C28" s="883">
        <f t="shared" si="1"/>
        <v>1785</v>
      </c>
      <c r="D28" s="882">
        <f>D61</f>
        <v>11.290116279069768</v>
      </c>
      <c r="E28" s="884">
        <f t="shared" ref="E28:F28" si="17">E61</f>
        <v>8.793488372093023</v>
      </c>
      <c r="F28" s="834">
        <f t="shared" si="17"/>
        <v>39180.480465116278</v>
      </c>
      <c r="G28" s="885">
        <f t="shared" si="3"/>
        <v>0.97095000000000009</v>
      </c>
      <c r="H28" s="886">
        <f t="shared" si="3"/>
        <v>0.75624000000000002</v>
      </c>
      <c r="I28" s="886">
        <f t="shared" si="4"/>
        <v>3.36952132</v>
      </c>
      <c r="J28" s="138">
        <f t="shared" si="5"/>
        <v>43</v>
      </c>
      <c r="K28" s="887">
        <f t="shared" si="6"/>
        <v>11.290116279069768</v>
      </c>
      <c r="L28" s="887">
        <f t="shared" si="7"/>
        <v>0.48547500000000005</v>
      </c>
      <c r="M28" s="888">
        <f t="shared" si="8"/>
        <v>0.48547500000000005</v>
      </c>
      <c r="N28" s="141">
        <f t="shared" si="9"/>
        <v>0</v>
      </c>
      <c r="O28" s="889">
        <f t="shared" si="10"/>
        <v>8.793488372093023</v>
      </c>
      <c r="P28" s="889">
        <f t="shared" si="11"/>
        <v>0</v>
      </c>
      <c r="Q28" s="890">
        <f t="shared" si="12"/>
        <v>0</v>
      </c>
      <c r="R28" s="891">
        <f t="shared" si="13"/>
        <v>43</v>
      </c>
      <c r="S28" s="145">
        <f t="shared" si="14"/>
        <v>39180.480465116278</v>
      </c>
      <c r="T28" s="146">
        <f t="shared" si="15"/>
        <v>1.68476066</v>
      </c>
      <c r="U28" s="892">
        <f t="shared" si="16"/>
        <v>1.68476066</v>
      </c>
    </row>
    <row r="29" spans="1:24" ht="13.5" thickBot="1" x14ac:dyDescent="0.25">
      <c r="A29" s="701">
        <f t="shared" si="0"/>
        <v>2016</v>
      </c>
      <c r="B29" s="702">
        <v>159</v>
      </c>
      <c r="C29" s="703">
        <f t="shared" si="1"/>
        <v>1944</v>
      </c>
      <c r="D29" s="902">
        <v>14.89</v>
      </c>
      <c r="E29" s="902">
        <v>11.6</v>
      </c>
      <c r="F29" s="702">
        <v>70041</v>
      </c>
      <c r="G29" s="706">
        <f t="shared" si="3"/>
        <v>2.3675100000000002</v>
      </c>
      <c r="H29" s="707">
        <f t="shared" si="3"/>
        <v>1.8443999999999998</v>
      </c>
      <c r="I29" s="707">
        <f t="shared" si="4"/>
        <v>11.136519</v>
      </c>
      <c r="J29" s="708">
        <f t="shared" si="5"/>
        <v>122.5</v>
      </c>
      <c r="K29" s="709">
        <f t="shared" si="6"/>
        <v>14.89</v>
      </c>
      <c r="L29" s="709">
        <f t="shared" si="7"/>
        <v>1.824025</v>
      </c>
      <c r="M29" s="710">
        <f t="shared" si="8"/>
        <v>2.3094999999999999</v>
      </c>
      <c r="N29" s="711">
        <f t="shared" si="9"/>
        <v>86</v>
      </c>
      <c r="O29" s="712">
        <f t="shared" si="10"/>
        <v>11.6</v>
      </c>
      <c r="P29" s="712">
        <f t="shared" si="11"/>
        <v>0.99760000000000004</v>
      </c>
      <c r="Q29" s="713">
        <f t="shared" si="12"/>
        <v>0.99760000000000004</v>
      </c>
      <c r="R29" s="714">
        <f t="shared" si="13"/>
        <v>122.5</v>
      </c>
      <c r="S29" s="715">
        <f t="shared" si="14"/>
        <v>70041</v>
      </c>
      <c r="T29" s="716">
        <f t="shared" si="15"/>
        <v>8.5800225000000001</v>
      </c>
      <c r="U29" s="717">
        <f t="shared" si="16"/>
        <v>10.26478316</v>
      </c>
    </row>
    <row r="30" spans="1:24" x14ac:dyDescent="0.2">
      <c r="A30" s="33">
        <f t="shared" si="0"/>
        <v>2017</v>
      </c>
      <c r="B30" s="403">
        <v>25</v>
      </c>
      <c r="C30" s="64">
        <f t="shared" si="1"/>
        <v>1969</v>
      </c>
      <c r="D30" s="965">
        <f t="shared" si="2"/>
        <v>14.89</v>
      </c>
      <c r="E30" s="966">
        <f t="shared" si="2"/>
        <v>11.6</v>
      </c>
      <c r="F30" s="790">
        <f t="shared" si="2"/>
        <v>70041</v>
      </c>
      <c r="G30" s="473">
        <f t="shared" si="3"/>
        <v>0.37225000000000003</v>
      </c>
      <c r="H30" s="474">
        <f t="shared" si="3"/>
        <v>0.28999999999999998</v>
      </c>
      <c r="I30" s="474">
        <f t="shared" si="4"/>
        <v>1.7510250000000001</v>
      </c>
      <c r="J30" s="61">
        <f t="shared" si="5"/>
        <v>92</v>
      </c>
      <c r="K30" s="967">
        <f t="shared" si="6"/>
        <v>14.89</v>
      </c>
      <c r="L30" s="967">
        <f t="shared" si="7"/>
        <v>1.3698800000000002</v>
      </c>
      <c r="M30" s="967">
        <f t="shared" si="8"/>
        <v>3.6793800000000001</v>
      </c>
      <c r="N30" s="54">
        <f t="shared" si="9"/>
        <v>159</v>
      </c>
      <c r="O30" s="968">
        <f t="shared" si="10"/>
        <v>11.6</v>
      </c>
      <c r="P30" s="968">
        <f t="shared" si="11"/>
        <v>1.8443999999999998</v>
      </c>
      <c r="Q30" s="969">
        <f t="shared" si="12"/>
        <v>2.8419999999999996</v>
      </c>
      <c r="R30" s="247">
        <f t="shared" si="13"/>
        <v>92</v>
      </c>
      <c r="S30" s="24">
        <f t="shared" si="14"/>
        <v>70041</v>
      </c>
      <c r="T30" s="970">
        <f t="shared" si="15"/>
        <v>6.4437720000000001</v>
      </c>
      <c r="U30" s="971">
        <f t="shared" si="16"/>
        <v>16.70855516</v>
      </c>
    </row>
    <row r="31" spans="1:24" x14ac:dyDescent="0.2">
      <c r="A31" s="33">
        <f t="shared" si="0"/>
        <v>2018</v>
      </c>
      <c r="B31" s="403">
        <v>25</v>
      </c>
      <c r="C31" s="64">
        <f t="shared" si="1"/>
        <v>1994</v>
      </c>
      <c r="D31" s="965">
        <f t="shared" si="2"/>
        <v>14.89</v>
      </c>
      <c r="E31" s="966">
        <f t="shared" si="2"/>
        <v>11.6</v>
      </c>
      <c r="F31" s="790">
        <f t="shared" si="2"/>
        <v>70041</v>
      </c>
      <c r="G31" s="473">
        <f t="shared" si="3"/>
        <v>0.37225000000000003</v>
      </c>
      <c r="H31" s="474">
        <f t="shared" si="3"/>
        <v>0.28999999999999998</v>
      </c>
      <c r="I31" s="474">
        <f t="shared" si="4"/>
        <v>1.7510250000000001</v>
      </c>
      <c r="J31" s="61">
        <f t="shared" si="5"/>
        <v>25</v>
      </c>
      <c r="K31" s="967">
        <f t="shared" si="6"/>
        <v>14.89</v>
      </c>
      <c r="L31" s="967">
        <f t="shared" si="7"/>
        <v>0.37225000000000003</v>
      </c>
      <c r="M31" s="967">
        <f t="shared" si="8"/>
        <v>4.0516300000000003</v>
      </c>
      <c r="N31" s="54">
        <f t="shared" si="9"/>
        <v>25</v>
      </c>
      <c r="O31" s="968">
        <f t="shared" si="10"/>
        <v>11.6</v>
      </c>
      <c r="P31" s="968">
        <f t="shared" si="11"/>
        <v>0.28999999999999998</v>
      </c>
      <c r="Q31" s="969">
        <f t="shared" si="12"/>
        <v>3.1319999999999997</v>
      </c>
      <c r="R31" s="247">
        <f t="shared" si="13"/>
        <v>25</v>
      </c>
      <c r="S31" s="24">
        <f t="shared" si="14"/>
        <v>70041</v>
      </c>
      <c r="T31" s="970">
        <f t="shared" si="15"/>
        <v>1.7510250000000001</v>
      </c>
      <c r="U31" s="971">
        <f t="shared" si="16"/>
        <v>18.459580159999998</v>
      </c>
    </row>
    <row r="32" spans="1:24" x14ac:dyDescent="0.2">
      <c r="A32" s="33">
        <f t="shared" si="0"/>
        <v>2019</v>
      </c>
      <c r="B32" s="403">
        <v>40</v>
      </c>
      <c r="C32" s="64">
        <f t="shared" si="1"/>
        <v>2034</v>
      </c>
      <c r="D32" s="965">
        <f t="shared" si="2"/>
        <v>14.89</v>
      </c>
      <c r="E32" s="966">
        <f t="shared" si="2"/>
        <v>11.6</v>
      </c>
      <c r="F32" s="790">
        <f t="shared" si="2"/>
        <v>70041</v>
      </c>
      <c r="G32" s="473">
        <f t="shared" si="3"/>
        <v>0.59560000000000002</v>
      </c>
      <c r="H32" s="474">
        <f t="shared" si="3"/>
        <v>0.46400000000000002</v>
      </c>
      <c r="I32" s="474">
        <f t="shared" si="4"/>
        <v>2.8016399999999999</v>
      </c>
      <c r="J32" s="61">
        <f t="shared" si="5"/>
        <v>32.5</v>
      </c>
      <c r="K32" s="967">
        <f t="shared" si="6"/>
        <v>14.89</v>
      </c>
      <c r="L32" s="967">
        <f t="shared" si="7"/>
        <v>0.48392499999999999</v>
      </c>
      <c r="M32" s="967">
        <f t="shared" si="8"/>
        <v>4.5355550000000004</v>
      </c>
      <c r="N32" s="54">
        <f t="shared" si="9"/>
        <v>25</v>
      </c>
      <c r="O32" s="968">
        <f t="shared" si="10"/>
        <v>11.6</v>
      </c>
      <c r="P32" s="968">
        <f t="shared" si="11"/>
        <v>0.28999999999999998</v>
      </c>
      <c r="Q32" s="969">
        <f t="shared" si="12"/>
        <v>3.4219999999999997</v>
      </c>
      <c r="R32" s="247">
        <f t="shared" si="13"/>
        <v>32.5</v>
      </c>
      <c r="S32" s="24">
        <f t="shared" si="14"/>
        <v>70041</v>
      </c>
      <c r="T32" s="970">
        <f t="shared" si="15"/>
        <v>2.2763325000000001</v>
      </c>
      <c r="U32" s="971">
        <f t="shared" si="16"/>
        <v>20.735912659999997</v>
      </c>
    </row>
    <row r="33" spans="1:21" x14ac:dyDescent="0.2">
      <c r="A33" s="33">
        <f t="shared" si="0"/>
        <v>2020</v>
      </c>
      <c r="B33" s="403">
        <v>40</v>
      </c>
      <c r="C33" s="64">
        <f t="shared" si="1"/>
        <v>2074</v>
      </c>
      <c r="D33" s="965">
        <f t="shared" si="2"/>
        <v>14.89</v>
      </c>
      <c r="E33" s="966">
        <f t="shared" si="2"/>
        <v>11.6</v>
      </c>
      <c r="F33" s="790">
        <f t="shared" si="2"/>
        <v>70041</v>
      </c>
      <c r="G33" s="473">
        <f t="shared" si="3"/>
        <v>0.59560000000000002</v>
      </c>
      <c r="H33" s="474">
        <f t="shared" si="3"/>
        <v>0.46400000000000002</v>
      </c>
      <c r="I33" s="474">
        <f t="shared" si="4"/>
        <v>2.8016399999999999</v>
      </c>
      <c r="J33" s="61">
        <f t="shared" si="5"/>
        <v>40</v>
      </c>
      <c r="K33" s="967">
        <f t="shared" si="6"/>
        <v>14.89</v>
      </c>
      <c r="L33" s="967">
        <f t="shared" si="7"/>
        <v>0.59560000000000002</v>
      </c>
      <c r="M33" s="967">
        <f t="shared" si="8"/>
        <v>5.1311550000000006</v>
      </c>
      <c r="N33" s="54">
        <f t="shared" si="9"/>
        <v>40</v>
      </c>
      <c r="O33" s="968">
        <f t="shared" si="10"/>
        <v>11.6</v>
      </c>
      <c r="P33" s="968">
        <f t="shared" si="11"/>
        <v>0.46400000000000002</v>
      </c>
      <c r="Q33" s="969">
        <f t="shared" si="12"/>
        <v>3.8859999999999997</v>
      </c>
      <c r="R33" s="247">
        <f t="shared" si="13"/>
        <v>40</v>
      </c>
      <c r="S33" s="24">
        <f t="shared" si="14"/>
        <v>70041</v>
      </c>
      <c r="T33" s="970">
        <f t="shared" si="15"/>
        <v>2.8016399999999999</v>
      </c>
      <c r="U33" s="971">
        <f t="shared" si="16"/>
        <v>23.537552659999996</v>
      </c>
    </row>
    <row r="34" spans="1:21" x14ac:dyDescent="0.2">
      <c r="A34" s="33">
        <f t="shared" si="0"/>
        <v>2021</v>
      </c>
      <c r="B34" s="403">
        <v>40</v>
      </c>
      <c r="C34" s="64">
        <f t="shared" si="1"/>
        <v>2114</v>
      </c>
      <c r="D34" s="965">
        <f t="shared" si="2"/>
        <v>14.89</v>
      </c>
      <c r="E34" s="966">
        <f t="shared" si="2"/>
        <v>11.6</v>
      </c>
      <c r="F34" s="790">
        <f t="shared" si="2"/>
        <v>70041</v>
      </c>
      <c r="G34" s="473">
        <f t="shared" si="3"/>
        <v>0.59560000000000002</v>
      </c>
      <c r="H34" s="474">
        <f t="shared" si="3"/>
        <v>0.46400000000000002</v>
      </c>
      <c r="I34" s="474">
        <f t="shared" si="4"/>
        <v>2.8016399999999999</v>
      </c>
      <c r="J34" s="61">
        <f t="shared" si="5"/>
        <v>40</v>
      </c>
      <c r="K34" s="967">
        <f t="shared" si="6"/>
        <v>14.89</v>
      </c>
      <c r="L34" s="967">
        <f t="shared" si="7"/>
        <v>0.59560000000000002</v>
      </c>
      <c r="M34" s="967">
        <f t="shared" si="8"/>
        <v>5.7267550000000007</v>
      </c>
      <c r="N34" s="54">
        <f t="shared" si="9"/>
        <v>40</v>
      </c>
      <c r="O34" s="968">
        <f t="shared" si="10"/>
        <v>11.6</v>
      </c>
      <c r="P34" s="968">
        <f t="shared" si="11"/>
        <v>0.46400000000000002</v>
      </c>
      <c r="Q34" s="969">
        <f t="shared" si="12"/>
        <v>4.3499999999999996</v>
      </c>
      <c r="R34" s="247">
        <f t="shared" si="13"/>
        <v>40</v>
      </c>
      <c r="S34" s="24">
        <f t="shared" si="14"/>
        <v>70041</v>
      </c>
      <c r="T34" s="970">
        <f t="shared" si="15"/>
        <v>2.8016399999999999</v>
      </c>
      <c r="U34" s="971">
        <f t="shared" si="16"/>
        <v>26.339192659999995</v>
      </c>
    </row>
    <row r="35" spans="1:21" x14ac:dyDescent="0.2">
      <c r="A35" s="33">
        <f t="shared" si="0"/>
        <v>2022</v>
      </c>
      <c r="B35" s="403">
        <v>40</v>
      </c>
      <c r="C35" s="64">
        <f t="shared" si="1"/>
        <v>2154</v>
      </c>
      <c r="D35" s="965">
        <f t="shared" si="2"/>
        <v>14.89</v>
      </c>
      <c r="E35" s="966">
        <f t="shared" si="2"/>
        <v>11.6</v>
      </c>
      <c r="F35" s="790">
        <f t="shared" si="2"/>
        <v>70041</v>
      </c>
      <c r="G35" s="473">
        <f t="shared" si="3"/>
        <v>0.59560000000000002</v>
      </c>
      <c r="H35" s="474">
        <f t="shared" si="3"/>
        <v>0.46400000000000002</v>
      </c>
      <c r="I35" s="474">
        <f t="shared" si="4"/>
        <v>2.8016399999999999</v>
      </c>
      <c r="J35" s="61">
        <f t="shared" si="5"/>
        <v>40</v>
      </c>
      <c r="K35" s="967">
        <f t="shared" si="6"/>
        <v>14.89</v>
      </c>
      <c r="L35" s="967">
        <f t="shared" si="7"/>
        <v>0.59560000000000002</v>
      </c>
      <c r="M35" s="967">
        <f t="shared" si="8"/>
        <v>6.3223550000000008</v>
      </c>
      <c r="N35" s="54">
        <f t="shared" si="9"/>
        <v>40</v>
      </c>
      <c r="O35" s="968">
        <f t="shared" si="10"/>
        <v>11.6</v>
      </c>
      <c r="P35" s="968">
        <f t="shared" si="11"/>
        <v>0.46400000000000002</v>
      </c>
      <c r="Q35" s="969">
        <f t="shared" si="12"/>
        <v>4.8140000000000001</v>
      </c>
      <c r="R35" s="247">
        <f t="shared" si="13"/>
        <v>40</v>
      </c>
      <c r="S35" s="24">
        <f t="shared" si="14"/>
        <v>70041</v>
      </c>
      <c r="T35" s="970">
        <f t="shared" si="15"/>
        <v>2.8016399999999999</v>
      </c>
      <c r="U35" s="971">
        <f t="shared" si="16"/>
        <v>29.140832659999994</v>
      </c>
    </row>
    <row r="36" spans="1:21" x14ac:dyDescent="0.2">
      <c r="A36" s="33">
        <f t="shared" si="0"/>
        <v>2023</v>
      </c>
      <c r="B36" s="403">
        <v>40</v>
      </c>
      <c r="C36" s="64">
        <f t="shared" si="1"/>
        <v>2194</v>
      </c>
      <c r="D36" s="965">
        <f t="shared" si="2"/>
        <v>14.89</v>
      </c>
      <c r="E36" s="966">
        <f t="shared" si="2"/>
        <v>11.6</v>
      </c>
      <c r="F36" s="790">
        <f t="shared" si="2"/>
        <v>70041</v>
      </c>
      <c r="G36" s="473">
        <f t="shared" si="3"/>
        <v>0.59560000000000002</v>
      </c>
      <c r="H36" s="474">
        <f t="shared" si="3"/>
        <v>0.46400000000000002</v>
      </c>
      <c r="I36" s="474">
        <f t="shared" si="4"/>
        <v>2.8016399999999999</v>
      </c>
      <c r="J36" s="61">
        <f t="shared" si="5"/>
        <v>40</v>
      </c>
      <c r="K36" s="967">
        <f t="shared" si="6"/>
        <v>14.89</v>
      </c>
      <c r="L36" s="967">
        <f t="shared" si="7"/>
        <v>0.59560000000000002</v>
      </c>
      <c r="M36" s="967">
        <f t="shared" si="8"/>
        <v>6.917955000000001</v>
      </c>
      <c r="N36" s="54">
        <f t="shared" si="9"/>
        <v>40</v>
      </c>
      <c r="O36" s="968">
        <f t="shared" si="10"/>
        <v>11.6</v>
      </c>
      <c r="P36" s="968">
        <f t="shared" si="11"/>
        <v>0.46400000000000002</v>
      </c>
      <c r="Q36" s="969">
        <f t="shared" si="12"/>
        <v>5.2780000000000005</v>
      </c>
      <c r="R36" s="247">
        <f t="shared" si="13"/>
        <v>40</v>
      </c>
      <c r="S36" s="24">
        <f t="shared" si="14"/>
        <v>70041</v>
      </c>
      <c r="T36" s="970">
        <f t="shared" si="15"/>
        <v>2.8016399999999999</v>
      </c>
      <c r="U36" s="971">
        <f t="shared" si="16"/>
        <v>31.942472659999993</v>
      </c>
    </row>
    <row r="37" spans="1:21" x14ac:dyDescent="0.2">
      <c r="A37" s="447">
        <f t="shared" si="0"/>
        <v>2024</v>
      </c>
      <c r="B37" s="403">
        <v>40</v>
      </c>
      <c r="C37" s="64">
        <f t="shared" si="1"/>
        <v>2234</v>
      </c>
      <c r="D37" s="965">
        <f t="shared" si="2"/>
        <v>14.89</v>
      </c>
      <c r="E37" s="966">
        <f t="shared" si="2"/>
        <v>11.6</v>
      </c>
      <c r="F37" s="790">
        <f t="shared" si="2"/>
        <v>70041</v>
      </c>
      <c r="G37" s="473">
        <f t="shared" si="3"/>
        <v>0.59560000000000002</v>
      </c>
      <c r="H37" s="474">
        <f t="shared" si="3"/>
        <v>0.46400000000000002</v>
      </c>
      <c r="I37" s="474">
        <f t="shared" si="4"/>
        <v>2.8016399999999999</v>
      </c>
      <c r="J37" s="61">
        <f t="shared" si="5"/>
        <v>40</v>
      </c>
      <c r="K37" s="967">
        <f t="shared" si="6"/>
        <v>14.89</v>
      </c>
      <c r="L37" s="967">
        <f t="shared" si="7"/>
        <v>0.59560000000000002</v>
      </c>
      <c r="M37" s="967">
        <f t="shared" si="8"/>
        <v>7.5135550000000011</v>
      </c>
      <c r="N37" s="54">
        <f t="shared" si="9"/>
        <v>40</v>
      </c>
      <c r="O37" s="968">
        <f t="shared" si="10"/>
        <v>11.6</v>
      </c>
      <c r="P37" s="968">
        <f t="shared" si="11"/>
        <v>0.46400000000000002</v>
      </c>
      <c r="Q37" s="969">
        <f t="shared" si="12"/>
        <v>5.7420000000000009</v>
      </c>
      <c r="R37" s="247">
        <f t="shared" si="13"/>
        <v>40</v>
      </c>
      <c r="S37" s="24">
        <f t="shared" si="14"/>
        <v>70041</v>
      </c>
      <c r="T37" s="970">
        <f t="shared" si="15"/>
        <v>2.8016399999999999</v>
      </c>
      <c r="U37" s="971">
        <f t="shared" si="16"/>
        <v>34.744112659999992</v>
      </c>
    </row>
    <row r="38" spans="1:21" x14ac:dyDescent="0.2">
      <c r="A38" s="447">
        <f t="shared" si="0"/>
        <v>2025</v>
      </c>
      <c r="B38" s="403">
        <v>40</v>
      </c>
      <c r="C38" s="64">
        <f t="shared" si="1"/>
        <v>2274</v>
      </c>
      <c r="D38" s="965">
        <f t="shared" si="2"/>
        <v>14.89</v>
      </c>
      <c r="E38" s="966">
        <f t="shared" si="2"/>
        <v>11.6</v>
      </c>
      <c r="F38" s="790">
        <f t="shared" si="2"/>
        <v>70041</v>
      </c>
      <c r="G38" s="473">
        <f t="shared" si="3"/>
        <v>0.59560000000000002</v>
      </c>
      <c r="H38" s="474">
        <f t="shared" si="3"/>
        <v>0.46400000000000002</v>
      </c>
      <c r="I38" s="474">
        <f t="shared" si="4"/>
        <v>2.8016399999999999</v>
      </c>
      <c r="J38" s="61">
        <f t="shared" si="5"/>
        <v>40</v>
      </c>
      <c r="K38" s="967">
        <f t="shared" si="6"/>
        <v>14.89</v>
      </c>
      <c r="L38" s="967">
        <f t="shared" si="7"/>
        <v>0.59560000000000002</v>
      </c>
      <c r="M38" s="967">
        <f t="shared" si="8"/>
        <v>8.1091550000000012</v>
      </c>
      <c r="N38" s="54">
        <f t="shared" si="9"/>
        <v>40</v>
      </c>
      <c r="O38" s="968">
        <f t="shared" si="10"/>
        <v>11.6</v>
      </c>
      <c r="P38" s="968">
        <f t="shared" si="11"/>
        <v>0.46400000000000002</v>
      </c>
      <c r="Q38" s="969">
        <f t="shared" si="12"/>
        <v>6.2060000000000013</v>
      </c>
      <c r="R38" s="247">
        <f t="shared" si="13"/>
        <v>40</v>
      </c>
      <c r="S38" s="24">
        <f t="shared" si="14"/>
        <v>70041</v>
      </c>
      <c r="T38" s="970">
        <f t="shared" si="15"/>
        <v>2.8016399999999999</v>
      </c>
      <c r="U38" s="971">
        <f t="shared" si="16"/>
        <v>37.545752659999991</v>
      </c>
    </row>
    <row r="39" spans="1:21" x14ac:dyDescent="0.2">
      <c r="A39" s="447">
        <f t="shared" si="0"/>
        <v>2026</v>
      </c>
      <c r="B39" s="403">
        <v>40</v>
      </c>
      <c r="C39" s="64">
        <f t="shared" si="1"/>
        <v>2314</v>
      </c>
      <c r="D39" s="965">
        <f t="shared" ref="D39:F47" si="18">+D38</f>
        <v>14.89</v>
      </c>
      <c r="E39" s="966">
        <f t="shared" si="18"/>
        <v>11.6</v>
      </c>
      <c r="F39" s="790">
        <f t="shared" si="18"/>
        <v>70041</v>
      </c>
      <c r="G39" s="473">
        <f t="shared" si="3"/>
        <v>0.59560000000000002</v>
      </c>
      <c r="H39" s="474">
        <f t="shared" si="3"/>
        <v>0.46400000000000002</v>
      </c>
      <c r="I39" s="474">
        <f t="shared" si="4"/>
        <v>2.8016399999999999</v>
      </c>
      <c r="J39" s="61">
        <f t="shared" si="5"/>
        <v>40</v>
      </c>
      <c r="K39" s="967">
        <f t="shared" si="6"/>
        <v>14.89</v>
      </c>
      <c r="L39" s="967">
        <f t="shared" si="7"/>
        <v>0.59560000000000002</v>
      </c>
      <c r="M39" s="967">
        <f t="shared" si="8"/>
        <v>8.7047550000000005</v>
      </c>
      <c r="N39" s="54">
        <f t="shared" si="9"/>
        <v>40</v>
      </c>
      <c r="O39" s="968">
        <f t="shared" si="10"/>
        <v>11.6</v>
      </c>
      <c r="P39" s="968">
        <f t="shared" si="11"/>
        <v>0.46400000000000002</v>
      </c>
      <c r="Q39" s="969">
        <f t="shared" si="12"/>
        <v>6.6700000000000017</v>
      </c>
      <c r="R39" s="247">
        <f>+(B39+B38)/2</f>
        <v>40</v>
      </c>
      <c r="S39" s="24">
        <f>+F39</f>
        <v>70041</v>
      </c>
      <c r="T39" s="970">
        <f>+R39*S39/1000000</f>
        <v>2.8016399999999999</v>
      </c>
      <c r="U39" s="971">
        <f t="shared" si="16"/>
        <v>40.34739265999999</v>
      </c>
    </row>
    <row r="40" spans="1:21" x14ac:dyDescent="0.2">
      <c r="A40" s="447">
        <f>+A39+1</f>
        <v>2027</v>
      </c>
      <c r="B40" s="403">
        <v>40</v>
      </c>
      <c r="C40" s="64">
        <f>+C39+B40</f>
        <v>2354</v>
      </c>
      <c r="D40" s="965">
        <f t="shared" si="18"/>
        <v>14.89</v>
      </c>
      <c r="E40" s="966">
        <f t="shared" si="18"/>
        <v>11.6</v>
      </c>
      <c r="F40" s="790">
        <f t="shared" si="18"/>
        <v>70041</v>
      </c>
      <c r="G40" s="473">
        <f t="shared" ref="G40:H47" si="19">+$B40*D40/1000</f>
        <v>0.59560000000000002</v>
      </c>
      <c r="H40" s="474">
        <f t="shared" si="19"/>
        <v>0.46400000000000002</v>
      </c>
      <c r="I40" s="474">
        <f>+$B40*F40/1000000</f>
        <v>2.8016399999999999</v>
      </c>
      <c r="J40" s="61">
        <f>+(B40+B39)/2</f>
        <v>40</v>
      </c>
      <c r="K40" s="967">
        <f>+D40</f>
        <v>14.89</v>
      </c>
      <c r="L40" s="967">
        <f>+J40*K40/1000</f>
        <v>0.59560000000000002</v>
      </c>
      <c r="M40" s="967">
        <f>+M39+L40</f>
        <v>9.3003549999999997</v>
      </c>
      <c r="N40" s="54">
        <f>+B39</f>
        <v>40</v>
      </c>
      <c r="O40" s="968">
        <f>+E40</f>
        <v>11.6</v>
      </c>
      <c r="P40" s="968">
        <f>+N40*O40/1000</f>
        <v>0.46400000000000002</v>
      </c>
      <c r="Q40" s="969">
        <f>+Q39+P40</f>
        <v>7.1340000000000021</v>
      </c>
      <c r="R40" s="247">
        <f>+(B40+B39)/2</f>
        <v>40</v>
      </c>
      <c r="S40" s="24">
        <f>+F40</f>
        <v>70041</v>
      </c>
      <c r="T40" s="970">
        <f>+R40*S40/1000000</f>
        <v>2.8016399999999999</v>
      </c>
      <c r="U40" s="971">
        <f>+U39+T40</f>
        <v>43.149032659999989</v>
      </c>
    </row>
    <row r="41" spans="1:21" x14ac:dyDescent="0.2">
      <c r="A41" s="447">
        <f t="shared" si="0"/>
        <v>2028</v>
      </c>
      <c r="B41" s="403">
        <v>40</v>
      </c>
      <c r="C41" s="64">
        <f>+C40+B41</f>
        <v>2394</v>
      </c>
      <c r="D41" s="965">
        <f>+D40</f>
        <v>14.89</v>
      </c>
      <c r="E41" s="966">
        <f>+E40</f>
        <v>11.6</v>
      </c>
      <c r="F41" s="790">
        <f>+F40</f>
        <v>70041</v>
      </c>
      <c r="G41" s="473">
        <f t="shared" si="19"/>
        <v>0.59560000000000002</v>
      </c>
      <c r="H41" s="474">
        <f t="shared" si="19"/>
        <v>0.46400000000000002</v>
      </c>
      <c r="I41" s="474">
        <f>+$B41*F41/1000000</f>
        <v>2.8016399999999999</v>
      </c>
      <c r="J41" s="61">
        <f>+(B41+B40)/2</f>
        <v>40</v>
      </c>
      <c r="K41" s="967">
        <f>+D41</f>
        <v>14.89</v>
      </c>
      <c r="L41" s="967">
        <f>+J41*K41/1000</f>
        <v>0.59560000000000002</v>
      </c>
      <c r="M41" s="967">
        <f>+M40+L41</f>
        <v>9.8959549999999989</v>
      </c>
      <c r="N41" s="54">
        <f>+B40</f>
        <v>40</v>
      </c>
      <c r="O41" s="968">
        <f>+E41</f>
        <v>11.6</v>
      </c>
      <c r="P41" s="968">
        <f>+N41*O41/1000</f>
        <v>0.46400000000000002</v>
      </c>
      <c r="Q41" s="969">
        <f>+Q40+P41</f>
        <v>7.5980000000000025</v>
      </c>
      <c r="R41" s="247">
        <f>+(B41+B40)/2</f>
        <v>40</v>
      </c>
      <c r="S41" s="24">
        <f>+F41</f>
        <v>70041</v>
      </c>
      <c r="T41" s="970">
        <f>+R41*S41/1000000</f>
        <v>2.8016399999999999</v>
      </c>
      <c r="U41" s="971">
        <f>+U40+T41</f>
        <v>45.950672659999988</v>
      </c>
    </row>
    <row r="42" spans="1:21" x14ac:dyDescent="0.2">
      <c r="A42" s="447">
        <f t="shared" si="0"/>
        <v>2029</v>
      </c>
      <c r="B42" s="403">
        <v>40</v>
      </c>
      <c r="C42" s="64">
        <f>+C41+B42</f>
        <v>2434</v>
      </c>
      <c r="D42" s="965">
        <f t="shared" si="18"/>
        <v>14.89</v>
      </c>
      <c r="E42" s="966">
        <f t="shared" si="18"/>
        <v>11.6</v>
      </c>
      <c r="F42" s="790">
        <f t="shared" si="18"/>
        <v>70041</v>
      </c>
      <c r="G42" s="473">
        <f t="shared" si="19"/>
        <v>0.59560000000000002</v>
      </c>
      <c r="H42" s="474">
        <f t="shared" si="19"/>
        <v>0.46400000000000002</v>
      </c>
      <c r="I42" s="474">
        <f>+$B42*F42/1000000</f>
        <v>2.8016399999999999</v>
      </c>
      <c r="J42" s="61">
        <f>+(B42+B41)/2</f>
        <v>40</v>
      </c>
      <c r="K42" s="967">
        <f>+D42</f>
        <v>14.89</v>
      </c>
      <c r="L42" s="967">
        <f>+J42*K42/1000</f>
        <v>0.59560000000000002</v>
      </c>
      <c r="M42" s="967">
        <f>+M41+L42</f>
        <v>10.491554999999998</v>
      </c>
      <c r="N42" s="54">
        <f>+B41</f>
        <v>40</v>
      </c>
      <c r="O42" s="968">
        <f>+E42</f>
        <v>11.6</v>
      </c>
      <c r="P42" s="968">
        <f>+N42*O42/1000</f>
        <v>0.46400000000000002</v>
      </c>
      <c r="Q42" s="969">
        <f>+Q41+P42</f>
        <v>8.0620000000000029</v>
      </c>
      <c r="R42" s="247">
        <f>+(B42+B41)/2</f>
        <v>40</v>
      </c>
      <c r="S42" s="24">
        <f>+F42</f>
        <v>70041</v>
      </c>
      <c r="T42" s="970">
        <f>+R42*S42/1000000</f>
        <v>2.8016399999999999</v>
      </c>
      <c r="U42" s="971">
        <f>+U41+T42</f>
        <v>48.752312659999987</v>
      </c>
    </row>
    <row r="43" spans="1:21" x14ac:dyDescent="0.2">
      <c r="A43" s="447">
        <f t="shared" si="0"/>
        <v>2030</v>
      </c>
      <c r="B43" s="403">
        <v>40</v>
      </c>
      <c r="C43" s="64">
        <f t="shared" ref="C43:C47" si="20">+C42+B43</f>
        <v>2474</v>
      </c>
      <c r="D43" s="965">
        <f t="shared" si="18"/>
        <v>14.89</v>
      </c>
      <c r="E43" s="966">
        <f t="shared" si="18"/>
        <v>11.6</v>
      </c>
      <c r="F43" s="790">
        <f t="shared" si="18"/>
        <v>70041</v>
      </c>
      <c r="G43" s="473">
        <f t="shared" si="19"/>
        <v>0.59560000000000002</v>
      </c>
      <c r="H43" s="474">
        <f t="shared" si="19"/>
        <v>0.46400000000000002</v>
      </c>
      <c r="I43" s="474">
        <f t="shared" ref="I43:I47" si="21">+$B43*F43/1000000</f>
        <v>2.8016399999999999</v>
      </c>
      <c r="J43" s="61">
        <f t="shared" ref="J43:J47" si="22">+(B43+B42)/2</f>
        <v>40</v>
      </c>
      <c r="K43" s="967">
        <f t="shared" ref="K43:K47" si="23">+D43</f>
        <v>14.89</v>
      </c>
      <c r="L43" s="967">
        <f t="shared" ref="L43:L47" si="24">+J43*K43/1000</f>
        <v>0.59560000000000002</v>
      </c>
      <c r="M43" s="967">
        <f t="shared" ref="M43:M47" si="25">+M42+L43</f>
        <v>11.087154999999997</v>
      </c>
      <c r="N43" s="54">
        <f t="shared" ref="N43:N47" si="26">+B42</f>
        <v>40</v>
      </c>
      <c r="O43" s="968">
        <f t="shared" ref="O43:O47" si="27">+E43</f>
        <v>11.6</v>
      </c>
      <c r="P43" s="968">
        <f t="shared" ref="P43:P47" si="28">+N43*O43/1000</f>
        <v>0.46400000000000002</v>
      </c>
      <c r="Q43" s="969">
        <f t="shared" ref="Q43:Q47" si="29">+Q42+P43</f>
        <v>8.5260000000000034</v>
      </c>
      <c r="R43" s="247">
        <f t="shared" ref="R43:R47" si="30">+(B43+B42)/2</f>
        <v>40</v>
      </c>
      <c r="S43" s="24">
        <f t="shared" ref="S43:S47" si="31">+F43</f>
        <v>70041</v>
      </c>
      <c r="T43" s="970">
        <f t="shared" ref="T43:T47" si="32">+R43*S43/1000000</f>
        <v>2.8016399999999999</v>
      </c>
      <c r="U43" s="971">
        <f t="shared" ref="U43:U47" si="33">+U42+T43</f>
        <v>51.553952659999986</v>
      </c>
    </row>
    <row r="44" spans="1:21" x14ac:dyDescent="0.2">
      <c r="A44" s="447">
        <f t="shared" si="0"/>
        <v>2031</v>
      </c>
      <c r="B44" s="403">
        <v>40</v>
      </c>
      <c r="C44" s="64">
        <f t="shared" si="20"/>
        <v>2514</v>
      </c>
      <c r="D44" s="965">
        <f t="shared" si="18"/>
        <v>14.89</v>
      </c>
      <c r="E44" s="966">
        <f t="shared" si="18"/>
        <v>11.6</v>
      </c>
      <c r="F44" s="790">
        <f t="shared" si="18"/>
        <v>70041</v>
      </c>
      <c r="G44" s="473">
        <f t="shared" si="19"/>
        <v>0.59560000000000002</v>
      </c>
      <c r="H44" s="474">
        <f t="shared" si="19"/>
        <v>0.46400000000000002</v>
      </c>
      <c r="I44" s="474">
        <f t="shared" si="21"/>
        <v>2.8016399999999999</v>
      </c>
      <c r="J44" s="61">
        <f t="shared" si="22"/>
        <v>40</v>
      </c>
      <c r="K44" s="967">
        <f t="shared" si="23"/>
        <v>14.89</v>
      </c>
      <c r="L44" s="967">
        <f t="shared" si="24"/>
        <v>0.59560000000000002</v>
      </c>
      <c r="M44" s="967">
        <f t="shared" si="25"/>
        <v>11.682754999999997</v>
      </c>
      <c r="N44" s="54">
        <f t="shared" si="26"/>
        <v>40</v>
      </c>
      <c r="O44" s="968">
        <f t="shared" si="27"/>
        <v>11.6</v>
      </c>
      <c r="P44" s="968">
        <f t="shared" si="28"/>
        <v>0.46400000000000002</v>
      </c>
      <c r="Q44" s="969">
        <f t="shared" si="29"/>
        <v>8.9900000000000038</v>
      </c>
      <c r="R44" s="247">
        <f t="shared" si="30"/>
        <v>40</v>
      </c>
      <c r="S44" s="24">
        <f t="shared" si="31"/>
        <v>70041</v>
      </c>
      <c r="T44" s="970">
        <f t="shared" si="32"/>
        <v>2.8016399999999999</v>
      </c>
      <c r="U44" s="971">
        <f t="shared" si="33"/>
        <v>54.355592659999985</v>
      </c>
    </row>
    <row r="45" spans="1:21" x14ac:dyDescent="0.2">
      <c r="A45" s="447">
        <f t="shared" si="0"/>
        <v>2032</v>
      </c>
      <c r="B45" s="403">
        <v>40</v>
      </c>
      <c r="C45" s="64">
        <f t="shared" si="20"/>
        <v>2554</v>
      </c>
      <c r="D45" s="965">
        <f t="shared" si="18"/>
        <v>14.89</v>
      </c>
      <c r="E45" s="966">
        <f t="shared" si="18"/>
        <v>11.6</v>
      </c>
      <c r="F45" s="790">
        <f t="shared" si="18"/>
        <v>70041</v>
      </c>
      <c r="G45" s="473">
        <f t="shared" si="19"/>
        <v>0.59560000000000002</v>
      </c>
      <c r="H45" s="474">
        <f t="shared" si="19"/>
        <v>0.46400000000000002</v>
      </c>
      <c r="I45" s="474">
        <f t="shared" si="21"/>
        <v>2.8016399999999999</v>
      </c>
      <c r="J45" s="61">
        <f t="shared" si="22"/>
        <v>40</v>
      </c>
      <c r="K45" s="967">
        <f t="shared" si="23"/>
        <v>14.89</v>
      </c>
      <c r="L45" s="967">
        <f t="shared" si="24"/>
        <v>0.59560000000000002</v>
      </c>
      <c r="M45" s="967">
        <f t="shared" si="25"/>
        <v>12.278354999999996</v>
      </c>
      <c r="N45" s="54">
        <f t="shared" si="26"/>
        <v>40</v>
      </c>
      <c r="O45" s="968">
        <f t="shared" si="27"/>
        <v>11.6</v>
      </c>
      <c r="P45" s="968">
        <f t="shared" si="28"/>
        <v>0.46400000000000002</v>
      </c>
      <c r="Q45" s="969">
        <f t="shared" si="29"/>
        <v>9.4540000000000042</v>
      </c>
      <c r="R45" s="247">
        <f t="shared" si="30"/>
        <v>40</v>
      </c>
      <c r="S45" s="24">
        <f t="shared" si="31"/>
        <v>70041</v>
      </c>
      <c r="T45" s="970">
        <f t="shared" si="32"/>
        <v>2.8016399999999999</v>
      </c>
      <c r="U45" s="971">
        <f t="shared" si="33"/>
        <v>57.157232659999984</v>
      </c>
    </row>
    <row r="46" spans="1:21" x14ac:dyDescent="0.2">
      <c r="A46" s="447">
        <f t="shared" si="0"/>
        <v>2033</v>
      </c>
      <c r="B46" s="403">
        <v>40</v>
      </c>
      <c r="C46" s="64">
        <f t="shared" si="20"/>
        <v>2594</v>
      </c>
      <c r="D46" s="965">
        <f t="shared" si="18"/>
        <v>14.89</v>
      </c>
      <c r="E46" s="966">
        <f t="shared" si="18"/>
        <v>11.6</v>
      </c>
      <c r="F46" s="790">
        <f t="shared" si="18"/>
        <v>70041</v>
      </c>
      <c r="G46" s="473">
        <f t="shared" si="19"/>
        <v>0.59560000000000002</v>
      </c>
      <c r="H46" s="474">
        <f t="shared" si="19"/>
        <v>0.46400000000000002</v>
      </c>
      <c r="I46" s="474">
        <f t="shared" si="21"/>
        <v>2.8016399999999999</v>
      </c>
      <c r="J46" s="61">
        <f t="shared" si="22"/>
        <v>40</v>
      </c>
      <c r="K46" s="967">
        <f t="shared" si="23"/>
        <v>14.89</v>
      </c>
      <c r="L46" s="967">
        <f t="shared" si="24"/>
        <v>0.59560000000000002</v>
      </c>
      <c r="M46" s="967">
        <f t="shared" si="25"/>
        <v>12.873954999999995</v>
      </c>
      <c r="N46" s="54">
        <f t="shared" si="26"/>
        <v>40</v>
      </c>
      <c r="O46" s="968">
        <f t="shared" si="27"/>
        <v>11.6</v>
      </c>
      <c r="P46" s="968">
        <f t="shared" si="28"/>
        <v>0.46400000000000002</v>
      </c>
      <c r="Q46" s="969">
        <f t="shared" si="29"/>
        <v>9.9180000000000046</v>
      </c>
      <c r="R46" s="247">
        <f t="shared" si="30"/>
        <v>40</v>
      </c>
      <c r="S46" s="24">
        <f t="shared" si="31"/>
        <v>70041</v>
      </c>
      <c r="T46" s="970">
        <f t="shared" si="32"/>
        <v>2.8016399999999999</v>
      </c>
      <c r="U46" s="971">
        <f t="shared" si="33"/>
        <v>59.958872659999983</v>
      </c>
    </row>
    <row r="47" spans="1:21" x14ac:dyDescent="0.2">
      <c r="A47" s="447">
        <f t="shared" si="0"/>
        <v>2034</v>
      </c>
      <c r="B47" s="403">
        <v>40</v>
      </c>
      <c r="C47" s="64">
        <f t="shared" si="20"/>
        <v>2634</v>
      </c>
      <c r="D47" s="965">
        <f t="shared" si="18"/>
        <v>14.89</v>
      </c>
      <c r="E47" s="966">
        <f t="shared" si="18"/>
        <v>11.6</v>
      </c>
      <c r="F47" s="790">
        <f t="shared" si="18"/>
        <v>70041</v>
      </c>
      <c r="G47" s="473">
        <f t="shared" si="19"/>
        <v>0.59560000000000002</v>
      </c>
      <c r="H47" s="474">
        <f t="shared" si="19"/>
        <v>0.46400000000000002</v>
      </c>
      <c r="I47" s="474">
        <f t="shared" si="21"/>
        <v>2.8016399999999999</v>
      </c>
      <c r="J47" s="61">
        <f t="shared" si="22"/>
        <v>40</v>
      </c>
      <c r="K47" s="967">
        <f t="shared" si="23"/>
        <v>14.89</v>
      </c>
      <c r="L47" s="967">
        <f t="shared" si="24"/>
        <v>0.59560000000000002</v>
      </c>
      <c r="M47" s="967">
        <f t="shared" si="25"/>
        <v>13.469554999999994</v>
      </c>
      <c r="N47" s="54">
        <f t="shared" si="26"/>
        <v>40</v>
      </c>
      <c r="O47" s="968">
        <f t="shared" si="27"/>
        <v>11.6</v>
      </c>
      <c r="P47" s="968">
        <f t="shared" si="28"/>
        <v>0.46400000000000002</v>
      </c>
      <c r="Q47" s="969">
        <f t="shared" si="29"/>
        <v>10.382000000000005</v>
      </c>
      <c r="R47" s="247">
        <f t="shared" si="30"/>
        <v>40</v>
      </c>
      <c r="S47" s="24">
        <f t="shared" si="31"/>
        <v>70041</v>
      </c>
      <c r="T47" s="970">
        <f t="shared" si="32"/>
        <v>2.8016399999999999</v>
      </c>
      <c r="U47" s="971">
        <f t="shared" si="33"/>
        <v>62.760512659999982</v>
      </c>
    </row>
    <row r="48" spans="1:21" x14ac:dyDescent="0.2">
      <c r="A48" s="447">
        <f t="shared" si="0"/>
        <v>2035</v>
      </c>
      <c r="B48" s="403">
        <f>B47</f>
        <v>40</v>
      </c>
      <c r="C48" s="64">
        <f t="shared" ref="C48:C54" si="34">+C47+B48</f>
        <v>2674</v>
      </c>
      <c r="D48" s="965">
        <f t="shared" ref="D48:F48" si="35">+D47</f>
        <v>14.89</v>
      </c>
      <c r="E48" s="966">
        <f t="shared" si="35"/>
        <v>11.6</v>
      </c>
      <c r="F48" s="790">
        <f t="shared" si="35"/>
        <v>70041</v>
      </c>
      <c r="G48" s="473">
        <f t="shared" ref="G48:G54" si="36">+$B48*D48/1000</f>
        <v>0.59560000000000002</v>
      </c>
      <c r="H48" s="474">
        <f t="shared" ref="H48:H54" si="37">+$B48*E48/1000</f>
        <v>0.46400000000000002</v>
      </c>
      <c r="I48" s="474">
        <f t="shared" ref="I48:I54" si="38">+$B48*F48/1000000</f>
        <v>2.8016399999999999</v>
      </c>
      <c r="J48" s="61">
        <f t="shared" ref="J48:J54" si="39">+(B48+B47)/2</f>
        <v>40</v>
      </c>
      <c r="K48" s="967">
        <f t="shared" ref="K48:K54" si="40">+D48</f>
        <v>14.89</v>
      </c>
      <c r="L48" s="967">
        <f t="shared" ref="L48:L54" si="41">+J48*K48/1000</f>
        <v>0.59560000000000002</v>
      </c>
      <c r="M48" s="967">
        <f t="shared" ref="M48:M54" si="42">+M47+L48</f>
        <v>14.065154999999994</v>
      </c>
      <c r="N48" s="54">
        <f t="shared" ref="N48:N54" si="43">+B47</f>
        <v>40</v>
      </c>
      <c r="O48" s="968">
        <f t="shared" ref="O48:O54" si="44">+E48</f>
        <v>11.6</v>
      </c>
      <c r="P48" s="968">
        <f t="shared" ref="P48:P54" si="45">+N48*O48/1000</f>
        <v>0.46400000000000002</v>
      </c>
      <c r="Q48" s="969">
        <f t="shared" ref="Q48:Q54" si="46">+Q47+P48</f>
        <v>10.846000000000005</v>
      </c>
      <c r="R48" s="247">
        <f t="shared" ref="R48:R54" si="47">+(B48+B47)/2</f>
        <v>40</v>
      </c>
      <c r="S48" s="24">
        <f t="shared" ref="S48:S54" si="48">+F48</f>
        <v>70041</v>
      </c>
      <c r="T48" s="970">
        <f t="shared" ref="T48:T54" si="49">+R48*S48/1000000</f>
        <v>2.8016399999999999</v>
      </c>
      <c r="U48" s="971">
        <f t="shared" ref="U48:U54" si="50">+U47+T48</f>
        <v>65.562152659999981</v>
      </c>
    </row>
    <row r="49" spans="1:21" x14ac:dyDescent="0.2">
      <c r="A49" s="447">
        <f t="shared" si="0"/>
        <v>2036</v>
      </c>
      <c r="B49" s="403">
        <f t="shared" ref="B49:B54" si="51">B48</f>
        <v>40</v>
      </c>
      <c r="C49" s="64">
        <f t="shared" si="34"/>
        <v>2714</v>
      </c>
      <c r="D49" s="965">
        <f t="shared" ref="D49:F49" si="52">+D48</f>
        <v>14.89</v>
      </c>
      <c r="E49" s="966">
        <f t="shared" si="52"/>
        <v>11.6</v>
      </c>
      <c r="F49" s="790">
        <f t="shared" si="52"/>
        <v>70041</v>
      </c>
      <c r="G49" s="473">
        <f t="shared" si="36"/>
        <v>0.59560000000000002</v>
      </c>
      <c r="H49" s="474">
        <f t="shared" si="37"/>
        <v>0.46400000000000002</v>
      </c>
      <c r="I49" s="474">
        <f t="shared" si="38"/>
        <v>2.8016399999999999</v>
      </c>
      <c r="J49" s="61">
        <f t="shared" si="39"/>
        <v>40</v>
      </c>
      <c r="K49" s="967">
        <f t="shared" si="40"/>
        <v>14.89</v>
      </c>
      <c r="L49" s="967">
        <f t="shared" si="41"/>
        <v>0.59560000000000002</v>
      </c>
      <c r="M49" s="967">
        <f t="shared" si="42"/>
        <v>14.660754999999993</v>
      </c>
      <c r="N49" s="54">
        <f t="shared" si="43"/>
        <v>40</v>
      </c>
      <c r="O49" s="968">
        <f t="shared" si="44"/>
        <v>11.6</v>
      </c>
      <c r="P49" s="968">
        <f t="shared" si="45"/>
        <v>0.46400000000000002</v>
      </c>
      <c r="Q49" s="969">
        <f t="shared" si="46"/>
        <v>11.310000000000006</v>
      </c>
      <c r="R49" s="247">
        <f t="shared" si="47"/>
        <v>40</v>
      </c>
      <c r="S49" s="24">
        <f t="shared" si="48"/>
        <v>70041</v>
      </c>
      <c r="T49" s="970">
        <f t="shared" si="49"/>
        <v>2.8016399999999999</v>
      </c>
      <c r="U49" s="971">
        <f t="shared" si="50"/>
        <v>68.363792659999987</v>
      </c>
    </row>
    <row r="50" spans="1:21" x14ac:dyDescent="0.2">
      <c r="A50" s="447">
        <f t="shared" si="0"/>
        <v>2037</v>
      </c>
      <c r="B50" s="403">
        <f t="shared" si="51"/>
        <v>40</v>
      </c>
      <c r="C50" s="64">
        <f t="shared" si="34"/>
        <v>2754</v>
      </c>
      <c r="D50" s="965">
        <f t="shared" ref="D50:F50" si="53">+D49</f>
        <v>14.89</v>
      </c>
      <c r="E50" s="966">
        <f t="shared" si="53"/>
        <v>11.6</v>
      </c>
      <c r="F50" s="790">
        <f t="shared" si="53"/>
        <v>70041</v>
      </c>
      <c r="G50" s="473">
        <f t="shared" si="36"/>
        <v>0.59560000000000002</v>
      </c>
      <c r="H50" s="474">
        <f t="shared" si="37"/>
        <v>0.46400000000000002</v>
      </c>
      <c r="I50" s="474">
        <f t="shared" si="38"/>
        <v>2.8016399999999999</v>
      </c>
      <c r="J50" s="61">
        <f t="shared" si="39"/>
        <v>40</v>
      </c>
      <c r="K50" s="967">
        <f t="shared" si="40"/>
        <v>14.89</v>
      </c>
      <c r="L50" s="967">
        <f t="shared" si="41"/>
        <v>0.59560000000000002</v>
      </c>
      <c r="M50" s="967">
        <f t="shared" si="42"/>
        <v>15.256354999999992</v>
      </c>
      <c r="N50" s="54">
        <f t="shared" si="43"/>
        <v>40</v>
      </c>
      <c r="O50" s="968">
        <f t="shared" si="44"/>
        <v>11.6</v>
      </c>
      <c r="P50" s="968">
        <f t="shared" si="45"/>
        <v>0.46400000000000002</v>
      </c>
      <c r="Q50" s="969">
        <f t="shared" si="46"/>
        <v>11.774000000000006</v>
      </c>
      <c r="R50" s="247">
        <f t="shared" si="47"/>
        <v>40</v>
      </c>
      <c r="S50" s="24">
        <f t="shared" si="48"/>
        <v>70041</v>
      </c>
      <c r="T50" s="970">
        <f t="shared" si="49"/>
        <v>2.8016399999999999</v>
      </c>
      <c r="U50" s="971">
        <f t="shared" si="50"/>
        <v>71.165432659999993</v>
      </c>
    </row>
    <row r="51" spans="1:21" x14ac:dyDescent="0.2">
      <c r="A51" s="447">
        <f t="shared" si="0"/>
        <v>2038</v>
      </c>
      <c r="B51" s="403">
        <f t="shared" si="51"/>
        <v>40</v>
      </c>
      <c r="C51" s="64">
        <f t="shared" si="34"/>
        <v>2794</v>
      </c>
      <c r="D51" s="965">
        <f t="shared" ref="D51:F51" si="54">+D50</f>
        <v>14.89</v>
      </c>
      <c r="E51" s="966">
        <f t="shared" si="54"/>
        <v>11.6</v>
      </c>
      <c r="F51" s="790">
        <f t="shared" si="54"/>
        <v>70041</v>
      </c>
      <c r="G51" s="473">
        <f t="shared" si="36"/>
        <v>0.59560000000000002</v>
      </c>
      <c r="H51" s="474">
        <f t="shared" si="37"/>
        <v>0.46400000000000002</v>
      </c>
      <c r="I51" s="474">
        <f t="shared" si="38"/>
        <v>2.8016399999999999</v>
      </c>
      <c r="J51" s="61">
        <f t="shared" si="39"/>
        <v>40</v>
      </c>
      <c r="K51" s="967">
        <f t="shared" si="40"/>
        <v>14.89</v>
      </c>
      <c r="L51" s="967">
        <f t="shared" si="41"/>
        <v>0.59560000000000002</v>
      </c>
      <c r="M51" s="967">
        <f t="shared" si="42"/>
        <v>15.851954999999991</v>
      </c>
      <c r="N51" s="54">
        <f t="shared" si="43"/>
        <v>40</v>
      </c>
      <c r="O51" s="968">
        <f t="shared" si="44"/>
        <v>11.6</v>
      </c>
      <c r="P51" s="968">
        <f t="shared" si="45"/>
        <v>0.46400000000000002</v>
      </c>
      <c r="Q51" s="969">
        <f t="shared" si="46"/>
        <v>12.238000000000007</v>
      </c>
      <c r="R51" s="247">
        <f t="shared" si="47"/>
        <v>40</v>
      </c>
      <c r="S51" s="24">
        <f t="shared" si="48"/>
        <v>70041</v>
      </c>
      <c r="T51" s="970">
        <f t="shared" si="49"/>
        <v>2.8016399999999999</v>
      </c>
      <c r="U51" s="971">
        <f t="shared" si="50"/>
        <v>73.967072659999999</v>
      </c>
    </row>
    <row r="52" spans="1:21" x14ac:dyDescent="0.2">
      <c r="A52" s="447">
        <f t="shared" si="0"/>
        <v>2039</v>
      </c>
      <c r="B52" s="403">
        <f t="shared" si="51"/>
        <v>40</v>
      </c>
      <c r="C52" s="64">
        <f t="shared" si="34"/>
        <v>2834</v>
      </c>
      <c r="D52" s="965">
        <f t="shared" ref="D52:F52" si="55">+D51</f>
        <v>14.89</v>
      </c>
      <c r="E52" s="966">
        <f t="shared" si="55"/>
        <v>11.6</v>
      </c>
      <c r="F52" s="790">
        <f t="shared" si="55"/>
        <v>70041</v>
      </c>
      <c r="G52" s="473">
        <f t="shared" si="36"/>
        <v>0.59560000000000002</v>
      </c>
      <c r="H52" s="474">
        <f t="shared" si="37"/>
        <v>0.46400000000000002</v>
      </c>
      <c r="I52" s="474">
        <f t="shared" si="38"/>
        <v>2.8016399999999999</v>
      </c>
      <c r="J52" s="61">
        <f t="shared" si="39"/>
        <v>40</v>
      </c>
      <c r="K52" s="967">
        <f t="shared" si="40"/>
        <v>14.89</v>
      </c>
      <c r="L52" s="967">
        <f t="shared" si="41"/>
        <v>0.59560000000000002</v>
      </c>
      <c r="M52" s="967">
        <f t="shared" si="42"/>
        <v>16.447554999999991</v>
      </c>
      <c r="N52" s="54">
        <f t="shared" si="43"/>
        <v>40</v>
      </c>
      <c r="O52" s="968">
        <f t="shared" si="44"/>
        <v>11.6</v>
      </c>
      <c r="P52" s="968">
        <f t="shared" si="45"/>
        <v>0.46400000000000002</v>
      </c>
      <c r="Q52" s="969">
        <f t="shared" si="46"/>
        <v>12.702000000000007</v>
      </c>
      <c r="R52" s="247">
        <f t="shared" si="47"/>
        <v>40</v>
      </c>
      <c r="S52" s="24">
        <f t="shared" si="48"/>
        <v>70041</v>
      </c>
      <c r="T52" s="970">
        <f t="shared" si="49"/>
        <v>2.8016399999999999</v>
      </c>
      <c r="U52" s="971">
        <f t="shared" si="50"/>
        <v>76.768712660000006</v>
      </c>
    </row>
    <row r="53" spans="1:21" x14ac:dyDescent="0.2">
      <c r="A53" s="447">
        <f t="shared" si="0"/>
        <v>2040</v>
      </c>
      <c r="B53" s="403">
        <f t="shared" si="51"/>
        <v>40</v>
      </c>
      <c r="C53" s="64">
        <f t="shared" si="34"/>
        <v>2874</v>
      </c>
      <c r="D53" s="965">
        <f t="shared" ref="D53:F53" si="56">+D52</f>
        <v>14.89</v>
      </c>
      <c r="E53" s="966">
        <f t="shared" si="56"/>
        <v>11.6</v>
      </c>
      <c r="F53" s="790">
        <f t="shared" si="56"/>
        <v>70041</v>
      </c>
      <c r="G53" s="473">
        <f t="shared" si="36"/>
        <v>0.59560000000000002</v>
      </c>
      <c r="H53" s="474">
        <f t="shared" si="37"/>
        <v>0.46400000000000002</v>
      </c>
      <c r="I53" s="474">
        <f t="shared" si="38"/>
        <v>2.8016399999999999</v>
      </c>
      <c r="J53" s="61">
        <f t="shared" si="39"/>
        <v>40</v>
      </c>
      <c r="K53" s="967">
        <f t="shared" si="40"/>
        <v>14.89</v>
      </c>
      <c r="L53" s="967">
        <f t="shared" si="41"/>
        <v>0.59560000000000002</v>
      </c>
      <c r="M53" s="967">
        <f t="shared" si="42"/>
        <v>17.043154999999992</v>
      </c>
      <c r="N53" s="54">
        <f t="shared" si="43"/>
        <v>40</v>
      </c>
      <c r="O53" s="968">
        <f t="shared" si="44"/>
        <v>11.6</v>
      </c>
      <c r="P53" s="968">
        <f t="shared" si="45"/>
        <v>0.46400000000000002</v>
      </c>
      <c r="Q53" s="969">
        <f t="shared" si="46"/>
        <v>13.166000000000007</v>
      </c>
      <c r="R53" s="247">
        <f t="shared" si="47"/>
        <v>40</v>
      </c>
      <c r="S53" s="24">
        <f t="shared" si="48"/>
        <v>70041</v>
      </c>
      <c r="T53" s="970">
        <f t="shared" si="49"/>
        <v>2.8016399999999999</v>
      </c>
      <c r="U53" s="971">
        <f t="shared" si="50"/>
        <v>79.570352660000012</v>
      </c>
    </row>
    <row r="54" spans="1:21" x14ac:dyDescent="0.2">
      <c r="A54" s="447">
        <f t="shared" si="0"/>
        <v>2041</v>
      </c>
      <c r="B54" s="403">
        <f t="shared" si="51"/>
        <v>40</v>
      </c>
      <c r="C54" s="64">
        <f t="shared" si="34"/>
        <v>2914</v>
      </c>
      <c r="D54" s="965">
        <f t="shared" ref="D54:F54" si="57">+D53</f>
        <v>14.89</v>
      </c>
      <c r="E54" s="966">
        <f t="shared" si="57"/>
        <v>11.6</v>
      </c>
      <c r="F54" s="790">
        <f t="shared" si="57"/>
        <v>70041</v>
      </c>
      <c r="G54" s="473">
        <f t="shared" si="36"/>
        <v>0.59560000000000002</v>
      </c>
      <c r="H54" s="474">
        <f t="shared" si="37"/>
        <v>0.46400000000000002</v>
      </c>
      <c r="I54" s="474">
        <f t="shared" si="38"/>
        <v>2.8016399999999999</v>
      </c>
      <c r="J54" s="61">
        <f t="shared" si="39"/>
        <v>40</v>
      </c>
      <c r="K54" s="967">
        <f t="shared" si="40"/>
        <v>14.89</v>
      </c>
      <c r="L54" s="967">
        <f t="shared" si="41"/>
        <v>0.59560000000000002</v>
      </c>
      <c r="M54" s="967">
        <f t="shared" si="42"/>
        <v>17.638754999999993</v>
      </c>
      <c r="N54" s="54">
        <f t="shared" si="43"/>
        <v>40</v>
      </c>
      <c r="O54" s="968">
        <f t="shared" si="44"/>
        <v>11.6</v>
      </c>
      <c r="P54" s="968">
        <f t="shared" si="45"/>
        <v>0.46400000000000002</v>
      </c>
      <c r="Q54" s="969">
        <f t="shared" si="46"/>
        <v>13.630000000000008</v>
      </c>
      <c r="R54" s="247">
        <f t="shared" si="47"/>
        <v>40</v>
      </c>
      <c r="S54" s="24">
        <f t="shared" si="48"/>
        <v>70041</v>
      </c>
      <c r="T54" s="970">
        <f t="shared" si="49"/>
        <v>2.8016399999999999</v>
      </c>
      <c r="U54" s="971">
        <f t="shared" si="50"/>
        <v>82.371992660000018</v>
      </c>
    </row>
    <row r="55" spans="1:21" x14ac:dyDescent="0.2">
      <c r="D55" s="972"/>
      <c r="E55" s="972"/>
      <c r="F55" s="973"/>
      <c r="G55" s="974"/>
      <c r="H55" s="974"/>
      <c r="I55" s="974"/>
      <c r="J55" s="961"/>
      <c r="K55" s="975"/>
      <c r="L55" s="975"/>
      <c r="M55" s="975"/>
      <c r="N55" s="962"/>
      <c r="O55" s="976"/>
      <c r="P55" s="976"/>
      <c r="Q55" s="976"/>
      <c r="R55" s="963"/>
      <c r="S55" s="964"/>
      <c r="T55" s="977"/>
      <c r="U55" s="977"/>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v>2015</v>
      </c>
      <c r="B61" s="956" t="s">
        <v>386</v>
      </c>
      <c r="D61">
        <f>970.95/B28</f>
        <v>11.290116279069768</v>
      </c>
      <c r="E61">
        <f>756.24/B28</f>
        <v>8.793488372093023</v>
      </c>
      <c r="F61">
        <f>3369521.32/B28</f>
        <v>39180.480465116278</v>
      </c>
    </row>
  </sheetData>
  <mergeCells count="5">
    <mergeCell ref="G3:I3"/>
    <mergeCell ref="B4:I4"/>
    <mergeCell ref="J4:M4"/>
    <mergeCell ref="N4:Q4"/>
    <mergeCell ref="R4:U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1CBE06"/>
  </sheetPr>
  <dimension ref="A1:X61"/>
  <sheetViews>
    <sheetView topLeftCell="A8" workbookViewId="0">
      <selection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328</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30"/>
      <c r="E8" s="210"/>
      <c r="F8" s="806"/>
      <c r="G8" s="452"/>
      <c r="H8" s="72"/>
      <c r="I8" s="72"/>
      <c r="J8" s="61"/>
      <c r="K8" s="59"/>
      <c r="L8" s="59"/>
      <c r="M8" s="60"/>
      <c r="N8" s="51"/>
      <c r="O8" s="55"/>
      <c r="P8" s="55"/>
      <c r="Q8" s="56"/>
      <c r="R8" s="247"/>
      <c r="S8" s="24"/>
      <c r="T8" s="25"/>
      <c r="U8" s="53"/>
      <c r="V8" s="248"/>
      <c r="X8" s="1"/>
    </row>
    <row r="9" spans="1:24" x14ac:dyDescent="0.2">
      <c r="A9" s="33">
        <v>1996</v>
      </c>
      <c r="B9" s="30"/>
      <c r="C9" s="660"/>
      <c r="D9" s="30"/>
      <c r="E9" s="210"/>
      <c r="F9" s="806"/>
      <c r="G9" s="452"/>
      <c r="H9" s="72"/>
      <c r="I9" s="72"/>
      <c r="J9" s="61"/>
      <c r="K9" s="59"/>
      <c r="L9" s="59"/>
      <c r="M9" s="60"/>
      <c r="N9" s="54"/>
      <c r="O9" s="55"/>
      <c r="P9" s="55"/>
      <c r="Q9" s="56"/>
      <c r="R9" s="247"/>
      <c r="S9" s="24"/>
      <c r="T9" s="25"/>
      <c r="U9" s="53"/>
      <c r="V9" s="10"/>
      <c r="X9" s="1"/>
    </row>
    <row r="10" spans="1:24" x14ac:dyDescent="0.2">
      <c r="A10" s="33">
        <v>1997</v>
      </c>
      <c r="B10" s="30"/>
      <c r="C10" s="660"/>
      <c r="D10" s="30"/>
      <c r="E10" s="210"/>
      <c r="F10" s="806"/>
      <c r="G10" s="452"/>
      <c r="H10" s="72"/>
      <c r="I10" s="72"/>
      <c r="J10" s="61"/>
      <c r="K10" s="59"/>
      <c r="L10" s="59"/>
      <c r="M10" s="60"/>
      <c r="N10" s="54"/>
      <c r="O10" s="55"/>
      <c r="P10" s="55"/>
      <c r="Q10" s="56"/>
      <c r="R10" s="247"/>
      <c r="S10" s="24"/>
      <c r="T10" s="25"/>
      <c r="U10" s="53"/>
      <c r="V10" s="10"/>
      <c r="X10" s="1"/>
    </row>
    <row r="11" spans="1:24" x14ac:dyDescent="0.2">
      <c r="A11" s="33">
        <v>1998</v>
      </c>
      <c r="B11" s="30"/>
      <c r="C11" s="660"/>
      <c r="D11" s="30"/>
      <c r="E11" s="210"/>
      <c r="F11" s="806"/>
      <c r="G11" s="452"/>
      <c r="H11" s="72"/>
      <c r="I11" s="72"/>
      <c r="J11" s="61"/>
      <c r="K11" s="59"/>
      <c r="L11" s="59"/>
      <c r="M11" s="60"/>
      <c r="N11" s="54"/>
      <c r="O11" s="55"/>
      <c r="P11" s="55"/>
      <c r="Q11" s="56"/>
      <c r="R11" s="247"/>
      <c r="S11" s="24"/>
      <c r="T11" s="25"/>
      <c r="U11" s="53"/>
      <c r="V11" s="10"/>
      <c r="X11" s="1"/>
    </row>
    <row r="12" spans="1:24" x14ac:dyDescent="0.2">
      <c r="A12" s="33">
        <v>1999</v>
      </c>
      <c r="B12" s="30"/>
      <c r="C12" s="660"/>
      <c r="D12" s="30"/>
      <c r="E12" s="210"/>
      <c r="F12" s="806"/>
      <c r="G12" s="452"/>
      <c r="H12" s="72"/>
      <c r="I12" s="72"/>
      <c r="J12" s="61"/>
      <c r="K12" s="59"/>
      <c r="L12" s="59"/>
      <c r="M12" s="60"/>
      <c r="N12" s="54"/>
      <c r="O12" s="55"/>
      <c r="P12" s="55"/>
      <c r="Q12" s="56"/>
      <c r="R12" s="247"/>
      <c r="S12" s="24"/>
      <c r="T12" s="25"/>
      <c r="U12" s="53"/>
      <c r="V12" s="10"/>
      <c r="X12" s="1"/>
    </row>
    <row r="13" spans="1:24" x14ac:dyDescent="0.2">
      <c r="A13" s="33">
        <v>2000</v>
      </c>
      <c r="B13" s="30"/>
      <c r="C13" s="660"/>
      <c r="D13" s="30"/>
      <c r="E13" s="210"/>
      <c r="F13" s="806"/>
      <c r="G13" s="452"/>
      <c r="H13" s="72"/>
      <c r="I13" s="72"/>
      <c r="J13" s="61"/>
      <c r="K13" s="59"/>
      <c r="L13" s="59"/>
      <c r="M13" s="60"/>
      <c r="N13" s="54"/>
      <c r="O13" s="55"/>
      <c r="P13" s="55"/>
      <c r="Q13" s="56"/>
      <c r="R13" s="247"/>
      <c r="S13" s="24"/>
      <c r="T13" s="25"/>
      <c r="U13" s="53"/>
      <c r="V13" s="248"/>
      <c r="X13" s="1"/>
    </row>
    <row r="14" spans="1:24" x14ac:dyDescent="0.2">
      <c r="A14" s="33">
        <v>2001</v>
      </c>
      <c r="B14" s="30"/>
      <c r="C14" s="660"/>
      <c r="D14" s="30"/>
      <c r="E14" s="210"/>
      <c r="F14" s="806"/>
      <c r="G14" s="452"/>
      <c r="H14" s="72"/>
      <c r="I14" s="72"/>
      <c r="J14" s="61"/>
      <c r="K14" s="59"/>
      <c r="L14" s="59"/>
      <c r="M14" s="60"/>
      <c r="N14" s="54"/>
      <c r="O14" s="55"/>
      <c r="P14" s="55"/>
      <c r="Q14" s="56"/>
      <c r="R14" s="247"/>
      <c r="S14" s="24"/>
      <c r="T14" s="25"/>
      <c r="U14" s="53"/>
      <c r="V14" s="248"/>
      <c r="X14" s="1"/>
    </row>
    <row r="15" spans="1:24" x14ac:dyDescent="0.2">
      <c r="A15" s="33">
        <v>2002</v>
      </c>
      <c r="B15" s="30"/>
      <c r="C15" s="660"/>
      <c r="D15" s="30"/>
      <c r="E15" s="210"/>
      <c r="F15" s="806"/>
      <c r="G15" s="452"/>
      <c r="H15" s="72"/>
      <c r="I15" s="72"/>
      <c r="J15" s="61"/>
      <c r="K15" s="59"/>
      <c r="L15" s="59"/>
      <c r="M15" s="60"/>
      <c r="N15" s="54"/>
      <c r="O15" s="55"/>
      <c r="P15" s="55"/>
      <c r="Q15" s="56"/>
      <c r="R15" s="247"/>
      <c r="S15" s="24"/>
      <c r="T15" s="25"/>
      <c r="U15" s="53"/>
      <c r="V15" s="248"/>
      <c r="X15" s="1"/>
    </row>
    <row r="16" spans="1:24" x14ac:dyDescent="0.2">
      <c r="A16" s="33">
        <v>2003</v>
      </c>
      <c r="B16" s="30"/>
      <c r="C16" s="660"/>
      <c r="D16" s="30"/>
      <c r="E16" s="210"/>
      <c r="F16" s="806"/>
      <c r="G16" s="452"/>
      <c r="H16" s="72"/>
      <c r="I16" s="72"/>
      <c r="J16" s="61"/>
      <c r="K16" s="59"/>
      <c r="L16" s="59"/>
      <c r="M16" s="60"/>
      <c r="N16" s="54"/>
      <c r="O16" s="55"/>
      <c r="P16" s="55"/>
      <c r="Q16" s="56"/>
      <c r="R16" s="247"/>
      <c r="S16" s="24"/>
      <c r="T16" s="25"/>
      <c r="U16" s="53"/>
      <c r="V16" s="248"/>
      <c r="X16" s="1"/>
    </row>
    <row r="17" spans="1:24" x14ac:dyDescent="0.2">
      <c r="A17" s="33">
        <f t="shared" ref="A17:A54" si="0">+A16+1</f>
        <v>2004</v>
      </c>
      <c r="B17" s="30"/>
      <c r="C17" s="660"/>
      <c r="D17" s="30"/>
      <c r="E17" s="210"/>
      <c r="F17" s="806"/>
      <c r="G17" s="452"/>
      <c r="H17" s="72"/>
      <c r="I17" s="72"/>
      <c r="J17" s="61"/>
      <c r="K17" s="59"/>
      <c r="L17" s="59"/>
      <c r="M17" s="60"/>
      <c r="N17" s="54"/>
      <c r="O17" s="55"/>
      <c r="P17" s="55"/>
      <c r="Q17" s="56"/>
      <c r="R17" s="247"/>
      <c r="S17" s="24"/>
      <c r="T17" s="25"/>
      <c r="U17" s="53"/>
      <c r="V17" s="248"/>
      <c r="X17" s="1"/>
    </row>
    <row r="18" spans="1:24" x14ac:dyDescent="0.2">
      <c r="A18" s="33">
        <f t="shared" si="0"/>
        <v>2005</v>
      </c>
      <c r="B18" s="30"/>
      <c r="C18" s="660"/>
      <c r="D18" s="30"/>
      <c r="E18" s="210"/>
      <c r="F18" s="806"/>
      <c r="G18" s="452"/>
      <c r="H18" s="72"/>
      <c r="I18" s="72"/>
      <c r="J18" s="61"/>
      <c r="K18" s="59"/>
      <c r="L18" s="59"/>
      <c r="M18" s="60"/>
      <c r="N18" s="54"/>
      <c r="O18" s="55"/>
      <c r="P18" s="55"/>
      <c r="Q18" s="56"/>
      <c r="R18" s="247"/>
      <c r="S18" s="24"/>
      <c r="T18" s="25"/>
      <c r="U18" s="53"/>
      <c r="V18" s="248"/>
      <c r="X18" s="1"/>
    </row>
    <row r="19" spans="1:24" x14ac:dyDescent="0.2">
      <c r="A19" s="33">
        <f t="shared" si="0"/>
        <v>2006</v>
      </c>
      <c r="B19" s="30"/>
      <c r="C19" s="660"/>
      <c r="D19" s="30"/>
      <c r="E19" s="210"/>
      <c r="F19" s="806"/>
      <c r="G19" s="452"/>
      <c r="H19" s="72"/>
      <c r="I19" s="72"/>
      <c r="J19" s="61"/>
      <c r="K19" s="59"/>
      <c r="L19" s="59"/>
      <c r="M19" s="60"/>
      <c r="N19" s="54"/>
      <c r="O19" s="55"/>
      <c r="P19" s="55"/>
      <c r="Q19" s="56"/>
      <c r="R19" s="247"/>
      <c r="S19" s="24"/>
      <c r="T19" s="25"/>
      <c r="U19" s="53"/>
      <c r="V19" s="804"/>
      <c r="X19" s="1"/>
    </row>
    <row r="20" spans="1:24" x14ac:dyDescent="0.2">
      <c r="A20" s="33">
        <f t="shared" si="0"/>
        <v>2007</v>
      </c>
      <c r="B20" s="30"/>
      <c r="C20" s="660"/>
      <c r="D20" s="30"/>
      <c r="E20" s="210"/>
      <c r="F20" s="806"/>
      <c r="G20" s="452"/>
      <c r="H20" s="72"/>
      <c r="I20" s="72"/>
      <c r="J20" s="61"/>
      <c r="K20" s="59"/>
      <c r="L20" s="59"/>
      <c r="M20" s="60"/>
      <c r="N20" s="54"/>
      <c r="O20" s="55"/>
      <c r="P20" s="55"/>
      <c r="Q20" s="56"/>
      <c r="R20" s="247"/>
      <c r="S20" s="24"/>
      <c r="T20" s="25"/>
      <c r="U20" s="53"/>
    </row>
    <row r="21" spans="1:24" x14ac:dyDescent="0.2">
      <c r="A21" s="33">
        <f t="shared" si="0"/>
        <v>2008</v>
      </c>
      <c r="B21" s="30"/>
      <c r="C21" s="660"/>
      <c r="D21" s="30"/>
      <c r="E21" s="210"/>
      <c r="F21" s="806"/>
      <c r="G21" s="452"/>
      <c r="H21" s="72"/>
      <c r="I21" s="72"/>
      <c r="J21" s="61"/>
      <c r="K21" s="59"/>
      <c r="L21" s="59"/>
      <c r="M21" s="60"/>
      <c r="N21" s="54"/>
      <c r="O21" s="55"/>
      <c r="P21" s="55"/>
      <c r="Q21" s="56"/>
      <c r="R21" s="247"/>
      <c r="S21" s="24"/>
      <c r="T21" s="25"/>
      <c r="U21" s="53"/>
    </row>
    <row r="22" spans="1:24" x14ac:dyDescent="0.2">
      <c r="A22" s="33">
        <f t="shared" si="0"/>
        <v>2009</v>
      </c>
      <c r="B22" s="30"/>
      <c r="C22" s="660"/>
      <c r="D22" s="30">
        <v>0</v>
      </c>
      <c r="E22" s="210">
        <v>0</v>
      </c>
      <c r="F22" s="806">
        <v>0</v>
      </c>
      <c r="G22" s="452"/>
      <c r="H22" s="72"/>
      <c r="I22" s="72"/>
      <c r="J22" s="61"/>
      <c r="K22" s="59"/>
      <c r="L22" s="59"/>
      <c r="M22" s="60"/>
      <c r="N22" s="54"/>
      <c r="O22" s="55"/>
      <c r="P22" s="55"/>
      <c r="Q22" s="56"/>
      <c r="R22" s="247"/>
      <c r="S22" s="24"/>
      <c r="T22" s="25"/>
      <c r="U22" s="53"/>
    </row>
    <row r="23" spans="1:24" x14ac:dyDescent="0.2">
      <c r="A23" s="33">
        <f t="shared" si="0"/>
        <v>2010</v>
      </c>
      <c r="B23" s="30">
        <v>0</v>
      </c>
      <c r="C23" s="661">
        <f t="shared" ref="C23:C39" si="1">+C22+B23</f>
        <v>0</v>
      </c>
      <c r="D23" s="30">
        <f t="shared" ref="D23:F38" si="2">+D22</f>
        <v>0</v>
      </c>
      <c r="E23" s="210">
        <f t="shared" si="2"/>
        <v>0</v>
      </c>
      <c r="F23" s="806">
        <f t="shared" si="2"/>
        <v>0</v>
      </c>
      <c r="G23" s="452">
        <f t="shared" ref="G23:H39" si="3">+$B23*D23/1000</f>
        <v>0</v>
      </c>
      <c r="H23" s="72">
        <f t="shared" si="3"/>
        <v>0</v>
      </c>
      <c r="I23" s="72">
        <f t="shared" ref="I23:I39" si="4">+$B23*F23/1000000</f>
        <v>0</v>
      </c>
      <c r="J23" s="61">
        <f t="shared" ref="J23:J39" si="5">+(B23+B22)/2</f>
        <v>0</v>
      </c>
      <c r="K23" s="651">
        <f t="shared" ref="K23:K39" si="6">+D23</f>
        <v>0</v>
      </c>
      <c r="L23" s="651">
        <f t="shared" ref="L23:L39" si="7">+J23*K23/1000</f>
        <v>0</v>
      </c>
      <c r="M23" s="652">
        <f t="shared" ref="M23:M39" si="8">+M22+L23</f>
        <v>0</v>
      </c>
      <c r="N23" s="54">
        <f t="shared" ref="N23:N39" si="9">+B22</f>
        <v>0</v>
      </c>
      <c r="O23" s="597">
        <f t="shared" ref="O23:O39" si="10">+E23</f>
        <v>0</v>
      </c>
      <c r="P23" s="597">
        <f t="shared" ref="P23:P39" si="11">+N23*O23/1000</f>
        <v>0</v>
      </c>
      <c r="Q23" s="653">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0</v>
      </c>
      <c r="C24" s="661">
        <f t="shared" si="1"/>
        <v>0</v>
      </c>
      <c r="D24" s="30">
        <f t="shared" si="2"/>
        <v>0</v>
      </c>
      <c r="E24" s="210">
        <f t="shared" si="2"/>
        <v>0</v>
      </c>
      <c r="F24" s="806">
        <f t="shared" si="2"/>
        <v>0</v>
      </c>
      <c r="G24" s="452">
        <f t="shared" si="3"/>
        <v>0</v>
      </c>
      <c r="H24" s="72">
        <f t="shared" si="3"/>
        <v>0</v>
      </c>
      <c r="I24" s="72">
        <f t="shared" si="4"/>
        <v>0</v>
      </c>
      <c r="J24" s="61">
        <f t="shared" si="5"/>
        <v>0</v>
      </c>
      <c r="K24" s="651">
        <f t="shared" si="6"/>
        <v>0</v>
      </c>
      <c r="L24" s="651">
        <f t="shared" si="7"/>
        <v>0</v>
      </c>
      <c r="M24" s="652">
        <f t="shared" si="8"/>
        <v>0</v>
      </c>
      <c r="N24" s="54">
        <f t="shared" si="9"/>
        <v>0</v>
      </c>
      <c r="O24" s="597">
        <f t="shared" si="10"/>
        <v>0</v>
      </c>
      <c r="P24" s="597">
        <f t="shared" si="11"/>
        <v>0</v>
      </c>
      <c r="Q24" s="653">
        <f t="shared" si="12"/>
        <v>0</v>
      </c>
      <c r="R24" s="247">
        <f t="shared" si="13"/>
        <v>0</v>
      </c>
      <c r="S24" s="24">
        <f t="shared" si="14"/>
        <v>0</v>
      </c>
      <c r="T24" s="25">
        <f t="shared" si="15"/>
        <v>0</v>
      </c>
      <c r="U24" s="654">
        <f t="shared" si="16"/>
        <v>0</v>
      </c>
    </row>
    <row r="25" spans="1:24" x14ac:dyDescent="0.2">
      <c r="A25" s="33">
        <f t="shared" si="0"/>
        <v>2012</v>
      </c>
      <c r="B25" s="30">
        <v>0</v>
      </c>
      <c r="C25" s="619">
        <f t="shared" si="1"/>
        <v>0</v>
      </c>
      <c r="D25" s="30">
        <f t="shared" si="2"/>
        <v>0</v>
      </c>
      <c r="E25" s="210">
        <f t="shared" si="2"/>
        <v>0</v>
      </c>
      <c r="F25" s="806">
        <f t="shared" si="2"/>
        <v>0</v>
      </c>
      <c r="G25" s="452">
        <f t="shared" si="3"/>
        <v>0</v>
      </c>
      <c r="H25" s="72">
        <f t="shared" si="3"/>
        <v>0</v>
      </c>
      <c r="I25" s="72">
        <f t="shared" si="4"/>
        <v>0</v>
      </c>
      <c r="J25" s="61">
        <f t="shared" si="5"/>
        <v>0</v>
      </c>
      <c r="K25" s="651">
        <f t="shared" si="6"/>
        <v>0</v>
      </c>
      <c r="L25" s="651">
        <f t="shared" si="7"/>
        <v>0</v>
      </c>
      <c r="M25" s="652">
        <f t="shared" si="8"/>
        <v>0</v>
      </c>
      <c r="N25" s="54">
        <f t="shared" si="9"/>
        <v>0</v>
      </c>
      <c r="O25" s="597">
        <f t="shared" si="10"/>
        <v>0</v>
      </c>
      <c r="P25" s="597">
        <f t="shared" si="11"/>
        <v>0</v>
      </c>
      <c r="Q25" s="653">
        <f t="shared" si="12"/>
        <v>0</v>
      </c>
      <c r="R25" s="247">
        <f t="shared" si="13"/>
        <v>0</v>
      </c>
      <c r="S25" s="24">
        <f t="shared" si="14"/>
        <v>0</v>
      </c>
      <c r="T25" s="25">
        <f t="shared" si="15"/>
        <v>0</v>
      </c>
      <c r="U25" s="654">
        <f t="shared" si="16"/>
        <v>0</v>
      </c>
    </row>
    <row r="26" spans="1:24" x14ac:dyDescent="0.2">
      <c r="A26" s="283">
        <f t="shared" si="0"/>
        <v>2013</v>
      </c>
      <c r="B26" s="882">
        <v>0</v>
      </c>
      <c r="C26" s="883">
        <f t="shared" si="1"/>
        <v>0</v>
      </c>
      <c r="D26" s="882">
        <f t="shared" si="2"/>
        <v>0</v>
      </c>
      <c r="E26" s="884">
        <f t="shared" si="2"/>
        <v>0</v>
      </c>
      <c r="F26" s="834">
        <f t="shared" si="2"/>
        <v>0</v>
      </c>
      <c r="G26" s="885">
        <f t="shared" si="3"/>
        <v>0</v>
      </c>
      <c r="H26" s="886">
        <f t="shared" si="3"/>
        <v>0</v>
      </c>
      <c r="I26" s="886">
        <f t="shared" si="4"/>
        <v>0</v>
      </c>
      <c r="J26" s="138">
        <f t="shared" si="5"/>
        <v>0</v>
      </c>
      <c r="K26" s="887">
        <f t="shared" si="6"/>
        <v>0</v>
      </c>
      <c r="L26" s="887">
        <f t="shared" si="7"/>
        <v>0</v>
      </c>
      <c r="M26" s="888">
        <f t="shared" si="8"/>
        <v>0</v>
      </c>
      <c r="N26" s="141">
        <f t="shared" si="9"/>
        <v>0</v>
      </c>
      <c r="O26" s="889">
        <f t="shared" si="10"/>
        <v>0</v>
      </c>
      <c r="P26" s="889">
        <f t="shared" si="11"/>
        <v>0</v>
      </c>
      <c r="Q26" s="890">
        <f t="shared" si="12"/>
        <v>0</v>
      </c>
      <c r="R26" s="891">
        <f t="shared" si="13"/>
        <v>0</v>
      </c>
      <c r="S26" s="145">
        <f t="shared" si="14"/>
        <v>0</v>
      </c>
      <c r="T26" s="146">
        <f t="shared" si="15"/>
        <v>0</v>
      </c>
      <c r="U26" s="892">
        <f t="shared" si="16"/>
        <v>0</v>
      </c>
    </row>
    <row r="27" spans="1:24" x14ac:dyDescent="0.2">
      <c r="A27" s="283">
        <f t="shared" si="0"/>
        <v>2014</v>
      </c>
      <c r="B27" s="882">
        <v>0</v>
      </c>
      <c r="C27" s="1250">
        <v>137</v>
      </c>
      <c r="D27" s="882">
        <f t="shared" si="2"/>
        <v>0</v>
      </c>
      <c r="E27" s="884">
        <f t="shared" si="2"/>
        <v>0</v>
      </c>
      <c r="F27" s="834">
        <f t="shared" si="2"/>
        <v>0</v>
      </c>
      <c r="G27" s="885">
        <f t="shared" si="3"/>
        <v>0</v>
      </c>
      <c r="H27" s="886">
        <f t="shared" si="3"/>
        <v>0</v>
      </c>
      <c r="I27" s="886">
        <f t="shared" si="4"/>
        <v>0</v>
      </c>
      <c r="J27" s="138">
        <f t="shared" si="5"/>
        <v>0</v>
      </c>
      <c r="K27" s="887">
        <f t="shared" si="6"/>
        <v>0</v>
      </c>
      <c r="L27" s="887">
        <f t="shared" si="7"/>
        <v>0</v>
      </c>
      <c r="M27" s="888">
        <f t="shared" si="8"/>
        <v>0</v>
      </c>
      <c r="N27" s="141">
        <f t="shared" si="9"/>
        <v>0</v>
      </c>
      <c r="O27" s="889">
        <f t="shared" si="10"/>
        <v>0</v>
      </c>
      <c r="P27" s="889">
        <f t="shared" si="11"/>
        <v>0</v>
      </c>
      <c r="Q27" s="890">
        <f t="shared" si="12"/>
        <v>0</v>
      </c>
      <c r="R27" s="891">
        <f t="shared" si="13"/>
        <v>0</v>
      </c>
      <c r="S27" s="145">
        <f t="shared" si="14"/>
        <v>0</v>
      </c>
      <c r="T27" s="146">
        <f t="shared" si="15"/>
        <v>0</v>
      </c>
      <c r="U27" s="892">
        <f t="shared" si="16"/>
        <v>0</v>
      </c>
    </row>
    <row r="28" spans="1:24" x14ac:dyDescent="0.2">
      <c r="A28" s="283">
        <f t="shared" si="0"/>
        <v>2015</v>
      </c>
      <c r="B28" s="882">
        <v>16</v>
      </c>
      <c r="C28" s="883">
        <f t="shared" si="1"/>
        <v>153</v>
      </c>
      <c r="D28" s="882">
        <f>D61</f>
        <v>11.39875</v>
      </c>
      <c r="E28" s="884">
        <f t="shared" ref="E28:F28" si="17">E61</f>
        <v>11.39875</v>
      </c>
      <c r="F28" s="834">
        <f t="shared" si="17"/>
        <v>49431.303749999999</v>
      </c>
      <c r="G28" s="885">
        <f t="shared" si="3"/>
        <v>0.18237999999999999</v>
      </c>
      <c r="H28" s="886">
        <f t="shared" si="3"/>
        <v>0.18237999999999999</v>
      </c>
      <c r="I28" s="886">
        <f t="shared" si="4"/>
        <v>0.79090086000000004</v>
      </c>
      <c r="J28" s="138">
        <f t="shared" si="5"/>
        <v>8</v>
      </c>
      <c r="K28" s="887">
        <f t="shared" si="6"/>
        <v>11.39875</v>
      </c>
      <c r="L28" s="887">
        <f t="shared" si="7"/>
        <v>9.1189999999999993E-2</v>
      </c>
      <c r="M28" s="888">
        <f t="shared" si="8"/>
        <v>9.1189999999999993E-2</v>
      </c>
      <c r="N28" s="141">
        <f t="shared" si="9"/>
        <v>0</v>
      </c>
      <c r="O28" s="889">
        <f t="shared" si="10"/>
        <v>11.39875</v>
      </c>
      <c r="P28" s="889">
        <f t="shared" si="11"/>
        <v>0</v>
      </c>
      <c r="Q28" s="890">
        <f t="shared" si="12"/>
        <v>0</v>
      </c>
      <c r="R28" s="891">
        <f t="shared" si="13"/>
        <v>8</v>
      </c>
      <c r="S28" s="145">
        <f t="shared" si="14"/>
        <v>49431.303749999999</v>
      </c>
      <c r="T28" s="146">
        <f t="shared" si="15"/>
        <v>0.39545043000000002</v>
      </c>
      <c r="U28" s="892">
        <f t="shared" si="16"/>
        <v>0.39545043000000002</v>
      </c>
    </row>
    <row r="29" spans="1:24" ht="13.5" thickBot="1" x14ac:dyDescent="0.25">
      <c r="A29" s="701">
        <f t="shared" si="0"/>
        <v>2016</v>
      </c>
      <c r="B29" s="702">
        <v>60</v>
      </c>
      <c r="C29" s="703">
        <f t="shared" si="1"/>
        <v>213</v>
      </c>
      <c r="D29" s="902">
        <v>10.95</v>
      </c>
      <c r="E29" s="902">
        <v>10.95</v>
      </c>
      <c r="F29" s="702">
        <v>54344</v>
      </c>
      <c r="G29" s="706">
        <f t="shared" si="3"/>
        <v>0.65700000000000003</v>
      </c>
      <c r="H29" s="707">
        <f t="shared" si="3"/>
        <v>0.65700000000000003</v>
      </c>
      <c r="I29" s="707">
        <f t="shared" si="4"/>
        <v>3.26064</v>
      </c>
      <c r="J29" s="708">
        <f t="shared" si="5"/>
        <v>38</v>
      </c>
      <c r="K29" s="709">
        <f t="shared" si="6"/>
        <v>10.95</v>
      </c>
      <c r="L29" s="709">
        <f t="shared" si="7"/>
        <v>0.41609999999999997</v>
      </c>
      <c r="M29" s="710">
        <f t="shared" si="8"/>
        <v>0.50729000000000002</v>
      </c>
      <c r="N29" s="711">
        <f t="shared" si="9"/>
        <v>16</v>
      </c>
      <c r="O29" s="712">
        <f t="shared" si="10"/>
        <v>10.95</v>
      </c>
      <c r="P29" s="712">
        <f t="shared" si="11"/>
        <v>0.17519999999999999</v>
      </c>
      <c r="Q29" s="713">
        <f t="shared" si="12"/>
        <v>0.17519999999999999</v>
      </c>
      <c r="R29" s="714">
        <f t="shared" si="13"/>
        <v>38</v>
      </c>
      <c r="S29" s="715">
        <f t="shared" si="14"/>
        <v>54344</v>
      </c>
      <c r="T29" s="716">
        <f t="shared" si="15"/>
        <v>2.0650719999999998</v>
      </c>
      <c r="U29" s="717">
        <f t="shared" si="16"/>
        <v>2.4605224299999997</v>
      </c>
    </row>
    <row r="30" spans="1:24" x14ac:dyDescent="0.2">
      <c r="A30" s="33">
        <f t="shared" si="0"/>
        <v>2017</v>
      </c>
      <c r="B30" s="403">
        <v>5</v>
      </c>
      <c r="C30" s="64">
        <f t="shared" si="1"/>
        <v>218</v>
      </c>
      <c r="D30" s="965">
        <f t="shared" si="2"/>
        <v>10.95</v>
      </c>
      <c r="E30" s="966">
        <f t="shared" si="2"/>
        <v>10.95</v>
      </c>
      <c r="F30" s="790">
        <f t="shared" si="2"/>
        <v>54344</v>
      </c>
      <c r="G30" s="473">
        <f t="shared" si="3"/>
        <v>5.475E-2</v>
      </c>
      <c r="H30" s="474">
        <f t="shared" si="3"/>
        <v>5.475E-2</v>
      </c>
      <c r="I30" s="474">
        <f t="shared" si="4"/>
        <v>0.27172000000000002</v>
      </c>
      <c r="J30" s="61">
        <f t="shared" si="5"/>
        <v>32.5</v>
      </c>
      <c r="K30" s="967">
        <f t="shared" si="6"/>
        <v>10.95</v>
      </c>
      <c r="L30" s="967">
        <f t="shared" si="7"/>
        <v>0.355875</v>
      </c>
      <c r="M30" s="967">
        <f t="shared" si="8"/>
        <v>0.86316499999999996</v>
      </c>
      <c r="N30" s="54">
        <f t="shared" si="9"/>
        <v>60</v>
      </c>
      <c r="O30" s="968">
        <f t="shared" si="10"/>
        <v>10.95</v>
      </c>
      <c r="P30" s="968">
        <f t="shared" si="11"/>
        <v>0.65700000000000003</v>
      </c>
      <c r="Q30" s="969">
        <f t="shared" si="12"/>
        <v>0.83220000000000005</v>
      </c>
      <c r="R30" s="247">
        <f t="shared" si="13"/>
        <v>32.5</v>
      </c>
      <c r="S30" s="24">
        <f t="shared" si="14"/>
        <v>54344</v>
      </c>
      <c r="T30" s="970">
        <f t="shared" si="15"/>
        <v>1.7661800000000001</v>
      </c>
      <c r="U30" s="971">
        <f t="shared" si="16"/>
        <v>4.2267024299999996</v>
      </c>
    </row>
    <row r="31" spans="1:24" x14ac:dyDescent="0.2">
      <c r="A31" s="33">
        <f t="shared" si="0"/>
        <v>2018</v>
      </c>
      <c r="B31" s="403">
        <v>5</v>
      </c>
      <c r="C31" s="64">
        <f t="shared" si="1"/>
        <v>223</v>
      </c>
      <c r="D31" s="965">
        <f t="shared" si="2"/>
        <v>10.95</v>
      </c>
      <c r="E31" s="966">
        <f t="shared" si="2"/>
        <v>10.95</v>
      </c>
      <c r="F31" s="790">
        <f t="shared" si="2"/>
        <v>54344</v>
      </c>
      <c r="G31" s="473">
        <f t="shared" si="3"/>
        <v>5.475E-2</v>
      </c>
      <c r="H31" s="474">
        <f t="shared" si="3"/>
        <v>5.475E-2</v>
      </c>
      <c r="I31" s="474">
        <f t="shared" si="4"/>
        <v>0.27172000000000002</v>
      </c>
      <c r="J31" s="61">
        <f t="shared" si="5"/>
        <v>5</v>
      </c>
      <c r="K31" s="967">
        <f t="shared" si="6"/>
        <v>10.95</v>
      </c>
      <c r="L31" s="967">
        <f t="shared" si="7"/>
        <v>5.475E-2</v>
      </c>
      <c r="M31" s="967">
        <f t="shared" si="8"/>
        <v>0.91791499999999993</v>
      </c>
      <c r="N31" s="54">
        <f t="shared" si="9"/>
        <v>5</v>
      </c>
      <c r="O31" s="968">
        <f t="shared" si="10"/>
        <v>10.95</v>
      </c>
      <c r="P31" s="968">
        <f t="shared" si="11"/>
        <v>5.475E-2</v>
      </c>
      <c r="Q31" s="969">
        <f t="shared" si="12"/>
        <v>0.88695000000000002</v>
      </c>
      <c r="R31" s="247">
        <f t="shared" si="13"/>
        <v>5</v>
      </c>
      <c r="S31" s="24">
        <f t="shared" si="14"/>
        <v>54344</v>
      </c>
      <c r="T31" s="970">
        <f t="shared" si="15"/>
        <v>0.27172000000000002</v>
      </c>
      <c r="U31" s="971">
        <f t="shared" si="16"/>
        <v>4.4984224299999997</v>
      </c>
    </row>
    <row r="32" spans="1:24" x14ac:dyDescent="0.2">
      <c r="A32" s="33">
        <f t="shared" si="0"/>
        <v>2019</v>
      </c>
      <c r="B32" s="403">
        <v>5</v>
      </c>
      <c r="C32" s="64">
        <f t="shared" si="1"/>
        <v>228</v>
      </c>
      <c r="D32" s="965">
        <f t="shared" si="2"/>
        <v>10.95</v>
      </c>
      <c r="E32" s="966">
        <f t="shared" si="2"/>
        <v>10.95</v>
      </c>
      <c r="F32" s="790">
        <f t="shared" si="2"/>
        <v>54344</v>
      </c>
      <c r="G32" s="473">
        <f t="shared" si="3"/>
        <v>5.475E-2</v>
      </c>
      <c r="H32" s="474">
        <f t="shared" si="3"/>
        <v>5.475E-2</v>
      </c>
      <c r="I32" s="474">
        <f t="shared" si="4"/>
        <v>0.27172000000000002</v>
      </c>
      <c r="J32" s="61">
        <f t="shared" si="5"/>
        <v>5</v>
      </c>
      <c r="K32" s="967">
        <f t="shared" si="6"/>
        <v>10.95</v>
      </c>
      <c r="L32" s="967">
        <f t="shared" si="7"/>
        <v>5.475E-2</v>
      </c>
      <c r="M32" s="967">
        <f t="shared" si="8"/>
        <v>0.97266499999999989</v>
      </c>
      <c r="N32" s="54">
        <f t="shared" si="9"/>
        <v>5</v>
      </c>
      <c r="O32" s="968">
        <f t="shared" si="10"/>
        <v>10.95</v>
      </c>
      <c r="P32" s="968">
        <f t="shared" si="11"/>
        <v>5.475E-2</v>
      </c>
      <c r="Q32" s="969">
        <f t="shared" si="12"/>
        <v>0.94169999999999998</v>
      </c>
      <c r="R32" s="247">
        <f t="shared" si="13"/>
        <v>5</v>
      </c>
      <c r="S32" s="24">
        <f t="shared" si="14"/>
        <v>54344</v>
      </c>
      <c r="T32" s="970">
        <f t="shared" si="15"/>
        <v>0.27172000000000002</v>
      </c>
      <c r="U32" s="971">
        <f t="shared" si="16"/>
        <v>4.7701424299999999</v>
      </c>
    </row>
    <row r="33" spans="1:21" x14ac:dyDescent="0.2">
      <c r="A33" s="33">
        <f t="shared" si="0"/>
        <v>2020</v>
      </c>
      <c r="B33" s="403">
        <v>10</v>
      </c>
      <c r="C33" s="64">
        <f t="shared" si="1"/>
        <v>238</v>
      </c>
      <c r="D33" s="965">
        <f t="shared" si="2"/>
        <v>10.95</v>
      </c>
      <c r="E33" s="966">
        <f t="shared" si="2"/>
        <v>10.95</v>
      </c>
      <c r="F33" s="790">
        <f t="shared" si="2"/>
        <v>54344</v>
      </c>
      <c r="G33" s="473">
        <f t="shared" si="3"/>
        <v>0.1095</v>
      </c>
      <c r="H33" s="474">
        <f t="shared" si="3"/>
        <v>0.1095</v>
      </c>
      <c r="I33" s="474">
        <f t="shared" si="4"/>
        <v>0.54344000000000003</v>
      </c>
      <c r="J33" s="61">
        <f t="shared" si="5"/>
        <v>7.5</v>
      </c>
      <c r="K33" s="967">
        <f t="shared" si="6"/>
        <v>10.95</v>
      </c>
      <c r="L33" s="967">
        <f t="shared" si="7"/>
        <v>8.2125000000000004E-2</v>
      </c>
      <c r="M33" s="967">
        <f t="shared" si="8"/>
        <v>1.0547899999999999</v>
      </c>
      <c r="N33" s="54">
        <f t="shared" si="9"/>
        <v>5</v>
      </c>
      <c r="O33" s="968">
        <f t="shared" si="10"/>
        <v>10.95</v>
      </c>
      <c r="P33" s="968">
        <f t="shared" si="11"/>
        <v>5.475E-2</v>
      </c>
      <c r="Q33" s="969">
        <f t="shared" si="12"/>
        <v>0.99644999999999995</v>
      </c>
      <c r="R33" s="247">
        <f t="shared" si="13"/>
        <v>7.5</v>
      </c>
      <c r="S33" s="24">
        <f t="shared" si="14"/>
        <v>54344</v>
      </c>
      <c r="T33" s="970">
        <f t="shared" si="15"/>
        <v>0.40758</v>
      </c>
      <c r="U33" s="971">
        <f t="shared" si="16"/>
        <v>5.1777224300000002</v>
      </c>
    </row>
    <row r="34" spans="1:21" x14ac:dyDescent="0.2">
      <c r="A34" s="33">
        <f t="shared" si="0"/>
        <v>2021</v>
      </c>
      <c r="B34" s="403">
        <v>10</v>
      </c>
      <c r="C34" s="64">
        <f t="shared" si="1"/>
        <v>248</v>
      </c>
      <c r="D34" s="965">
        <f t="shared" si="2"/>
        <v>10.95</v>
      </c>
      <c r="E34" s="966">
        <f t="shared" si="2"/>
        <v>10.95</v>
      </c>
      <c r="F34" s="790">
        <f t="shared" si="2"/>
        <v>54344</v>
      </c>
      <c r="G34" s="473">
        <f t="shared" si="3"/>
        <v>0.1095</v>
      </c>
      <c r="H34" s="474">
        <f t="shared" si="3"/>
        <v>0.1095</v>
      </c>
      <c r="I34" s="474">
        <f t="shared" si="4"/>
        <v>0.54344000000000003</v>
      </c>
      <c r="J34" s="61">
        <f t="shared" si="5"/>
        <v>10</v>
      </c>
      <c r="K34" s="967">
        <f t="shared" si="6"/>
        <v>10.95</v>
      </c>
      <c r="L34" s="967">
        <f t="shared" si="7"/>
        <v>0.1095</v>
      </c>
      <c r="M34" s="967">
        <f t="shared" si="8"/>
        <v>1.1642899999999998</v>
      </c>
      <c r="N34" s="54">
        <f t="shared" si="9"/>
        <v>10</v>
      </c>
      <c r="O34" s="968">
        <f t="shared" si="10"/>
        <v>10.95</v>
      </c>
      <c r="P34" s="968">
        <f t="shared" si="11"/>
        <v>0.1095</v>
      </c>
      <c r="Q34" s="969">
        <f t="shared" si="12"/>
        <v>1.10595</v>
      </c>
      <c r="R34" s="247">
        <f t="shared" si="13"/>
        <v>10</v>
      </c>
      <c r="S34" s="24">
        <f t="shared" si="14"/>
        <v>54344</v>
      </c>
      <c r="T34" s="970">
        <f t="shared" si="15"/>
        <v>0.54344000000000003</v>
      </c>
      <c r="U34" s="971">
        <f t="shared" si="16"/>
        <v>5.7211624300000006</v>
      </c>
    </row>
    <row r="35" spans="1:21" x14ac:dyDescent="0.2">
      <c r="A35" s="33">
        <f t="shared" si="0"/>
        <v>2022</v>
      </c>
      <c r="B35" s="403">
        <v>10</v>
      </c>
      <c r="C35" s="64">
        <f t="shared" si="1"/>
        <v>258</v>
      </c>
      <c r="D35" s="965">
        <f t="shared" si="2"/>
        <v>10.95</v>
      </c>
      <c r="E35" s="966">
        <f t="shared" si="2"/>
        <v>10.95</v>
      </c>
      <c r="F35" s="790">
        <f t="shared" si="2"/>
        <v>54344</v>
      </c>
      <c r="G35" s="473">
        <f t="shared" si="3"/>
        <v>0.1095</v>
      </c>
      <c r="H35" s="474">
        <f t="shared" si="3"/>
        <v>0.1095</v>
      </c>
      <c r="I35" s="474">
        <f t="shared" si="4"/>
        <v>0.54344000000000003</v>
      </c>
      <c r="J35" s="61">
        <f t="shared" si="5"/>
        <v>10</v>
      </c>
      <c r="K35" s="967">
        <f t="shared" si="6"/>
        <v>10.95</v>
      </c>
      <c r="L35" s="967">
        <f t="shared" si="7"/>
        <v>0.1095</v>
      </c>
      <c r="M35" s="967">
        <f t="shared" si="8"/>
        <v>1.2737899999999998</v>
      </c>
      <c r="N35" s="54">
        <f t="shared" si="9"/>
        <v>10</v>
      </c>
      <c r="O35" s="968">
        <f t="shared" si="10"/>
        <v>10.95</v>
      </c>
      <c r="P35" s="968">
        <f t="shared" si="11"/>
        <v>0.1095</v>
      </c>
      <c r="Q35" s="969">
        <f t="shared" si="12"/>
        <v>1.2154499999999999</v>
      </c>
      <c r="R35" s="247">
        <f t="shared" si="13"/>
        <v>10</v>
      </c>
      <c r="S35" s="24">
        <f t="shared" si="14"/>
        <v>54344</v>
      </c>
      <c r="T35" s="970">
        <f t="shared" si="15"/>
        <v>0.54344000000000003</v>
      </c>
      <c r="U35" s="971">
        <f t="shared" si="16"/>
        <v>6.2646024300000009</v>
      </c>
    </row>
    <row r="36" spans="1:21" x14ac:dyDescent="0.2">
      <c r="A36" s="33">
        <f t="shared" si="0"/>
        <v>2023</v>
      </c>
      <c r="B36" s="403">
        <v>10</v>
      </c>
      <c r="C36" s="64">
        <f t="shared" si="1"/>
        <v>268</v>
      </c>
      <c r="D36" s="965">
        <f t="shared" si="2"/>
        <v>10.95</v>
      </c>
      <c r="E36" s="966">
        <f t="shared" si="2"/>
        <v>10.95</v>
      </c>
      <c r="F36" s="790">
        <f t="shared" si="2"/>
        <v>54344</v>
      </c>
      <c r="G36" s="473">
        <f t="shared" si="3"/>
        <v>0.1095</v>
      </c>
      <c r="H36" s="474">
        <f t="shared" si="3"/>
        <v>0.1095</v>
      </c>
      <c r="I36" s="474">
        <f t="shared" si="4"/>
        <v>0.54344000000000003</v>
      </c>
      <c r="J36" s="61">
        <f t="shared" si="5"/>
        <v>10</v>
      </c>
      <c r="K36" s="967">
        <f t="shared" si="6"/>
        <v>10.95</v>
      </c>
      <c r="L36" s="967">
        <f t="shared" si="7"/>
        <v>0.1095</v>
      </c>
      <c r="M36" s="967">
        <f t="shared" si="8"/>
        <v>1.3832899999999997</v>
      </c>
      <c r="N36" s="54">
        <f t="shared" si="9"/>
        <v>10</v>
      </c>
      <c r="O36" s="968">
        <f t="shared" si="10"/>
        <v>10.95</v>
      </c>
      <c r="P36" s="968">
        <f t="shared" si="11"/>
        <v>0.1095</v>
      </c>
      <c r="Q36" s="969">
        <f t="shared" si="12"/>
        <v>1.3249499999999999</v>
      </c>
      <c r="R36" s="247">
        <f t="shared" si="13"/>
        <v>10</v>
      </c>
      <c r="S36" s="24">
        <f t="shared" si="14"/>
        <v>54344</v>
      </c>
      <c r="T36" s="970">
        <f t="shared" si="15"/>
        <v>0.54344000000000003</v>
      </c>
      <c r="U36" s="971">
        <f t="shared" si="16"/>
        <v>6.8080424300000013</v>
      </c>
    </row>
    <row r="37" spans="1:21" x14ac:dyDescent="0.2">
      <c r="A37" s="447">
        <f t="shared" si="0"/>
        <v>2024</v>
      </c>
      <c r="B37" s="403">
        <v>10</v>
      </c>
      <c r="C37" s="64">
        <f t="shared" si="1"/>
        <v>278</v>
      </c>
      <c r="D37" s="965">
        <f t="shared" si="2"/>
        <v>10.95</v>
      </c>
      <c r="E37" s="966">
        <f t="shared" si="2"/>
        <v>10.95</v>
      </c>
      <c r="F37" s="790">
        <f t="shared" si="2"/>
        <v>54344</v>
      </c>
      <c r="G37" s="473">
        <f t="shared" si="3"/>
        <v>0.1095</v>
      </c>
      <c r="H37" s="474">
        <f t="shared" si="3"/>
        <v>0.1095</v>
      </c>
      <c r="I37" s="474">
        <f t="shared" si="4"/>
        <v>0.54344000000000003</v>
      </c>
      <c r="J37" s="61">
        <f t="shared" si="5"/>
        <v>10</v>
      </c>
      <c r="K37" s="967">
        <f t="shared" si="6"/>
        <v>10.95</v>
      </c>
      <c r="L37" s="967">
        <f t="shared" si="7"/>
        <v>0.1095</v>
      </c>
      <c r="M37" s="967">
        <f t="shared" si="8"/>
        <v>1.4927899999999996</v>
      </c>
      <c r="N37" s="54">
        <f t="shared" si="9"/>
        <v>10</v>
      </c>
      <c r="O37" s="968">
        <f t="shared" si="10"/>
        <v>10.95</v>
      </c>
      <c r="P37" s="968">
        <f t="shared" si="11"/>
        <v>0.1095</v>
      </c>
      <c r="Q37" s="969">
        <f t="shared" si="12"/>
        <v>1.4344499999999998</v>
      </c>
      <c r="R37" s="247">
        <f t="shared" si="13"/>
        <v>10</v>
      </c>
      <c r="S37" s="24">
        <f t="shared" si="14"/>
        <v>54344</v>
      </c>
      <c r="T37" s="970">
        <f t="shared" si="15"/>
        <v>0.54344000000000003</v>
      </c>
      <c r="U37" s="971">
        <f t="shared" si="16"/>
        <v>7.3514824300000017</v>
      </c>
    </row>
    <row r="38" spans="1:21" x14ac:dyDescent="0.2">
      <c r="A38" s="447">
        <f t="shared" si="0"/>
        <v>2025</v>
      </c>
      <c r="B38" s="403">
        <v>10</v>
      </c>
      <c r="C38" s="64">
        <f t="shared" si="1"/>
        <v>288</v>
      </c>
      <c r="D38" s="965">
        <f t="shared" si="2"/>
        <v>10.95</v>
      </c>
      <c r="E38" s="966">
        <f t="shared" si="2"/>
        <v>10.95</v>
      </c>
      <c r="F38" s="790">
        <f t="shared" si="2"/>
        <v>54344</v>
      </c>
      <c r="G38" s="473">
        <f t="shared" si="3"/>
        <v>0.1095</v>
      </c>
      <c r="H38" s="474">
        <f t="shared" si="3"/>
        <v>0.1095</v>
      </c>
      <c r="I38" s="474">
        <f t="shared" si="4"/>
        <v>0.54344000000000003</v>
      </c>
      <c r="J38" s="61">
        <f t="shared" si="5"/>
        <v>10</v>
      </c>
      <c r="K38" s="967">
        <f t="shared" si="6"/>
        <v>10.95</v>
      </c>
      <c r="L38" s="967">
        <f t="shared" si="7"/>
        <v>0.1095</v>
      </c>
      <c r="M38" s="967">
        <f t="shared" si="8"/>
        <v>1.6022899999999995</v>
      </c>
      <c r="N38" s="54">
        <f t="shared" si="9"/>
        <v>10</v>
      </c>
      <c r="O38" s="968">
        <f t="shared" si="10"/>
        <v>10.95</v>
      </c>
      <c r="P38" s="968">
        <f t="shared" si="11"/>
        <v>0.1095</v>
      </c>
      <c r="Q38" s="969">
        <f t="shared" si="12"/>
        <v>1.5439499999999997</v>
      </c>
      <c r="R38" s="247">
        <f t="shared" si="13"/>
        <v>10</v>
      </c>
      <c r="S38" s="24">
        <f t="shared" si="14"/>
        <v>54344</v>
      </c>
      <c r="T38" s="970">
        <f t="shared" si="15"/>
        <v>0.54344000000000003</v>
      </c>
      <c r="U38" s="971">
        <f t="shared" si="16"/>
        <v>7.894922430000002</v>
      </c>
    </row>
    <row r="39" spans="1:21" x14ac:dyDescent="0.2">
      <c r="A39" s="447">
        <f t="shared" si="0"/>
        <v>2026</v>
      </c>
      <c r="B39" s="403">
        <v>10</v>
      </c>
      <c r="C39" s="64">
        <f t="shared" si="1"/>
        <v>298</v>
      </c>
      <c r="D39" s="965">
        <f t="shared" ref="D39:F42" si="18">+D38</f>
        <v>10.95</v>
      </c>
      <c r="E39" s="966">
        <f t="shared" si="18"/>
        <v>10.95</v>
      </c>
      <c r="F39" s="790">
        <f t="shared" si="18"/>
        <v>54344</v>
      </c>
      <c r="G39" s="473">
        <f t="shared" si="3"/>
        <v>0.1095</v>
      </c>
      <c r="H39" s="474">
        <f t="shared" si="3"/>
        <v>0.1095</v>
      </c>
      <c r="I39" s="474">
        <f t="shared" si="4"/>
        <v>0.54344000000000003</v>
      </c>
      <c r="J39" s="61">
        <f t="shared" si="5"/>
        <v>10</v>
      </c>
      <c r="K39" s="967">
        <f t="shared" si="6"/>
        <v>10.95</v>
      </c>
      <c r="L39" s="967">
        <f t="shared" si="7"/>
        <v>0.1095</v>
      </c>
      <c r="M39" s="967">
        <f t="shared" si="8"/>
        <v>1.7117899999999995</v>
      </c>
      <c r="N39" s="54">
        <f t="shared" si="9"/>
        <v>10</v>
      </c>
      <c r="O39" s="968">
        <f t="shared" si="10"/>
        <v>10.95</v>
      </c>
      <c r="P39" s="968">
        <f t="shared" si="11"/>
        <v>0.1095</v>
      </c>
      <c r="Q39" s="969">
        <f t="shared" si="12"/>
        <v>1.6534499999999996</v>
      </c>
      <c r="R39" s="247">
        <f>+(B39+B38)/2</f>
        <v>10</v>
      </c>
      <c r="S39" s="24">
        <f>+F39</f>
        <v>54344</v>
      </c>
      <c r="T39" s="970">
        <f>+R39*S39/1000000</f>
        <v>0.54344000000000003</v>
      </c>
      <c r="U39" s="971">
        <f t="shared" si="16"/>
        <v>8.4383624300000015</v>
      </c>
    </row>
    <row r="40" spans="1:21" x14ac:dyDescent="0.2">
      <c r="A40" s="447">
        <f>+A39+1</f>
        <v>2027</v>
      </c>
      <c r="B40" s="403">
        <v>10</v>
      </c>
      <c r="C40" s="64">
        <f>+C39+B40</f>
        <v>308</v>
      </c>
      <c r="D40" s="965">
        <f t="shared" si="18"/>
        <v>10.95</v>
      </c>
      <c r="E40" s="966">
        <f t="shared" si="18"/>
        <v>10.95</v>
      </c>
      <c r="F40" s="790">
        <f t="shared" si="18"/>
        <v>54344</v>
      </c>
      <c r="G40" s="473">
        <f t="shared" ref="G40:H42" si="19">+$B40*D40/1000</f>
        <v>0.1095</v>
      </c>
      <c r="H40" s="474">
        <f t="shared" si="19"/>
        <v>0.1095</v>
      </c>
      <c r="I40" s="474">
        <f>+$B40*F40/1000000</f>
        <v>0.54344000000000003</v>
      </c>
      <c r="J40" s="61">
        <f>+(B40+B39)/2</f>
        <v>10</v>
      </c>
      <c r="K40" s="967">
        <f>+D40</f>
        <v>10.95</v>
      </c>
      <c r="L40" s="967">
        <f>+J40*K40/1000</f>
        <v>0.1095</v>
      </c>
      <c r="M40" s="967">
        <f>+M39+L40</f>
        <v>1.8212899999999994</v>
      </c>
      <c r="N40" s="54">
        <f>+B39</f>
        <v>10</v>
      </c>
      <c r="O40" s="968">
        <f>+E40</f>
        <v>10.95</v>
      </c>
      <c r="P40" s="968">
        <f>+N40*O40/1000</f>
        <v>0.1095</v>
      </c>
      <c r="Q40" s="969">
        <f>+Q39+P40</f>
        <v>1.7629499999999996</v>
      </c>
      <c r="R40" s="247">
        <f>+(B40+B39)/2</f>
        <v>10</v>
      </c>
      <c r="S40" s="24">
        <f>+F40</f>
        <v>54344</v>
      </c>
      <c r="T40" s="970">
        <f>+R40*S40/1000000</f>
        <v>0.54344000000000003</v>
      </c>
      <c r="U40" s="971">
        <f>+U39+T40</f>
        <v>8.9818024300000019</v>
      </c>
    </row>
    <row r="41" spans="1:21" x14ac:dyDescent="0.2">
      <c r="A41" s="447">
        <f t="shared" si="0"/>
        <v>2028</v>
      </c>
      <c r="B41" s="403">
        <v>10</v>
      </c>
      <c r="C41" s="64">
        <f>+C40+B41</f>
        <v>318</v>
      </c>
      <c r="D41" s="965">
        <f>+D40</f>
        <v>10.95</v>
      </c>
      <c r="E41" s="966">
        <f>+E40</f>
        <v>10.95</v>
      </c>
      <c r="F41" s="790">
        <f>+F40</f>
        <v>54344</v>
      </c>
      <c r="G41" s="473">
        <f t="shared" si="19"/>
        <v>0.1095</v>
      </c>
      <c r="H41" s="474">
        <f t="shared" si="19"/>
        <v>0.1095</v>
      </c>
      <c r="I41" s="474">
        <f>+$B41*F41/1000000</f>
        <v>0.54344000000000003</v>
      </c>
      <c r="J41" s="61">
        <f>+(B41+B40)/2</f>
        <v>10</v>
      </c>
      <c r="K41" s="967">
        <f>+D41</f>
        <v>10.95</v>
      </c>
      <c r="L41" s="967">
        <f>+J41*K41/1000</f>
        <v>0.1095</v>
      </c>
      <c r="M41" s="967">
        <f>+M40+L41</f>
        <v>1.9307899999999993</v>
      </c>
      <c r="N41" s="54">
        <f>+B40</f>
        <v>10</v>
      </c>
      <c r="O41" s="968">
        <f>+E41</f>
        <v>10.95</v>
      </c>
      <c r="P41" s="968">
        <f>+N41*O41/1000</f>
        <v>0.1095</v>
      </c>
      <c r="Q41" s="969">
        <f>+Q40+P41</f>
        <v>1.8724499999999995</v>
      </c>
      <c r="R41" s="247">
        <f>+(B41+B40)/2</f>
        <v>10</v>
      </c>
      <c r="S41" s="24">
        <f>+F41</f>
        <v>54344</v>
      </c>
      <c r="T41" s="970">
        <f>+R41*S41/1000000</f>
        <v>0.54344000000000003</v>
      </c>
      <c r="U41" s="971">
        <f>+U40+T41</f>
        <v>9.5252424300000023</v>
      </c>
    </row>
    <row r="42" spans="1:21" x14ac:dyDescent="0.2">
      <c r="A42" s="447">
        <f t="shared" si="0"/>
        <v>2029</v>
      </c>
      <c r="B42" s="403">
        <v>10</v>
      </c>
      <c r="C42" s="64">
        <f>+C41+B42</f>
        <v>328</v>
      </c>
      <c r="D42" s="965">
        <f t="shared" si="18"/>
        <v>10.95</v>
      </c>
      <c r="E42" s="966">
        <f t="shared" si="18"/>
        <v>10.95</v>
      </c>
      <c r="F42" s="790">
        <f t="shared" si="18"/>
        <v>54344</v>
      </c>
      <c r="G42" s="473">
        <f t="shared" si="19"/>
        <v>0.1095</v>
      </c>
      <c r="H42" s="474">
        <f t="shared" si="19"/>
        <v>0.1095</v>
      </c>
      <c r="I42" s="474">
        <f>+$B42*F42/1000000</f>
        <v>0.54344000000000003</v>
      </c>
      <c r="J42" s="61">
        <f>+(B42+B41)/2</f>
        <v>10</v>
      </c>
      <c r="K42" s="967">
        <f>+D42</f>
        <v>10.95</v>
      </c>
      <c r="L42" s="967">
        <f>+J42*K42/1000</f>
        <v>0.1095</v>
      </c>
      <c r="M42" s="967">
        <f>+M41+L42</f>
        <v>2.0402899999999993</v>
      </c>
      <c r="N42" s="54">
        <f>+B41</f>
        <v>10</v>
      </c>
      <c r="O42" s="968">
        <f>+E42</f>
        <v>10.95</v>
      </c>
      <c r="P42" s="968">
        <f>+N42*O42/1000</f>
        <v>0.1095</v>
      </c>
      <c r="Q42" s="969">
        <f>+Q41+P42</f>
        <v>1.9819499999999994</v>
      </c>
      <c r="R42" s="247">
        <f>+(B42+B41)/2</f>
        <v>10</v>
      </c>
      <c r="S42" s="24">
        <f>+F42</f>
        <v>54344</v>
      </c>
      <c r="T42" s="970">
        <f>+R42*S42/1000000</f>
        <v>0.54344000000000003</v>
      </c>
      <c r="U42" s="971">
        <f>+U41+T42</f>
        <v>10.068682430000003</v>
      </c>
    </row>
    <row r="43" spans="1:21" x14ac:dyDescent="0.2">
      <c r="A43" s="447">
        <f t="shared" si="0"/>
        <v>2030</v>
      </c>
      <c r="B43" s="403">
        <v>10</v>
      </c>
      <c r="C43" s="64">
        <f t="shared" ref="C43:C47" si="20">+C42+B43</f>
        <v>338</v>
      </c>
      <c r="D43" s="965">
        <f t="shared" ref="D43:F43" si="21">+D42</f>
        <v>10.95</v>
      </c>
      <c r="E43" s="966">
        <f t="shared" si="21"/>
        <v>10.95</v>
      </c>
      <c r="F43" s="790">
        <f t="shared" si="21"/>
        <v>54344</v>
      </c>
      <c r="G43" s="473">
        <f t="shared" ref="G43:G47" si="22">+$B43*D43/1000</f>
        <v>0.1095</v>
      </c>
      <c r="H43" s="474">
        <f t="shared" ref="H43:H47" si="23">+$B43*E43/1000</f>
        <v>0.1095</v>
      </c>
      <c r="I43" s="474">
        <f t="shared" ref="I43:I47" si="24">+$B43*F43/1000000</f>
        <v>0.54344000000000003</v>
      </c>
      <c r="J43" s="61">
        <f t="shared" ref="J43:J47" si="25">+(B43+B42)/2</f>
        <v>10</v>
      </c>
      <c r="K43" s="967">
        <f t="shared" ref="K43:K47" si="26">+D43</f>
        <v>10.95</v>
      </c>
      <c r="L43" s="967">
        <f t="shared" ref="L43:L47" si="27">+J43*K43/1000</f>
        <v>0.1095</v>
      </c>
      <c r="M43" s="967">
        <f t="shared" ref="M43:M47" si="28">+M42+L43</f>
        <v>2.1497899999999994</v>
      </c>
      <c r="N43" s="54">
        <f t="shared" ref="N43:N47" si="29">+B42</f>
        <v>10</v>
      </c>
      <c r="O43" s="968">
        <f t="shared" ref="O43:O47" si="30">+E43</f>
        <v>10.95</v>
      </c>
      <c r="P43" s="968">
        <f t="shared" ref="P43:P47" si="31">+N43*O43/1000</f>
        <v>0.1095</v>
      </c>
      <c r="Q43" s="969">
        <f t="shared" ref="Q43:Q47" si="32">+Q42+P43</f>
        <v>2.0914499999999996</v>
      </c>
      <c r="R43" s="247">
        <f t="shared" ref="R43:R47" si="33">+(B43+B42)/2</f>
        <v>10</v>
      </c>
      <c r="S43" s="24">
        <f t="shared" ref="S43:S47" si="34">+F43</f>
        <v>54344</v>
      </c>
      <c r="T43" s="970">
        <f t="shared" ref="T43:T47" si="35">+R43*S43/1000000</f>
        <v>0.54344000000000003</v>
      </c>
      <c r="U43" s="971">
        <f t="shared" ref="U43:U47" si="36">+U42+T43</f>
        <v>10.612122430000003</v>
      </c>
    </row>
    <row r="44" spans="1:21" x14ac:dyDescent="0.2">
      <c r="A44" s="447">
        <f t="shared" si="0"/>
        <v>2031</v>
      </c>
      <c r="B44" s="403">
        <v>10</v>
      </c>
      <c r="C44" s="64">
        <f t="shared" si="20"/>
        <v>348</v>
      </c>
      <c r="D44" s="965">
        <f t="shared" ref="D44:F44" si="37">+D43</f>
        <v>10.95</v>
      </c>
      <c r="E44" s="966">
        <f t="shared" si="37"/>
        <v>10.95</v>
      </c>
      <c r="F44" s="790">
        <f t="shared" si="37"/>
        <v>54344</v>
      </c>
      <c r="G44" s="473">
        <f t="shared" si="22"/>
        <v>0.1095</v>
      </c>
      <c r="H44" s="474">
        <f t="shared" si="23"/>
        <v>0.1095</v>
      </c>
      <c r="I44" s="474">
        <f t="shared" si="24"/>
        <v>0.54344000000000003</v>
      </c>
      <c r="J44" s="61">
        <f t="shared" si="25"/>
        <v>10</v>
      </c>
      <c r="K44" s="967">
        <f t="shared" si="26"/>
        <v>10.95</v>
      </c>
      <c r="L44" s="967">
        <f t="shared" si="27"/>
        <v>0.1095</v>
      </c>
      <c r="M44" s="967">
        <f t="shared" si="28"/>
        <v>2.2592899999999996</v>
      </c>
      <c r="N44" s="54">
        <f t="shared" si="29"/>
        <v>10</v>
      </c>
      <c r="O44" s="968">
        <f t="shared" si="30"/>
        <v>10.95</v>
      </c>
      <c r="P44" s="968">
        <f t="shared" si="31"/>
        <v>0.1095</v>
      </c>
      <c r="Q44" s="969">
        <f t="shared" si="32"/>
        <v>2.2009499999999997</v>
      </c>
      <c r="R44" s="247">
        <f t="shared" si="33"/>
        <v>10</v>
      </c>
      <c r="S44" s="24">
        <f t="shared" si="34"/>
        <v>54344</v>
      </c>
      <c r="T44" s="970">
        <f t="shared" si="35"/>
        <v>0.54344000000000003</v>
      </c>
      <c r="U44" s="971">
        <f t="shared" si="36"/>
        <v>11.155562430000003</v>
      </c>
    </row>
    <row r="45" spans="1:21" x14ac:dyDescent="0.2">
      <c r="A45" s="447">
        <f t="shared" si="0"/>
        <v>2032</v>
      </c>
      <c r="B45" s="403">
        <v>10</v>
      </c>
      <c r="C45" s="64">
        <f t="shared" si="20"/>
        <v>358</v>
      </c>
      <c r="D45" s="965">
        <f t="shared" ref="D45:F45" si="38">+D44</f>
        <v>10.95</v>
      </c>
      <c r="E45" s="966">
        <f t="shared" si="38"/>
        <v>10.95</v>
      </c>
      <c r="F45" s="790">
        <f t="shared" si="38"/>
        <v>54344</v>
      </c>
      <c r="G45" s="473">
        <f t="shared" si="22"/>
        <v>0.1095</v>
      </c>
      <c r="H45" s="474">
        <f t="shared" si="23"/>
        <v>0.1095</v>
      </c>
      <c r="I45" s="474">
        <f t="shared" si="24"/>
        <v>0.54344000000000003</v>
      </c>
      <c r="J45" s="61">
        <f t="shared" si="25"/>
        <v>10</v>
      </c>
      <c r="K45" s="967">
        <f t="shared" si="26"/>
        <v>10.95</v>
      </c>
      <c r="L45" s="967">
        <f t="shared" si="27"/>
        <v>0.1095</v>
      </c>
      <c r="M45" s="967">
        <f t="shared" si="28"/>
        <v>2.3687899999999997</v>
      </c>
      <c r="N45" s="54">
        <f t="shared" si="29"/>
        <v>10</v>
      </c>
      <c r="O45" s="968">
        <f t="shared" si="30"/>
        <v>10.95</v>
      </c>
      <c r="P45" s="968">
        <f t="shared" si="31"/>
        <v>0.1095</v>
      </c>
      <c r="Q45" s="969">
        <f t="shared" si="32"/>
        <v>2.3104499999999999</v>
      </c>
      <c r="R45" s="247">
        <f t="shared" si="33"/>
        <v>10</v>
      </c>
      <c r="S45" s="24">
        <f t="shared" si="34"/>
        <v>54344</v>
      </c>
      <c r="T45" s="970">
        <f t="shared" si="35"/>
        <v>0.54344000000000003</v>
      </c>
      <c r="U45" s="971">
        <f t="shared" si="36"/>
        <v>11.699002430000004</v>
      </c>
    </row>
    <row r="46" spans="1:21" x14ac:dyDescent="0.2">
      <c r="A46" s="447">
        <f t="shared" si="0"/>
        <v>2033</v>
      </c>
      <c r="B46" s="403">
        <v>10</v>
      </c>
      <c r="C46" s="64">
        <f t="shared" si="20"/>
        <v>368</v>
      </c>
      <c r="D46" s="965">
        <f t="shared" ref="D46:F46" si="39">+D45</f>
        <v>10.95</v>
      </c>
      <c r="E46" s="966">
        <f t="shared" si="39"/>
        <v>10.95</v>
      </c>
      <c r="F46" s="790">
        <f t="shared" si="39"/>
        <v>54344</v>
      </c>
      <c r="G46" s="473">
        <f t="shared" si="22"/>
        <v>0.1095</v>
      </c>
      <c r="H46" s="474">
        <f t="shared" si="23"/>
        <v>0.1095</v>
      </c>
      <c r="I46" s="474">
        <f t="shared" si="24"/>
        <v>0.54344000000000003</v>
      </c>
      <c r="J46" s="61">
        <f t="shared" si="25"/>
        <v>10</v>
      </c>
      <c r="K46" s="967">
        <f t="shared" si="26"/>
        <v>10.95</v>
      </c>
      <c r="L46" s="967">
        <f t="shared" si="27"/>
        <v>0.1095</v>
      </c>
      <c r="M46" s="967">
        <f t="shared" si="28"/>
        <v>2.4782899999999999</v>
      </c>
      <c r="N46" s="54">
        <f t="shared" si="29"/>
        <v>10</v>
      </c>
      <c r="O46" s="968">
        <f t="shared" si="30"/>
        <v>10.95</v>
      </c>
      <c r="P46" s="968">
        <f t="shared" si="31"/>
        <v>0.1095</v>
      </c>
      <c r="Q46" s="969">
        <f t="shared" si="32"/>
        <v>2.41995</v>
      </c>
      <c r="R46" s="247">
        <f t="shared" si="33"/>
        <v>10</v>
      </c>
      <c r="S46" s="24">
        <f t="shared" si="34"/>
        <v>54344</v>
      </c>
      <c r="T46" s="970">
        <f t="shared" si="35"/>
        <v>0.54344000000000003</v>
      </c>
      <c r="U46" s="971">
        <f t="shared" si="36"/>
        <v>12.242442430000004</v>
      </c>
    </row>
    <row r="47" spans="1:21" x14ac:dyDescent="0.2">
      <c r="A47" s="447">
        <f t="shared" si="0"/>
        <v>2034</v>
      </c>
      <c r="B47" s="403">
        <v>10</v>
      </c>
      <c r="C47" s="64">
        <f t="shared" si="20"/>
        <v>378</v>
      </c>
      <c r="D47" s="965">
        <f t="shared" ref="D47:F47" si="40">+D46</f>
        <v>10.95</v>
      </c>
      <c r="E47" s="966">
        <f t="shared" si="40"/>
        <v>10.95</v>
      </c>
      <c r="F47" s="790">
        <f t="shared" si="40"/>
        <v>54344</v>
      </c>
      <c r="G47" s="473">
        <f t="shared" si="22"/>
        <v>0.1095</v>
      </c>
      <c r="H47" s="474">
        <f t="shared" si="23"/>
        <v>0.1095</v>
      </c>
      <c r="I47" s="474">
        <f t="shared" si="24"/>
        <v>0.54344000000000003</v>
      </c>
      <c r="J47" s="61">
        <f t="shared" si="25"/>
        <v>10</v>
      </c>
      <c r="K47" s="967">
        <f t="shared" si="26"/>
        <v>10.95</v>
      </c>
      <c r="L47" s="967">
        <f t="shared" si="27"/>
        <v>0.1095</v>
      </c>
      <c r="M47" s="967">
        <f t="shared" si="28"/>
        <v>2.58779</v>
      </c>
      <c r="N47" s="54">
        <f t="shared" si="29"/>
        <v>10</v>
      </c>
      <c r="O47" s="968">
        <f t="shared" si="30"/>
        <v>10.95</v>
      </c>
      <c r="P47" s="968">
        <f t="shared" si="31"/>
        <v>0.1095</v>
      </c>
      <c r="Q47" s="969">
        <f t="shared" si="32"/>
        <v>2.5294500000000002</v>
      </c>
      <c r="R47" s="247">
        <f t="shared" si="33"/>
        <v>10</v>
      </c>
      <c r="S47" s="24">
        <f t="shared" si="34"/>
        <v>54344</v>
      </c>
      <c r="T47" s="970">
        <f t="shared" si="35"/>
        <v>0.54344000000000003</v>
      </c>
      <c r="U47" s="971">
        <f t="shared" si="36"/>
        <v>12.785882430000004</v>
      </c>
    </row>
    <row r="48" spans="1:21" x14ac:dyDescent="0.2">
      <c r="A48" s="447">
        <f t="shared" si="0"/>
        <v>2035</v>
      </c>
      <c r="B48" s="403">
        <f>B47</f>
        <v>10</v>
      </c>
      <c r="C48" s="64">
        <f t="shared" ref="C48:C54" si="41">+C47+B48</f>
        <v>388</v>
      </c>
      <c r="D48" s="965">
        <f t="shared" ref="D48:F48" si="42">+D47</f>
        <v>10.95</v>
      </c>
      <c r="E48" s="966">
        <f t="shared" si="42"/>
        <v>10.95</v>
      </c>
      <c r="F48" s="790">
        <f t="shared" si="42"/>
        <v>54344</v>
      </c>
      <c r="G48" s="473">
        <f t="shared" ref="G48:G54" si="43">+$B48*D48/1000</f>
        <v>0.1095</v>
      </c>
      <c r="H48" s="474">
        <f t="shared" ref="H48:H54" si="44">+$B48*E48/1000</f>
        <v>0.1095</v>
      </c>
      <c r="I48" s="474">
        <f t="shared" ref="I48:I54" si="45">+$B48*F48/1000000</f>
        <v>0.54344000000000003</v>
      </c>
      <c r="J48" s="61">
        <f t="shared" ref="J48:J54" si="46">+(B48+B47)/2</f>
        <v>10</v>
      </c>
      <c r="K48" s="967">
        <f t="shared" ref="K48:K54" si="47">+D48</f>
        <v>10.95</v>
      </c>
      <c r="L48" s="967">
        <f t="shared" ref="L48:L54" si="48">+J48*K48/1000</f>
        <v>0.1095</v>
      </c>
      <c r="M48" s="967">
        <f t="shared" ref="M48:M54" si="49">+M47+L48</f>
        <v>2.6972900000000002</v>
      </c>
      <c r="N48" s="54">
        <f t="shared" ref="N48:N54" si="50">+B47</f>
        <v>10</v>
      </c>
      <c r="O48" s="968">
        <f t="shared" ref="O48:O54" si="51">+E48</f>
        <v>10.95</v>
      </c>
      <c r="P48" s="968">
        <f t="shared" ref="P48:P54" si="52">+N48*O48/1000</f>
        <v>0.1095</v>
      </c>
      <c r="Q48" s="969">
        <f t="shared" ref="Q48:Q54" si="53">+Q47+P48</f>
        <v>2.6389500000000004</v>
      </c>
      <c r="R48" s="247">
        <f t="shared" ref="R48:R54" si="54">+(B48+B47)/2</f>
        <v>10</v>
      </c>
      <c r="S48" s="24">
        <f t="shared" ref="S48:S54" si="55">+F48</f>
        <v>54344</v>
      </c>
      <c r="T48" s="970">
        <f t="shared" ref="T48:T54" si="56">+R48*S48/1000000</f>
        <v>0.54344000000000003</v>
      </c>
      <c r="U48" s="971">
        <f t="shared" ref="U48:U54" si="57">+U47+T48</f>
        <v>13.329322430000005</v>
      </c>
    </row>
    <row r="49" spans="1:21" x14ac:dyDescent="0.2">
      <c r="A49" s="447">
        <f t="shared" si="0"/>
        <v>2036</v>
      </c>
      <c r="B49" s="403">
        <f t="shared" ref="B49:B54" si="58">B48</f>
        <v>10</v>
      </c>
      <c r="C49" s="64">
        <f t="shared" si="41"/>
        <v>398</v>
      </c>
      <c r="D49" s="965">
        <f t="shared" ref="D49:F49" si="59">+D48</f>
        <v>10.95</v>
      </c>
      <c r="E49" s="966">
        <f t="shared" si="59"/>
        <v>10.95</v>
      </c>
      <c r="F49" s="790">
        <f t="shared" si="59"/>
        <v>54344</v>
      </c>
      <c r="G49" s="473">
        <f t="shared" si="43"/>
        <v>0.1095</v>
      </c>
      <c r="H49" s="474">
        <f t="shared" si="44"/>
        <v>0.1095</v>
      </c>
      <c r="I49" s="474">
        <f t="shared" si="45"/>
        <v>0.54344000000000003</v>
      </c>
      <c r="J49" s="61">
        <f t="shared" si="46"/>
        <v>10</v>
      </c>
      <c r="K49" s="967">
        <f t="shared" si="47"/>
        <v>10.95</v>
      </c>
      <c r="L49" s="967">
        <f t="shared" si="48"/>
        <v>0.1095</v>
      </c>
      <c r="M49" s="967">
        <f t="shared" si="49"/>
        <v>2.8067900000000003</v>
      </c>
      <c r="N49" s="54">
        <f t="shared" si="50"/>
        <v>10</v>
      </c>
      <c r="O49" s="968">
        <f t="shared" si="51"/>
        <v>10.95</v>
      </c>
      <c r="P49" s="968">
        <f t="shared" si="52"/>
        <v>0.1095</v>
      </c>
      <c r="Q49" s="969">
        <f t="shared" si="53"/>
        <v>2.7484500000000005</v>
      </c>
      <c r="R49" s="247">
        <f t="shared" si="54"/>
        <v>10</v>
      </c>
      <c r="S49" s="24">
        <f t="shared" si="55"/>
        <v>54344</v>
      </c>
      <c r="T49" s="970">
        <f t="shared" si="56"/>
        <v>0.54344000000000003</v>
      </c>
      <c r="U49" s="971">
        <f t="shared" si="57"/>
        <v>13.872762430000005</v>
      </c>
    </row>
    <row r="50" spans="1:21" x14ac:dyDescent="0.2">
      <c r="A50" s="447">
        <f t="shared" si="0"/>
        <v>2037</v>
      </c>
      <c r="B50" s="403">
        <f t="shared" si="58"/>
        <v>10</v>
      </c>
      <c r="C50" s="64">
        <f t="shared" si="41"/>
        <v>408</v>
      </c>
      <c r="D50" s="965">
        <f t="shared" ref="D50:F50" si="60">+D49</f>
        <v>10.95</v>
      </c>
      <c r="E50" s="966">
        <f t="shared" si="60"/>
        <v>10.95</v>
      </c>
      <c r="F50" s="790">
        <f t="shared" si="60"/>
        <v>54344</v>
      </c>
      <c r="G50" s="473">
        <f t="shared" si="43"/>
        <v>0.1095</v>
      </c>
      <c r="H50" s="474">
        <f t="shared" si="44"/>
        <v>0.1095</v>
      </c>
      <c r="I50" s="474">
        <f t="shared" si="45"/>
        <v>0.54344000000000003</v>
      </c>
      <c r="J50" s="61">
        <f t="shared" si="46"/>
        <v>10</v>
      </c>
      <c r="K50" s="967">
        <f t="shared" si="47"/>
        <v>10.95</v>
      </c>
      <c r="L50" s="967">
        <f t="shared" si="48"/>
        <v>0.1095</v>
      </c>
      <c r="M50" s="967">
        <f t="shared" si="49"/>
        <v>2.9162900000000005</v>
      </c>
      <c r="N50" s="54">
        <f t="shared" si="50"/>
        <v>10</v>
      </c>
      <c r="O50" s="968">
        <f t="shared" si="51"/>
        <v>10.95</v>
      </c>
      <c r="P50" s="968">
        <f t="shared" si="52"/>
        <v>0.1095</v>
      </c>
      <c r="Q50" s="969">
        <f t="shared" si="53"/>
        <v>2.8579500000000007</v>
      </c>
      <c r="R50" s="247">
        <f t="shared" si="54"/>
        <v>10</v>
      </c>
      <c r="S50" s="24">
        <f t="shared" si="55"/>
        <v>54344</v>
      </c>
      <c r="T50" s="970">
        <f t="shared" si="56"/>
        <v>0.54344000000000003</v>
      </c>
      <c r="U50" s="971">
        <f t="shared" si="57"/>
        <v>14.416202430000006</v>
      </c>
    </row>
    <row r="51" spans="1:21" x14ac:dyDescent="0.2">
      <c r="A51" s="447">
        <f t="shared" si="0"/>
        <v>2038</v>
      </c>
      <c r="B51" s="403">
        <f t="shared" si="58"/>
        <v>10</v>
      </c>
      <c r="C51" s="64">
        <f t="shared" si="41"/>
        <v>418</v>
      </c>
      <c r="D51" s="965">
        <f t="shared" ref="D51:F51" si="61">+D50</f>
        <v>10.95</v>
      </c>
      <c r="E51" s="966">
        <f t="shared" si="61"/>
        <v>10.95</v>
      </c>
      <c r="F51" s="790">
        <f t="shared" si="61"/>
        <v>54344</v>
      </c>
      <c r="G51" s="473">
        <f t="shared" si="43"/>
        <v>0.1095</v>
      </c>
      <c r="H51" s="474">
        <f t="shared" si="44"/>
        <v>0.1095</v>
      </c>
      <c r="I51" s="474">
        <f t="shared" si="45"/>
        <v>0.54344000000000003</v>
      </c>
      <c r="J51" s="61">
        <f t="shared" si="46"/>
        <v>10</v>
      </c>
      <c r="K51" s="967">
        <f t="shared" si="47"/>
        <v>10.95</v>
      </c>
      <c r="L51" s="967">
        <f t="shared" si="48"/>
        <v>0.1095</v>
      </c>
      <c r="M51" s="967">
        <f t="shared" si="49"/>
        <v>3.0257900000000006</v>
      </c>
      <c r="N51" s="54">
        <f t="shared" si="50"/>
        <v>10</v>
      </c>
      <c r="O51" s="968">
        <f t="shared" si="51"/>
        <v>10.95</v>
      </c>
      <c r="P51" s="968">
        <f t="shared" si="52"/>
        <v>0.1095</v>
      </c>
      <c r="Q51" s="969">
        <f t="shared" si="53"/>
        <v>2.9674500000000008</v>
      </c>
      <c r="R51" s="247">
        <f t="shared" si="54"/>
        <v>10</v>
      </c>
      <c r="S51" s="24">
        <f t="shared" si="55"/>
        <v>54344</v>
      </c>
      <c r="T51" s="970">
        <f t="shared" si="56"/>
        <v>0.54344000000000003</v>
      </c>
      <c r="U51" s="971">
        <f t="shared" si="57"/>
        <v>14.959642430000006</v>
      </c>
    </row>
    <row r="52" spans="1:21" x14ac:dyDescent="0.2">
      <c r="A52" s="447">
        <f t="shared" si="0"/>
        <v>2039</v>
      </c>
      <c r="B52" s="403">
        <f t="shared" si="58"/>
        <v>10</v>
      </c>
      <c r="C52" s="64">
        <f t="shared" si="41"/>
        <v>428</v>
      </c>
      <c r="D52" s="965">
        <f t="shared" ref="D52:F52" si="62">+D51</f>
        <v>10.95</v>
      </c>
      <c r="E52" s="966">
        <f t="shared" si="62"/>
        <v>10.95</v>
      </c>
      <c r="F52" s="790">
        <f t="shared" si="62"/>
        <v>54344</v>
      </c>
      <c r="G52" s="473">
        <f t="shared" si="43"/>
        <v>0.1095</v>
      </c>
      <c r="H52" s="474">
        <f t="shared" si="44"/>
        <v>0.1095</v>
      </c>
      <c r="I52" s="474">
        <f t="shared" si="45"/>
        <v>0.54344000000000003</v>
      </c>
      <c r="J52" s="61">
        <f t="shared" si="46"/>
        <v>10</v>
      </c>
      <c r="K52" s="967">
        <f t="shared" si="47"/>
        <v>10.95</v>
      </c>
      <c r="L52" s="967">
        <f t="shared" si="48"/>
        <v>0.1095</v>
      </c>
      <c r="M52" s="967">
        <f t="shared" si="49"/>
        <v>3.1352900000000008</v>
      </c>
      <c r="N52" s="54">
        <f t="shared" si="50"/>
        <v>10</v>
      </c>
      <c r="O52" s="968">
        <f t="shared" si="51"/>
        <v>10.95</v>
      </c>
      <c r="P52" s="968">
        <f t="shared" si="52"/>
        <v>0.1095</v>
      </c>
      <c r="Q52" s="969">
        <f t="shared" si="53"/>
        <v>3.076950000000001</v>
      </c>
      <c r="R52" s="247">
        <f t="shared" si="54"/>
        <v>10</v>
      </c>
      <c r="S52" s="24">
        <f t="shared" si="55"/>
        <v>54344</v>
      </c>
      <c r="T52" s="970">
        <f t="shared" si="56"/>
        <v>0.54344000000000003</v>
      </c>
      <c r="U52" s="971">
        <f t="shared" si="57"/>
        <v>15.503082430000006</v>
      </c>
    </row>
    <row r="53" spans="1:21" x14ac:dyDescent="0.2">
      <c r="A53" s="447">
        <f t="shared" si="0"/>
        <v>2040</v>
      </c>
      <c r="B53" s="403">
        <f t="shared" si="58"/>
        <v>10</v>
      </c>
      <c r="C53" s="64">
        <f t="shared" si="41"/>
        <v>438</v>
      </c>
      <c r="D53" s="965">
        <f t="shared" ref="D53:F53" si="63">+D52</f>
        <v>10.95</v>
      </c>
      <c r="E53" s="966">
        <f t="shared" si="63"/>
        <v>10.95</v>
      </c>
      <c r="F53" s="790">
        <f t="shared" si="63"/>
        <v>54344</v>
      </c>
      <c r="G53" s="473">
        <f t="shared" si="43"/>
        <v>0.1095</v>
      </c>
      <c r="H53" s="474">
        <f t="shared" si="44"/>
        <v>0.1095</v>
      </c>
      <c r="I53" s="474">
        <f t="shared" si="45"/>
        <v>0.54344000000000003</v>
      </c>
      <c r="J53" s="61">
        <f t="shared" si="46"/>
        <v>10</v>
      </c>
      <c r="K53" s="967">
        <f t="shared" si="47"/>
        <v>10.95</v>
      </c>
      <c r="L53" s="967">
        <f t="shared" si="48"/>
        <v>0.1095</v>
      </c>
      <c r="M53" s="967">
        <f t="shared" si="49"/>
        <v>3.244790000000001</v>
      </c>
      <c r="N53" s="54">
        <f t="shared" si="50"/>
        <v>10</v>
      </c>
      <c r="O53" s="968">
        <f t="shared" si="51"/>
        <v>10.95</v>
      </c>
      <c r="P53" s="968">
        <f t="shared" si="52"/>
        <v>0.1095</v>
      </c>
      <c r="Q53" s="969">
        <f t="shared" si="53"/>
        <v>3.1864500000000011</v>
      </c>
      <c r="R53" s="247">
        <f t="shared" si="54"/>
        <v>10</v>
      </c>
      <c r="S53" s="24">
        <f t="shared" si="55"/>
        <v>54344</v>
      </c>
      <c r="T53" s="970">
        <f t="shared" si="56"/>
        <v>0.54344000000000003</v>
      </c>
      <c r="U53" s="971">
        <f t="shared" si="57"/>
        <v>16.046522430000007</v>
      </c>
    </row>
    <row r="54" spans="1:21" x14ac:dyDescent="0.2">
      <c r="A54" s="447">
        <f t="shared" si="0"/>
        <v>2041</v>
      </c>
      <c r="B54" s="403">
        <f t="shared" si="58"/>
        <v>10</v>
      </c>
      <c r="C54" s="64">
        <f t="shared" si="41"/>
        <v>448</v>
      </c>
      <c r="D54" s="965">
        <f t="shared" ref="D54:F54" si="64">+D53</f>
        <v>10.95</v>
      </c>
      <c r="E54" s="966">
        <f t="shared" si="64"/>
        <v>10.95</v>
      </c>
      <c r="F54" s="790">
        <f t="shared" si="64"/>
        <v>54344</v>
      </c>
      <c r="G54" s="473">
        <f t="shared" si="43"/>
        <v>0.1095</v>
      </c>
      <c r="H54" s="474">
        <f t="shared" si="44"/>
        <v>0.1095</v>
      </c>
      <c r="I54" s="474">
        <f t="shared" si="45"/>
        <v>0.54344000000000003</v>
      </c>
      <c r="J54" s="61">
        <f t="shared" si="46"/>
        <v>10</v>
      </c>
      <c r="K54" s="967">
        <f t="shared" si="47"/>
        <v>10.95</v>
      </c>
      <c r="L54" s="967">
        <f t="shared" si="48"/>
        <v>0.1095</v>
      </c>
      <c r="M54" s="967">
        <f t="shared" si="49"/>
        <v>3.3542900000000011</v>
      </c>
      <c r="N54" s="54">
        <f t="shared" si="50"/>
        <v>10</v>
      </c>
      <c r="O54" s="968">
        <f t="shared" si="51"/>
        <v>10.95</v>
      </c>
      <c r="P54" s="968">
        <f t="shared" si="52"/>
        <v>0.1095</v>
      </c>
      <c r="Q54" s="969">
        <f t="shared" si="53"/>
        <v>3.2959500000000013</v>
      </c>
      <c r="R54" s="247">
        <f t="shared" si="54"/>
        <v>10</v>
      </c>
      <c r="S54" s="24">
        <f t="shared" si="55"/>
        <v>54344</v>
      </c>
      <c r="T54" s="970">
        <f t="shared" si="56"/>
        <v>0.54344000000000003</v>
      </c>
      <c r="U54" s="971">
        <f t="shared" si="57"/>
        <v>16.589962430000007</v>
      </c>
    </row>
    <row r="55" spans="1:21" x14ac:dyDescent="0.2">
      <c r="D55" s="972"/>
      <c r="E55" s="972"/>
      <c r="F55" s="973"/>
      <c r="G55" s="974"/>
      <c r="H55" s="974"/>
      <c r="I55" s="974"/>
      <c r="J55" s="961"/>
      <c r="K55" s="975"/>
      <c r="L55" s="975"/>
      <c r="M55" s="975"/>
      <c r="N55" s="962"/>
      <c r="O55" s="976"/>
      <c r="P55" s="976"/>
      <c r="Q55" s="976"/>
      <c r="R55" s="963"/>
      <c r="S55" s="964"/>
      <c r="T55" s="977"/>
      <c r="U55" s="977"/>
    </row>
    <row r="56" spans="1:21" x14ac:dyDescent="0.2">
      <c r="A56" s="69" t="s">
        <v>38</v>
      </c>
    </row>
    <row r="57" spans="1:21" x14ac:dyDescent="0.2">
      <c r="A57" s="69" t="s">
        <v>39</v>
      </c>
    </row>
    <row r="58" spans="1:21" x14ac:dyDescent="0.2">
      <c r="A58" s="86" t="s">
        <v>57</v>
      </c>
    </row>
    <row r="59" spans="1:21" x14ac:dyDescent="0.2">
      <c r="A59" s="86" t="s">
        <v>58</v>
      </c>
    </row>
    <row r="61" spans="1:21" x14ac:dyDescent="0.2">
      <c r="B61">
        <v>2015</v>
      </c>
      <c r="C61" s="956" t="s">
        <v>386</v>
      </c>
      <c r="D61">
        <f>182.38/B28</f>
        <v>11.39875</v>
      </c>
      <c r="E61">
        <f>D61</f>
        <v>11.39875</v>
      </c>
      <c r="F61">
        <f>790900.86/B28</f>
        <v>49431.303749999999</v>
      </c>
    </row>
  </sheetData>
  <mergeCells count="5">
    <mergeCell ref="G3:I3"/>
    <mergeCell ref="B4:I4"/>
    <mergeCell ref="J4:M4"/>
    <mergeCell ref="N4:Q4"/>
    <mergeCell ref="R4:U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1CBE06"/>
    <pageSetUpPr fitToPage="1"/>
  </sheetPr>
  <dimension ref="A1:X59"/>
  <sheetViews>
    <sheetView workbookViewId="0">
      <pane xSplit="1" ySplit="5" topLeftCell="B22"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239</v>
      </c>
      <c r="C2" s="27"/>
      <c r="D2" s="27"/>
      <c r="E2" s="27"/>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62">
        <v>0</v>
      </c>
      <c r="E8" s="663">
        <v>0</v>
      </c>
      <c r="F8" s="675">
        <v>0</v>
      </c>
      <c r="G8" s="626">
        <v>0</v>
      </c>
      <c r="H8" s="72">
        <v>0</v>
      </c>
      <c r="I8" s="630">
        <v>0</v>
      </c>
      <c r="J8" s="61">
        <f>+(B8+N8)/2</f>
        <v>0</v>
      </c>
      <c r="K8" s="188">
        <f t="shared" ref="K8:K39" si="1">+D8</f>
        <v>0</v>
      </c>
      <c r="L8" s="188">
        <f t="shared" ref="L8:L39" si="2">+J8*K8/1000</f>
        <v>0</v>
      </c>
      <c r="M8" s="188">
        <f t="shared" ref="M8:M39" si="3">+M7+L8</f>
        <v>0</v>
      </c>
      <c r="N8" s="51">
        <v>0</v>
      </c>
      <c r="O8" s="670">
        <f t="shared" ref="O8:O39" si="4">+E8</f>
        <v>0</v>
      </c>
      <c r="P8" s="670">
        <f t="shared" ref="P8:P39" si="5">+N8*O8/1000</f>
        <v>0</v>
      </c>
      <c r="Q8" s="670">
        <f t="shared" ref="Q8:Q39" si="6">+Q7+P8</f>
        <v>0</v>
      </c>
      <c r="R8" s="247">
        <f>J8</f>
        <v>0</v>
      </c>
      <c r="S8" s="24">
        <f t="shared" ref="S8:S37" si="7">+F8</f>
        <v>0</v>
      </c>
      <c r="T8" s="25">
        <f t="shared" ref="T8:T37" si="8">+R8*S8/1000000</f>
        <v>0</v>
      </c>
      <c r="U8" s="654">
        <f t="shared" ref="U8:U39" si="9">+U7+T8</f>
        <v>0</v>
      </c>
      <c r="V8" s="248"/>
      <c r="X8" s="1"/>
    </row>
    <row r="9" spans="1:24" x14ac:dyDescent="0.2">
      <c r="A9" s="33">
        <v>1996</v>
      </c>
      <c r="B9" s="30">
        <v>0</v>
      </c>
      <c r="C9" s="660">
        <f t="shared" si="0"/>
        <v>0</v>
      </c>
      <c r="D9" s="662">
        <v>0</v>
      </c>
      <c r="E9" s="663">
        <v>0</v>
      </c>
      <c r="F9" s="675">
        <v>0</v>
      </c>
      <c r="G9" s="626">
        <v>0</v>
      </c>
      <c r="H9" s="72">
        <v>0</v>
      </c>
      <c r="I9" s="630">
        <v>0</v>
      </c>
      <c r="J9" s="61">
        <f t="shared" ref="J9:J39" si="10">+(B9+B8)/2</f>
        <v>0</v>
      </c>
      <c r="K9" s="188">
        <f t="shared" si="1"/>
        <v>0</v>
      </c>
      <c r="L9" s="188">
        <f t="shared" si="2"/>
        <v>0</v>
      </c>
      <c r="M9" s="188">
        <f t="shared" si="3"/>
        <v>0</v>
      </c>
      <c r="N9" s="54">
        <f t="shared" ref="N9:N39" si="11">+B8</f>
        <v>0</v>
      </c>
      <c r="O9" s="670">
        <f t="shared" si="4"/>
        <v>0</v>
      </c>
      <c r="P9" s="670">
        <f t="shared" si="5"/>
        <v>0</v>
      </c>
      <c r="Q9" s="670">
        <f t="shared" si="6"/>
        <v>0</v>
      </c>
      <c r="R9" s="247">
        <f t="shared" ref="R9:R37" si="12">+(B9+B8)/2</f>
        <v>0</v>
      </c>
      <c r="S9" s="24">
        <f t="shared" si="7"/>
        <v>0</v>
      </c>
      <c r="T9" s="25">
        <f t="shared" si="8"/>
        <v>0</v>
      </c>
      <c r="U9" s="654">
        <f t="shared" si="9"/>
        <v>0</v>
      </c>
      <c r="V9" s="10"/>
      <c r="X9" s="1"/>
    </row>
    <row r="10" spans="1:24" x14ac:dyDescent="0.2">
      <c r="A10" s="33">
        <v>1997</v>
      </c>
      <c r="B10" s="30">
        <v>0</v>
      </c>
      <c r="C10" s="660">
        <f t="shared" si="0"/>
        <v>0</v>
      </c>
      <c r="D10" s="662">
        <v>0</v>
      </c>
      <c r="E10" s="663">
        <v>0</v>
      </c>
      <c r="F10" s="675">
        <v>0</v>
      </c>
      <c r="G10" s="626">
        <v>0</v>
      </c>
      <c r="H10" s="72">
        <v>0</v>
      </c>
      <c r="I10" s="630">
        <v>0</v>
      </c>
      <c r="J10" s="61">
        <f t="shared" si="10"/>
        <v>0</v>
      </c>
      <c r="K10" s="188">
        <f t="shared" si="1"/>
        <v>0</v>
      </c>
      <c r="L10" s="188">
        <f t="shared" si="2"/>
        <v>0</v>
      </c>
      <c r="M10" s="188">
        <f t="shared" si="3"/>
        <v>0</v>
      </c>
      <c r="N10" s="54">
        <f t="shared" si="11"/>
        <v>0</v>
      </c>
      <c r="O10" s="670">
        <f t="shared" si="4"/>
        <v>0</v>
      </c>
      <c r="P10" s="670">
        <f t="shared" si="5"/>
        <v>0</v>
      </c>
      <c r="Q10" s="670">
        <f t="shared" si="6"/>
        <v>0</v>
      </c>
      <c r="R10" s="247">
        <f t="shared" si="12"/>
        <v>0</v>
      </c>
      <c r="S10" s="24">
        <f t="shared" si="7"/>
        <v>0</v>
      </c>
      <c r="T10" s="25">
        <f t="shared" si="8"/>
        <v>0</v>
      </c>
      <c r="U10" s="654">
        <f t="shared" si="9"/>
        <v>0</v>
      </c>
      <c r="V10" s="10"/>
      <c r="X10" s="1"/>
    </row>
    <row r="11" spans="1:24" x14ac:dyDescent="0.2">
      <c r="A11" s="33">
        <v>1998</v>
      </c>
      <c r="B11" s="30">
        <v>0</v>
      </c>
      <c r="C11" s="660">
        <f t="shared" si="0"/>
        <v>0</v>
      </c>
      <c r="D11" s="662">
        <v>0</v>
      </c>
      <c r="E11" s="663">
        <v>0</v>
      </c>
      <c r="F11" s="675">
        <v>0</v>
      </c>
      <c r="G11" s="626">
        <v>0</v>
      </c>
      <c r="H11" s="72">
        <v>0</v>
      </c>
      <c r="I11" s="630">
        <v>0</v>
      </c>
      <c r="J11" s="61">
        <f t="shared" si="10"/>
        <v>0</v>
      </c>
      <c r="K11" s="188">
        <f t="shared" si="1"/>
        <v>0</v>
      </c>
      <c r="L11" s="188">
        <f t="shared" si="2"/>
        <v>0</v>
      </c>
      <c r="M11" s="188">
        <f t="shared" si="3"/>
        <v>0</v>
      </c>
      <c r="N11" s="54">
        <f t="shared" si="11"/>
        <v>0</v>
      </c>
      <c r="O11" s="670">
        <f t="shared" si="4"/>
        <v>0</v>
      </c>
      <c r="P11" s="670">
        <f t="shared" si="5"/>
        <v>0</v>
      </c>
      <c r="Q11" s="670">
        <f t="shared" si="6"/>
        <v>0</v>
      </c>
      <c r="R11" s="247">
        <f t="shared" si="12"/>
        <v>0</v>
      </c>
      <c r="S11" s="24">
        <f t="shared" si="7"/>
        <v>0</v>
      </c>
      <c r="T11" s="25">
        <f t="shared" si="8"/>
        <v>0</v>
      </c>
      <c r="U11" s="654">
        <f t="shared" si="9"/>
        <v>0</v>
      </c>
      <c r="V11" s="10"/>
      <c r="X11" s="1"/>
    </row>
    <row r="12" spans="1:24" x14ac:dyDescent="0.2">
      <c r="A12" s="33">
        <v>1999</v>
      </c>
      <c r="B12" s="30">
        <v>0</v>
      </c>
      <c r="C12" s="660">
        <f t="shared" si="0"/>
        <v>0</v>
      </c>
      <c r="D12" s="662">
        <v>0</v>
      </c>
      <c r="E12" s="663">
        <v>0</v>
      </c>
      <c r="F12" s="675">
        <v>0</v>
      </c>
      <c r="G12" s="626">
        <v>0</v>
      </c>
      <c r="H12" s="72">
        <v>0</v>
      </c>
      <c r="I12" s="630">
        <v>0</v>
      </c>
      <c r="J12" s="61">
        <f t="shared" si="10"/>
        <v>0</v>
      </c>
      <c r="K12" s="188">
        <f t="shared" si="1"/>
        <v>0</v>
      </c>
      <c r="L12" s="188">
        <f t="shared" si="2"/>
        <v>0</v>
      </c>
      <c r="M12" s="188">
        <f t="shared" si="3"/>
        <v>0</v>
      </c>
      <c r="N12" s="54">
        <f t="shared" si="11"/>
        <v>0</v>
      </c>
      <c r="O12" s="670">
        <f t="shared" si="4"/>
        <v>0</v>
      </c>
      <c r="P12" s="670">
        <f t="shared" si="5"/>
        <v>0</v>
      </c>
      <c r="Q12" s="670">
        <f t="shared" si="6"/>
        <v>0</v>
      </c>
      <c r="R12" s="247">
        <f t="shared" si="12"/>
        <v>0</v>
      </c>
      <c r="S12" s="24">
        <f t="shared" si="7"/>
        <v>0</v>
      </c>
      <c r="T12" s="25">
        <f t="shared" si="8"/>
        <v>0</v>
      </c>
      <c r="U12" s="654">
        <f t="shared" si="9"/>
        <v>0</v>
      </c>
      <c r="V12" s="10"/>
      <c r="X12" s="1"/>
    </row>
    <row r="13" spans="1:24" x14ac:dyDescent="0.2">
      <c r="A13" s="33">
        <v>2000</v>
      </c>
      <c r="B13" s="30">
        <v>0</v>
      </c>
      <c r="C13" s="660">
        <f t="shared" si="0"/>
        <v>0</v>
      </c>
      <c r="D13" s="662">
        <v>0</v>
      </c>
      <c r="E13" s="663">
        <v>0</v>
      </c>
      <c r="F13" s="675">
        <v>0</v>
      </c>
      <c r="G13" s="626">
        <v>0</v>
      </c>
      <c r="H13" s="72">
        <v>0</v>
      </c>
      <c r="I13" s="630">
        <v>0</v>
      </c>
      <c r="J13" s="61">
        <f t="shared" si="10"/>
        <v>0</v>
      </c>
      <c r="K13" s="188">
        <f t="shared" si="1"/>
        <v>0</v>
      </c>
      <c r="L13" s="188">
        <f t="shared" si="2"/>
        <v>0</v>
      </c>
      <c r="M13" s="188">
        <f t="shared" si="3"/>
        <v>0</v>
      </c>
      <c r="N13" s="54">
        <f t="shared" si="11"/>
        <v>0</v>
      </c>
      <c r="O13" s="670">
        <f t="shared" si="4"/>
        <v>0</v>
      </c>
      <c r="P13" s="670">
        <f t="shared" si="5"/>
        <v>0</v>
      </c>
      <c r="Q13" s="670">
        <f t="shared" si="6"/>
        <v>0</v>
      </c>
      <c r="R13" s="247">
        <f t="shared" si="12"/>
        <v>0</v>
      </c>
      <c r="S13" s="24">
        <f t="shared" si="7"/>
        <v>0</v>
      </c>
      <c r="T13" s="25">
        <f t="shared" si="8"/>
        <v>0</v>
      </c>
      <c r="U13" s="654">
        <f t="shared" si="9"/>
        <v>0</v>
      </c>
      <c r="V13" s="248"/>
      <c r="X13" s="1"/>
    </row>
    <row r="14" spans="1:24" x14ac:dyDescent="0.2">
      <c r="A14" s="33">
        <v>2001</v>
      </c>
      <c r="B14" s="30">
        <v>0</v>
      </c>
      <c r="C14" s="660">
        <f t="shared" si="0"/>
        <v>0</v>
      </c>
      <c r="D14" s="662">
        <v>0</v>
      </c>
      <c r="E14" s="663">
        <v>0</v>
      </c>
      <c r="F14" s="675">
        <v>0</v>
      </c>
      <c r="G14" s="626">
        <v>0</v>
      </c>
      <c r="H14" s="72">
        <v>0</v>
      </c>
      <c r="I14" s="630">
        <v>0</v>
      </c>
      <c r="J14" s="61">
        <f t="shared" si="10"/>
        <v>0</v>
      </c>
      <c r="K14" s="188">
        <f t="shared" si="1"/>
        <v>0</v>
      </c>
      <c r="L14" s="188">
        <f t="shared" si="2"/>
        <v>0</v>
      </c>
      <c r="M14" s="188">
        <f t="shared" si="3"/>
        <v>0</v>
      </c>
      <c r="N14" s="54">
        <f t="shared" si="11"/>
        <v>0</v>
      </c>
      <c r="O14" s="670">
        <f t="shared" si="4"/>
        <v>0</v>
      </c>
      <c r="P14" s="670">
        <f t="shared" si="5"/>
        <v>0</v>
      </c>
      <c r="Q14" s="670">
        <f t="shared" si="6"/>
        <v>0</v>
      </c>
      <c r="R14" s="247">
        <f t="shared" si="12"/>
        <v>0</v>
      </c>
      <c r="S14" s="24">
        <f t="shared" si="7"/>
        <v>0</v>
      </c>
      <c r="T14" s="25">
        <f t="shared" si="8"/>
        <v>0</v>
      </c>
      <c r="U14" s="654">
        <f t="shared" si="9"/>
        <v>0</v>
      </c>
      <c r="V14" s="248"/>
      <c r="X14" s="1"/>
    </row>
    <row r="15" spans="1:24" x14ac:dyDescent="0.2">
      <c r="A15" s="33">
        <v>2002</v>
      </c>
      <c r="B15" s="30">
        <v>0</v>
      </c>
      <c r="C15" s="660">
        <f t="shared" si="0"/>
        <v>0</v>
      </c>
      <c r="D15" s="662">
        <v>0</v>
      </c>
      <c r="E15" s="663">
        <v>0</v>
      </c>
      <c r="F15" s="675">
        <v>0</v>
      </c>
      <c r="G15" s="626">
        <v>0</v>
      </c>
      <c r="H15" s="72">
        <v>0</v>
      </c>
      <c r="I15" s="630">
        <v>0</v>
      </c>
      <c r="J15" s="61">
        <f t="shared" si="10"/>
        <v>0</v>
      </c>
      <c r="K15" s="188">
        <f t="shared" si="1"/>
        <v>0</v>
      </c>
      <c r="L15" s="188">
        <f t="shared" si="2"/>
        <v>0</v>
      </c>
      <c r="M15" s="188">
        <f t="shared" si="3"/>
        <v>0</v>
      </c>
      <c r="N15" s="54">
        <f t="shared" si="11"/>
        <v>0</v>
      </c>
      <c r="O15" s="670">
        <f t="shared" si="4"/>
        <v>0</v>
      </c>
      <c r="P15" s="670">
        <f t="shared" si="5"/>
        <v>0</v>
      </c>
      <c r="Q15" s="670">
        <f t="shared" si="6"/>
        <v>0</v>
      </c>
      <c r="R15" s="247">
        <f t="shared" si="12"/>
        <v>0</v>
      </c>
      <c r="S15" s="24">
        <f t="shared" si="7"/>
        <v>0</v>
      </c>
      <c r="T15" s="25">
        <f t="shared" si="8"/>
        <v>0</v>
      </c>
      <c r="U15" s="654">
        <f t="shared" si="9"/>
        <v>0</v>
      </c>
      <c r="V15" s="248"/>
      <c r="X15" s="1"/>
    </row>
    <row r="16" spans="1:24" x14ac:dyDescent="0.2">
      <c r="A16" s="33">
        <v>2003</v>
      </c>
      <c r="B16" s="30">
        <v>0</v>
      </c>
      <c r="C16" s="660">
        <f t="shared" si="0"/>
        <v>0</v>
      </c>
      <c r="D16" s="662">
        <v>0</v>
      </c>
      <c r="E16" s="663">
        <v>0</v>
      </c>
      <c r="F16" s="675">
        <v>0</v>
      </c>
      <c r="G16" s="626">
        <v>0</v>
      </c>
      <c r="H16" s="72">
        <v>0</v>
      </c>
      <c r="I16" s="630">
        <v>0</v>
      </c>
      <c r="J16" s="61">
        <f t="shared" si="10"/>
        <v>0</v>
      </c>
      <c r="K16" s="188">
        <f t="shared" si="1"/>
        <v>0</v>
      </c>
      <c r="L16" s="188">
        <f t="shared" si="2"/>
        <v>0</v>
      </c>
      <c r="M16" s="188">
        <f t="shared" si="3"/>
        <v>0</v>
      </c>
      <c r="N16" s="54">
        <f t="shared" si="11"/>
        <v>0</v>
      </c>
      <c r="O16" s="670">
        <f t="shared" si="4"/>
        <v>0</v>
      </c>
      <c r="P16" s="670">
        <f t="shared" si="5"/>
        <v>0</v>
      </c>
      <c r="Q16" s="670">
        <f t="shared" si="6"/>
        <v>0</v>
      </c>
      <c r="R16" s="247">
        <f t="shared" si="12"/>
        <v>0</v>
      </c>
      <c r="S16" s="24">
        <f t="shared" si="7"/>
        <v>0</v>
      </c>
      <c r="T16" s="25">
        <f t="shared" si="8"/>
        <v>0</v>
      </c>
      <c r="U16" s="654">
        <f t="shared" si="9"/>
        <v>0</v>
      </c>
      <c r="V16" s="248"/>
      <c r="X16" s="1"/>
    </row>
    <row r="17" spans="1:24" x14ac:dyDescent="0.2">
      <c r="A17" s="33">
        <f t="shared" ref="A17:A54" si="13">+A16+1</f>
        <v>2004</v>
      </c>
      <c r="B17" s="30">
        <v>0</v>
      </c>
      <c r="C17" s="660">
        <f t="shared" si="0"/>
        <v>0</v>
      </c>
      <c r="D17" s="662">
        <v>0</v>
      </c>
      <c r="E17" s="663">
        <v>0</v>
      </c>
      <c r="F17" s="675">
        <v>0</v>
      </c>
      <c r="G17" s="626">
        <v>0</v>
      </c>
      <c r="H17" s="72">
        <v>0</v>
      </c>
      <c r="I17" s="630">
        <v>0</v>
      </c>
      <c r="J17" s="61">
        <f t="shared" si="10"/>
        <v>0</v>
      </c>
      <c r="K17" s="188">
        <f t="shared" si="1"/>
        <v>0</v>
      </c>
      <c r="L17" s="188">
        <f t="shared" si="2"/>
        <v>0</v>
      </c>
      <c r="M17" s="188">
        <f t="shared" si="3"/>
        <v>0</v>
      </c>
      <c r="N17" s="54">
        <f t="shared" si="11"/>
        <v>0</v>
      </c>
      <c r="O17" s="670">
        <f t="shared" si="4"/>
        <v>0</v>
      </c>
      <c r="P17" s="670">
        <f t="shared" si="5"/>
        <v>0</v>
      </c>
      <c r="Q17" s="670">
        <f t="shared" si="6"/>
        <v>0</v>
      </c>
      <c r="R17" s="247">
        <f t="shared" si="12"/>
        <v>0</v>
      </c>
      <c r="S17" s="24">
        <f t="shared" si="7"/>
        <v>0</v>
      </c>
      <c r="T17" s="25">
        <f t="shared" si="8"/>
        <v>0</v>
      </c>
      <c r="U17" s="654">
        <f t="shared" si="9"/>
        <v>0</v>
      </c>
      <c r="V17" s="248"/>
      <c r="X17" s="1"/>
    </row>
    <row r="18" spans="1:24" x14ac:dyDescent="0.2">
      <c r="A18" s="33">
        <f t="shared" si="13"/>
        <v>2005</v>
      </c>
      <c r="B18" s="30">
        <v>0</v>
      </c>
      <c r="C18" s="660">
        <f t="shared" si="0"/>
        <v>0</v>
      </c>
      <c r="D18" s="662">
        <v>0</v>
      </c>
      <c r="E18" s="663">
        <v>0</v>
      </c>
      <c r="F18" s="675">
        <v>0</v>
      </c>
      <c r="G18" s="626">
        <v>0</v>
      </c>
      <c r="H18" s="72">
        <v>0</v>
      </c>
      <c r="I18" s="630">
        <v>0</v>
      </c>
      <c r="J18" s="61">
        <f t="shared" si="10"/>
        <v>0</v>
      </c>
      <c r="K18" s="188">
        <f t="shared" si="1"/>
        <v>0</v>
      </c>
      <c r="L18" s="188">
        <f t="shared" si="2"/>
        <v>0</v>
      </c>
      <c r="M18" s="188">
        <f t="shared" si="3"/>
        <v>0</v>
      </c>
      <c r="N18" s="54">
        <f t="shared" si="11"/>
        <v>0</v>
      </c>
      <c r="O18" s="670">
        <f t="shared" si="4"/>
        <v>0</v>
      </c>
      <c r="P18" s="670">
        <f t="shared" si="5"/>
        <v>0</v>
      </c>
      <c r="Q18" s="670">
        <f t="shared" si="6"/>
        <v>0</v>
      </c>
      <c r="R18" s="247">
        <f t="shared" si="12"/>
        <v>0</v>
      </c>
      <c r="S18" s="24">
        <f t="shared" si="7"/>
        <v>0</v>
      </c>
      <c r="T18" s="25">
        <f t="shared" si="8"/>
        <v>0</v>
      </c>
      <c r="U18" s="654">
        <f t="shared" si="9"/>
        <v>0</v>
      </c>
      <c r="V18" s="248"/>
      <c r="X18" s="1"/>
    </row>
    <row r="19" spans="1:24" x14ac:dyDescent="0.2">
      <c r="A19" s="33">
        <f t="shared" si="13"/>
        <v>2006</v>
      </c>
      <c r="B19" s="30">
        <v>0</v>
      </c>
      <c r="C19" s="660">
        <f t="shared" si="0"/>
        <v>0</v>
      </c>
      <c r="D19" s="662">
        <v>0</v>
      </c>
      <c r="E19" s="663">
        <v>0</v>
      </c>
      <c r="F19" s="675">
        <v>0</v>
      </c>
      <c r="G19" s="626">
        <v>0</v>
      </c>
      <c r="H19" s="72">
        <v>0</v>
      </c>
      <c r="I19" s="630">
        <v>0</v>
      </c>
      <c r="J19" s="61">
        <f t="shared" si="10"/>
        <v>0</v>
      </c>
      <c r="K19" s="188">
        <f t="shared" si="1"/>
        <v>0</v>
      </c>
      <c r="L19" s="188">
        <f t="shared" si="2"/>
        <v>0</v>
      </c>
      <c r="M19" s="188">
        <f t="shared" si="3"/>
        <v>0</v>
      </c>
      <c r="N19" s="54">
        <f t="shared" si="11"/>
        <v>0</v>
      </c>
      <c r="O19" s="670">
        <f t="shared" si="4"/>
        <v>0</v>
      </c>
      <c r="P19" s="670">
        <f t="shared" si="5"/>
        <v>0</v>
      </c>
      <c r="Q19" s="670">
        <f t="shared" si="6"/>
        <v>0</v>
      </c>
      <c r="R19" s="247">
        <f t="shared" si="12"/>
        <v>0</v>
      </c>
      <c r="S19" s="24">
        <f t="shared" si="7"/>
        <v>0</v>
      </c>
      <c r="T19" s="25">
        <f t="shared" si="8"/>
        <v>0</v>
      </c>
      <c r="U19" s="654">
        <f t="shared" si="9"/>
        <v>0</v>
      </c>
      <c r="V19" s="8"/>
      <c r="X19" s="1"/>
    </row>
    <row r="20" spans="1:24" x14ac:dyDescent="0.2">
      <c r="A20" s="33">
        <f t="shared" si="13"/>
        <v>2007</v>
      </c>
      <c r="B20" s="30">
        <v>0</v>
      </c>
      <c r="C20" s="660">
        <f t="shared" si="0"/>
        <v>0</v>
      </c>
      <c r="D20" s="662">
        <v>0</v>
      </c>
      <c r="E20" s="663">
        <v>0</v>
      </c>
      <c r="F20" s="675">
        <v>0</v>
      </c>
      <c r="G20" s="626">
        <v>0</v>
      </c>
      <c r="H20" s="72">
        <v>0</v>
      </c>
      <c r="I20" s="630">
        <v>0</v>
      </c>
      <c r="J20" s="61">
        <f t="shared" si="10"/>
        <v>0</v>
      </c>
      <c r="K20" s="188">
        <f t="shared" si="1"/>
        <v>0</v>
      </c>
      <c r="L20" s="188">
        <f t="shared" si="2"/>
        <v>0</v>
      </c>
      <c r="M20" s="188">
        <f t="shared" si="3"/>
        <v>0</v>
      </c>
      <c r="N20" s="54">
        <f t="shared" si="11"/>
        <v>0</v>
      </c>
      <c r="O20" s="670">
        <f t="shared" si="4"/>
        <v>0</v>
      </c>
      <c r="P20" s="670">
        <f t="shared" si="5"/>
        <v>0</v>
      </c>
      <c r="Q20" s="670">
        <f t="shared" si="6"/>
        <v>0</v>
      </c>
      <c r="R20" s="247">
        <f t="shared" si="12"/>
        <v>0</v>
      </c>
      <c r="S20" s="24">
        <f t="shared" si="7"/>
        <v>0</v>
      </c>
      <c r="T20" s="25">
        <f t="shared" si="8"/>
        <v>0</v>
      </c>
      <c r="U20" s="654">
        <f t="shared" si="9"/>
        <v>0</v>
      </c>
    </row>
    <row r="21" spans="1:24" x14ac:dyDescent="0.2">
      <c r="A21" s="33">
        <f t="shared" si="13"/>
        <v>2008</v>
      </c>
      <c r="B21" s="30">
        <v>3</v>
      </c>
      <c r="C21" s="660">
        <f t="shared" si="0"/>
        <v>3</v>
      </c>
      <c r="D21" s="662">
        <v>3.274</v>
      </c>
      <c r="E21" s="663">
        <v>3.274</v>
      </c>
      <c r="F21" s="617">
        <v>7303</v>
      </c>
      <c r="G21" s="626">
        <f>+$B21*D21/1000</f>
        <v>9.8219999999999991E-3</v>
      </c>
      <c r="H21" s="72">
        <f>+$B21*E21/1000</f>
        <v>9.8219999999999991E-3</v>
      </c>
      <c r="I21" s="630">
        <f>+$B21*F21/1000000</f>
        <v>2.1909000000000001E-2</v>
      </c>
      <c r="J21" s="61">
        <f t="shared" si="10"/>
        <v>1.5</v>
      </c>
      <c r="K21" s="188">
        <f t="shared" si="1"/>
        <v>3.274</v>
      </c>
      <c r="L21" s="188">
        <f t="shared" si="2"/>
        <v>4.9109999999999996E-3</v>
      </c>
      <c r="M21" s="188">
        <f t="shared" si="3"/>
        <v>4.9109999999999996E-3</v>
      </c>
      <c r="N21" s="54">
        <f t="shared" si="11"/>
        <v>0</v>
      </c>
      <c r="O21" s="670">
        <f t="shared" si="4"/>
        <v>3.274</v>
      </c>
      <c r="P21" s="670">
        <f t="shared" si="5"/>
        <v>0</v>
      </c>
      <c r="Q21" s="670">
        <f t="shared" si="6"/>
        <v>0</v>
      </c>
      <c r="R21" s="247">
        <f t="shared" si="12"/>
        <v>1.5</v>
      </c>
      <c r="S21" s="24">
        <f t="shared" si="7"/>
        <v>7303</v>
      </c>
      <c r="T21" s="25">
        <f t="shared" si="8"/>
        <v>1.0954500000000001E-2</v>
      </c>
      <c r="U21" s="654">
        <f t="shared" si="9"/>
        <v>1.0954500000000001E-2</v>
      </c>
    </row>
    <row r="22" spans="1:24" x14ac:dyDescent="0.2">
      <c r="A22" s="33">
        <f t="shared" si="13"/>
        <v>2009</v>
      </c>
      <c r="B22" s="30">
        <v>20</v>
      </c>
      <c r="C22" s="660">
        <f t="shared" si="0"/>
        <v>23</v>
      </c>
      <c r="D22" s="662">
        <v>3.4977999999999998</v>
      </c>
      <c r="E22" s="663">
        <v>3.4977999999999998</v>
      </c>
      <c r="F22" s="617">
        <v>2739.7200000000003</v>
      </c>
      <c r="G22" s="626">
        <f t="shared" ref="G22:G39" si="14">+$B22*D22/1000</f>
        <v>6.995599999999999E-2</v>
      </c>
      <c r="H22" s="72">
        <f t="shared" ref="H22:H39" si="15">+$B22*E22/1000</f>
        <v>6.995599999999999E-2</v>
      </c>
      <c r="I22" s="630">
        <f t="shared" ref="I22:I39" si="16">+$B22*F22/1000000</f>
        <v>5.4794400000000007E-2</v>
      </c>
      <c r="J22" s="61">
        <f t="shared" si="10"/>
        <v>11.5</v>
      </c>
      <c r="K22" s="188">
        <f t="shared" si="1"/>
        <v>3.4977999999999998</v>
      </c>
      <c r="L22" s="188">
        <f t="shared" si="2"/>
        <v>4.0224699999999995E-2</v>
      </c>
      <c r="M22" s="188">
        <f t="shared" si="3"/>
        <v>4.5135699999999994E-2</v>
      </c>
      <c r="N22" s="54">
        <f t="shared" si="11"/>
        <v>3</v>
      </c>
      <c r="O22" s="670">
        <f t="shared" si="4"/>
        <v>3.4977999999999998</v>
      </c>
      <c r="P22" s="670">
        <f t="shared" si="5"/>
        <v>1.04934E-2</v>
      </c>
      <c r="Q22" s="670">
        <f t="shared" si="6"/>
        <v>1.04934E-2</v>
      </c>
      <c r="R22" s="247">
        <f t="shared" si="12"/>
        <v>11.5</v>
      </c>
      <c r="S22" s="24">
        <f t="shared" si="7"/>
        <v>2739.7200000000003</v>
      </c>
      <c r="T22" s="25">
        <f t="shared" si="8"/>
        <v>3.1506780000000005E-2</v>
      </c>
      <c r="U22" s="654">
        <f t="shared" si="9"/>
        <v>4.2461280000000004E-2</v>
      </c>
    </row>
    <row r="23" spans="1:24" x14ac:dyDescent="0.2">
      <c r="A23" s="33">
        <f t="shared" si="13"/>
        <v>2010</v>
      </c>
      <c r="B23" s="1247">
        <v>45</v>
      </c>
      <c r="C23" s="661">
        <f t="shared" si="0"/>
        <v>68</v>
      </c>
      <c r="D23" s="662">
        <v>20.46</v>
      </c>
      <c r="E23" s="663">
        <v>15.93</v>
      </c>
      <c r="F23" s="617">
        <v>6346</v>
      </c>
      <c r="G23" s="626">
        <f t="shared" si="14"/>
        <v>0.92070000000000007</v>
      </c>
      <c r="H23" s="72">
        <f t="shared" si="15"/>
        <v>0.71684999999999999</v>
      </c>
      <c r="I23" s="630">
        <f t="shared" si="16"/>
        <v>0.28556999999999999</v>
      </c>
      <c r="J23" s="666">
        <f t="shared" si="10"/>
        <v>32.5</v>
      </c>
      <c r="K23" s="188">
        <f t="shared" si="1"/>
        <v>20.46</v>
      </c>
      <c r="L23" s="188">
        <f t="shared" si="2"/>
        <v>0.66495000000000004</v>
      </c>
      <c r="M23" s="188">
        <f t="shared" si="3"/>
        <v>0.71008570000000004</v>
      </c>
      <c r="N23" s="669">
        <f t="shared" si="11"/>
        <v>20</v>
      </c>
      <c r="O23" s="670">
        <f t="shared" si="4"/>
        <v>15.93</v>
      </c>
      <c r="P23" s="670">
        <f t="shared" si="5"/>
        <v>0.31860000000000005</v>
      </c>
      <c r="Q23" s="670">
        <f t="shared" si="6"/>
        <v>0.32909340000000004</v>
      </c>
      <c r="R23" s="247">
        <f t="shared" si="12"/>
        <v>32.5</v>
      </c>
      <c r="S23" s="24">
        <f t="shared" si="7"/>
        <v>6346</v>
      </c>
      <c r="T23" s="25">
        <f t="shared" si="8"/>
        <v>0.20624500000000001</v>
      </c>
      <c r="U23" s="654">
        <f t="shared" si="9"/>
        <v>0.24870628</v>
      </c>
    </row>
    <row r="24" spans="1:24" x14ac:dyDescent="0.2">
      <c r="A24" s="33">
        <f t="shared" si="13"/>
        <v>2011</v>
      </c>
      <c r="B24" s="30">
        <v>34</v>
      </c>
      <c r="C24" s="661">
        <f t="shared" si="0"/>
        <v>102</v>
      </c>
      <c r="D24" s="662">
        <v>30.05</v>
      </c>
      <c r="E24" s="663">
        <v>23.66</v>
      </c>
      <c r="F24" s="617">
        <v>37262</v>
      </c>
      <c r="G24" s="626">
        <f t="shared" si="14"/>
        <v>1.0217000000000001</v>
      </c>
      <c r="H24" s="72">
        <f t="shared" si="15"/>
        <v>0.80444000000000004</v>
      </c>
      <c r="I24" s="630">
        <f t="shared" si="16"/>
        <v>1.2669079999999999</v>
      </c>
      <c r="J24" s="666">
        <f t="shared" si="10"/>
        <v>39.5</v>
      </c>
      <c r="K24" s="188">
        <f t="shared" si="1"/>
        <v>30.05</v>
      </c>
      <c r="L24" s="188">
        <f t="shared" si="2"/>
        <v>1.1869750000000001</v>
      </c>
      <c r="M24" s="188">
        <f t="shared" si="3"/>
        <v>1.8970607000000002</v>
      </c>
      <c r="N24" s="669">
        <f t="shared" si="11"/>
        <v>45</v>
      </c>
      <c r="O24" s="670">
        <f t="shared" si="4"/>
        <v>23.66</v>
      </c>
      <c r="P24" s="670">
        <f t="shared" si="5"/>
        <v>1.0647</v>
      </c>
      <c r="Q24" s="670">
        <f t="shared" si="6"/>
        <v>1.3937934000000001</v>
      </c>
      <c r="R24" s="247">
        <f t="shared" si="12"/>
        <v>39.5</v>
      </c>
      <c r="S24" s="24">
        <f t="shared" si="7"/>
        <v>37262</v>
      </c>
      <c r="T24" s="25">
        <f t="shared" si="8"/>
        <v>1.471849</v>
      </c>
      <c r="U24" s="654">
        <f t="shared" si="9"/>
        <v>1.7205552799999999</v>
      </c>
    </row>
    <row r="25" spans="1:24" x14ac:dyDescent="0.2">
      <c r="A25" s="33">
        <f t="shared" si="13"/>
        <v>2012</v>
      </c>
      <c r="B25" s="30">
        <v>11</v>
      </c>
      <c r="C25" s="661">
        <f t="shared" si="0"/>
        <v>113</v>
      </c>
      <c r="D25" s="662">
        <v>23.31</v>
      </c>
      <c r="E25" s="663">
        <v>18.93</v>
      </c>
      <c r="F25" s="617">
        <v>27934</v>
      </c>
      <c r="G25" s="626">
        <f t="shared" si="14"/>
        <v>0.25640999999999997</v>
      </c>
      <c r="H25" s="72">
        <f t="shared" si="15"/>
        <v>0.20823</v>
      </c>
      <c r="I25" s="630">
        <f t="shared" si="16"/>
        <v>0.30727399999999999</v>
      </c>
      <c r="J25" s="666">
        <f t="shared" si="10"/>
        <v>22.5</v>
      </c>
      <c r="K25" s="188">
        <f t="shared" si="1"/>
        <v>23.31</v>
      </c>
      <c r="L25" s="188">
        <f t="shared" si="2"/>
        <v>0.52447500000000002</v>
      </c>
      <c r="M25" s="188">
        <f t="shared" si="3"/>
        <v>2.4215357000000002</v>
      </c>
      <c r="N25" s="669">
        <f t="shared" si="11"/>
        <v>34</v>
      </c>
      <c r="O25" s="670">
        <f t="shared" si="4"/>
        <v>18.93</v>
      </c>
      <c r="P25" s="670">
        <f t="shared" si="5"/>
        <v>0.64361999999999997</v>
      </c>
      <c r="Q25" s="670">
        <f t="shared" si="6"/>
        <v>2.0374134000000002</v>
      </c>
      <c r="R25" s="247">
        <f t="shared" si="12"/>
        <v>22.5</v>
      </c>
      <c r="S25" s="24">
        <f t="shared" si="7"/>
        <v>27934</v>
      </c>
      <c r="T25" s="25">
        <f t="shared" si="8"/>
        <v>0.62851500000000005</v>
      </c>
      <c r="U25" s="654">
        <f t="shared" si="9"/>
        <v>2.3490702799999998</v>
      </c>
    </row>
    <row r="26" spans="1:24" s="831" customFormat="1" x14ac:dyDescent="0.2">
      <c r="A26" s="33">
        <f t="shared" si="13"/>
        <v>2013</v>
      </c>
      <c r="B26" s="30">
        <v>37</v>
      </c>
      <c r="C26" s="619">
        <f t="shared" si="0"/>
        <v>150</v>
      </c>
      <c r="D26" s="807">
        <v>17.170000000000002</v>
      </c>
      <c r="E26" s="808">
        <v>13.37</v>
      </c>
      <c r="F26" s="806">
        <v>17126</v>
      </c>
      <c r="G26" s="626">
        <f t="shared" si="14"/>
        <v>0.63529000000000013</v>
      </c>
      <c r="H26" s="72">
        <f t="shared" si="15"/>
        <v>0.49469000000000002</v>
      </c>
      <c r="I26" s="630">
        <f t="shared" si="16"/>
        <v>0.63366199999999995</v>
      </c>
      <c r="J26" s="666">
        <f t="shared" si="10"/>
        <v>24</v>
      </c>
      <c r="K26" s="188">
        <f t="shared" si="1"/>
        <v>17.170000000000002</v>
      </c>
      <c r="L26" s="188">
        <f t="shared" si="2"/>
        <v>0.41208000000000006</v>
      </c>
      <c r="M26" s="829">
        <f t="shared" si="3"/>
        <v>2.8336157000000002</v>
      </c>
      <c r="N26" s="669">
        <f t="shared" si="11"/>
        <v>11</v>
      </c>
      <c r="O26" s="670">
        <f t="shared" si="4"/>
        <v>13.37</v>
      </c>
      <c r="P26" s="670">
        <f t="shared" si="5"/>
        <v>0.14707000000000001</v>
      </c>
      <c r="Q26" s="671">
        <f t="shared" si="6"/>
        <v>2.1844834</v>
      </c>
      <c r="R26" s="247">
        <f t="shared" si="12"/>
        <v>24</v>
      </c>
      <c r="S26" s="24">
        <f t="shared" si="7"/>
        <v>17126</v>
      </c>
      <c r="T26" s="25">
        <f t="shared" si="8"/>
        <v>0.411024</v>
      </c>
      <c r="U26" s="654">
        <f t="shared" si="9"/>
        <v>2.7600942799999997</v>
      </c>
      <c r="V26" s="830"/>
    </row>
    <row r="27" spans="1:24" s="831" customFormat="1" x14ac:dyDescent="0.2">
      <c r="A27" s="33">
        <f t="shared" si="13"/>
        <v>2014</v>
      </c>
      <c r="B27" s="30">
        <v>48</v>
      </c>
      <c r="C27" s="619">
        <f t="shared" si="0"/>
        <v>198</v>
      </c>
      <c r="D27" s="807">
        <v>10.41</v>
      </c>
      <c r="E27" s="808">
        <v>8.11</v>
      </c>
      <c r="F27" s="806">
        <v>9660</v>
      </c>
      <c r="G27" s="626">
        <f t="shared" si="14"/>
        <v>0.49968000000000001</v>
      </c>
      <c r="H27" s="72">
        <f t="shared" si="15"/>
        <v>0.38927999999999996</v>
      </c>
      <c r="I27" s="630">
        <f t="shared" si="16"/>
        <v>0.46367999999999998</v>
      </c>
      <c r="J27" s="666">
        <f t="shared" si="10"/>
        <v>42.5</v>
      </c>
      <c r="K27" s="188">
        <f t="shared" si="1"/>
        <v>10.41</v>
      </c>
      <c r="L27" s="188">
        <f t="shared" si="2"/>
        <v>0.44242500000000001</v>
      </c>
      <c r="M27" s="829">
        <f t="shared" si="3"/>
        <v>3.2760407000000002</v>
      </c>
      <c r="N27" s="669">
        <f t="shared" si="11"/>
        <v>37</v>
      </c>
      <c r="O27" s="670">
        <f t="shared" si="4"/>
        <v>8.11</v>
      </c>
      <c r="P27" s="670">
        <f t="shared" si="5"/>
        <v>0.30007</v>
      </c>
      <c r="Q27" s="671">
        <f t="shared" si="6"/>
        <v>2.4845533999999998</v>
      </c>
      <c r="R27" s="247">
        <f t="shared" si="12"/>
        <v>42.5</v>
      </c>
      <c r="S27" s="24">
        <f t="shared" si="7"/>
        <v>9660</v>
      </c>
      <c r="T27" s="25">
        <f t="shared" si="8"/>
        <v>0.41055000000000003</v>
      </c>
      <c r="U27" s="654">
        <f t="shared" si="9"/>
        <v>3.1706442799999999</v>
      </c>
      <c r="V27" s="830"/>
    </row>
    <row r="28" spans="1:24" s="831" customFormat="1" x14ac:dyDescent="0.2">
      <c r="A28" s="33">
        <f t="shared" si="13"/>
        <v>2015</v>
      </c>
      <c r="B28" s="30">
        <v>2</v>
      </c>
      <c r="C28" s="619">
        <f t="shared" si="0"/>
        <v>200</v>
      </c>
      <c r="D28" s="807">
        <v>14.8</v>
      </c>
      <c r="E28" s="808">
        <v>11.59</v>
      </c>
      <c r="F28" s="806">
        <v>12062</v>
      </c>
      <c r="G28" s="626">
        <f t="shared" si="14"/>
        <v>2.9600000000000001E-2</v>
      </c>
      <c r="H28" s="72">
        <f t="shared" si="15"/>
        <v>2.3179999999999999E-2</v>
      </c>
      <c r="I28" s="630">
        <f t="shared" si="16"/>
        <v>2.4124E-2</v>
      </c>
      <c r="J28" s="666">
        <f t="shared" si="10"/>
        <v>25</v>
      </c>
      <c r="K28" s="188">
        <f t="shared" si="1"/>
        <v>14.8</v>
      </c>
      <c r="L28" s="188">
        <f t="shared" si="2"/>
        <v>0.37</v>
      </c>
      <c r="M28" s="829">
        <f t="shared" si="3"/>
        <v>3.6460407000000004</v>
      </c>
      <c r="N28" s="669">
        <f t="shared" si="11"/>
        <v>48</v>
      </c>
      <c r="O28" s="670">
        <f t="shared" si="4"/>
        <v>11.59</v>
      </c>
      <c r="P28" s="670">
        <f t="shared" si="5"/>
        <v>0.55631999999999993</v>
      </c>
      <c r="Q28" s="671">
        <f t="shared" si="6"/>
        <v>3.0408733999999997</v>
      </c>
      <c r="R28" s="247">
        <f t="shared" si="12"/>
        <v>25</v>
      </c>
      <c r="S28" s="24">
        <f t="shared" si="7"/>
        <v>12062</v>
      </c>
      <c r="T28" s="25">
        <f t="shared" si="8"/>
        <v>0.30154999999999998</v>
      </c>
      <c r="U28" s="654">
        <f t="shared" si="9"/>
        <v>3.4721942800000001</v>
      </c>
      <c r="V28" s="830"/>
    </row>
    <row r="29" spans="1:24" ht="13.5" thickBot="1" x14ac:dyDescent="0.25">
      <c r="A29" s="701">
        <f t="shared" si="13"/>
        <v>2016</v>
      </c>
      <c r="B29" s="702">
        <v>12</v>
      </c>
      <c r="C29" s="703">
        <f t="shared" si="0"/>
        <v>212</v>
      </c>
      <c r="D29" s="835">
        <v>15.69</v>
      </c>
      <c r="E29" s="836">
        <v>12.55</v>
      </c>
      <c r="F29" s="705">
        <v>95812</v>
      </c>
      <c r="G29" s="823">
        <f t="shared" si="14"/>
        <v>0.18828</v>
      </c>
      <c r="H29" s="707">
        <f t="shared" si="15"/>
        <v>0.15060000000000001</v>
      </c>
      <c r="I29" s="824">
        <f t="shared" si="16"/>
        <v>1.1497440000000001</v>
      </c>
      <c r="J29" s="880">
        <f t="shared" si="10"/>
        <v>7</v>
      </c>
      <c r="K29" s="825">
        <f t="shared" si="1"/>
        <v>15.69</v>
      </c>
      <c r="L29" s="825">
        <f t="shared" si="2"/>
        <v>0.10983</v>
      </c>
      <c r="M29" s="826">
        <f t="shared" si="3"/>
        <v>3.7558707000000005</v>
      </c>
      <c r="N29" s="881">
        <f t="shared" si="11"/>
        <v>2</v>
      </c>
      <c r="O29" s="827">
        <f t="shared" si="4"/>
        <v>12.55</v>
      </c>
      <c r="P29" s="827">
        <f t="shared" si="5"/>
        <v>2.5100000000000001E-2</v>
      </c>
      <c r="Q29" s="828">
        <f t="shared" si="6"/>
        <v>3.0659733999999998</v>
      </c>
      <c r="R29" s="714">
        <f t="shared" si="12"/>
        <v>7</v>
      </c>
      <c r="S29" s="715">
        <f t="shared" si="7"/>
        <v>95812</v>
      </c>
      <c r="T29" s="716">
        <f t="shared" si="8"/>
        <v>0.67068399999999995</v>
      </c>
      <c r="U29" s="717">
        <f t="shared" si="9"/>
        <v>4.1428782799999997</v>
      </c>
    </row>
    <row r="30" spans="1:24" x14ac:dyDescent="0.2">
      <c r="A30" s="33">
        <f t="shared" si="13"/>
        <v>2017</v>
      </c>
      <c r="B30" s="787">
        <v>15</v>
      </c>
      <c r="C30" s="565">
        <f t="shared" si="0"/>
        <v>227</v>
      </c>
      <c r="D30" s="965">
        <v>24.84</v>
      </c>
      <c r="E30" s="966">
        <v>19.489999999999998</v>
      </c>
      <c r="F30" s="790">
        <v>27772</v>
      </c>
      <c r="G30" s="473">
        <f t="shared" si="14"/>
        <v>0.37260000000000004</v>
      </c>
      <c r="H30" s="474">
        <f t="shared" si="15"/>
        <v>0.29234999999999994</v>
      </c>
      <c r="I30" s="474">
        <f t="shared" si="16"/>
        <v>0.41658000000000001</v>
      </c>
      <c r="J30" s="61">
        <f t="shared" si="10"/>
        <v>13.5</v>
      </c>
      <c r="K30" s="967">
        <f t="shared" si="1"/>
        <v>24.84</v>
      </c>
      <c r="L30" s="967">
        <f t="shared" si="2"/>
        <v>0.33533999999999997</v>
      </c>
      <c r="M30" s="967">
        <f t="shared" si="3"/>
        <v>4.0912107000000004</v>
      </c>
      <c r="N30" s="54">
        <f t="shared" si="11"/>
        <v>12</v>
      </c>
      <c r="O30" s="968">
        <f t="shared" si="4"/>
        <v>19.489999999999998</v>
      </c>
      <c r="P30" s="968">
        <f t="shared" si="5"/>
        <v>0.23388</v>
      </c>
      <c r="Q30" s="969">
        <f t="shared" si="6"/>
        <v>3.2998533999999999</v>
      </c>
      <c r="R30" s="247">
        <f t="shared" si="12"/>
        <v>13.5</v>
      </c>
      <c r="S30" s="24">
        <f t="shared" si="7"/>
        <v>27772</v>
      </c>
      <c r="T30" s="970">
        <f t="shared" si="8"/>
        <v>0.37492199999999998</v>
      </c>
      <c r="U30" s="971">
        <f t="shared" si="9"/>
        <v>4.5178002799999994</v>
      </c>
    </row>
    <row r="31" spans="1:24" x14ac:dyDescent="0.2">
      <c r="A31" s="33">
        <f t="shared" si="13"/>
        <v>2018</v>
      </c>
      <c r="B31" s="787">
        <v>15</v>
      </c>
      <c r="C31" s="565">
        <f t="shared" si="0"/>
        <v>242</v>
      </c>
      <c r="D31" s="965">
        <v>24.84</v>
      </c>
      <c r="E31" s="966">
        <v>19.489999999999998</v>
      </c>
      <c r="F31" s="790">
        <v>27772</v>
      </c>
      <c r="G31" s="473">
        <f t="shared" si="14"/>
        <v>0.37260000000000004</v>
      </c>
      <c r="H31" s="474">
        <f t="shared" si="15"/>
        <v>0.29234999999999994</v>
      </c>
      <c r="I31" s="474">
        <f t="shared" si="16"/>
        <v>0.41658000000000001</v>
      </c>
      <c r="J31" s="61">
        <f t="shared" si="10"/>
        <v>15</v>
      </c>
      <c r="K31" s="967">
        <f t="shared" si="1"/>
        <v>24.84</v>
      </c>
      <c r="L31" s="967">
        <f t="shared" si="2"/>
        <v>0.37260000000000004</v>
      </c>
      <c r="M31" s="967">
        <f t="shared" si="3"/>
        <v>4.4638107000000007</v>
      </c>
      <c r="N31" s="54">
        <f t="shared" si="11"/>
        <v>15</v>
      </c>
      <c r="O31" s="968">
        <f t="shared" si="4"/>
        <v>19.489999999999998</v>
      </c>
      <c r="P31" s="968">
        <f t="shared" si="5"/>
        <v>0.29234999999999994</v>
      </c>
      <c r="Q31" s="969">
        <f t="shared" si="6"/>
        <v>3.5922033999999998</v>
      </c>
      <c r="R31" s="247">
        <f t="shared" si="12"/>
        <v>15</v>
      </c>
      <c r="S31" s="24">
        <f t="shared" si="7"/>
        <v>27772</v>
      </c>
      <c r="T31" s="970">
        <f t="shared" si="8"/>
        <v>0.41658000000000001</v>
      </c>
      <c r="U31" s="971">
        <f t="shared" si="9"/>
        <v>4.9343802799999992</v>
      </c>
    </row>
    <row r="32" spans="1:24" x14ac:dyDescent="0.2">
      <c r="A32" s="33">
        <f t="shared" si="13"/>
        <v>2019</v>
      </c>
      <c r="B32" s="787">
        <v>15</v>
      </c>
      <c r="C32" s="565">
        <f t="shared" si="0"/>
        <v>257</v>
      </c>
      <c r="D32" s="965">
        <v>24.84</v>
      </c>
      <c r="E32" s="966">
        <v>19.489999999999998</v>
      </c>
      <c r="F32" s="790">
        <v>27772</v>
      </c>
      <c r="G32" s="473">
        <f t="shared" si="14"/>
        <v>0.37260000000000004</v>
      </c>
      <c r="H32" s="474">
        <f t="shared" si="15"/>
        <v>0.29234999999999994</v>
      </c>
      <c r="I32" s="474">
        <f t="shared" si="16"/>
        <v>0.41658000000000001</v>
      </c>
      <c r="J32" s="61">
        <f t="shared" si="10"/>
        <v>15</v>
      </c>
      <c r="K32" s="967">
        <f t="shared" si="1"/>
        <v>24.84</v>
      </c>
      <c r="L32" s="967">
        <f t="shared" si="2"/>
        <v>0.37260000000000004</v>
      </c>
      <c r="M32" s="967">
        <f t="shared" si="3"/>
        <v>4.836410700000001</v>
      </c>
      <c r="N32" s="54">
        <f t="shared" si="11"/>
        <v>15</v>
      </c>
      <c r="O32" s="968">
        <f t="shared" si="4"/>
        <v>19.489999999999998</v>
      </c>
      <c r="P32" s="968">
        <f t="shared" si="5"/>
        <v>0.29234999999999994</v>
      </c>
      <c r="Q32" s="969">
        <f t="shared" si="6"/>
        <v>3.8845533999999997</v>
      </c>
      <c r="R32" s="247">
        <f t="shared" si="12"/>
        <v>15</v>
      </c>
      <c r="S32" s="24">
        <f t="shared" si="7"/>
        <v>27772</v>
      </c>
      <c r="T32" s="970">
        <f t="shared" si="8"/>
        <v>0.41658000000000001</v>
      </c>
      <c r="U32" s="971">
        <f t="shared" si="9"/>
        <v>5.3509602799999989</v>
      </c>
    </row>
    <row r="33" spans="1:21" x14ac:dyDescent="0.2">
      <c r="A33" s="33">
        <f t="shared" si="13"/>
        <v>2020</v>
      </c>
      <c r="B33" s="787">
        <v>15</v>
      </c>
      <c r="C33" s="565">
        <f t="shared" si="0"/>
        <v>272</v>
      </c>
      <c r="D33" s="965">
        <v>24.84</v>
      </c>
      <c r="E33" s="966">
        <v>19.489999999999998</v>
      </c>
      <c r="F33" s="790">
        <v>27772</v>
      </c>
      <c r="G33" s="473">
        <f t="shared" si="14"/>
        <v>0.37260000000000004</v>
      </c>
      <c r="H33" s="474">
        <f t="shared" si="15"/>
        <v>0.29234999999999994</v>
      </c>
      <c r="I33" s="474">
        <f t="shared" si="16"/>
        <v>0.41658000000000001</v>
      </c>
      <c r="J33" s="61">
        <f t="shared" si="10"/>
        <v>15</v>
      </c>
      <c r="K33" s="967">
        <f t="shared" si="1"/>
        <v>24.84</v>
      </c>
      <c r="L33" s="967">
        <f t="shared" si="2"/>
        <v>0.37260000000000004</v>
      </c>
      <c r="M33" s="967">
        <f t="shared" si="3"/>
        <v>5.2090107000000012</v>
      </c>
      <c r="N33" s="54">
        <f t="shared" si="11"/>
        <v>15</v>
      </c>
      <c r="O33" s="968">
        <f t="shared" si="4"/>
        <v>19.489999999999998</v>
      </c>
      <c r="P33" s="968">
        <f t="shared" si="5"/>
        <v>0.29234999999999994</v>
      </c>
      <c r="Q33" s="969">
        <f t="shared" si="6"/>
        <v>4.1769033999999996</v>
      </c>
      <c r="R33" s="247">
        <f t="shared" si="12"/>
        <v>15</v>
      </c>
      <c r="S33" s="24">
        <f t="shared" si="7"/>
        <v>27772</v>
      </c>
      <c r="T33" s="970">
        <f t="shared" si="8"/>
        <v>0.41658000000000001</v>
      </c>
      <c r="U33" s="971">
        <f t="shared" si="9"/>
        <v>5.7675402799999986</v>
      </c>
    </row>
    <row r="34" spans="1:21" x14ac:dyDescent="0.2">
      <c r="A34" s="33">
        <f t="shared" si="13"/>
        <v>2021</v>
      </c>
      <c r="B34" s="787">
        <v>15</v>
      </c>
      <c r="C34" s="565">
        <f t="shared" si="0"/>
        <v>287</v>
      </c>
      <c r="D34" s="965">
        <v>24.84</v>
      </c>
      <c r="E34" s="966">
        <v>19.489999999999998</v>
      </c>
      <c r="F34" s="790">
        <v>27772</v>
      </c>
      <c r="G34" s="473">
        <f t="shared" si="14"/>
        <v>0.37260000000000004</v>
      </c>
      <c r="H34" s="474">
        <f t="shared" si="15"/>
        <v>0.29234999999999994</v>
      </c>
      <c r="I34" s="474">
        <f t="shared" si="16"/>
        <v>0.41658000000000001</v>
      </c>
      <c r="J34" s="61">
        <f t="shared" si="10"/>
        <v>15</v>
      </c>
      <c r="K34" s="967">
        <f t="shared" si="1"/>
        <v>24.84</v>
      </c>
      <c r="L34" s="967">
        <f t="shared" si="2"/>
        <v>0.37260000000000004</v>
      </c>
      <c r="M34" s="967">
        <f t="shared" si="3"/>
        <v>5.5816107000000015</v>
      </c>
      <c r="N34" s="54">
        <f t="shared" si="11"/>
        <v>15</v>
      </c>
      <c r="O34" s="968">
        <f t="shared" si="4"/>
        <v>19.489999999999998</v>
      </c>
      <c r="P34" s="968">
        <f t="shared" si="5"/>
        <v>0.29234999999999994</v>
      </c>
      <c r="Q34" s="969">
        <f t="shared" si="6"/>
        <v>4.4692533999999995</v>
      </c>
      <c r="R34" s="247">
        <f t="shared" si="12"/>
        <v>15</v>
      </c>
      <c r="S34" s="24">
        <f t="shared" si="7"/>
        <v>27772</v>
      </c>
      <c r="T34" s="970">
        <f t="shared" si="8"/>
        <v>0.41658000000000001</v>
      </c>
      <c r="U34" s="971">
        <f t="shared" si="9"/>
        <v>6.1841202799999984</v>
      </c>
    </row>
    <row r="35" spans="1:21" x14ac:dyDescent="0.2">
      <c r="A35" s="33">
        <f t="shared" si="13"/>
        <v>2022</v>
      </c>
      <c r="B35" s="787">
        <v>15</v>
      </c>
      <c r="C35" s="565">
        <f t="shared" si="0"/>
        <v>302</v>
      </c>
      <c r="D35" s="965">
        <v>24.84</v>
      </c>
      <c r="E35" s="966">
        <v>19.489999999999998</v>
      </c>
      <c r="F35" s="790">
        <v>27772</v>
      </c>
      <c r="G35" s="473">
        <f t="shared" si="14"/>
        <v>0.37260000000000004</v>
      </c>
      <c r="H35" s="474">
        <f t="shared" si="15"/>
        <v>0.29234999999999994</v>
      </c>
      <c r="I35" s="474">
        <f t="shared" si="16"/>
        <v>0.41658000000000001</v>
      </c>
      <c r="J35" s="61">
        <f t="shared" si="10"/>
        <v>15</v>
      </c>
      <c r="K35" s="967">
        <f t="shared" si="1"/>
        <v>24.84</v>
      </c>
      <c r="L35" s="967">
        <f t="shared" si="2"/>
        <v>0.37260000000000004</v>
      </c>
      <c r="M35" s="967">
        <f t="shared" si="3"/>
        <v>5.9542107000000017</v>
      </c>
      <c r="N35" s="54">
        <f t="shared" si="11"/>
        <v>15</v>
      </c>
      <c r="O35" s="968">
        <f t="shared" si="4"/>
        <v>19.489999999999998</v>
      </c>
      <c r="P35" s="968">
        <f t="shared" si="5"/>
        <v>0.29234999999999994</v>
      </c>
      <c r="Q35" s="969">
        <f t="shared" si="6"/>
        <v>4.7616033999999994</v>
      </c>
      <c r="R35" s="247">
        <f t="shared" si="12"/>
        <v>15</v>
      </c>
      <c r="S35" s="24">
        <f t="shared" si="7"/>
        <v>27772</v>
      </c>
      <c r="T35" s="970">
        <f t="shared" si="8"/>
        <v>0.41658000000000001</v>
      </c>
      <c r="U35" s="971">
        <f t="shared" si="9"/>
        <v>6.6007002799999981</v>
      </c>
    </row>
    <row r="36" spans="1:21" x14ac:dyDescent="0.2">
      <c r="A36" s="33">
        <f t="shared" si="13"/>
        <v>2023</v>
      </c>
      <c r="B36" s="787">
        <v>15</v>
      </c>
      <c r="C36" s="565">
        <f t="shared" si="0"/>
        <v>317</v>
      </c>
      <c r="D36" s="965">
        <v>24.84</v>
      </c>
      <c r="E36" s="966">
        <v>19.489999999999998</v>
      </c>
      <c r="F36" s="790">
        <v>27772</v>
      </c>
      <c r="G36" s="473">
        <f t="shared" si="14"/>
        <v>0.37260000000000004</v>
      </c>
      <c r="H36" s="474">
        <f t="shared" si="15"/>
        <v>0.29234999999999994</v>
      </c>
      <c r="I36" s="474">
        <f t="shared" si="16"/>
        <v>0.41658000000000001</v>
      </c>
      <c r="J36" s="61">
        <f t="shared" si="10"/>
        <v>15</v>
      </c>
      <c r="K36" s="967">
        <f t="shared" si="1"/>
        <v>24.84</v>
      </c>
      <c r="L36" s="967">
        <f t="shared" si="2"/>
        <v>0.37260000000000004</v>
      </c>
      <c r="M36" s="967">
        <f t="shared" si="3"/>
        <v>6.326810700000002</v>
      </c>
      <c r="N36" s="54">
        <f t="shared" si="11"/>
        <v>15</v>
      </c>
      <c r="O36" s="968">
        <f t="shared" si="4"/>
        <v>19.489999999999998</v>
      </c>
      <c r="P36" s="968">
        <f t="shared" si="5"/>
        <v>0.29234999999999994</v>
      </c>
      <c r="Q36" s="969">
        <f t="shared" si="6"/>
        <v>5.0539533999999993</v>
      </c>
      <c r="R36" s="247">
        <f t="shared" si="12"/>
        <v>15</v>
      </c>
      <c r="S36" s="24">
        <f t="shared" si="7"/>
        <v>27772</v>
      </c>
      <c r="T36" s="970">
        <f t="shared" si="8"/>
        <v>0.41658000000000001</v>
      </c>
      <c r="U36" s="971">
        <f t="shared" si="9"/>
        <v>7.0172802799999978</v>
      </c>
    </row>
    <row r="37" spans="1:21" x14ac:dyDescent="0.2">
      <c r="A37" s="33">
        <f t="shared" si="13"/>
        <v>2024</v>
      </c>
      <c r="B37" s="787">
        <v>15</v>
      </c>
      <c r="C37" s="565">
        <f t="shared" si="0"/>
        <v>332</v>
      </c>
      <c r="D37" s="965">
        <v>24.84</v>
      </c>
      <c r="E37" s="966">
        <v>19.489999999999998</v>
      </c>
      <c r="F37" s="790">
        <v>27772</v>
      </c>
      <c r="G37" s="473">
        <f t="shared" si="14"/>
        <v>0.37260000000000004</v>
      </c>
      <c r="H37" s="474">
        <f t="shared" si="15"/>
        <v>0.29234999999999994</v>
      </c>
      <c r="I37" s="474">
        <f t="shared" si="16"/>
        <v>0.41658000000000001</v>
      </c>
      <c r="J37" s="61">
        <f t="shared" si="10"/>
        <v>15</v>
      </c>
      <c r="K37" s="967">
        <f t="shared" si="1"/>
        <v>24.84</v>
      </c>
      <c r="L37" s="967">
        <f t="shared" si="2"/>
        <v>0.37260000000000004</v>
      </c>
      <c r="M37" s="967">
        <f t="shared" si="3"/>
        <v>6.6994107000000023</v>
      </c>
      <c r="N37" s="54">
        <f t="shared" si="11"/>
        <v>15</v>
      </c>
      <c r="O37" s="968">
        <f t="shared" si="4"/>
        <v>19.489999999999998</v>
      </c>
      <c r="P37" s="968">
        <f t="shared" si="5"/>
        <v>0.29234999999999994</v>
      </c>
      <c r="Q37" s="969">
        <f t="shared" si="6"/>
        <v>5.3463033999999992</v>
      </c>
      <c r="R37" s="247">
        <f t="shared" si="12"/>
        <v>15</v>
      </c>
      <c r="S37" s="24">
        <f t="shared" si="7"/>
        <v>27772</v>
      </c>
      <c r="T37" s="970">
        <f t="shared" si="8"/>
        <v>0.41658000000000001</v>
      </c>
      <c r="U37" s="971">
        <f t="shared" si="9"/>
        <v>7.4338602799999975</v>
      </c>
    </row>
    <row r="38" spans="1:21" x14ac:dyDescent="0.2">
      <c r="A38" s="33">
        <f t="shared" si="13"/>
        <v>2025</v>
      </c>
      <c r="B38" s="787">
        <v>15</v>
      </c>
      <c r="C38" s="565">
        <f t="shared" si="0"/>
        <v>347</v>
      </c>
      <c r="D38" s="965">
        <v>24.84</v>
      </c>
      <c r="E38" s="966">
        <v>19.489999999999998</v>
      </c>
      <c r="F38" s="790">
        <v>27772</v>
      </c>
      <c r="G38" s="473">
        <f t="shared" si="14"/>
        <v>0.37260000000000004</v>
      </c>
      <c r="H38" s="474">
        <f t="shared" si="15"/>
        <v>0.29234999999999994</v>
      </c>
      <c r="I38" s="474">
        <f t="shared" si="16"/>
        <v>0.41658000000000001</v>
      </c>
      <c r="J38" s="61">
        <f t="shared" si="10"/>
        <v>15</v>
      </c>
      <c r="K38" s="967">
        <f t="shared" si="1"/>
        <v>24.84</v>
      </c>
      <c r="L38" s="967">
        <f t="shared" si="2"/>
        <v>0.37260000000000004</v>
      </c>
      <c r="M38" s="967">
        <f t="shared" si="3"/>
        <v>7.0720107000000025</v>
      </c>
      <c r="N38" s="54">
        <f t="shared" si="11"/>
        <v>15</v>
      </c>
      <c r="O38" s="968">
        <f t="shared" si="4"/>
        <v>19.489999999999998</v>
      </c>
      <c r="P38" s="968">
        <f t="shared" si="5"/>
        <v>0.29234999999999994</v>
      </c>
      <c r="Q38" s="969">
        <f t="shared" si="6"/>
        <v>5.638653399999999</v>
      </c>
      <c r="R38" s="247">
        <f t="shared" ref="R38:R42" si="17">+(B38+B37)/2</f>
        <v>15</v>
      </c>
      <c r="S38" s="24">
        <f t="shared" ref="S38:S42" si="18">+F38</f>
        <v>27772</v>
      </c>
      <c r="T38" s="970">
        <f t="shared" ref="T38:T42" si="19">+R38*S38/1000000</f>
        <v>0.41658000000000001</v>
      </c>
      <c r="U38" s="971">
        <f t="shared" si="9"/>
        <v>7.8504402799999973</v>
      </c>
    </row>
    <row r="39" spans="1:21" x14ac:dyDescent="0.2">
      <c r="A39" s="33">
        <f t="shared" si="13"/>
        <v>2026</v>
      </c>
      <c r="B39" s="787">
        <v>15</v>
      </c>
      <c r="C39" s="565">
        <f t="shared" si="0"/>
        <v>362</v>
      </c>
      <c r="D39" s="965">
        <v>24.84</v>
      </c>
      <c r="E39" s="966">
        <v>19.489999999999998</v>
      </c>
      <c r="F39" s="790">
        <v>27772</v>
      </c>
      <c r="G39" s="473">
        <f t="shared" si="14"/>
        <v>0.37260000000000004</v>
      </c>
      <c r="H39" s="474">
        <f t="shared" si="15"/>
        <v>0.29234999999999994</v>
      </c>
      <c r="I39" s="474">
        <f t="shared" si="16"/>
        <v>0.41658000000000001</v>
      </c>
      <c r="J39" s="61">
        <f t="shared" si="10"/>
        <v>15</v>
      </c>
      <c r="K39" s="967">
        <f t="shared" si="1"/>
        <v>24.84</v>
      </c>
      <c r="L39" s="967">
        <f t="shared" si="2"/>
        <v>0.37260000000000004</v>
      </c>
      <c r="M39" s="967">
        <f t="shared" si="3"/>
        <v>7.4446107000000028</v>
      </c>
      <c r="N39" s="54">
        <f t="shared" si="11"/>
        <v>15</v>
      </c>
      <c r="O39" s="968">
        <f t="shared" si="4"/>
        <v>19.489999999999998</v>
      </c>
      <c r="P39" s="968">
        <f t="shared" si="5"/>
        <v>0.29234999999999994</v>
      </c>
      <c r="Q39" s="969">
        <f t="shared" si="6"/>
        <v>5.9310033999999989</v>
      </c>
      <c r="R39" s="247">
        <f t="shared" si="17"/>
        <v>15</v>
      </c>
      <c r="S39" s="24">
        <f t="shared" si="18"/>
        <v>27772</v>
      </c>
      <c r="T39" s="970">
        <f t="shared" si="19"/>
        <v>0.41658000000000001</v>
      </c>
      <c r="U39" s="971">
        <f t="shared" si="9"/>
        <v>8.267020279999997</v>
      </c>
    </row>
    <row r="40" spans="1:21" x14ac:dyDescent="0.2">
      <c r="A40" s="33">
        <f>+A39+1</f>
        <v>2027</v>
      </c>
      <c r="B40" s="787">
        <v>15</v>
      </c>
      <c r="C40" s="565">
        <f>+C39+B40</f>
        <v>377</v>
      </c>
      <c r="D40" s="965">
        <v>24.84</v>
      </c>
      <c r="E40" s="966">
        <v>19.489999999999998</v>
      </c>
      <c r="F40" s="790">
        <v>27772</v>
      </c>
      <c r="G40" s="473">
        <f t="shared" ref="G40:H42" si="20">+$B40*D40/1000</f>
        <v>0.37260000000000004</v>
      </c>
      <c r="H40" s="474">
        <f t="shared" si="20"/>
        <v>0.29234999999999994</v>
      </c>
      <c r="I40" s="474">
        <f>+$B40*F40/1000000</f>
        <v>0.41658000000000001</v>
      </c>
      <c r="J40" s="61">
        <f>+(B40+B39)/2</f>
        <v>15</v>
      </c>
      <c r="K40" s="967">
        <f>+D40</f>
        <v>24.84</v>
      </c>
      <c r="L40" s="967">
        <f>+J40*K40/1000</f>
        <v>0.37260000000000004</v>
      </c>
      <c r="M40" s="967">
        <f>+M39+L40</f>
        <v>7.8172107000000031</v>
      </c>
      <c r="N40" s="54">
        <f>+B39</f>
        <v>15</v>
      </c>
      <c r="O40" s="968">
        <f>+E40</f>
        <v>19.489999999999998</v>
      </c>
      <c r="P40" s="968">
        <f>+N40*O40/1000</f>
        <v>0.29234999999999994</v>
      </c>
      <c r="Q40" s="969">
        <f>+Q39+P40</f>
        <v>6.2233533999999988</v>
      </c>
      <c r="R40" s="247">
        <f t="shared" si="17"/>
        <v>15</v>
      </c>
      <c r="S40" s="24">
        <f t="shared" si="18"/>
        <v>27772</v>
      </c>
      <c r="T40" s="970">
        <f t="shared" si="19"/>
        <v>0.41658000000000001</v>
      </c>
      <c r="U40" s="971">
        <f>+U39+T40</f>
        <v>8.6836002799999967</v>
      </c>
    </row>
    <row r="41" spans="1:21" x14ac:dyDescent="0.2">
      <c r="A41" s="33">
        <f t="shared" si="13"/>
        <v>2028</v>
      </c>
      <c r="B41" s="787">
        <v>15</v>
      </c>
      <c r="C41" s="565">
        <f>+C40+B41</f>
        <v>392</v>
      </c>
      <c r="D41" s="965">
        <v>24.84</v>
      </c>
      <c r="E41" s="966">
        <v>19.489999999999998</v>
      </c>
      <c r="F41" s="790">
        <v>27772</v>
      </c>
      <c r="G41" s="473">
        <f t="shared" si="20"/>
        <v>0.37260000000000004</v>
      </c>
      <c r="H41" s="474">
        <f t="shared" si="20"/>
        <v>0.29234999999999994</v>
      </c>
      <c r="I41" s="474">
        <f>+$B41*F41/1000000</f>
        <v>0.41658000000000001</v>
      </c>
      <c r="J41" s="61">
        <f>+(B41+B40)/2</f>
        <v>15</v>
      </c>
      <c r="K41" s="967">
        <f>+D41</f>
        <v>24.84</v>
      </c>
      <c r="L41" s="967">
        <f>+J41*K41/1000</f>
        <v>0.37260000000000004</v>
      </c>
      <c r="M41" s="967">
        <f>+M40+L41</f>
        <v>8.1898107000000024</v>
      </c>
      <c r="N41" s="54">
        <f>+B40</f>
        <v>15</v>
      </c>
      <c r="O41" s="968">
        <f>+E41</f>
        <v>19.489999999999998</v>
      </c>
      <c r="P41" s="968">
        <f>+N41*O41/1000</f>
        <v>0.29234999999999994</v>
      </c>
      <c r="Q41" s="969">
        <f>+Q40+P41</f>
        <v>6.5157033999999987</v>
      </c>
      <c r="R41" s="247">
        <f t="shared" si="17"/>
        <v>15</v>
      </c>
      <c r="S41" s="24">
        <f t="shared" si="18"/>
        <v>27772</v>
      </c>
      <c r="T41" s="970">
        <f t="shared" si="19"/>
        <v>0.41658000000000001</v>
      </c>
      <c r="U41" s="971">
        <f>+U40+T41</f>
        <v>9.1001802799999965</v>
      </c>
    </row>
    <row r="42" spans="1:21" x14ac:dyDescent="0.2">
      <c r="A42" s="33">
        <f t="shared" si="13"/>
        <v>2029</v>
      </c>
      <c r="B42" s="787">
        <v>15</v>
      </c>
      <c r="C42" s="565">
        <f>+C41+B42</f>
        <v>407</v>
      </c>
      <c r="D42" s="965">
        <v>24.84</v>
      </c>
      <c r="E42" s="966">
        <v>19.489999999999998</v>
      </c>
      <c r="F42" s="790">
        <v>27772</v>
      </c>
      <c r="G42" s="473">
        <f t="shared" si="20"/>
        <v>0.37260000000000004</v>
      </c>
      <c r="H42" s="474">
        <f t="shared" si="20"/>
        <v>0.29234999999999994</v>
      </c>
      <c r="I42" s="474">
        <f>+$B42*F42/1000000</f>
        <v>0.41658000000000001</v>
      </c>
      <c r="J42" s="61">
        <f>+(B42+B41)/2</f>
        <v>15</v>
      </c>
      <c r="K42" s="967">
        <f>+D42</f>
        <v>24.84</v>
      </c>
      <c r="L42" s="967">
        <f>+J42*K42/1000</f>
        <v>0.37260000000000004</v>
      </c>
      <c r="M42" s="967">
        <f>+M41+L42</f>
        <v>8.5624107000000027</v>
      </c>
      <c r="N42" s="54">
        <f>+B41</f>
        <v>15</v>
      </c>
      <c r="O42" s="968">
        <f>+E42</f>
        <v>19.489999999999998</v>
      </c>
      <c r="P42" s="968">
        <f>+N42*O42/1000</f>
        <v>0.29234999999999994</v>
      </c>
      <c r="Q42" s="969">
        <f>+Q41+P42</f>
        <v>6.8080533999999986</v>
      </c>
      <c r="R42" s="247">
        <f t="shared" si="17"/>
        <v>15</v>
      </c>
      <c r="S42" s="24">
        <f t="shared" si="18"/>
        <v>27772</v>
      </c>
      <c r="T42" s="970">
        <f t="shared" si="19"/>
        <v>0.41658000000000001</v>
      </c>
      <c r="U42" s="971">
        <f>+U41+T42</f>
        <v>9.5167602799999962</v>
      </c>
    </row>
    <row r="43" spans="1:21" x14ac:dyDescent="0.2">
      <c r="A43" s="33">
        <f t="shared" si="13"/>
        <v>2030</v>
      </c>
      <c r="B43" s="787">
        <v>15</v>
      </c>
      <c r="C43" s="565">
        <f t="shared" ref="C43:C47" si="21">+C42+B43</f>
        <v>422</v>
      </c>
      <c r="D43" s="965">
        <v>24.84</v>
      </c>
      <c r="E43" s="966">
        <v>19.489999999999998</v>
      </c>
      <c r="F43" s="790">
        <v>27772</v>
      </c>
      <c r="G43" s="473">
        <f t="shared" ref="G43:G47" si="22">+$B43*D43/1000</f>
        <v>0.37260000000000004</v>
      </c>
      <c r="H43" s="474">
        <f t="shared" ref="H43:H47" si="23">+$B43*E43/1000</f>
        <v>0.29234999999999994</v>
      </c>
      <c r="I43" s="474">
        <f t="shared" ref="I43:I47" si="24">+$B43*F43/1000000</f>
        <v>0.41658000000000001</v>
      </c>
      <c r="J43" s="61">
        <f t="shared" ref="J43:J47" si="25">+(B43+B42)/2</f>
        <v>15</v>
      </c>
      <c r="K43" s="967">
        <f t="shared" ref="K43:K47" si="26">+D43</f>
        <v>24.84</v>
      </c>
      <c r="L43" s="967">
        <f t="shared" ref="L43:L47" si="27">+J43*K43/1000</f>
        <v>0.37260000000000004</v>
      </c>
      <c r="M43" s="967">
        <f t="shared" ref="M43:M47" si="28">+M42+L43</f>
        <v>8.935010700000003</v>
      </c>
      <c r="N43" s="54">
        <f t="shared" ref="N43:N47" si="29">+B42</f>
        <v>15</v>
      </c>
      <c r="O43" s="968">
        <f t="shared" ref="O43:O47" si="30">+E43</f>
        <v>19.489999999999998</v>
      </c>
      <c r="P43" s="968">
        <f t="shared" ref="P43:P47" si="31">+N43*O43/1000</f>
        <v>0.29234999999999994</v>
      </c>
      <c r="Q43" s="969">
        <f t="shared" ref="Q43:Q47" si="32">+Q42+P43</f>
        <v>7.1004033999999985</v>
      </c>
      <c r="R43" s="247">
        <f t="shared" ref="R43:R47" si="33">+(B43+B42)/2</f>
        <v>15</v>
      </c>
      <c r="S43" s="24">
        <f t="shared" ref="S43:S47" si="34">+F43</f>
        <v>27772</v>
      </c>
      <c r="T43" s="970">
        <f t="shared" ref="T43:T47" si="35">+R43*S43/1000000</f>
        <v>0.41658000000000001</v>
      </c>
      <c r="U43" s="971">
        <f t="shared" ref="U43:U47" si="36">+U42+T43</f>
        <v>9.9333402799999959</v>
      </c>
    </row>
    <row r="44" spans="1:21" x14ac:dyDescent="0.2">
      <c r="A44" s="33">
        <f t="shared" si="13"/>
        <v>2031</v>
      </c>
      <c r="B44" s="787">
        <v>15</v>
      </c>
      <c r="C44" s="565">
        <f t="shared" si="21"/>
        <v>437</v>
      </c>
      <c r="D44" s="965">
        <v>24.84</v>
      </c>
      <c r="E44" s="966">
        <v>19.489999999999998</v>
      </c>
      <c r="F44" s="790">
        <v>27772</v>
      </c>
      <c r="G44" s="473">
        <f t="shared" si="22"/>
        <v>0.37260000000000004</v>
      </c>
      <c r="H44" s="474">
        <f t="shared" si="23"/>
        <v>0.29234999999999994</v>
      </c>
      <c r="I44" s="474">
        <f t="shared" si="24"/>
        <v>0.41658000000000001</v>
      </c>
      <c r="J44" s="61">
        <f t="shared" si="25"/>
        <v>15</v>
      </c>
      <c r="K44" s="967">
        <f t="shared" si="26"/>
        <v>24.84</v>
      </c>
      <c r="L44" s="967">
        <f t="shared" si="27"/>
        <v>0.37260000000000004</v>
      </c>
      <c r="M44" s="967">
        <f t="shared" si="28"/>
        <v>9.3076107000000032</v>
      </c>
      <c r="N44" s="54">
        <f t="shared" si="29"/>
        <v>15</v>
      </c>
      <c r="O44" s="968">
        <f t="shared" si="30"/>
        <v>19.489999999999998</v>
      </c>
      <c r="P44" s="968">
        <f t="shared" si="31"/>
        <v>0.29234999999999994</v>
      </c>
      <c r="Q44" s="969">
        <f t="shared" si="32"/>
        <v>7.3927533999999984</v>
      </c>
      <c r="R44" s="247">
        <f t="shared" si="33"/>
        <v>15</v>
      </c>
      <c r="S44" s="24">
        <f t="shared" si="34"/>
        <v>27772</v>
      </c>
      <c r="T44" s="970">
        <f t="shared" si="35"/>
        <v>0.41658000000000001</v>
      </c>
      <c r="U44" s="971">
        <f t="shared" si="36"/>
        <v>10.349920279999996</v>
      </c>
    </row>
    <row r="45" spans="1:21" x14ac:dyDescent="0.2">
      <c r="A45" s="33">
        <f t="shared" si="13"/>
        <v>2032</v>
      </c>
      <c r="B45" s="787">
        <v>15</v>
      </c>
      <c r="C45" s="565">
        <f t="shared" si="21"/>
        <v>452</v>
      </c>
      <c r="D45" s="965">
        <v>24.84</v>
      </c>
      <c r="E45" s="966">
        <v>19.489999999999998</v>
      </c>
      <c r="F45" s="790">
        <v>27772</v>
      </c>
      <c r="G45" s="473">
        <f t="shared" si="22"/>
        <v>0.37260000000000004</v>
      </c>
      <c r="H45" s="474">
        <f t="shared" si="23"/>
        <v>0.29234999999999994</v>
      </c>
      <c r="I45" s="474">
        <f t="shared" si="24"/>
        <v>0.41658000000000001</v>
      </c>
      <c r="J45" s="61">
        <f t="shared" si="25"/>
        <v>15</v>
      </c>
      <c r="K45" s="967">
        <f t="shared" si="26"/>
        <v>24.84</v>
      </c>
      <c r="L45" s="967">
        <f t="shared" si="27"/>
        <v>0.37260000000000004</v>
      </c>
      <c r="M45" s="967">
        <f t="shared" si="28"/>
        <v>9.6802107000000035</v>
      </c>
      <c r="N45" s="54">
        <f t="shared" si="29"/>
        <v>15</v>
      </c>
      <c r="O45" s="968">
        <f t="shared" si="30"/>
        <v>19.489999999999998</v>
      </c>
      <c r="P45" s="968">
        <f t="shared" si="31"/>
        <v>0.29234999999999994</v>
      </c>
      <c r="Q45" s="969">
        <f t="shared" si="32"/>
        <v>7.6851033999999983</v>
      </c>
      <c r="R45" s="247">
        <f t="shared" si="33"/>
        <v>15</v>
      </c>
      <c r="S45" s="24">
        <f t="shared" si="34"/>
        <v>27772</v>
      </c>
      <c r="T45" s="970">
        <f t="shared" si="35"/>
        <v>0.41658000000000001</v>
      </c>
      <c r="U45" s="971">
        <f t="shared" si="36"/>
        <v>10.766500279999995</v>
      </c>
    </row>
    <row r="46" spans="1:21" x14ac:dyDescent="0.2">
      <c r="A46" s="33">
        <f t="shared" si="13"/>
        <v>2033</v>
      </c>
      <c r="B46" s="787">
        <v>15</v>
      </c>
      <c r="C46" s="565">
        <f t="shared" si="21"/>
        <v>467</v>
      </c>
      <c r="D46" s="965">
        <v>24.84</v>
      </c>
      <c r="E46" s="966">
        <v>19.489999999999998</v>
      </c>
      <c r="F46" s="790">
        <v>27772</v>
      </c>
      <c r="G46" s="473">
        <f t="shared" si="22"/>
        <v>0.37260000000000004</v>
      </c>
      <c r="H46" s="474">
        <f t="shared" si="23"/>
        <v>0.29234999999999994</v>
      </c>
      <c r="I46" s="474">
        <f t="shared" si="24"/>
        <v>0.41658000000000001</v>
      </c>
      <c r="J46" s="61">
        <f t="shared" si="25"/>
        <v>15</v>
      </c>
      <c r="K46" s="967">
        <f t="shared" si="26"/>
        <v>24.84</v>
      </c>
      <c r="L46" s="967">
        <f t="shared" si="27"/>
        <v>0.37260000000000004</v>
      </c>
      <c r="M46" s="967">
        <f t="shared" si="28"/>
        <v>10.052810700000004</v>
      </c>
      <c r="N46" s="54">
        <f t="shared" si="29"/>
        <v>15</v>
      </c>
      <c r="O46" s="968">
        <f t="shared" si="30"/>
        <v>19.489999999999998</v>
      </c>
      <c r="P46" s="968">
        <f t="shared" si="31"/>
        <v>0.29234999999999994</v>
      </c>
      <c r="Q46" s="969">
        <f t="shared" si="32"/>
        <v>7.9774533999999981</v>
      </c>
      <c r="R46" s="247">
        <f t="shared" si="33"/>
        <v>15</v>
      </c>
      <c r="S46" s="24">
        <f t="shared" si="34"/>
        <v>27772</v>
      </c>
      <c r="T46" s="970">
        <f t="shared" si="35"/>
        <v>0.41658000000000001</v>
      </c>
      <c r="U46" s="971">
        <f t="shared" si="36"/>
        <v>11.183080279999995</v>
      </c>
    </row>
    <row r="47" spans="1:21" x14ac:dyDescent="0.2">
      <c r="A47" s="33">
        <f t="shared" si="13"/>
        <v>2034</v>
      </c>
      <c r="B47" s="787">
        <v>15</v>
      </c>
      <c r="C47" s="565">
        <f t="shared" si="21"/>
        <v>482</v>
      </c>
      <c r="D47" s="965">
        <v>24.84</v>
      </c>
      <c r="E47" s="966">
        <v>19.489999999999998</v>
      </c>
      <c r="F47" s="790">
        <v>27772</v>
      </c>
      <c r="G47" s="473">
        <f t="shared" si="22"/>
        <v>0.37260000000000004</v>
      </c>
      <c r="H47" s="474">
        <f t="shared" si="23"/>
        <v>0.29234999999999994</v>
      </c>
      <c r="I47" s="474">
        <f t="shared" si="24"/>
        <v>0.41658000000000001</v>
      </c>
      <c r="J47" s="61">
        <f t="shared" si="25"/>
        <v>15</v>
      </c>
      <c r="K47" s="967">
        <f t="shared" si="26"/>
        <v>24.84</v>
      </c>
      <c r="L47" s="967">
        <f t="shared" si="27"/>
        <v>0.37260000000000004</v>
      </c>
      <c r="M47" s="967">
        <f t="shared" si="28"/>
        <v>10.425410700000004</v>
      </c>
      <c r="N47" s="54">
        <f t="shared" si="29"/>
        <v>15</v>
      </c>
      <c r="O47" s="968">
        <f t="shared" si="30"/>
        <v>19.489999999999998</v>
      </c>
      <c r="P47" s="968">
        <f t="shared" si="31"/>
        <v>0.29234999999999994</v>
      </c>
      <c r="Q47" s="969">
        <f t="shared" si="32"/>
        <v>8.2698033999999989</v>
      </c>
      <c r="R47" s="247">
        <f t="shared" si="33"/>
        <v>15</v>
      </c>
      <c r="S47" s="24">
        <f t="shared" si="34"/>
        <v>27772</v>
      </c>
      <c r="T47" s="970">
        <f t="shared" si="35"/>
        <v>0.41658000000000001</v>
      </c>
      <c r="U47" s="971">
        <f t="shared" si="36"/>
        <v>11.599660279999995</v>
      </c>
    </row>
    <row r="48" spans="1:21" x14ac:dyDescent="0.2">
      <c r="A48" s="33">
        <f t="shared" si="13"/>
        <v>2035</v>
      </c>
      <c r="B48" s="787">
        <f>B47</f>
        <v>15</v>
      </c>
      <c r="C48" s="565">
        <f t="shared" ref="C48:C54" si="37">+C47+B48</f>
        <v>497</v>
      </c>
      <c r="D48" s="965">
        <v>24.84</v>
      </c>
      <c r="E48" s="966">
        <v>19.489999999999998</v>
      </c>
      <c r="F48" s="790">
        <v>27772</v>
      </c>
      <c r="G48" s="473">
        <f t="shared" ref="G48:G54" si="38">+$B48*D48/1000</f>
        <v>0.37260000000000004</v>
      </c>
      <c r="H48" s="474">
        <f t="shared" ref="H48:H54" si="39">+$B48*E48/1000</f>
        <v>0.29234999999999994</v>
      </c>
      <c r="I48" s="474">
        <f t="shared" ref="I48:I54" si="40">+$B48*F48/1000000</f>
        <v>0.41658000000000001</v>
      </c>
      <c r="J48" s="61">
        <f t="shared" ref="J48:J54" si="41">+(B48+B47)/2</f>
        <v>15</v>
      </c>
      <c r="K48" s="967">
        <f t="shared" ref="K48:K54" si="42">+D48</f>
        <v>24.84</v>
      </c>
      <c r="L48" s="967">
        <f t="shared" ref="L48:L54" si="43">+J48*K48/1000</f>
        <v>0.37260000000000004</v>
      </c>
      <c r="M48" s="967">
        <f t="shared" ref="M48:M54" si="44">+M47+L48</f>
        <v>10.798010700000004</v>
      </c>
      <c r="N48" s="54">
        <f t="shared" ref="N48:N54" si="45">+B47</f>
        <v>15</v>
      </c>
      <c r="O48" s="968">
        <f t="shared" ref="O48:O54" si="46">+E48</f>
        <v>19.489999999999998</v>
      </c>
      <c r="P48" s="968">
        <f t="shared" ref="P48:P54" si="47">+N48*O48/1000</f>
        <v>0.29234999999999994</v>
      </c>
      <c r="Q48" s="969">
        <f t="shared" ref="Q48:Q54" si="48">+Q47+P48</f>
        <v>8.5621533999999997</v>
      </c>
      <c r="R48" s="247">
        <f t="shared" ref="R48:R54" si="49">+(B48+B47)/2</f>
        <v>15</v>
      </c>
      <c r="S48" s="24">
        <f t="shared" ref="S48:S54" si="50">+F48</f>
        <v>27772</v>
      </c>
      <c r="T48" s="970">
        <f t="shared" ref="T48:T54" si="51">+R48*S48/1000000</f>
        <v>0.41658000000000001</v>
      </c>
      <c r="U48" s="971">
        <f t="shared" ref="U48:U54" si="52">+U47+T48</f>
        <v>12.016240279999995</v>
      </c>
    </row>
    <row r="49" spans="1:21" x14ac:dyDescent="0.2">
      <c r="A49" s="33">
        <f t="shared" si="13"/>
        <v>2036</v>
      </c>
      <c r="B49" s="787">
        <f t="shared" ref="B49:B54" si="53">B48</f>
        <v>15</v>
      </c>
      <c r="C49" s="565">
        <f t="shared" si="37"/>
        <v>512</v>
      </c>
      <c r="D49" s="965">
        <v>24.84</v>
      </c>
      <c r="E49" s="966">
        <v>19.489999999999998</v>
      </c>
      <c r="F49" s="790">
        <v>27772</v>
      </c>
      <c r="G49" s="473">
        <f t="shared" si="38"/>
        <v>0.37260000000000004</v>
      </c>
      <c r="H49" s="474">
        <f t="shared" si="39"/>
        <v>0.29234999999999994</v>
      </c>
      <c r="I49" s="474">
        <f t="shared" si="40"/>
        <v>0.41658000000000001</v>
      </c>
      <c r="J49" s="61">
        <f t="shared" si="41"/>
        <v>15</v>
      </c>
      <c r="K49" s="967">
        <f t="shared" si="42"/>
        <v>24.84</v>
      </c>
      <c r="L49" s="967">
        <f t="shared" si="43"/>
        <v>0.37260000000000004</v>
      </c>
      <c r="M49" s="967">
        <f t="shared" si="44"/>
        <v>11.170610700000005</v>
      </c>
      <c r="N49" s="54">
        <f t="shared" si="45"/>
        <v>15</v>
      </c>
      <c r="O49" s="968">
        <f t="shared" si="46"/>
        <v>19.489999999999998</v>
      </c>
      <c r="P49" s="968">
        <f t="shared" si="47"/>
        <v>0.29234999999999994</v>
      </c>
      <c r="Q49" s="969">
        <f t="shared" si="48"/>
        <v>8.8545034000000005</v>
      </c>
      <c r="R49" s="247">
        <f t="shared" si="49"/>
        <v>15</v>
      </c>
      <c r="S49" s="24">
        <f t="shared" si="50"/>
        <v>27772</v>
      </c>
      <c r="T49" s="970">
        <f t="shared" si="51"/>
        <v>0.41658000000000001</v>
      </c>
      <c r="U49" s="971">
        <f t="shared" si="52"/>
        <v>12.432820279999994</v>
      </c>
    </row>
    <row r="50" spans="1:21" x14ac:dyDescent="0.2">
      <c r="A50" s="33">
        <f t="shared" si="13"/>
        <v>2037</v>
      </c>
      <c r="B50" s="787">
        <f t="shared" si="53"/>
        <v>15</v>
      </c>
      <c r="C50" s="565">
        <f t="shared" si="37"/>
        <v>527</v>
      </c>
      <c r="D50" s="965">
        <v>24.84</v>
      </c>
      <c r="E50" s="966">
        <v>19.489999999999998</v>
      </c>
      <c r="F50" s="790">
        <v>27772</v>
      </c>
      <c r="G50" s="473">
        <f t="shared" si="38"/>
        <v>0.37260000000000004</v>
      </c>
      <c r="H50" s="474">
        <f t="shared" si="39"/>
        <v>0.29234999999999994</v>
      </c>
      <c r="I50" s="474">
        <f t="shared" si="40"/>
        <v>0.41658000000000001</v>
      </c>
      <c r="J50" s="61">
        <f t="shared" si="41"/>
        <v>15</v>
      </c>
      <c r="K50" s="967">
        <f t="shared" si="42"/>
        <v>24.84</v>
      </c>
      <c r="L50" s="967">
        <f t="shared" si="43"/>
        <v>0.37260000000000004</v>
      </c>
      <c r="M50" s="967">
        <f t="shared" si="44"/>
        <v>11.543210700000005</v>
      </c>
      <c r="N50" s="54">
        <f t="shared" si="45"/>
        <v>15</v>
      </c>
      <c r="O50" s="968">
        <f t="shared" si="46"/>
        <v>19.489999999999998</v>
      </c>
      <c r="P50" s="968">
        <f t="shared" si="47"/>
        <v>0.29234999999999994</v>
      </c>
      <c r="Q50" s="969">
        <f t="shared" si="48"/>
        <v>9.1468534000000012</v>
      </c>
      <c r="R50" s="247">
        <f t="shared" si="49"/>
        <v>15</v>
      </c>
      <c r="S50" s="24">
        <f t="shared" si="50"/>
        <v>27772</v>
      </c>
      <c r="T50" s="970">
        <f t="shared" si="51"/>
        <v>0.41658000000000001</v>
      </c>
      <c r="U50" s="971">
        <f t="shared" si="52"/>
        <v>12.849400279999994</v>
      </c>
    </row>
    <row r="51" spans="1:21" x14ac:dyDescent="0.2">
      <c r="A51" s="33">
        <f t="shared" si="13"/>
        <v>2038</v>
      </c>
      <c r="B51" s="787">
        <f t="shared" si="53"/>
        <v>15</v>
      </c>
      <c r="C51" s="565">
        <f t="shared" si="37"/>
        <v>542</v>
      </c>
      <c r="D51" s="965">
        <v>24.84</v>
      </c>
      <c r="E51" s="966">
        <v>19.489999999999998</v>
      </c>
      <c r="F51" s="790">
        <v>27772</v>
      </c>
      <c r="G51" s="473">
        <f t="shared" si="38"/>
        <v>0.37260000000000004</v>
      </c>
      <c r="H51" s="474">
        <f t="shared" si="39"/>
        <v>0.29234999999999994</v>
      </c>
      <c r="I51" s="474">
        <f t="shared" si="40"/>
        <v>0.41658000000000001</v>
      </c>
      <c r="J51" s="61">
        <f t="shared" si="41"/>
        <v>15</v>
      </c>
      <c r="K51" s="967">
        <f t="shared" si="42"/>
        <v>24.84</v>
      </c>
      <c r="L51" s="967">
        <f t="shared" si="43"/>
        <v>0.37260000000000004</v>
      </c>
      <c r="M51" s="967">
        <f t="shared" si="44"/>
        <v>11.915810700000005</v>
      </c>
      <c r="N51" s="54">
        <f t="shared" si="45"/>
        <v>15</v>
      </c>
      <c r="O51" s="968">
        <f t="shared" si="46"/>
        <v>19.489999999999998</v>
      </c>
      <c r="P51" s="968">
        <f t="shared" si="47"/>
        <v>0.29234999999999994</v>
      </c>
      <c r="Q51" s="969">
        <f t="shared" si="48"/>
        <v>9.439203400000002</v>
      </c>
      <c r="R51" s="247">
        <f t="shared" si="49"/>
        <v>15</v>
      </c>
      <c r="S51" s="24">
        <f t="shared" si="50"/>
        <v>27772</v>
      </c>
      <c r="T51" s="970">
        <f t="shared" si="51"/>
        <v>0.41658000000000001</v>
      </c>
      <c r="U51" s="971">
        <f t="shared" si="52"/>
        <v>13.265980279999994</v>
      </c>
    </row>
    <row r="52" spans="1:21" x14ac:dyDescent="0.2">
      <c r="A52" s="33">
        <f t="shared" si="13"/>
        <v>2039</v>
      </c>
      <c r="B52" s="787">
        <f t="shared" si="53"/>
        <v>15</v>
      </c>
      <c r="C52" s="565">
        <f t="shared" si="37"/>
        <v>557</v>
      </c>
      <c r="D52" s="965">
        <v>24.84</v>
      </c>
      <c r="E52" s="966">
        <v>19.489999999999998</v>
      </c>
      <c r="F52" s="790">
        <v>27772</v>
      </c>
      <c r="G52" s="473">
        <f t="shared" si="38"/>
        <v>0.37260000000000004</v>
      </c>
      <c r="H52" s="474">
        <f t="shared" si="39"/>
        <v>0.29234999999999994</v>
      </c>
      <c r="I52" s="474">
        <f t="shared" si="40"/>
        <v>0.41658000000000001</v>
      </c>
      <c r="J52" s="61">
        <f t="shared" si="41"/>
        <v>15</v>
      </c>
      <c r="K52" s="967">
        <f t="shared" si="42"/>
        <v>24.84</v>
      </c>
      <c r="L52" s="967">
        <f t="shared" si="43"/>
        <v>0.37260000000000004</v>
      </c>
      <c r="M52" s="967">
        <f t="shared" si="44"/>
        <v>12.288410700000005</v>
      </c>
      <c r="N52" s="54">
        <f t="shared" si="45"/>
        <v>15</v>
      </c>
      <c r="O52" s="968">
        <f t="shared" si="46"/>
        <v>19.489999999999998</v>
      </c>
      <c r="P52" s="968">
        <f t="shared" si="47"/>
        <v>0.29234999999999994</v>
      </c>
      <c r="Q52" s="969">
        <f t="shared" si="48"/>
        <v>9.7315534000000028</v>
      </c>
      <c r="R52" s="247">
        <f t="shared" si="49"/>
        <v>15</v>
      </c>
      <c r="S52" s="24">
        <f t="shared" si="50"/>
        <v>27772</v>
      </c>
      <c r="T52" s="970">
        <f t="shared" si="51"/>
        <v>0.41658000000000001</v>
      </c>
      <c r="U52" s="971">
        <f t="shared" si="52"/>
        <v>13.682560279999993</v>
      </c>
    </row>
    <row r="53" spans="1:21" x14ac:dyDescent="0.2">
      <c r="A53" s="33">
        <f t="shared" si="13"/>
        <v>2040</v>
      </c>
      <c r="B53" s="787">
        <f t="shared" si="53"/>
        <v>15</v>
      </c>
      <c r="C53" s="565">
        <f t="shared" si="37"/>
        <v>572</v>
      </c>
      <c r="D53" s="965">
        <v>24.84</v>
      </c>
      <c r="E53" s="966">
        <v>19.489999999999998</v>
      </c>
      <c r="F53" s="790">
        <v>27772</v>
      </c>
      <c r="G53" s="473">
        <f t="shared" si="38"/>
        <v>0.37260000000000004</v>
      </c>
      <c r="H53" s="474">
        <f t="shared" si="39"/>
        <v>0.29234999999999994</v>
      </c>
      <c r="I53" s="474">
        <f t="shared" si="40"/>
        <v>0.41658000000000001</v>
      </c>
      <c r="J53" s="61">
        <f t="shared" si="41"/>
        <v>15</v>
      </c>
      <c r="K53" s="967">
        <f t="shared" si="42"/>
        <v>24.84</v>
      </c>
      <c r="L53" s="967">
        <f t="shared" si="43"/>
        <v>0.37260000000000004</v>
      </c>
      <c r="M53" s="967">
        <f t="shared" si="44"/>
        <v>12.661010700000006</v>
      </c>
      <c r="N53" s="54">
        <f t="shared" si="45"/>
        <v>15</v>
      </c>
      <c r="O53" s="968">
        <f t="shared" si="46"/>
        <v>19.489999999999998</v>
      </c>
      <c r="P53" s="968">
        <f t="shared" si="47"/>
        <v>0.29234999999999994</v>
      </c>
      <c r="Q53" s="969">
        <f t="shared" si="48"/>
        <v>10.023903400000004</v>
      </c>
      <c r="R53" s="247">
        <f t="shared" si="49"/>
        <v>15</v>
      </c>
      <c r="S53" s="24">
        <f t="shared" si="50"/>
        <v>27772</v>
      </c>
      <c r="T53" s="970">
        <f t="shared" si="51"/>
        <v>0.41658000000000001</v>
      </c>
      <c r="U53" s="971">
        <f t="shared" si="52"/>
        <v>14.099140279999993</v>
      </c>
    </row>
    <row r="54" spans="1:21" x14ac:dyDescent="0.2">
      <c r="A54" s="33">
        <f t="shared" si="13"/>
        <v>2041</v>
      </c>
      <c r="B54" s="787">
        <f t="shared" si="53"/>
        <v>15</v>
      </c>
      <c r="C54" s="565">
        <f t="shared" si="37"/>
        <v>587</v>
      </c>
      <c r="D54" s="965">
        <v>24.84</v>
      </c>
      <c r="E54" s="966">
        <v>19.489999999999998</v>
      </c>
      <c r="F54" s="790">
        <v>27772</v>
      </c>
      <c r="G54" s="473">
        <f t="shared" si="38"/>
        <v>0.37260000000000004</v>
      </c>
      <c r="H54" s="474">
        <f t="shared" si="39"/>
        <v>0.29234999999999994</v>
      </c>
      <c r="I54" s="474">
        <f t="shared" si="40"/>
        <v>0.41658000000000001</v>
      </c>
      <c r="J54" s="61">
        <f t="shared" si="41"/>
        <v>15</v>
      </c>
      <c r="K54" s="967">
        <f t="shared" si="42"/>
        <v>24.84</v>
      </c>
      <c r="L54" s="967">
        <f t="shared" si="43"/>
        <v>0.37260000000000004</v>
      </c>
      <c r="M54" s="967">
        <f t="shared" si="44"/>
        <v>13.033610700000006</v>
      </c>
      <c r="N54" s="54">
        <f t="shared" si="45"/>
        <v>15</v>
      </c>
      <c r="O54" s="968">
        <f t="shared" si="46"/>
        <v>19.489999999999998</v>
      </c>
      <c r="P54" s="968">
        <f t="shared" si="47"/>
        <v>0.29234999999999994</v>
      </c>
      <c r="Q54" s="969">
        <f t="shared" si="48"/>
        <v>10.316253400000004</v>
      </c>
      <c r="R54" s="247">
        <f t="shared" si="49"/>
        <v>15</v>
      </c>
      <c r="S54" s="24">
        <f t="shared" si="50"/>
        <v>27772</v>
      </c>
      <c r="T54" s="970">
        <f t="shared" si="51"/>
        <v>0.41658000000000001</v>
      </c>
      <c r="U54" s="971">
        <f t="shared" si="52"/>
        <v>14.515720279999993</v>
      </c>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R4:U4"/>
    <mergeCell ref="G3:I3"/>
    <mergeCell ref="B4:I4"/>
    <mergeCell ref="J4:M4"/>
    <mergeCell ref="N4:Q4"/>
  </mergeCells>
  <phoneticPr fontId="7" type="noConversion"/>
  <pageMargins left="0.75" right="0.75" top="1" bottom="1" header="0.5" footer="0.5"/>
  <pageSetup scale="43" orientation="landscape" cellComments="asDisplayed"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1CBE06"/>
    <pageSetUpPr fitToPage="1"/>
  </sheetPr>
  <dimension ref="A1:X59"/>
  <sheetViews>
    <sheetView workbookViewId="0">
      <pane xSplit="1" ySplit="5" topLeftCell="B24"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249"/>
      <c r="K1" s="4"/>
      <c r="L1" s="4"/>
      <c r="M1" s="4"/>
      <c r="N1" s="4"/>
    </row>
    <row r="2" spans="1:24" ht="16.5" thickBot="1" x14ac:dyDescent="0.3">
      <c r="A2" s="5" t="s">
        <v>1</v>
      </c>
      <c r="B2" s="27" t="s">
        <v>206</v>
      </c>
      <c r="C2" s="27"/>
      <c r="D2" s="27"/>
      <c r="E2" s="27"/>
      <c r="F2" s="23"/>
      <c r="G2" s="23"/>
      <c r="H2" s="23"/>
      <c r="I2" s="2"/>
      <c r="J2" s="249"/>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62">
        <f t="shared" ref="D8:D19" si="1">IF($B8=0,0,(G8*1000)/$B8)</f>
        <v>0</v>
      </c>
      <c r="E8" s="663">
        <f t="shared" ref="E8:E19" si="2">IF($B8=0,0,(H8*1000)/$B8)</f>
        <v>0</v>
      </c>
      <c r="F8" s="617">
        <f t="shared" ref="F8:F19" si="3">IF($B8=0,0,(I8*1000000)/$B8)</f>
        <v>0</v>
      </c>
      <c r="G8" s="626">
        <f t="shared" ref="G8:G24" si="4">+$B8*D8/1000</f>
        <v>0</v>
      </c>
      <c r="H8" s="72">
        <f t="shared" ref="H8:H24" si="5">+$B8*E8/1000</f>
        <v>0</v>
      </c>
      <c r="I8" s="630">
        <f t="shared" ref="I8:I24" si="6">+$B8*F8/1000000</f>
        <v>0</v>
      </c>
      <c r="J8" s="61">
        <f>+(B8+N8)/2</f>
        <v>0</v>
      </c>
      <c r="K8" s="188">
        <f t="shared" ref="K8:K39" si="7">+D8</f>
        <v>0</v>
      </c>
      <c r="L8" s="188">
        <f t="shared" ref="L8:L39" si="8">+J8*K8/1000</f>
        <v>0</v>
      </c>
      <c r="M8" s="188">
        <f t="shared" ref="M8:M39" si="9">+M7+L8</f>
        <v>0</v>
      </c>
      <c r="N8" s="51">
        <v>0</v>
      </c>
      <c r="O8" s="670">
        <f t="shared" ref="O8:O39" si="10">+E8</f>
        <v>0</v>
      </c>
      <c r="P8" s="670">
        <f t="shared" ref="P8:P39" si="11">+N8*O8/1000</f>
        <v>0</v>
      </c>
      <c r="Q8" s="670">
        <f t="shared" ref="Q8:Q39" si="12">+Q7+P8</f>
        <v>0</v>
      </c>
      <c r="R8" s="247">
        <f>J8</f>
        <v>0</v>
      </c>
      <c r="S8" s="24">
        <f t="shared" ref="S8:S37" si="13">+F8</f>
        <v>0</v>
      </c>
      <c r="T8" s="25">
        <f t="shared" ref="T8:T37" si="14">+R8*S8/1000000</f>
        <v>0</v>
      </c>
      <c r="U8" s="654">
        <f t="shared" ref="U8:U39" si="15">+U7+T8</f>
        <v>0</v>
      </c>
      <c r="V8" s="248"/>
      <c r="X8" s="1"/>
    </row>
    <row r="9" spans="1:24" x14ac:dyDescent="0.2">
      <c r="A9" s="33">
        <v>1996</v>
      </c>
      <c r="B9" s="30">
        <v>0</v>
      </c>
      <c r="C9" s="660">
        <f t="shared" si="0"/>
        <v>0</v>
      </c>
      <c r="D9" s="662">
        <f t="shared" si="1"/>
        <v>0</v>
      </c>
      <c r="E9" s="663">
        <f t="shared" si="2"/>
        <v>0</v>
      </c>
      <c r="F9" s="617">
        <f t="shared" si="3"/>
        <v>0</v>
      </c>
      <c r="G9" s="626">
        <f t="shared" si="4"/>
        <v>0</v>
      </c>
      <c r="H9" s="72">
        <f t="shared" si="5"/>
        <v>0</v>
      </c>
      <c r="I9" s="630">
        <f t="shared" si="6"/>
        <v>0</v>
      </c>
      <c r="J9" s="61">
        <f t="shared" ref="J9:J39" si="16">+(B9+B8)/2</f>
        <v>0</v>
      </c>
      <c r="K9" s="188">
        <f t="shared" si="7"/>
        <v>0</v>
      </c>
      <c r="L9" s="188">
        <f t="shared" si="8"/>
        <v>0</v>
      </c>
      <c r="M9" s="188">
        <f t="shared" si="9"/>
        <v>0</v>
      </c>
      <c r="N9" s="54">
        <f t="shared" ref="N9:N39" si="17">+B8</f>
        <v>0</v>
      </c>
      <c r="O9" s="670">
        <f t="shared" si="10"/>
        <v>0</v>
      </c>
      <c r="P9" s="670">
        <f t="shared" si="11"/>
        <v>0</v>
      </c>
      <c r="Q9" s="670">
        <f t="shared" si="12"/>
        <v>0</v>
      </c>
      <c r="R9" s="247">
        <f t="shared" ref="R9:R37" si="18">+(B9+B8)/2</f>
        <v>0</v>
      </c>
      <c r="S9" s="24">
        <f t="shared" si="13"/>
        <v>0</v>
      </c>
      <c r="T9" s="25">
        <f t="shared" si="14"/>
        <v>0</v>
      </c>
      <c r="U9" s="654">
        <f t="shared" si="15"/>
        <v>0</v>
      </c>
      <c r="V9" s="10"/>
      <c r="X9" s="1"/>
    </row>
    <row r="10" spans="1:24" x14ac:dyDescent="0.2">
      <c r="A10" s="33">
        <v>1997</v>
      </c>
      <c r="B10" s="30">
        <v>0</v>
      </c>
      <c r="C10" s="660">
        <f t="shared" si="0"/>
        <v>0</v>
      </c>
      <c r="D10" s="662">
        <f t="shared" si="1"/>
        <v>0</v>
      </c>
      <c r="E10" s="663">
        <f t="shared" si="2"/>
        <v>0</v>
      </c>
      <c r="F10" s="617">
        <f t="shared" si="3"/>
        <v>0</v>
      </c>
      <c r="G10" s="626">
        <f t="shared" si="4"/>
        <v>0</v>
      </c>
      <c r="H10" s="72">
        <f t="shared" si="5"/>
        <v>0</v>
      </c>
      <c r="I10" s="630">
        <f t="shared" si="6"/>
        <v>0</v>
      </c>
      <c r="J10" s="61">
        <f t="shared" si="16"/>
        <v>0</v>
      </c>
      <c r="K10" s="188">
        <f t="shared" si="7"/>
        <v>0</v>
      </c>
      <c r="L10" s="188">
        <f t="shared" si="8"/>
        <v>0</v>
      </c>
      <c r="M10" s="188">
        <f t="shared" si="9"/>
        <v>0</v>
      </c>
      <c r="N10" s="54">
        <f t="shared" si="17"/>
        <v>0</v>
      </c>
      <c r="O10" s="670">
        <f t="shared" si="10"/>
        <v>0</v>
      </c>
      <c r="P10" s="670">
        <f t="shared" si="11"/>
        <v>0</v>
      </c>
      <c r="Q10" s="670">
        <f t="shared" si="12"/>
        <v>0</v>
      </c>
      <c r="R10" s="247">
        <f t="shared" si="18"/>
        <v>0</v>
      </c>
      <c r="S10" s="24">
        <f t="shared" si="13"/>
        <v>0</v>
      </c>
      <c r="T10" s="25">
        <f t="shared" si="14"/>
        <v>0</v>
      </c>
      <c r="U10" s="654">
        <f t="shared" si="15"/>
        <v>0</v>
      </c>
      <c r="V10" s="10"/>
      <c r="X10" s="1"/>
    </row>
    <row r="11" spans="1:24" x14ac:dyDescent="0.2">
      <c r="A11" s="33">
        <v>1998</v>
      </c>
      <c r="B11" s="30">
        <v>0</v>
      </c>
      <c r="C11" s="660">
        <f t="shared" si="0"/>
        <v>0</v>
      </c>
      <c r="D11" s="662">
        <f t="shared" si="1"/>
        <v>0</v>
      </c>
      <c r="E11" s="663">
        <f t="shared" si="2"/>
        <v>0</v>
      </c>
      <c r="F11" s="617">
        <f t="shared" si="3"/>
        <v>0</v>
      </c>
      <c r="G11" s="626">
        <f t="shared" si="4"/>
        <v>0</v>
      </c>
      <c r="H11" s="72">
        <f t="shared" si="5"/>
        <v>0</v>
      </c>
      <c r="I11" s="630">
        <f t="shared" si="6"/>
        <v>0</v>
      </c>
      <c r="J11" s="61">
        <f t="shared" si="16"/>
        <v>0</v>
      </c>
      <c r="K11" s="188">
        <f t="shared" si="7"/>
        <v>0</v>
      </c>
      <c r="L11" s="188">
        <f t="shared" si="8"/>
        <v>0</v>
      </c>
      <c r="M11" s="188">
        <f t="shared" si="9"/>
        <v>0</v>
      </c>
      <c r="N11" s="54">
        <f t="shared" si="17"/>
        <v>0</v>
      </c>
      <c r="O11" s="670">
        <f t="shared" si="10"/>
        <v>0</v>
      </c>
      <c r="P11" s="670">
        <f t="shared" si="11"/>
        <v>0</v>
      </c>
      <c r="Q11" s="670">
        <f t="shared" si="12"/>
        <v>0</v>
      </c>
      <c r="R11" s="247">
        <f t="shared" si="18"/>
        <v>0</v>
      </c>
      <c r="S11" s="24">
        <f t="shared" si="13"/>
        <v>0</v>
      </c>
      <c r="T11" s="25">
        <f t="shared" si="14"/>
        <v>0</v>
      </c>
      <c r="U11" s="654">
        <f t="shared" si="15"/>
        <v>0</v>
      </c>
      <c r="V11" s="10"/>
      <c r="X11" s="1"/>
    </row>
    <row r="12" spans="1:24" x14ac:dyDescent="0.2">
      <c r="A12" s="33">
        <v>1999</v>
      </c>
      <c r="B12" s="30">
        <v>0</v>
      </c>
      <c r="C12" s="660">
        <f t="shared" si="0"/>
        <v>0</v>
      </c>
      <c r="D12" s="662">
        <f t="shared" si="1"/>
        <v>0</v>
      </c>
      <c r="E12" s="663">
        <f t="shared" si="2"/>
        <v>0</v>
      </c>
      <c r="F12" s="617">
        <f t="shared" si="3"/>
        <v>0</v>
      </c>
      <c r="G12" s="626">
        <f t="shared" si="4"/>
        <v>0</v>
      </c>
      <c r="H12" s="72">
        <f t="shared" si="5"/>
        <v>0</v>
      </c>
      <c r="I12" s="630">
        <f t="shared" si="6"/>
        <v>0</v>
      </c>
      <c r="J12" s="61">
        <f t="shared" si="16"/>
        <v>0</v>
      </c>
      <c r="K12" s="188">
        <f t="shared" si="7"/>
        <v>0</v>
      </c>
      <c r="L12" s="188">
        <f t="shared" si="8"/>
        <v>0</v>
      </c>
      <c r="M12" s="188">
        <f t="shared" si="9"/>
        <v>0</v>
      </c>
      <c r="N12" s="54">
        <f t="shared" si="17"/>
        <v>0</v>
      </c>
      <c r="O12" s="670">
        <f t="shared" si="10"/>
        <v>0</v>
      </c>
      <c r="P12" s="670">
        <f t="shared" si="11"/>
        <v>0</v>
      </c>
      <c r="Q12" s="670">
        <f t="shared" si="12"/>
        <v>0</v>
      </c>
      <c r="R12" s="247">
        <f t="shared" si="18"/>
        <v>0</v>
      </c>
      <c r="S12" s="24">
        <f t="shared" si="13"/>
        <v>0</v>
      </c>
      <c r="T12" s="25">
        <f t="shared" si="14"/>
        <v>0</v>
      </c>
      <c r="U12" s="654">
        <f t="shared" si="15"/>
        <v>0</v>
      </c>
      <c r="V12" s="10"/>
      <c r="X12" s="1"/>
    </row>
    <row r="13" spans="1:24" x14ac:dyDescent="0.2">
      <c r="A13" s="33">
        <v>2000</v>
      </c>
      <c r="B13" s="30">
        <v>0</v>
      </c>
      <c r="C13" s="660">
        <f t="shared" si="0"/>
        <v>0</v>
      </c>
      <c r="D13" s="662">
        <f t="shared" si="1"/>
        <v>0</v>
      </c>
      <c r="E13" s="663">
        <f t="shared" si="2"/>
        <v>0</v>
      </c>
      <c r="F13" s="617">
        <f t="shared" si="3"/>
        <v>0</v>
      </c>
      <c r="G13" s="626">
        <f t="shared" si="4"/>
        <v>0</v>
      </c>
      <c r="H13" s="72">
        <f t="shared" si="5"/>
        <v>0</v>
      </c>
      <c r="I13" s="630">
        <f t="shared" si="6"/>
        <v>0</v>
      </c>
      <c r="J13" s="61">
        <f t="shared" si="16"/>
        <v>0</v>
      </c>
      <c r="K13" s="188">
        <f t="shared" si="7"/>
        <v>0</v>
      </c>
      <c r="L13" s="188">
        <f t="shared" si="8"/>
        <v>0</v>
      </c>
      <c r="M13" s="188">
        <f t="shared" si="9"/>
        <v>0</v>
      </c>
      <c r="N13" s="54">
        <f t="shared" si="17"/>
        <v>0</v>
      </c>
      <c r="O13" s="670">
        <f t="shared" si="10"/>
        <v>0</v>
      </c>
      <c r="P13" s="670">
        <f t="shared" si="11"/>
        <v>0</v>
      </c>
      <c r="Q13" s="670">
        <f t="shared" si="12"/>
        <v>0</v>
      </c>
      <c r="R13" s="247">
        <f t="shared" si="18"/>
        <v>0</v>
      </c>
      <c r="S13" s="24">
        <f t="shared" si="13"/>
        <v>0</v>
      </c>
      <c r="T13" s="25">
        <f t="shared" si="14"/>
        <v>0</v>
      </c>
      <c r="U13" s="654">
        <f t="shared" si="15"/>
        <v>0</v>
      </c>
      <c r="V13" s="248"/>
      <c r="X13" s="1"/>
    </row>
    <row r="14" spans="1:24" x14ac:dyDescent="0.2">
      <c r="A14" s="33">
        <v>2001</v>
      </c>
      <c r="B14" s="30">
        <v>0</v>
      </c>
      <c r="C14" s="660">
        <f t="shared" si="0"/>
        <v>0</v>
      </c>
      <c r="D14" s="662">
        <f t="shared" si="1"/>
        <v>0</v>
      </c>
      <c r="E14" s="663">
        <f t="shared" si="2"/>
        <v>0</v>
      </c>
      <c r="F14" s="617">
        <f t="shared" si="3"/>
        <v>0</v>
      </c>
      <c r="G14" s="626">
        <f t="shared" si="4"/>
        <v>0</v>
      </c>
      <c r="H14" s="72">
        <f t="shared" si="5"/>
        <v>0</v>
      </c>
      <c r="I14" s="630">
        <f t="shared" si="6"/>
        <v>0</v>
      </c>
      <c r="J14" s="61">
        <f t="shared" si="16"/>
        <v>0</v>
      </c>
      <c r="K14" s="188">
        <f t="shared" si="7"/>
        <v>0</v>
      </c>
      <c r="L14" s="188">
        <f t="shared" si="8"/>
        <v>0</v>
      </c>
      <c r="M14" s="188">
        <f t="shared" si="9"/>
        <v>0</v>
      </c>
      <c r="N14" s="54">
        <f t="shared" si="17"/>
        <v>0</v>
      </c>
      <c r="O14" s="670">
        <f t="shared" si="10"/>
        <v>0</v>
      </c>
      <c r="P14" s="670">
        <f t="shared" si="11"/>
        <v>0</v>
      </c>
      <c r="Q14" s="670">
        <f t="shared" si="12"/>
        <v>0</v>
      </c>
      <c r="R14" s="247">
        <f t="shared" si="18"/>
        <v>0</v>
      </c>
      <c r="S14" s="24">
        <f t="shared" si="13"/>
        <v>0</v>
      </c>
      <c r="T14" s="25">
        <f t="shared" si="14"/>
        <v>0</v>
      </c>
      <c r="U14" s="654">
        <f t="shared" si="15"/>
        <v>0</v>
      </c>
      <c r="V14" s="248"/>
      <c r="X14" s="1"/>
    </row>
    <row r="15" spans="1:24" x14ac:dyDescent="0.2">
      <c r="A15" s="33">
        <v>2002</v>
      </c>
      <c r="B15" s="30">
        <v>0</v>
      </c>
      <c r="C15" s="660">
        <f t="shared" si="0"/>
        <v>0</v>
      </c>
      <c r="D15" s="662">
        <f t="shared" si="1"/>
        <v>0</v>
      </c>
      <c r="E15" s="663">
        <f t="shared" si="2"/>
        <v>0</v>
      </c>
      <c r="F15" s="617">
        <f t="shared" si="3"/>
        <v>0</v>
      </c>
      <c r="G15" s="626">
        <f t="shared" si="4"/>
        <v>0</v>
      </c>
      <c r="H15" s="72">
        <f t="shared" si="5"/>
        <v>0</v>
      </c>
      <c r="I15" s="630">
        <f t="shared" si="6"/>
        <v>0</v>
      </c>
      <c r="J15" s="61">
        <f t="shared" si="16"/>
        <v>0</v>
      </c>
      <c r="K15" s="188">
        <f t="shared" si="7"/>
        <v>0</v>
      </c>
      <c r="L15" s="188">
        <f t="shared" si="8"/>
        <v>0</v>
      </c>
      <c r="M15" s="188">
        <f t="shared" si="9"/>
        <v>0</v>
      </c>
      <c r="N15" s="54">
        <f t="shared" si="17"/>
        <v>0</v>
      </c>
      <c r="O15" s="670">
        <f t="shared" si="10"/>
        <v>0</v>
      </c>
      <c r="P15" s="670">
        <f t="shared" si="11"/>
        <v>0</v>
      </c>
      <c r="Q15" s="670">
        <f t="shared" si="12"/>
        <v>0</v>
      </c>
      <c r="R15" s="247">
        <f t="shared" si="18"/>
        <v>0</v>
      </c>
      <c r="S15" s="24">
        <f t="shared" si="13"/>
        <v>0</v>
      </c>
      <c r="T15" s="25">
        <f t="shared" si="14"/>
        <v>0</v>
      </c>
      <c r="U15" s="654">
        <f t="shared" si="15"/>
        <v>0</v>
      </c>
      <c r="V15" s="248"/>
      <c r="X15" s="1"/>
    </row>
    <row r="16" spans="1:24" x14ac:dyDescent="0.2">
      <c r="A16" s="33">
        <v>2003</v>
      </c>
      <c r="B16" s="30">
        <v>0</v>
      </c>
      <c r="C16" s="660">
        <f t="shared" si="0"/>
        <v>0</v>
      </c>
      <c r="D16" s="662">
        <f t="shared" si="1"/>
        <v>0</v>
      </c>
      <c r="E16" s="663">
        <f t="shared" si="2"/>
        <v>0</v>
      </c>
      <c r="F16" s="617">
        <f t="shared" si="3"/>
        <v>0</v>
      </c>
      <c r="G16" s="626">
        <f t="shared" si="4"/>
        <v>0</v>
      </c>
      <c r="H16" s="72">
        <f t="shared" si="5"/>
        <v>0</v>
      </c>
      <c r="I16" s="630">
        <f t="shared" si="6"/>
        <v>0</v>
      </c>
      <c r="J16" s="61">
        <f t="shared" si="16"/>
        <v>0</v>
      </c>
      <c r="K16" s="188">
        <f t="shared" si="7"/>
        <v>0</v>
      </c>
      <c r="L16" s="188">
        <f t="shared" si="8"/>
        <v>0</v>
      </c>
      <c r="M16" s="188">
        <f t="shared" si="9"/>
        <v>0</v>
      </c>
      <c r="N16" s="54">
        <f t="shared" si="17"/>
        <v>0</v>
      </c>
      <c r="O16" s="670">
        <f t="shared" si="10"/>
        <v>0</v>
      </c>
      <c r="P16" s="670">
        <f t="shared" si="11"/>
        <v>0</v>
      </c>
      <c r="Q16" s="670">
        <f t="shared" si="12"/>
        <v>0</v>
      </c>
      <c r="R16" s="247">
        <f t="shared" si="18"/>
        <v>0</v>
      </c>
      <c r="S16" s="24">
        <f t="shared" si="13"/>
        <v>0</v>
      </c>
      <c r="T16" s="25">
        <f t="shared" si="14"/>
        <v>0</v>
      </c>
      <c r="U16" s="654">
        <f t="shared" si="15"/>
        <v>0</v>
      </c>
      <c r="V16" s="248"/>
      <c r="X16" s="1"/>
    </row>
    <row r="17" spans="1:24" x14ac:dyDescent="0.2">
      <c r="A17" s="33">
        <f t="shared" ref="A17:A54" si="19">+A16+1</f>
        <v>2004</v>
      </c>
      <c r="B17" s="30">
        <v>0</v>
      </c>
      <c r="C17" s="660">
        <f t="shared" si="0"/>
        <v>0</v>
      </c>
      <c r="D17" s="662">
        <f t="shared" si="1"/>
        <v>0</v>
      </c>
      <c r="E17" s="663">
        <f t="shared" si="2"/>
        <v>0</v>
      </c>
      <c r="F17" s="617">
        <f t="shared" si="3"/>
        <v>0</v>
      </c>
      <c r="G17" s="626">
        <f t="shared" si="4"/>
        <v>0</v>
      </c>
      <c r="H17" s="72">
        <f t="shared" si="5"/>
        <v>0</v>
      </c>
      <c r="I17" s="630">
        <f t="shared" si="6"/>
        <v>0</v>
      </c>
      <c r="J17" s="61">
        <f t="shared" si="16"/>
        <v>0</v>
      </c>
      <c r="K17" s="188">
        <f t="shared" si="7"/>
        <v>0</v>
      </c>
      <c r="L17" s="188">
        <f t="shared" si="8"/>
        <v>0</v>
      </c>
      <c r="M17" s="188">
        <f t="shared" si="9"/>
        <v>0</v>
      </c>
      <c r="N17" s="54">
        <f t="shared" si="17"/>
        <v>0</v>
      </c>
      <c r="O17" s="670">
        <f t="shared" si="10"/>
        <v>0</v>
      </c>
      <c r="P17" s="670">
        <f t="shared" si="11"/>
        <v>0</v>
      </c>
      <c r="Q17" s="670">
        <f t="shared" si="12"/>
        <v>0</v>
      </c>
      <c r="R17" s="247">
        <f t="shared" si="18"/>
        <v>0</v>
      </c>
      <c r="S17" s="24">
        <f t="shared" si="13"/>
        <v>0</v>
      </c>
      <c r="T17" s="25">
        <f t="shared" si="14"/>
        <v>0</v>
      </c>
      <c r="U17" s="654">
        <f t="shared" si="15"/>
        <v>0</v>
      </c>
      <c r="V17" s="248"/>
      <c r="X17" s="1"/>
    </row>
    <row r="18" spans="1:24" x14ac:dyDescent="0.2">
      <c r="A18" s="33">
        <f t="shared" si="19"/>
        <v>2005</v>
      </c>
      <c r="B18" s="30">
        <v>0</v>
      </c>
      <c r="C18" s="660">
        <f t="shared" si="0"/>
        <v>0</v>
      </c>
      <c r="D18" s="662">
        <f t="shared" si="1"/>
        <v>0</v>
      </c>
      <c r="E18" s="663">
        <f t="shared" si="2"/>
        <v>0</v>
      </c>
      <c r="F18" s="617">
        <f t="shared" si="3"/>
        <v>0</v>
      </c>
      <c r="G18" s="626">
        <f t="shared" si="4"/>
        <v>0</v>
      </c>
      <c r="H18" s="72">
        <f t="shared" si="5"/>
        <v>0</v>
      </c>
      <c r="I18" s="630">
        <f t="shared" si="6"/>
        <v>0</v>
      </c>
      <c r="J18" s="61">
        <f t="shared" si="16"/>
        <v>0</v>
      </c>
      <c r="K18" s="188">
        <f t="shared" si="7"/>
        <v>0</v>
      </c>
      <c r="L18" s="188">
        <f t="shared" si="8"/>
        <v>0</v>
      </c>
      <c r="M18" s="188">
        <f t="shared" si="9"/>
        <v>0</v>
      </c>
      <c r="N18" s="54">
        <f t="shared" si="17"/>
        <v>0</v>
      </c>
      <c r="O18" s="670">
        <f t="shared" si="10"/>
        <v>0</v>
      </c>
      <c r="P18" s="670">
        <f t="shared" si="11"/>
        <v>0</v>
      </c>
      <c r="Q18" s="670">
        <f t="shared" si="12"/>
        <v>0</v>
      </c>
      <c r="R18" s="247">
        <f t="shared" si="18"/>
        <v>0</v>
      </c>
      <c r="S18" s="24">
        <f t="shared" si="13"/>
        <v>0</v>
      </c>
      <c r="T18" s="25">
        <f t="shared" si="14"/>
        <v>0</v>
      </c>
      <c r="U18" s="654">
        <f t="shared" si="15"/>
        <v>0</v>
      </c>
      <c r="V18" s="248"/>
      <c r="X18" s="1"/>
    </row>
    <row r="19" spans="1:24" x14ac:dyDescent="0.2">
      <c r="A19" s="33">
        <f t="shared" si="19"/>
        <v>2006</v>
      </c>
      <c r="B19" s="30">
        <v>0</v>
      </c>
      <c r="C19" s="660">
        <f t="shared" si="0"/>
        <v>0</v>
      </c>
      <c r="D19" s="662">
        <f t="shared" si="1"/>
        <v>0</v>
      </c>
      <c r="E19" s="663">
        <f t="shared" si="2"/>
        <v>0</v>
      </c>
      <c r="F19" s="617">
        <f t="shared" si="3"/>
        <v>0</v>
      </c>
      <c r="G19" s="626">
        <f t="shared" si="4"/>
        <v>0</v>
      </c>
      <c r="H19" s="72">
        <f t="shared" si="5"/>
        <v>0</v>
      </c>
      <c r="I19" s="630">
        <f t="shared" si="6"/>
        <v>0</v>
      </c>
      <c r="J19" s="61">
        <f t="shared" si="16"/>
        <v>0</v>
      </c>
      <c r="K19" s="188">
        <f t="shared" si="7"/>
        <v>0</v>
      </c>
      <c r="L19" s="188">
        <f t="shared" si="8"/>
        <v>0</v>
      </c>
      <c r="M19" s="188">
        <f t="shared" si="9"/>
        <v>0</v>
      </c>
      <c r="N19" s="54">
        <f t="shared" si="17"/>
        <v>0</v>
      </c>
      <c r="O19" s="670">
        <f t="shared" si="10"/>
        <v>0</v>
      </c>
      <c r="P19" s="670">
        <f t="shared" si="11"/>
        <v>0</v>
      </c>
      <c r="Q19" s="670">
        <f t="shared" si="12"/>
        <v>0</v>
      </c>
      <c r="R19" s="247">
        <f t="shared" si="18"/>
        <v>0</v>
      </c>
      <c r="S19" s="24">
        <f t="shared" si="13"/>
        <v>0</v>
      </c>
      <c r="T19" s="25">
        <f t="shared" si="14"/>
        <v>0</v>
      </c>
      <c r="U19" s="654">
        <f t="shared" si="15"/>
        <v>0</v>
      </c>
      <c r="V19" s="8"/>
      <c r="X19" s="1"/>
    </row>
    <row r="20" spans="1:24" x14ac:dyDescent="0.2">
      <c r="A20" s="33">
        <f t="shared" si="19"/>
        <v>2007</v>
      </c>
      <c r="B20" s="30">
        <v>0</v>
      </c>
      <c r="C20" s="660">
        <f t="shared" si="0"/>
        <v>0</v>
      </c>
      <c r="D20" s="662">
        <f>IF($B20=0,0,(G20*1000)/$B20)</f>
        <v>0</v>
      </c>
      <c r="E20" s="663">
        <f>IF($B20=0,0,(H20*1000)/$B20)</f>
        <v>0</v>
      </c>
      <c r="F20" s="617">
        <f>IF($B20=0,0,(I20*1000000)/$B20)</f>
        <v>0</v>
      </c>
      <c r="G20" s="626">
        <f t="shared" si="4"/>
        <v>0</v>
      </c>
      <c r="H20" s="72">
        <f t="shared" si="5"/>
        <v>0</v>
      </c>
      <c r="I20" s="630">
        <f t="shared" si="6"/>
        <v>0</v>
      </c>
      <c r="J20" s="61">
        <f t="shared" si="16"/>
        <v>0</v>
      </c>
      <c r="K20" s="188">
        <f t="shared" si="7"/>
        <v>0</v>
      </c>
      <c r="L20" s="188">
        <f t="shared" si="8"/>
        <v>0</v>
      </c>
      <c r="M20" s="188">
        <f t="shared" si="9"/>
        <v>0</v>
      </c>
      <c r="N20" s="54">
        <f t="shared" si="17"/>
        <v>0</v>
      </c>
      <c r="O20" s="670">
        <f t="shared" si="10"/>
        <v>0</v>
      </c>
      <c r="P20" s="670">
        <f t="shared" si="11"/>
        <v>0</v>
      </c>
      <c r="Q20" s="670">
        <f t="shared" si="12"/>
        <v>0</v>
      </c>
      <c r="R20" s="247">
        <f t="shared" si="18"/>
        <v>0</v>
      </c>
      <c r="S20" s="24">
        <f t="shared" si="13"/>
        <v>0</v>
      </c>
      <c r="T20" s="25">
        <f t="shared" si="14"/>
        <v>0</v>
      </c>
      <c r="U20" s="654">
        <f t="shared" si="15"/>
        <v>0</v>
      </c>
    </row>
    <row r="21" spans="1:24" x14ac:dyDescent="0.2">
      <c r="A21" s="33">
        <f t="shared" si="19"/>
        <v>2008</v>
      </c>
      <c r="B21" s="30">
        <v>0</v>
      </c>
      <c r="C21" s="660">
        <f t="shared" si="0"/>
        <v>0</v>
      </c>
      <c r="D21" s="662">
        <f>IF($B21=0,0,(G21*1000)/$B21)</f>
        <v>0</v>
      </c>
      <c r="E21" s="663">
        <f>IF($B21=0,0,(H21*1000)/$B21)</f>
        <v>0</v>
      </c>
      <c r="F21" s="617">
        <f>IF($B21=0,0,(I21*1000000)/$B21)</f>
        <v>0</v>
      </c>
      <c r="G21" s="626">
        <f t="shared" si="4"/>
        <v>0</v>
      </c>
      <c r="H21" s="72">
        <f t="shared" si="5"/>
        <v>0</v>
      </c>
      <c r="I21" s="630">
        <f t="shared" si="6"/>
        <v>0</v>
      </c>
      <c r="J21" s="61">
        <f t="shared" si="16"/>
        <v>0</v>
      </c>
      <c r="K21" s="188">
        <f t="shared" si="7"/>
        <v>0</v>
      </c>
      <c r="L21" s="188">
        <f t="shared" si="8"/>
        <v>0</v>
      </c>
      <c r="M21" s="188">
        <f t="shared" si="9"/>
        <v>0</v>
      </c>
      <c r="N21" s="54">
        <f t="shared" si="17"/>
        <v>0</v>
      </c>
      <c r="O21" s="670">
        <f t="shared" si="10"/>
        <v>0</v>
      </c>
      <c r="P21" s="670">
        <f t="shared" si="11"/>
        <v>0</v>
      </c>
      <c r="Q21" s="670">
        <f t="shared" si="12"/>
        <v>0</v>
      </c>
      <c r="R21" s="247">
        <f t="shared" si="18"/>
        <v>0</v>
      </c>
      <c r="S21" s="24">
        <f t="shared" si="13"/>
        <v>0</v>
      </c>
      <c r="T21" s="25">
        <f t="shared" si="14"/>
        <v>0</v>
      </c>
      <c r="U21" s="654">
        <f t="shared" si="15"/>
        <v>0</v>
      </c>
    </row>
    <row r="22" spans="1:24" x14ac:dyDescent="0.2">
      <c r="A22" s="33">
        <f t="shared" si="19"/>
        <v>2009</v>
      </c>
      <c r="B22" s="30">
        <v>0</v>
      </c>
      <c r="C22" s="660">
        <v>0</v>
      </c>
      <c r="D22" s="662">
        <v>0.92</v>
      </c>
      <c r="E22" s="663">
        <v>0.92</v>
      </c>
      <c r="F22" s="617">
        <v>16344</v>
      </c>
      <c r="G22" s="626">
        <f t="shared" si="4"/>
        <v>0</v>
      </c>
      <c r="H22" s="72">
        <f t="shared" si="5"/>
        <v>0</v>
      </c>
      <c r="I22" s="630">
        <f t="shared" si="6"/>
        <v>0</v>
      </c>
      <c r="J22" s="61">
        <f t="shared" si="16"/>
        <v>0</v>
      </c>
      <c r="K22" s="188">
        <f t="shared" si="7"/>
        <v>0.92</v>
      </c>
      <c r="L22" s="188">
        <f t="shared" si="8"/>
        <v>0</v>
      </c>
      <c r="M22" s="188">
        <f t="shared" si="9"/>
        <v>0</v>
      </c>
      <c r="N22" s="54">
        <f t="shared" si="17"/>
        <v>0</v>
      </c>
      <c r="O22" s="670">
        <f t="shared" si="10"/>
        <v>0.92</v>
      </c>
      <c r="P22" s="670">
        <f t="shared" si="11"/>
        <v>0</v>
      </c>
      <c r="Q22" s="670">
        <f t="shared" si="12"/>
        <v>0</v>
      </c>
      <c r="R22" s="247">
        <f t="shared" si="18"/>
        <v>0</v>
      </c>
      <c r="S22" s="24">
        <f t="shared" si="13"/>
        <v>16344</v>
      </c>
      <c r="T22" s="25">
        <f t="shared" si="14"/>
        <v>0</v>
      </c>
      <c r="U22" s="654">
        <f t="shared" si="15"/>
        <v>0</v>
      </c>
    </row>
    <row r="23" spans="1:24" x14ac:dyDescent="0.2">
      <c r="A23" s="33">
        <f t="shared" si="19"/>
        <v>2010</v>
      </c>
      <c r="B23" s="30">
        <v>0</v>
      </c>
      <c r="C23" s="661">
        <f t="shared" si="0"/>
        <v>0</v>
      </c>
      <c r="D23" s="662">
        <v>0.87</v>
      </c>
      <c r="E23" s="663">
        <v>0.53</v>
      </c>
      <c r="F23" s="617">
        <v>8486</v>
      </c>
      <c r="G23" s="626">
        <f t="shared" si="4"/>
        <v>0</v>
      </c>
      <c r="H23" s="72">
        <f t="shared" si="5"/>
        <v>0</v>
      </c>
      <c r="I23" s="630">
        <f t="shared" si="6"/>
        <v>0</v>
      </c>
      <c r="J23" s="666">
        <f t="shared" si="16"/>
        <v>0</v>
      </c>
      <c r="K23" s="188">
        <f t="shared" si="7"/>
        <v>0.87</v>
      </c>
      <c r="L23" s="188">
        <f t="shared" si="8"/>
        <v>0</v>
      </c>
      <c r="M23" s="188">
        <f t="shared" si="9"/>
        <v>0</v>
      </c>
      <c r="N23" s="669">
        <f t="shared" si="17"/>
        <v>0</v>
      </c>
      <c r="O23" s="670">
        <f t="shared" si="10"/>
        <v>0.53</v>
      </c>
      <c r="P23" s="670">
        <f t="shared" si="11"/>
        <v>0</v>
      </c>
      <c r="Q23" s="670">
        <f t="shared" si="12"/>
        <v>0</v>
      </c>
      <c r="R23" s="247">
        <f t="shared" si="18"/>
        <v>0</v>
      </c>
      <c r="S23" s="24">
        <f t="shared" si="13"/>
        <v>8486</v>
      </c>
      <c r="T23" s="25">
        <f t="shared" si="14"/>
        <v>0</v>
      </c>
      <c r="U23" s="654">
        <f t="shared" si="15"/>
        <v>0</v>
      </c>
    </row>
    <row r="24" spans="1:24" ht="12.75" customHeight="1" x14ac:dyDescent="0.2">
      <c r="A24" s="33">
        <f t="shared" si="19"/>
        <v>2011</v>
      </c>
      <c r="B24" s="30">
        <v>0</v>
      </c>
      <c r="C24" s="661">
        <f t="shared" si="0"/>
        <v>0</v>
      </c>
      <c r="D24" s="662">
        <v>0.87</v>
      </c>
      <c r="E24" s="663">
        <v>0.53</v>
      </c>
      <c r="F24" s="617">
        <v>8486</v>
      </c>
      <c r="G24" s="626">
        <f t="shared" si="4"/>
        <v>0</v>
      </c>
      <c r="H24" s="72">
        <f t="shared" si="5"/>
        <v>0</v>
      </c>
      <c r="I24" s="630">
        <f t="shared" si="6"/>
        <v>0</v>
      </c>
      <c r="J24" s="666">
        <f t="shared" si="16"/>
        <v>0</v>
      </c>
      <c r="K24" s="188">
        <f t="shared" si="7"/>
        <v>0.87</v>
      </c>
      <c r="L24" s="188">
        <f t="shared" si="8"/>
        <v>0</v>
      </c>
      <c r="M24" s="188">
        <f t="shared" si="9"/>
        <v>0</v>
      </c>
      <c r="N24" s="669">
        <f t="shared" si="17"/>
        <v>0</v>
      </c>
      <c r="O24" s="670">
        <f t="shared" si="10"/>
        <v>0.53</v>
      </c>
      <c r="P24" s="670">
        <f t="shared" si="11"/>
        <v>0</v>
      </c>
      <c r="Q24" s="670">
        <f t="shared" si="12"/>
        <v>0</v>
      </c>
      <c r="R24" s="247">
        <f t="shared" si="18"/>
        <v>0</v>
      </c>
      <c r="S24" s="24">
        <f t="shared" si="13"/>
        <v>8486</v>
      </c>
      <c r="T24" s="25">
        <f t="shared" si="14"/>
        <v>0</v>
      </c>
      <c r="U24" s="654">
        <f t="shared" si="15"/>
        <v>0</v>
      </c>
    </row>
    <row r="25" spans="1:24" ht="12.75" customHeight="1" x14ac:dyDescent="0.2">
      <c r="A25" s="33">
        <f t="shared" si="19"/>
        <v>2012</v>
      </c>
      <c r="B25" s="30">
        <v>0</v>
      </c>
      <c r="C25" s="661">
        <f t="shared" si="0"/>
        <v>0</v>
      </c>
      <c r="D25" s="662">
        <v>0.87</v>
      </c>
      <c r="E25" s="663">
        <v>0.53</v>
      </c>
      <c r="F25" s="617">
        <v>8486</v>
      </c>
      <c r="G25" s="626">
        <f t="shared" ref="G25:G39" si="20">+$B25*D25/1000</f>
        <v>0</v>
      </c>
      <c r="H25" s="72">
        <f t="shared" ref="H25:H39" si="21">+$B25*E25/1000</f>
        <v>0</v>
      </c>
      <c r="I25" s="630">
        <f t="shared" ref="I25:I39" si="22">+$B25*F25/1000000</f>
        <v>0</v>
      </c>
      <c r="J25" s="666">
        <f t="shared" si="16"/>
        <v>0</v>
      </c>
      <c r="K25" s="188">
        <f t="shared" si="7"/>
        <v>0.87</v>
      </c>
      <c r="L25" s="188">
        <f t="shared" si="8"/>
        <v>0</v>
      </c>
      <c r="M25" s="188">
        <f t="shared" si="9"/>
        <v>0</v>
      </c>
      <c r="N25" s="669">
        <f t="shared" si="17"/>
        <v>0</v>
      </c>
      <c r="O25" s="670">
        <f t="shared" si="10"/>
        <v>0.53</v>
      </c>
      <c r="P25" s="670">
        <f t="shared" si="11"/>
        <v>0</v>
      </c>
      <c r="Q25" s="670">
        <f t="shared" si="12"/>
        <v>0</v>
      </c>
      <c r="R25" s="247">
        <f t="shared" si="18"/>
        <v>0</v>
      </c>
      <c r="S25" s="24">
        <f t="shared" si="13"/>
        <v>8486</v>
      </c>
      <c r="T25" s="25">
        <f t="shared" si="14"/>
        <v>0</v>
      </c>
      <c r="U25" s="654">
        <f t="shared" si="15"/>
        <v>0</v>
      </c>
    </row>
    <row r="26" spans="1:24" s="831" customFormat="1" ht="12.75" customHeight="1" x14ac:dyDescent="0.2">
      <c r="A26" s="33">
        <f t="shared" si="19"/>
        <v>2013</v>
      </c>
      <c r="B26" s="30">
        <v>0</v>
      </c>
      <c r="C26" s="619">
        <f t="shared" si="0"/>
        <v>0</v>
      </c>
      <c r="D26" s="807">
        <f t="shared" ref="D26:D54" si="23">+D25</f>
        <v>0.87</v>
      </c>
      <c r="E26" s="808">
        <f t="shared" ref="E26:E54" si="24">+E25</f>
        <v>0.53</v>
      </c>
      <c r="F26" s="806">
        <f t="shared" ref="F26:F54" si="25">+F25</f>
        <v>8486</v>
      </c>
      <c r="G26" s="626">
        <f t="shared" si="20"/>
        <v>0</v>
      </c>
      <c r="H26" s="72">
        <f t="shared" si="21"/>
        <v>0</v>
      </c>
      <c r="I26" s="630">
        <f t="shared" si="22"/>
        <v>0</v>
      </c>
      <c r="J26" s="666">
        <f t="shared" si="16"/>
        <v>0</v>
      </c>
      <c r="K26" s="188">
        <f t="shared" si="7"/>
        <v>0.87</v>
      </c>
      <c r="L26" s="188">
        <f t="shared" si="8"/>
        <v>0</v>
      </c>
      <c r="M26" s="829">
        <f t="shared" si="9"/>
        <v>0</v>
      </c>
      <c r="N26" s="669">
        <f t="shared" si="17"/>
        <v>0</v>
      </c>
      <c r="O26" s="670">
        <f t="shared" si="10"/>
        <v>0.53</v>
      </c>
      <c r="P26" s="670">
        <f t="shared" si="11"/>
        <v>0</v>
      </c>
      <c r="Q26" s="671">
        <f t="shared" si="12"/>
        <v>0</v>
      </c>
      <c r="R26" s="247">
        <f t="shared" si="18"/>
        <v>0</v>
      </c>
      <c r="S26" s="24">
        <f t="shared" si="13"/>
        <v>8486</v>
      </c>
      <c r="T26" s="25">
        <f t="shared" si="14"/>
        <v>0</v>
      </c>
      <c r="U26" s="654">
        <f t="shared" si="15"/>
        <v>0</v>
      </c>
      <c r="V26" s="830"/>
    </row>
    <row r="27" spans="1:24" s="831" customFormat="1" ht="12.75" customHeight="1" x14ac:dyDescent="0.2">
      <c r="A27" s="33">
        <f t="shared" si="19"/>
        <v>2014</v>
      </c>
      <c r="B27" s="30">
        <v>0</v>
      </c>
      <c r="C27" s="619">
        <f t="shared" si="0"/>
        <v>0</v>
      </c>
      <c r="D27" s="807">
        <f t="shared" si="23"/>
        <v>0.87</v>
      </c>
      <c r="E27" s="808">
        <f t="shared" si="24"/>
        <v>0.53</v>
      </c>
      <c r="F27" s="806">
        <f t="shared" si="25"/>
        <v>8486</v>
      </c>
      <c r="G27" s="626">
        <f t="shared" si="20"/>
        <v>0</v>
      </c>
      <c r="H27" s="72">
        <f t="shared" si="21"/>
        <v>0</v>
      </c>
      <c r="I27" s="630">
        <f t="shared" si="22"/>
        <v>0</v>
      </c>
      <c r="J27" s="666">
        <f t="shared" si="16"/>
        <v>0</v>
      </c>
      <c r="K27" s="188">
        <f t="shared" si="7"/>
        <v>0.87</v>
      </c>
      <c r="L27" s="188">
        <f t="shared" si="8"/>
        <v>0</v>
      </c>
      <c r="M27" s="829">
        <f t="shared" si="9"/>
        <v>0</v>
      </c>
      <c r="N27" s="669">
        <f t="shared" si="17"/>
        <v>0</v>
      </c>
      <c r="O27" s="670">
        <f t="shared" si="10"/>
        <v>0.53</v>
      </c>
      <c r="P27" s="670">
        <f t="shared" si="11"/>
        <v>0</v>
      </c>
      <c r="Q27" s="671">
        <f t="shared" si="12"/>
        <v>0</v>
      </c>
      <c r="R27" s="247">
        <f t="shared" si="18"/>
        <v>0</v>
      </c>
      <c r="S27" s="24">
        <f t="shared" si="13"/>
        <v>8486</v>
      </c>
      <c r="T27" s="25">
        <f t="shared" si="14"/>
        <v>0</v>
      </c>
      <c r="U27" s="654">
        <f t="shared" si="15"/>
        <v>0</v>
      </c>
      <c r="V27" s="830"/>
    </row>
    <row r="28" spans="1:24" s="831" customFormat="1" ht="12.75" customHeight="1" x14ac:dyDescent="0.2">
      <c r="A28" s="33">
        <f t="shared" si="19"/>
        <v>2015</v>
      </c>
      <c r="B28" s="30">
        <v>0</v>
      </c>
      <c r="C28" s="619">
        <f t="shared" si="0"/>
        <v>0</v>
      </c>
      <c r="D28" s="807">
        <v>0.80200000000000005</v>
      </c>
      <c r="E28" s="808">
        <v>1.3160000000000001</v>
      </c>
      <c r="F28" s="806">
        <v>12933</v>
      </c>
      <c r="G28" s="626">
        <f t="shared" si="20"/>
        <v>0</v>
      </c>
      <c r="H28" s="72">
        <f t="shared" si="21"/>
        <v>0</v>
      </c>
      <c r="I28" s="630">
        <f t="shared" si="22"/>
        <v>0</v>
      </c>
      <c r="J28" s="666">
        <f t="shared" si="16"/>
        <v>0</v>
      </c>
      <c r="K28" s="188">
        <f t="shared" si="7"/>
        <v>0.80200000000000005</v>
      </c>
      <c r="L28" s="188">
        <f t="shared" si="8"/>
        <v>0</v>
      </c>
      <c r="M28" s="829">
        <f t="shared" si="9"/>
        <v>0</v>
      </c>
      <c r="N28" s="669">
        <f t="shared" si="17"/>
        <v>0</v>
      </c>
      <c r="O28" s="670">
        <f t="shared" si="10"/>
        <v>1.3160000000000001</v>
      </c>
      <c r="P28" s="670">
        <f t="shared" si="11"/>
        <v>0</v>
      </c>
      <c r="Q28" s="671">
        <f t="shared" si="12"/>
        <v>0</v>
      </c>
      <c r="R28" s="247">
        <f t="shared" si="18"/>
        <v>0</v>
      </c>
      <c r="S28" s="24">
        <f t="shared" si="13"/>
        <v>12933</v>
      </c>
      <c r="T28" s="25">
        <f t="shared" si="14"/>
        <v>0</v>
      </c>
      <c r="U28" s="654">
        <f t="shared" si="15"/>
        <v>0</v>
      </c>
      <c r="V28" s="830"/>
    </row>
    <row r="29" spans="1:24" ht="14.65" customHeight="1" thickBot="1" x14ac:dyDescent="0.25">
      <c r="A29" s="701">
        <f t="shared" si="19"/>
        <v>2016</v>
      </c>
      <c r="B29" s="702">
        <v>0</v>
      </c>
      <c r="C29" s="703">
        <f t="shared" si="0"/>
        <v>0</v>
      </c>
      <c r="D29" s="835">
        <v>0.80200000000000005</v>
      </c>
      <c r="E29" s="836">
        <v>1.3160000000000001</v>
      </c>
      <c r="F29" s="705">
        <v>12933</v>
      </c>
      <c r="G29" s="823">
        <f t="shared" si="20"/>
        <v>0</v>
      </c>
      <c r="H29" s="707">
        <f t="shared" si="21"/>
        <v>0</v>
      </c>
      <c r="I29" s="824">
        <f t="shared" si="22"/>
        <v>0</v>
      </c>
      <c r="J29" s="880">
        <f t="shared" si="16"/>
        <v>0</v>
      </c>
      <c r="K29" s="825">
        <f t="shared" si="7"/>
        <v>0.80200000000000005</v>
      </c>
      <c r="L29" s="825">
        <f t="shared" si="8"/>
        <v>0</v>
      </c>
      <c r="M29" s="826">
        <f t="shared" si="9"/>
        <v>0</v>
      </c>
      <c r="N29" s="881">
        <f t="shared" si="17"/>
        <v>0</v>
      </c>
      <c r="O29" s="827">
        <f t="shared" si="10"/>
        <v>1.3160000000000001</v>
      </c>
      <c r="P29" s="827">
        <f t="shared" si="11"/>
        <v>0</v>
      </c>
      <c r="Q29" s="828">
        <f t="shared" si="12"/>
        <v>0</v>
      </c>
      <c r="R29" s="714">
        <f t="shared" si="18"/>
        <v>0</v>
      </c>
      <c r="S29" s="715">
        <f t="shared" si="13"/>
        <v>12933</v>
      </c>
      <c r="T29" s="716">
        <f t="shared" si="14"/>
        <v>0</v>
      </c>
      <c r="U29" s="717">
        <f t="shared" si="15"/>
        <v>0</v>
      </c>
    </row>
    <row r="30" spans="1:24" ht="18.399999999999999" customHeight="1" x14ac:dyDescent="0.2">
      <c r="A30" s="33">
        <f t="shared" si="19"/>
        <v>2017</v>
      </c>
      <c r="B30" s="787">
        <v>2</v>
      </c>
      <c r="C30" s="565">
        <f t="shared" si="0"/>
        <v>2</v>
      </c>
      <c r="D30" s="965">
        <f t="shared" si="23"/>
        <v>0.80200000000000005</v>
      </c>
      <c r="E30" s="966">
        <f t="shared" si="24"/>
        <v>1.3160000000000001</v>
      </c>
      <c r="F30" s="790">
        <f t="shared" si="25"/>
        <v>12933</v>
      </c>
      <c r="G30" s="473">
        <f t="shared" si="20"/>
        <v>1.6040000000000002E-3</v>
      </c>
      <c r="H30" s="474">
        <f t="shared" si="21"/>
        <v>2.6320000000000002E-3</v>
      </c>
      <c r="I30" s="474">
        <f t="shared" si="22"/>
        <v>2.5866E-2</v>
      </c>
      <c r="J30" s="61">
        <f t="shared" si="16"/>
        <v>1</v>
      </c>
      <c r="K30" s="967">
        <f t="shared" si="7"/>
        <v>0.80200000000000005</v>
      </c>
      <c r="L30" s="967">
        <f t="shared" si="8"/>
        <v>8.0200000000000009E-4</v>
      </c>
      <c r="M30" s="967">
        <f t="shared" si="9"/>
        <v>8.0200000000000009E-4</v>
      </c>
      <c r="N30" s="54">
        <f t="shared" si="17"/>
        <v>0</v>
      </c>
      <c r="O30" s="968">
        <f t="shared" si="10"/>
        <v>1.3160000000000001</v>
      </c>
      <c r="P30" s="968">
        <f t="shared" si="11"/>
        <v>0</v>
      </c>
      <c r="Q30" s="969">
        <f t="shared" si="12"/>
        <v>0</v>
      </c>
      <c r="R30" s="247">
        <f t="shared" si="18"/>
        <v>1</v>
      </c>
      <c r="S30" s="24">
        <f t="shared" si="13"/>
        <v>12933</v>
      </c>
      <c r="T30" s="970">
        <f t="shared" si="14"/>
        <v>1.2933E-2</v>
      </c>
      <c r="U30" s="971">
        <f t="shared" si="15"/>
        <v>1.2933E-2</v>
      </c>
    </row>
    <row r="31" spans="1:24" x14ac:dyDescent="0.2">
      <c r="A31" s="33">
        <f t="shared" si="19"/>
        <v>2018</v>
      </c>
      <c r="B31" s="787">
        <v>2</v>
      </c>
      <c r="C31" s="565">
        <f t="shared" si="0"/>
        <v>4</v>
      </c>
      <c r="D31" s="965">
        <f t="shared" si="23"/>
        <v>0.80200000000000005</v>
      </c>
      <c r="E31" s="966">
        <f t="shared" si="24"/>
        <v>1.3160000000000001</v>
      </c>
      <c r="F31" s="790">
        <f t="shared" si="25"/>
        <v>12933</v>
      </c>
      <c r="G31" s="473">
        <f t="shared" si="20"/>
        <v>1.6040000000000002E-3</v>
      </c>
      <c r="H31" s="474">
        <f t="shared" si="21"/>
        <v>2.6320000000000002E-3</v>
      </c>
      <c r="I31" s="474">
        <f t="shared" si="22"/>
        <v>2.5866E-2</v>
      </c>
      <c r="J31" s="61">
        <f t="shared" si="16"/>
        <v>2</v>
      </c>
      <c r="K31" s="967">
        <f t="shared" si="7"/>
        <v>0.80200000000000005</v>
      </c>
      <c r="L31" s="967">
        <f t="shared" si="8"/>
        <v>1.6040000000000002E-3</v>
      </c>
      <c r="M31" s="967">
        <f t="shared" si="9"/>
        <v>2.4060000000000002E-3</v>
      </c>
      <c r="N31" s="54">
        <f t="shared" si="17"/>
        <v>2</v>
      </c>
      <c r="O31" s="968">
        <f t="shared" si="10"/>
        <v>1.3160000000000001</v>
      </c>
      <c r="P31" s="968">
        <f t="shared" si="11"/>
        <v>2.6320000000000002E-3</v>
      </c>
      <c r="Q31" s="969">
        <f t="shared" si="12"/>
        <v>2.6320000000000002E-3</v>
      </c>
      <c r="R31" s="247">
        <f t="shared" si="18"/>
        <v>2</v>
      </c>
      <c r="S31" s="24">
        <f t="shared" si="13"/>
        <v>12933</v>
      </c>
      <c r="T31" s="970">
        <f t="shared" si="14"/>
        <v>2.5866E-2</v>
      </c>
      <c r="U31" s="971">
        <f t="shared" si="15"/>
        <v>3.8799E-2</v>
      </c>
    </row>
    <row r="32" spans="1:24" x14ac:dyDescent="0.2">
      <c r="A32" s="33">
        <f t="shared" si="19"/>
        <v>2019</v>
      </c>
      <c r="B32" s="787">
        <v>3</v>
      </c>
      <c r="C32" s="565">
        <f t="shared" si="0"/>
        <v>7</v>
      </c>
      <c r="D32" s="965">
        <f t="shared" si="23"/>
        <v>0.80200000000000005</v>
      </c>
      <c r="E32" s="966">
        <f t="shared" si="24"/>
        <v>1.3160000000000001</v>
      </c>
      <c r="F32" s="790">
        <f t="shared" si="25"/>
        <v>12933</v>
      </c>
      <c r="G32" s="473">
        <f t="shared" si="20"/>
        <v>2.4060000000000002E-3</v>
      </c>
      <c r="H32" s="474">
        <f t="shared" si="21"/>
        <v>3.9480000000000001E-3</v>
      </c>
      <c r="I32" s="474">
        <f t="shared" si="22"/>
        <v>3.8799E-2</v>
      </c>
      <c r="J32" s="61">
        <f t="shared" si="16"/>
        <v>2.5</v>
      </c>
      <c r="K32" s="967">
        <f t="shared" si="7"/>
        <v>0.80200000000000005</v>
      </c>
      <c r="L32" s="967">
        <f t="shared" si="8"/>
        <v>2.0049999999999998E-3</v>
      </c>
      <c r="M32" s="967">
        <f t="shared" si="9"/>
        <v>4.411E-3</v>
      </c>
      <c r="N32" s="54">
        <f t="shared" si="17"/>
        <v>2</v>
      </c>
      <c r="O32" s="968">
        <f t="shared" si="10"/>
        <v>1.3160000000000001</v>
      </c>
      <c r="P32" s="968">
        <f t="shared" si="11"/>
        <v>2.6320000000000002E-3</v>
      </c>
      <c r="Q32" s="969">
        <f t="shared" si="12"/>
        <v>5.2640000000000004E-3</v>
      </c>
      <c r="R32" s="247">
        <f t="shared" si="18"/>
        <v>2.5</v>
      </c>
      <c r="S32" s="24">
        <f t="shared" si="13"/>
        <v>12933</v>
      </c>
      <c r="T32" s="970">
        <f t="shared" si="14"/>
        <v>3.23325E-2</v>
      </c>
      <c r="U32" s="971">
        <f t="shared" si="15"/>
        <v>7.11315E-2</v>
      </c>
    </row>
    <row r="33" spans="1:21" x14ac:dyDescent="0.2">
      <c r="A33" s="33">
        <f t="shared" si="19"/>
        <v>2020</v>
      </c>
      <c r="B33" s="787">
        <v>3</v>
      </c>
      <c r="C33" s="565">
        <f t="shared" si="0"/>
        <v>10</v>
      </c>
      <c r="D33" s="965">
        <f t="shared" si="23"/>
        <v>0.80200000000000005</v>
      </c>
      <c r="E33" s="966">
        <f t="shared" si="24"/>
        <v>1.3160000000000001</v>
      </c>
      <c r="F33" s="790">
        <f t="shared" si="25"/>
        <v>12933</v>
      </c>
      <c r="G33" s="473">
        <f t="shared" si="20"/>
        <v>2.4060000000000002E-3</v>
      </c>
      <c r="H33" s="474">
        <f t="shared" si="21"/>
        <v>3.9480000000000001E-3</v>
      </c>
      <c r="I33" s="474">
        <f t="shared" si="22"/>
        <v>3.8799E-2</v>
      </c>
      <c r="J33" s="61">
        <f t="shared" si="16"/>
        <v>3</v>
      </c>
      <c r="K33" s="967">
        <f t="shared" si="7"/>
        <v>0.80200000000000005</v>
      </c>
      <c r="L33" s="967">
        <f t="shared" si="8"/>
        <v>2.4060000000000002E-3</v>
      </c>
      <c r="M33" s="967">
        <f t="shared" si="9"/>
        <v>6.8170000000000001E-3</v>
      </c>
      <c r="N33" s="54">
        <f t="shared" si="17"/>
        <v>3</v>
      </c>
      <c r="O33" s="968">
        <f t="shared" si="10"/>
        <v>1.3160000000000001</v>
      </c>
      <c r="P33" s="968">
        <f t="shared" si="11"/>
        <v>3.9480000000000001E-3</v>
      </c>
      <c r="Q33" s="969">
        <f t="shared" si="12"/>
        <v>9.2120000000000014E-3</v>
      </c>
      <c r="R33" s="247">
        <f t="shared" si="18"/>
        <v>3</v>
      </c>
      <c r="S33" s="24">
        <f t="shared" si="13"/>
        <v>12933</v>
      </c>
      <c r="T33" s="970">
        <f t="shared" si="14"/>
        <v>3.8799E-2</v>
      </c>
      <c r="U33" s="971">
        <f t="shared" si="15"/>
        <v>0.1099305</v>
      </c>
    </row>
    <row r="34" spans="1:21" x14ac:dyDescent="0.2">
      <c r="A34" s="33">
        <f t="shared" si="19"/>
        <v>2021</v>
      </c>
      <c r="B34" s="787">
        <v>3</v>
      </c>
      <c r="C34" s="565">
        <f t="shared" si="0"/>
        <v>13</v>
      </c>
      <c r="D34" s="965">
        <f t="shared" si="23"/>
        <v>0.80200000000000005</v>
      </c>
      <c r="E34" s="966">
        <f t="shared" si="24"/>
        <v>1.3160000000000001</v>
      </c>
      <c r="F34" s="790">
        <f t="shared" si="25"/>
        <v>12933</v>
      </c>
      <c r="G34" s="473">
        <f t="shared" si="20"/>
        <v>2.4060000000000002E-3</v>
      </c>
      <c r="H34" s="474">
        <f t="shared" si="21"/>
        <v>3.9480000000000001E-3</v>
      </c>
      <c r="I34" s="474">
        <f t="shared" si="22"/>
        <v>3.8799E-2</v>
      </c>
      <c r="J34" s="61">
        <f t="shared" si="16"/>
        <v>3</v>
      </c>
      <c r="K34" s="967">
        <f t="shared" si="7"/>
        <v>0.80200000000000005</v>
      </c>
      <c r="L34" s="967">
        <f t="shared" si="8"/>
        <v>2.4060000000000002E-3</v>
      </c>
      <c r="M34" s="967">
        <f t="shared" si="9"/>
        <v>9.2230000000000003E-3</v>
      </c>
      <c r="N34" s="54">
        <f t="shared" si="17"/>
        <v>3</v>
      </c>
      <c r="O34" s="968">
        <f t="shared" si="10"/>
        <v>1.3160000000000001</v>
      </c>
      <c r="P34" s="968">
        <f t="shared" si="11"/>
        <v>3.9480000000000001E-3</v>
      </c>
      <c r="Q34" s="969">
        <f t="shared" si="12"/>
        <v>1.3160000000000002E-2</v>
      </c>
      <c r="R34" s="247">
        <f t="shared" si="18"/>
        <v>3</v>
      </c>
      <c r="S34" s="24">
        <f t="shared" si="13"/>
        <v>12933</v>
      </c>
      <c r="T34" s="970">
        <f t="shared" si="14"/>
        <v>3.8799E-2</v>
      </c>
      <c r="U34" s="971">
        <f t="shared" si="15"/>
        <v>0.14872950000000001</v>
      </c>
    </row>
    <row r="35" spans="1:21" x14ac:dyDescent="0.2">
      <c r="A35" s="33">
        <f t="shared" si="19"/>
        <v>2022</v>
      </c>
      <c r="B35" s="787">
        <v>4</v>
      </c>
      <c r="C35" s="565">
        <f t="shared" si="0"/>
        <v>17</v>
      </c>
      <c r="D35" s="965">
        <f t="shared" si="23"/>
        <v>0.80200000000000005</v>
      </c>
      <c r="E35" s="966">
        <f t="shared" si="24"/>
        <v>1.3160000000000001</v>
      </c>
      <c r="F35" s="790">
        <f t="shared" si="25"/>
        <v>12933</v>
      </c>
      <c r="G35" s="473">
        <f t="shared" si="20"/>
        <v>3.2080000000000003E-3</v>
      </c>
      <c r="H35" s="474">
        <f t="shared" si="21"/>
        <v>5.2640000000000004E-3</v>
      </c>
      <c r="I35" s="474">
        <f t="shared" si="22"/>
        <v>5.1732E-2</v>
      </c>
      <c r="J35" s="61">
        <f t="shared" si="16"/>
        <v>3.5</v>
      </c>
      <c r="K35" s="967">
        <f t="shared" si="7"/>
        <v>0.80200000000000005</v>
      </c>
      <c r="L35" s="967">
        <f t="shared" si="8"/>
        <v>2.8070000000000005E-3</v>
      </c>
      <c r="M35" s="967">
        <f t="shared" si="9"/>
        <v>1.2030000000000001E-2</v>
      </c>
      <c r="N35" s="54">
        <f t="shared" si="17"/>
        <v>3</v>
      </c>
      <c r="O35" s="968">
        <f t="shared" si="10"/>
        <v>1.3160000000000001</v>
      </c>
      <c r="P35" s="968">
        <f t="shared" si="11"/>
        <v>3.9480000000000001E-3</v>
      </c>
      <c r="Q35" s="969">
        <f t="shared" si="12"/>
        <v>1.7108000000000002E-2</v>
      </c>
      <c r="R35" s="247">
        <f t="shared" si="18"/>
        <v>3.5</v>
      </c>
      <c r="S35" s="24">
        <f t="shared" si="13"/>
        <v>12933</v>
      </c>
      <c r="T35" s="970">
        <f t="shared" si="14"/>
        <v>4.52655E-2</v>
      </c>
      <c r="U35" s="971">
        <f t="shared" si="15"/>
        <v>0.19399500000000003</v>
      </c>
    </row>
    <row r="36" spans="1:21" x14ac:dyDescent="0.2">
      <c r="A36" s="33">
        <f t="shared" si="19"/>
        <v>2023</v>
      </c>
      <c r="B36" s="787">
        <v>4</v>
      </c>
      <c r="C36" s="565">
        <f t="shared" si="0"/>
        <v>21</v>
      </c>
      <c r="D36" s="965">
        <f t="shared" si="23"/>
        <v>0.80200000000000005</v>
      </c>
      <c r="E36" s="966">
        <f t="shared" si="24"/>
        <v>1.3160000000000001</v>
      </c>
      <c r="F36" s="790">
        <f t="shared" si="25"/>
        <v>12933</v>
      </c>
      <c r="G36" s="473">
        <f t="shared" si="20"/>
        <v>3.2080000000000003E-3</v>
      </c>
      <c r="H36" s="474">
        <f t="shared" si="21"/>
        <v>5.2640000000000004E-3</v>
      </c>
      <c r="I36" s="474">
        <f t="shared" si="22"/>
        <v>5.1732E-2</v>
      </c>
      <c r="J36" s="61">
        <f t="shared" si="16"/>
        <v>4</v>
      </c>
      <c r="K36" s="967">
        <f t="shared" si="7"/>
        <v>0.80200000000000005</v>
      </c>
      <c r="L36" s="967">
        <f t="shared" si="8"/>
        <v>3.2080000000000003E-3</v>
      </c>
      <c r="M36" s="967">
        <f t="shared" si="9"/>
        <v>1.5238000000000002E-2</v>
      </c>
      <c r="N36" s="54">
        <f t="shared" si="17"/>
        <v>4</v>
      </c>
      <c r="O36" s="968">
        <f t="shared" si="10"/>
        <v>1.3160000000000001</v>
      </c>
      <c r="P36" s="968">
        <f t="shared" si="11"/>
        <v>5.2640000000000004E-3</v>
      </c>
      <c r="Q36" s="969">
        <f t="shared" si="12"/>
        <v>2.2372000000000003E-2</v>
      </c>
      <c r="R36" s="247">
        <f t="shared" si="18"/>
        <v>4</v>
      </c>
      <c r="S36" s="24">
        <f t="shared" si="13"/>
        <v>12933</v>
      </c>
      <c r="T36" s="970">
        <f t="shared" si="14"/>
        <v>5.1732E-2</v>
      </c>
      <c r="U36" s="971">
        <f t="shared" si="15"/>
        <v>0.24572700000000003</v>
      </c>
    </row>
    <row r="37" spans="1:21" x14ac:dyDescent="0.2">
      <c r="A37" s="33">
        <f t="shared" si="19"/>
        <v>2024</v>
      </c>
      <c r="B37" s="787">
        <v>4</v>
      </c>
      <c r="C37" s="565">
        <f t="shared" si="0"/>
        <v>25</v>
      </c>
      <c r="D37" s="965">
        <f t="shared" si="23"/>
        <v>0.80200000000000005</v>
      </c>
      <c r="E37" s="966">
        <f t="shared" si="24"/>
        <v>1.3160000000000001</v>
      </c>
      <c r="F37" s="790">
        <f t="shared" si="25"/>
        <v>12933</v>
      </c>
      <c r="G37" s="473">
        <f t="shared" si="20"/>
        <v>3.2080000000000003E-3</v>
      </c>
      <c r="H37" s="474">
        <f t="shared" si="21"/>
        <v>5.2640000000000004E-3</v>
      </c>
      <c r="I37" s="474">
        <f t="shared" si="22"/>
        <v>5.1732E-2</v>
      </c>
      <c r="J37" s="61">
        <f t="shared" si="16"/>
        <v>4</v>
      </c>
      <c r="K37" s="967">
        <f t="shared" si="7"/>
        <v>0.80200000000000005</v>
      </c>
      <c r="L37" s="967">
        <f t="shared" si="8"/>
        <v>3.2080000000000003E-3</v>
      </c>
      <c r="M37" s="967">
        <f t="shared" si="9"/>
        <v>1.8446000000000001E-2</v>
      </c>
      <c r="N37" s="54">
        <f t="shared" si="17"/>
        <v>4</v>
      </c>
      <c r="O37" s="968">
        <f t="shared" si="10"/>
        <v>1.3160000000000001</v>
      </c>
      <c r="P37" s="968">
        <f t="shared" si="11"/>
        <v>5.2640000000000004E-3</v>
      </c>
      <c r="Q37" s="969">
        <f t="shared" si="12"/>
        <v>2.7636000000000004E-2</v>
      </c>
      <c r="R37" s="247">
        <f t="shared" si="18"/>
        <v>4</v>
      </c>
      <c r="S37" s="24">
        <f t="shared" si="13"/>
        <v>12933</v>
      </c>
      <c r="T37" s="970">
        <f t="shared" si="14"/>
        <v>5.1732E-2</v>
      </c>
      <c r="U37" s="971">
        <f t="shared" si="15"/>
        <v>0.29745900000000003</v>
      </c>
    </row>
    <row r="38" spans="1:21" x14ac:dyDescent="0.2">
      <c r="A38" s="33">
        <f t="shared" si="19"/>
        <v>2025</v>
      </c>
      <c r="B38" s="787">
        <f t="shared" ref="B38:B47" si="26">B37</f>
        <v>4</v>
      </c>
      <c r="C38" s="565">
        <f t="shared" si="0"/>
        <v>29</v>
      </c>
      <c r="D38" s="965">
        <f t="shared" si="23"/>
        <v>0.80200000000000005</v>
      </c>
      <c r="E38" s="966">
        <f t="shared" si="24"/>
        <v>1.3160000000000001</v>
      </c>
      <c r="F38" s="790">
        <f t="shared" si="25"/>
        <v>12933</v>
      </c>
      <c r="G38" s="473">
        <f t="shared" si="20"/>
        <v>3.2080000000000003E-3</v>
      </c>
      <c r="H38" s="474">
        <f t="shared" si="21"/>
        <v>5.2640000000000004E-3</v>
      </c>
      <c r="I38" s="474">
        <f t="shared" si="22"/>
        <v>5.1732E-2</v>
      </c>
      <c r="J38" s="61">
        <f t="shared" si="16"/>
        <v>4</v>
      </c>
      <c r="K38" s="967">
        <f t="shared" si="7"/>
        <v>0.80200000000000005</v>
      </c>
      <c r="L38" s="967">
        <f t="shared" si="8"/>
        <v>3.2080000000000003E-3</v>
      </c>
      <c r="M38" s="967">
        <f t="shared" si="9"/>
        <v>2.1654E-2</v>
      </c>
      <c r="N38" s="54">
        <f t="shared" si="17"/>
        <v>4</v>
      </c>
      <c r="O38" s="968">
        <f t="shared" si="10"/>
        <v>1.3160000000000001</v>
      </c>
      <c r="P38" s="968">
        <f t="shared" si="11"/>
        <v>5.2640000000000004E-3</v>
      </c>
      <c r="Q38" s="969">
        <f t="shared" si="12"/>
        <v>3.2900000000000006E-2</v>
      </c>
      <c r="R38" s="247">
        <f t="shared" ref="R38:R42" si="27">+(B38+B37)/2</f>
        <v>4</v>
      </c>
      <c r="S38" s="24">
        <f t="shared" ref="S38:S42" si="28">+F38</f>
        <v>12933</v>
      </c>
      <c r="T38" s="970">
        <f t="shared" ref="T38:T42" si="29">+R38*S38/1000000</f>
        <v>5.1732E-2</v>
      </c>
      <c r="U38" s="971">
        <f t="shared" si="15"/>
        <v>0.34919100000000003</v>
      </c>
    </row>
    <row r="39" spans="1:21" x14ac:dyDescent="0.2">
      <c r="A39" s="33">
        <f t="shared" si="19"/>
        <v>2026</v>
      </c>
      <c r="B39" s="787">
        <f t="shared" si="26"/>
        <v>4</v>
      </c>
      <c r="C39" s="565">
        <f t="shared" si="0"/>
        <v>33</v>
      </c>
      <c r="D39" s="965">
        <f t="shared" si="23"/>
        <v>0.80200000000000005</v>
      </c>
      <c r="E39" s="966">
        <f t="shared" si="24"/>
        <v>1.3160000000000001</v>
      </c>
      <c r="F39" s="790">
        <f t="shared" si="25"/>
        <v>12933</v>
      </c>
      <c r="G39" s="473">
        <f t="shared" si="20"/>
        <v>3.2080000000000003E-3</v>
      </c>
      <c r="H39" s="474">
        <f t="shared" si="21"/>
        <v>5.2640000000000004E-3</v>
      </c>
      <c r="I39" s="474">
        <f t="shared" si="22"/>
        <v>5.1732E-2</v>
      </c>
      <c r="J39" s="61">
        <f t="shared" si="16"/>
        <v>4</v>
      </c>
      <c r="K39" s="967">
        <f t="shared" si="7"/>
        <v>0.80200000000000005</v>
      </c>
      <c r="L39" s="967">
        <f t="shared" si="8"/>
        <v>3.2080000000000003E-3</v>
      </c>
      <c r="M39" s="967">
        <f t="shared" si="9"/>
        <v>2.4861999999999999E-2</v>
      </c>
      <c r="N39" s="54">
        <f t="shared" si="17"/>
        <v>4</v>
      </c>
      <c r="O39" s="968">
        <f t="shared" si="10"/>
        <v>1.3160000000000001</v>
      </c>
      <c r="P39" s="968">
        <f t="shared" si="11"/>
        <v>5.2640000000000004E-3</v>
      </c>
      <c r="Q39" s="969">
        <f t="shared" si="12"/>
        <v>3.8164000000000003E-2</v>
      </c>
      <c r="R39" s="247">
        <f t="shared" si="27"/>
        <v>4</v>
      </c>
      <c r="S39" s="24">
        <f t="shared" si="28"/>
        <v>12933</v>
      </c>
      <c r="T39" s="970">
        <f t="shared" si="29"/>
        <v>5.1732E-2</v>
      </c>
      <c r="U39" s="971">
        <f t="shared" si="15"/>
        <v>0.40092300000000003</v>
      </c>
    </row>
    <row r="40" spans="1:21" x14ac:dyDescent="0.2">
      <c r="A40" s="33">
        <f t="shared" si="19"/>
        <v>2027</v>
      </c>
      <c r="B40" s="787">
        <f t="shared" si="26"/>
        <v>4</v>
      </c>
      <c r="C40" s="565">
        <f>+C39+B40</f>
        <v>37</v>
      </c>
      <c r="D40" s="965">
        <f t="shared" si="23"/>
        <v>0.80200000000000005</v>
      </c>
      <c r="E40" s="966">
        <f t="shared" si="24"/>
        <v>1.3160000000000001</v>
      </c>
      <c r="F40" s="790">
        <f t="shared" si="25"/>
        <v>12933</v>
      </c>
      <c r="G40" s="473">
        <f t="shared" ref="G40:H42" si="30">+$B40*D40/1000</f>
        <v>3.2080000000000003E-3</v>
      </c>
      <c r="H40" s="474">
        <f t="shared" si="30"/>
        <v>5.2640000000000004E-3</v>
      </c>
      <c r="I40" s="474">
        <f>+$B40*F40/1000000</f>
        <v>5.1732E-2</v>
      </c>
      <c r="J40" s="61">
        <f>+(B40+B39)/2</f>
        <v>4</v>
      </c>
      <c r="K40" s="967">
        <f>+D40</f>
        <v>0.80200000000000005</v>
      </c>
      <c r="L40" s="967">
        <f>+J40*K40/1000</f>
        <v>3.2080000000000003E-3</v>
      </c>
      <c r="M40" s="967">
        <f>+M39+L40</f>
        <v>2.8069999999999998E-2</v>
      </c>
      <c r="N40" s="54">
        <f>+B39</f>
        <v>4</v>
      </c>
      <c r="O40" s="968">
        <f>+E40</f>
        <v>1.3160000000000001</v>
      </c>
      <c r="P40" s="968">
        <f>+N40*O40/1000</f>
        <v>5.2640000000000004E-3</v>
      </c>
      <c r="Q40" s="969">
        <f>+Q39+P40</f>
        <v>4.3428000000000001E-2</v>
      </c>
      <c r="R40" s="247">
        <f t="shared" si="27"/>
        <v>4</v>
      </c>
      <c r="S40" s="24">
        <f t="shared" si="28"/>
        <v>12933</v>
      </c>
      <c r="T40" s="970">
        <f t="shared" si="29"/>
        <v>5.1732E-2</v>
      </c>
      <c r="U40" s="971">
        <f>+U39+T40</f>
        <v>0.45265500000000003</v>
      </c>
    </row>
    <row r="41" spans="1:21" x14ac:dyDescent="0.2">
      <c r="A41" s="33">
        <f t="shared" si="19"/>
        <v>2028</v>
      </c>
      <c r="B41" s="787">
        <f t="shared" si="26"/>
        <v>4</v>
      </c>
      <c r="C41" s="565">
        <f>+C40+B41</f>
        <v>41</v>
      </c>
      <c r="D41" s="965">
        <f>+D40</f>
        <v>0.80200000000000005</v>
      </c>
      <c r="E41" s="966">
        <f>+E40</f>
        <v>1.3160000000000001</v>
      </c>
      <c r="F41" s="790">
        <f>+F40</f>
        <v>12933</v>
      </c>
      <c r="G41" s="473">
        <f t="shared" si="30"/>
        <v>3.2080000000000003E-3</v>
      </c>
      <c r="H41" s="474">
        <f t="shared" si="30"/>
        <v>5.2640000000000004E-3</v>
      </c>
      <c r="I41" s="474">
        <f>+$B41*F41/1000000</f>
        <v>5.1732E-2</v>
      </c>
      <c r="J41" s="61">
        <f>+(B41+B40)/2</f>
        <v>4</v>
      </c>
      <c r="K41" s="967">
        <f>+D41</f>
        <v>0.80200000000000005</v>
      </c>
      <c r="L41" s="967">
        <f>+J41*K41/1000</f>
        <v>3.2080000000000003E-3</v>
      </c>
      <c r="M41" s="967">
        <f>+M40+L41</f>
        <v>3.1278E-2</v>
      </c>
      <c r="N41" s="54">
        <f>+B40</f>
        <v>4</v>
      </c>
      <c r="O41" s="968">
        <f>+E41</f>
        <v>1.3160000000000001</v>
      </c>
      <c r="P41" s="968">
        <f>+N41*O41/1000</f>
        <v>5.2640000000000004E-3</v>
      </c>
      <c r="Q41" s="969">
        <f>+Q40+P41</f>
        <v>4.8691999999999999E-2</v>
      </c>
      <c r="R41" s="247">
        <f t="shared" si="27"/>
        <v>4</v>
      </c>
      <c r="S41" s="24">
        <f t="shared" si="28"/>
        <v>12933</v>
      </c>
      <c r="T41" s="970">
        <f t="shared" si="29"/>
        <v>5.1732E-2</v>
      </c>
      <c r="U41" s="971">
        <f>+U40+T41</f>
        <v>0.50438700000000003</v>
      </c>
    </row>
    <row r="42" spans="1:21" x14ac:dyDescent="0.2">
      <c r="A42" s="33">
        <f t="shared" si="19"/>
        <v>2029</v>
      </c>
      <c r="B42" s="787">
        <f t="shared" si="26"/>
        <v>4</v>
      </c>
      <c r="C42" s="565">
        <f>+C41+B42</f>
        <v>45</v>
      </c>
      <c r="D42" s="965">
        <f t="shared" si="23"/>
        <v>0.80200000000000005</v>
      </c>
      <c r="E42" s="966">
        <f t="shared" si="24"/>
        <v>1.3160000000000001</v>
      </c>
      <c r="F42" s="790">
        <f t="shared" si="25"/>
        <v>12933</v>
      </c>
      <c r="G42" s="473">
        <f t="shared" si="30"/>
        <v>3.2080000000000003E-3</v>
      </c>
      <c r="H42" s="474">
        <f t="shared" si="30"/>
        <v>5.2640000000000004E-3</v>
      </c>
      <c r="I42" s="474">
        <f>+$B42*F42/1000000</f>
        <v>5.1732E-2</v>
      </c>
      <c r="J42" s="61">
        <f>+(B42+B41)/2</f>
        <v>4</v>
      </c>
      <c r="K42" s="967">
        <f>+D42</f>
        <v>0.80200000000000005</v>
      </c>
      <c r="L42" s="967">
        <f>+J42*K42/1000</f>
        <v>3.2080000000000003E-3</v>
      </c>
      <c r="M42" s="967">
        <f>+M41+L42</f>
        <v>3.4486000000000003E-2</v>
      </c>
      <c r="N42" s="54">
        <f>+B41</f>
        <v>4</v>
      </c>
      <c r="O42" s="968">
        <f>+E42</f>
        <v>1.3160000000000001</v>
      </c>
      <c r="P42" s="968">
        <f>+N42*O42/1000</f>
        <v>5.2640000000000004E-3</v>
      </c>
      <c r="Q42" s="969">
        <f>+Q41+P42</f>
        <v>5.3955999999999997E-2</v>
      </c>
      <c r="R42" s="247">
        <f t="shared" si="27"/>
        <v>4</v>
      </c>
      <c r="S42" s="24">
        <f t="shared" si="28"/>
        <v>12933</v>
      </c>
      <c r="T42" s="970">
        <f t="shared" si="29"/>
        <v>5.1732E-2</v>
      </c>
      <c r="U42" s="971">
        <f>+U41+T42</f>
        <v>0.55611900000000003</v>
      </c>
    </row>
    <row r="43" spans="1:21" x14ac:dyDescent="0.2">
      <c r="A43" s="33">
        <f t="shared" si="19"/>
        <v>2030</v>
      </c>
      <c r="B43" s="787">
        <f t="shared" si="26"/>
        <v>4</v>
      </c>
      <c r="C43" s="565">
        <f t="shared" ref="C43:C47" si="31">+C42+B43</f>
        <v>49</v>
      </c>
      <c r="D43" s="965">
        <f t="shared" si="23"/>
        <v>0.80200000000000005</v>
      </c>
      <c r="E43" s="966">
        <f t="shared" si="24"/>
        <v>1.3160000000000001</v>
      </c>
      <c r="F43" s="790">
        <f t="shared" si="25"/>
        <v>12933</v>
      </c>
      <c r="G43" s="473">
        <f t="shared" ref="G43:G47" si="32">+$B43*D43/1000</f>
        <v>3.2080000000000003E-3</v>
      </c>
      <c r="H43" s="474">
        <f t="shared" ref="H43:H47" si="33">+$B43*E43/1000</f>
        <v>5.2640000000000004E-3</v>
      </c>
      <c r="I43" s="474">
        <f t="shared" ref="I43:I47" si="34">+$B43*F43/1000000</f>
        <v>5.1732E-2</v>
      </c>
      <c r="J43" s="61">
        <f t="shared" ref="J43:J47" si="35">+(B43+B42)/2</f>
        <v>4</v>
      </c>
      <c r="K43" s="967">
        <f t="shared" ref="K43:K47" si="36">+D43</f>
        <v>0.80200000000000005</v>
      </c>
      <c r="L43" s="967">
        <f t="shared" ref="L43:L47" si="37">+J43*K43/1000</f>
        <v>3.2080000000000003E-3</v>
      </c>
      <c r="M43" s="967">
        <f t="shared" ref="M43:M47" si="38">+M42+L43</f>
        <v>3.7694000000000005E-2</v>
      </c>
      <c r="N43" s="54">
        <f t="shared" ref="N43:N47" si="39">+B42</f>
        <v>4</v>
      </c>
      <c r="O43" s="968">
        <f t="shared" ref="O43:O47" si="40">+E43</f>
        <v>1.3160000000000001</v>
      </c>
      <c r="P43" s="968">
        <f t="shared" ref="P43:P47" si="41">+N43*O43/1000</f>
        <v>5.2640000000000004E-3</v>
      </c>
      <c r="Q43" s="969">
        <f t="shared" ref="Q43:Q47" si="42">+Q42+P43</f>
        <v>5.9219999999999995E-2</v>
      </c>
      <c r="R43" s="247">
        <f t="shared" ref="R43:R47" si="43">+(B43+B42)/2</f>
        <v>4</v>
      </c>
      <c r="S43" s="24">
        <f t="shared" ref="S43:S47" si="44">+F43</f>
        <v>12933</v>
      </c>
      <c r="T43" s="970">
        <f t="shared" ref="T43:T47" si="45">+R43*S43/1000000</f>
        <v>5.1732E-2</v>
      </c>
      <c r="U43" s="971">
        <f t="shared" ref="U43:U47" si="46">+U42+T43</f>
        <v>0.60785100000000003</v>
      </c>
    </row>
    <row r="44" spans="1:21" x14ac:dyDescent="0.2">
      <c r="A44" s="33">
        <f t="shared" si="19"/>
        <v>2031</v>
      </c>
      <c r="B44" s="787">
        <f t="shared" si="26"/>
        <v>4</v>
      </c>
      <c r="C44" s="565">
        <f t="shared" si="31"/>
        <v>53</v>
      </c>
      <c r="D44" s="965">
        <f t="shared" si="23"/>
        <v>0.80200000000000005</v>
      </c>
      <c r="E44" s="966">
        <f t="shared" si="24"/>
        <v>1.3160000000000001</v>
      </c>
      <c r="F44" s="790">
        <f t="shared" si="25"/>
        <v>12933</v>
      </c>
      <c r="G44" s="473">
        <f t="shared" si="32"/>
        <v>3.2080000000000003E-3</v>
      </c>
      <c r="H44" s="474">
        <f t="shared" si="33"/>
        <v>5.2640000000000004E-3</v>
      </c>
      <c r="I44" s="474">
        <f t="shared" si="34"/>
        <v>5.1732E-2</v>
      </c>
      <c r="J44" s="61">
        <f t="shared" si="35"/>
        <v>4</v>
      </c>
      <c r="K44" s="967">
        <f t="shared" si="36"/>
        <v>0.80200000000000005</v>
      </c>
      <c r="L44" s="967">
        <f t="shared" si="37"/>
        <v>3.2080000000000003E-3</v>
      </c>
      <c r="M44" s="967">
        <f t="shared" si="38"/>
        <v>4.0902000000000008E-2</v>
      </c>
      <c r="N44" s="54">
        <f t="shared" si="39"/>
        <v>4</v>
      </c>
      <c r="O44" s="968">
        <f t="shared" si="40"/>
        <v>1.3160000000000001</v>
      </c>
      <c r="P44" s="968">
        <f t="shared" si="41"/>
        <v>5.2640000000000004E-3</v>
      </c>
      <c r="Q44" s="969">
        <f t="shared" si="42"/>
        <v>6.4484E-2</v>
      </c>
      <c r="R44" s="247">
        <f t="shared" si="43"/>
        <v>4</v>
      </c>
      <c r="S44" s="24">
        <f t="shared" si="44"/>
        <v>12933</v>
      </c>
      <c r="T44" s="970">
        <f t="shared" si="45"/>
        <v>5.1732E-2</v>
      </c>
      <c r="U44" s="971">
        <f t="shared" si="46"/>
        <v>0.65958300000000003</v>
      </c>
    </row>
    <row r="45" spans="1:21" x14ac:dyDescent="0.2">
      <c r="A45" s="33">
        <f t="shared" si="19"/>
        <v>2032</v>
      </c>
      <c r="B45" s="787">
        <f t="shared" si="26"/>
        <v>4</v>
      </c>
      <c r="C45" s="565">
        <f t="shared" si="31"/>
        <v>57</v>
      </c>
      <c r="D45" s="965">
        <f t="shared" si="23"/>
        <v>0.80200000000000005</v>
      </c>
      <c r="E45" s="966">
        <f t="shared" si="24"/>
        <v>1.3160000000000001</v>
      </c>
      <c r="F45" s="790">
        <f t="shared" si="25"/>
        <v>12933</v>
      </c>
      <c r="G45" s="473">
        <f t="shared" si="32"/>
        <v>3.2080000000000003E-3</v>
      </c>
      <c r="H45" s="474">
        <f t="shared" si="33"/>
        <v>5.2640000000000004E-3</v>
      </c>
      <c r="I45" s="474">
        <f t="shared" si="34"/>
        <v>5.1732E-2</v>
      </c>
      <c r="J45" s="61">
        <f t="shared" si="35"/>
        <v>4</v>
      </c>
      <c r="K45" s="967">
        <f t="shared" si="36"/>
        <v>0.80200000000000005</v>
      </c>
      <c r="L45" s="967">
        <f t="shared" si="37"/>
        <v>3.2080000000000003E-3</v>
      </c>
      <c r="M45" s="967">
        <f t="shared" si="38"/>
        <v>4.411000000000001E-2</v>
      </c>
      <c r="N45" s="54">
        <f t="shared" si="39"/>
        <v>4</v>
      </c>
      <c r="O45" s="968">
        <f t="shared" si="40"/>
        <v>1.3160000000000001</v>
      </c>
      <c r="P45" s="968">
        <f t="shared" si="41"/>
        <v>5.2640000000000004E-3</v>
      </c>
      <c r="Q45" s="969">
        <f t="shared" si="42"/>
        <v>6.9748000000000004E-2</v>
      </c>
      <c r="R45" s="247">
        <f t="shared" si="43"/>
        <v>4</v>
      </c>
      <c r="S45" s="24">
        <f t="shared" si="44"/>
        <v>12933</v>
      </c>
      <c r="T45" s="970">
        <f t="shared" si="45"/>
        <v>5.1732E-2</v>
      </c>
      <c r="U45" s="971">
        <f t="shared" si="46"/>
        <v>0.71131500000000003</v>
      </c>
    </row>
    <row r="46" spans="1:21" x14ac:dyDescent="0.2">
      <c r="A46" s="33">
        <f t="shared" si="19"/>
        <v>2033</v>
      </c>
      <c r="B46" s="787">
        <f t="shared" si="26"/>
        <v>4</v>
      </c>
      <c r="C46" s="565">
        <f t="shared" si="31"/>
        <v>61</v>
      </c>
      <c r="D46" s="965">
        <f t="shared" si="23"/>
        <v>0.80200000000000005</v>
      </c>
      <c r="E46" s="966">
        <f t="shared" si="24"/>
        <v>1.3160000000000001</v>
      </c>
      <c r="F46" s="790">
        <f t="shared" si="25"/>
        <v>12933</v>
      </c>
      <c r="G46" s="473">
        <f t="shared" si="32"/>
        <v>3.2080000000000003E-3</v>
      </c>
      <c r="H46" s="474">
        <f t="shared" si="33"/>
        <v>5.2640000000000004E-3</v>
      </c>
      <c r="I46" s="474">
        <f t="shared" si="34"/>
        <v>5.1732E-2</v>
      </c>
      <c r="J46" s="61">
        <f t="shared" si="35"/>
        <v>4</v>
      </c>
      <c r="K46" s="967">
        <f t="shared" si="36"/>
        <v>0.80200000000000005</v>
      </c>
      <c r="L46" s="967">
        <f t="shared" si="37"/>
        <v>3.2080000000000003E-3</v>
      </c>
      <c r="M46" s="967">
        <f t="shared" si="38"/>
        <v>4.7318000000000013E-2</v>
      </c>
      <c r="N46" s="54">
        <f t="shared" si="39"/>
        <v>4</v>
      </c>
      <c r="O46" s="968">
        <f t="shared" si="40"/>
        <v>1.3160000000000001</v>
      </c>
      <c r="P46" s="968">
        <f t="shared" si="41"/>
        <v>5.2640000000000004E-3</v>
      </c>
      <c r="Q46" s="969">
        <f t="shared" si="42"/>
        <v>7.5012000000000009E-2</v>
      </c>
      <c r="R46" s="247">
        <f t="shared" si="43"/>
        <v>4</v>
      </c>
      <c r="S46" s="24">
        <f t="shared" si="44"/>
        <v>12933</v>
      </c>
      <c r="T46" s="970">
        <f t="shared" si="45"/>
        <v>5.1732E-2</v>
      </c>
      <c r="U46" s="971">
        <f t="shared" si="46"/>
        <v>0.76304700000000003</v>
      </c>
    </row>
    <row r="47" spans="1:21" x14ac:dyDescent="0.2">
      <c r="A47" s="33">
        <f t="shared" si="19"/>
        <v>2034</v>
      </c>
      <c r="B47" s="787">
        <f t="shared" si="26"/>
        <v>4</v>
      </c>
      <c r="C47" s="565">
        <f t="shared" si="31"/>
        <v>65</v>
      </c>
      <c r="D47" s="965">
        <f t="shared" si="23"/>
        <v>0.80200000000000005</v>
      </c>
      <c r="E47" s="966">
        <f t="shared" si="24"/>
        <v>1.3160000000000001</v>
      </c>
      <c r="F47" s="790">
        <f t="shared" si="25"/>
        <v>12933</v>
      </c>
      <c r="G47" s="473">
        <f t="shared" si="32"/>
        <v>3.2080000000000003E-3</v>
      </c>
      <c r="H47" s="474">
        <f t="shared" si="33"/>
        <v>5.2640000000000004E-3</v>
      </c>
      <c r="I47" s="474">
        <f t="shared" si="34"/>
        <v>5.1732E-2</v>
      </c>
      <c r="J47" s="61">
        <f t="shared" si="35"/>
        <v>4</v>
      </c>
      <c r="K47" s="967">
        <f t="shared" si="36"/>
        <v>0.80200000000000005</v>
      </c>
      <c r="L47" s="967">
        <f t="shared" si="37"/>
        <v>3.2080000000000003E-3</v>
      </c>
      <c r="M47" s="967">
        <f t="shared" si="38"/>
        <v>5.0526000000000015E-2</v>
      </c>
      <c r="N47" s="54">
        <f t="shared" si="39"/>
        <v>4</v>
      </c>
      <c r="O47" s="968">
        <f t="shared" si="40"/>
        <v>1.3160000000000001</v>
      </c>
      <c r="P47" s="968">
        <f t="shared" si="41"/>
        <v>5.2640000000000004E-3</v>
      </c>
      <c r="Q47" s="969">
        <f t="shared" si="42"/>
        <v>8.0276000000000014E-2</v>
      </c>
      <c r="R47" s="247">
        <f t="shared" si="43"/>
        <v>4</v>
      </c>
      <c r="S47" s="24">
        <f t="shared" si="44"/>
        <v>12933</v>
      </c>
      <c r="T47" s="970">
        <f t="shared" si="45"/>
        <v>5.1732E-2</v>
      </c>
      <c r="U47" s="971">
        <f t="shared" si="46"/>
        <v>0.81477900000000003</v>
      </c>
    </row>
    <row r="48" spans="1:21" x14ac:dyDescent="0.2">
      <c r="A48" s="33">
        <f t="shared" si="19"/>
        <v>2035</v>
      </c>
      <c r="B48" s="787">
        <f>B47</f>
        <v>4</v>
      </c>
      <c r="C48" s="565">
        <f t="shared" ref="C48:C54" si="47">+C47+B48</f>
        <v>69</v>
      </c>
      <c r="D48" s="965">
        <f t="shared" si="23"/>
        <v>0.80200000000000005</v>
      </c>
      <c r="E48" s="966">
        <f t="shared" si="24"/>
        <v>1.3160000000000001</v>
      </c>
      <c r="F48" s="790">
        <f t="shared" si="25"/>
        <v>12933</v>
      </c>
      <c r="G48" s="473">
        <f t="shared" ref="G48:G54" si="48">+$B48*D48/1000</f>
        <v>3.2080000000000003E-3</v>
      </c>
      <c r="H48" s="474">
        <f t="shared" ref="H48:H54" si="49">+$B48*E48/1000</f>
        <v>5.2640000000000004E-3</v>
      </c>
      <c r="I48" s="474">
        <f t="shared" ref="I48:I54" si="50">+$B48*F48/1000000</f>
        <v>5.1732E-2</v>
      </c>
      <c r="J48" s="61">
        <f t="shared" ref="J48:J54" si="51">+(B48+B47)/2</f>
        <v>4</v>
      </c>
      <c r="K48" s="967">
        <f t="shared" ref="K48:K54" si="52">+D48</f>
        <v>0.80200000000000005</v>
      </c>
      <c r="L48" s="967">
        <f t="shared" ref="L48:L54" si="53">+J48*K48/1000</f>
        <v>3.2080000000000003E-3</v>
      </c>
      <c r="M48" s="967">
        <f t="shared" ref="M48:M54" si="54">+M47+L48</f>
        <v>5.3734000000000018E-2</v>
      </c>
      <c r="N48" s="54">
        <f t="shared" ref="N48:N54" si="55">+B47</f>
        <v>4</v>
      </c>
      <c r="O48" s="968">
        <f t="shared" ref="O48:O54" si="56">+E48</f>
        <v>1.3160000000000001</v>
      </c>
      <c r="P48" s="968">
        <f t="shared" ref="P48:P54" si="57">+N48*O48/1000</f>
        <v>5.2640000000000004E-3</v>
      </c>
      <c r="Q48" s="969">
        <f t="shared" ref="Q48:Q54" si="58">+Q47+P48</f>
        <v>8.5540000000000019E-2</v>
      </c>
      <c r="R48" s="247">
        <f t="shared" ref="R48:R54" si="59">+(B48+B47)/2</f>
        <v>4</v>
      </c>
      <c r="S48" s="24">
        <f t="shared" ref="S48:S54" si="60">+F48</f>
        <v>12933</v>
      </c>
      <c r="T48" s="970">
        <f t="shared" ref="T48:T54" si="61">+R48*S48/1000000</f>
        <v>5.1732E-2</v>
      </c>
      <c r="U48" s="971">
        <f t="shared" ref="U48:U54" si="62">+U47+T48</f>
        <v>0.86651100000000003</v>
      </c>
    </row>
    <row r="49" spans="1:21" x14ac:dyDescent="0.2">
      <c r="A49" s="33">
        <f t="shared" si="19"/>
        <v>2036</v>
      </c>
      <c r="B49" s="787">
        <f t="shared" ref="B49:B54" si="63">B48</f>
        <v>4</v>
      </c>
      <c r="C49" s="565">
        <f t="shared" si="47"/>
        <v>73</v>
      </c>
      <c r="D49" s="965">
        <f t="shared" si="23"/>
        <v>0.80200000000000005</v>
      </c>
      <c r="E49" s="966">
        <f t="shared" si="24"/>
        <v>1.3160000000000001</v>
      </c>
      <c r="F49" s="790">
        <f t="shared" si="25"/>
        <v>12933</v>
      </c>
      <c r="G49" s="473">
        <f t="shared" si="48"/>
        <v>3.2080000000000003E-3</v>
      </c>
      <c r="H49" s="474">
        <f t="shared" si="49"/>
        <v>5.2640000000000004E-3</v>
      </c>
      <c r="I49" s="474">
        <f t="shared" si="50"/>
        <v>5.1732E-2</v>
      </c>
      <c r="J49" s="61">
        <f t="shared" si="51"/>
        <v>4</v>
      </c>
      <c r="K49" s="967">
        <f t="shared" si="52"/>
        <v>0.80200000000000005</v>
      </c>
      <c r="L49" s="967">
        <f t="shared" si="53"/>
        <v>3.2080000000000003E-3</v>
      </c>
      <c r="M49" s="967">
        <f t="shared" si="54"/>
        <v>5.694200000000002E-2</v>
      </c>
      <c r="N49" s="54">
        <f t="shared" si="55"/>
        <v>4</v>
      </c>
      <c r="O49" s="968">
        <f t="shared" si="56"/>
        <v>1.3160000000000001</v>
      </c>
      <c r="P49" s="968">
        <f t="shared" si="57"/>
        <v>5.2640000000000004E-3</v>
      </c>
      <c r="Q49" s="969">
        <f t="shared" si="58"/>
        <v>9.0804000000000024E-2</v>
      </c>
      <c r="R49" s="247">
        <f t="shared" si="59"/>
        <v>4</v>
      </c>
      <c r="S49" s="24">
        <f t="shared" si="60"/>
        <v>12933</v>
      </c>
      <c r="T49" s="970">
        <f t="shared" si="61"/>
        <v>5.1732E-2</v>
      </c>
      <c r="U49" s="971">
        <f t="shared" si="62"/>
        <v>0.91824300000000003</v>
      </c>
    </row>
    <row r="50" spans="1:21" x14ac:dyDescent="0.2">
      <c r="A50" s="33">
        <f t="shared" si="19"/>
        <v>2037</v>
      </c>
      <c r="B50" s="787">
        <f t="shared" si="63"/>
        <v>4</v>
      </c>
      <c r="C50" s="565">
        <f t="shared" si="47"/>
        <v>77</v>
      </c>
      <c r="D50" s="965">
        <f t="shared" si="23"/>
        <v>0.80200000000000005</v>
      </c>
      <c r="E50" s="966">
        <f t="shared" si="24"/>
        <v>1.3160000000000001</v>
      </c>
      <c r="F50" s="790">
        <f t="shared" si="25"/>
        <v>12933</v>
      </c>
      <c r="G50" s="473">
        <f t="shared" si="48"/>
        <v>3.2080000000000003E-3</v>
      </c>
      <c r="H50" s="474">
        <f t="shared" si="49"/>
        <v>5.2640000000000004E-3</v>
      </c>
      <c r="I50" s="474">
        <f t="shared" si="50"/>
        <v>5.1732E-2</v>
      </c>
      <c r="J50" s="61">
        <f t="shared" si="51"/>
        <v>4</v>
      </c>
      <c r="K50" s="967">
        <f t="shared" si="52"/>
        <v>0.80200000000000005</v>
      </c>
      <c r="L50" s="967">
        <f t="shared" si="53"/>
        <v>3.2080000000000003E-3</v>
      </c>
      <c r="M50" s="967">
        <f t="shared" si="54"/>
        <v>6.0150000000000023E-2</v>
      </c>
      <c r="N50" s="54">
        <f t="shared" si="55"/>
        <v>4</v>
      </c>
      <c r="O50" s="968">
        <f t="shared" si="56"/>
        <v>1.3160000000000001</v>
      </c>
      <c r="P50" s="968">
        <f t="shared" si="57"/>
        <v>5.2640000000000004E-3</v>
      </c>
      <c r="Q50" s="969">
        <f t="shared" si="58"/>
        <v>9.6068000000000028E-2</v>
      </c>
      <c r="R50" s="247">
        <f t="shared" si="59"/>
        <v>4</v>
      </c>
      <c r="S50" s="24">
        <f t="shared" si="60"/>
        <v>12933</v>
      </c>
      <c r="T50" s="970">
        <f t="shared" si="61"/>
        <v>5.1732E-2</v>
      </c>
      <c r="U50" s="971">
        <f t="shared" si="62"/>
        <v>0.96997500000000003</v>
      </c>
    </row>
    <row r="51" spans="1:21" x14ac:dyDescent="0.2">
      <c r="A51" s="33">
        <f t="shared" si="19"/>
        <v>2038</v>
      </c>
      <c r="B51" s="787">
        <f t="shared" si="63"/>
        <v>4</v>
      </c>
      <c r="C51" s="565">
        <f t="shared" si="47"/>
        <v>81</v>
      </c>
      <c r="D51" s="965">
        <f t="shared" si="23"/>
        <v>0.80200000000000005</v>
      </c>
      <c r="E51" s="966">
        <f t="shared" si="24"/>
        <v>1.3160000000000001</v>
      </c>
      <c r="F51" s="790">
        <f t="shared" si="25"/>
        <v>12933</v>
      </c>
      <c r="G51" s="473">
        <f t="shared" si="48"/>
        <v>3.2080000000000003E-3</v>
      </c>
      <c r="H51" s="474">
        <f t="shared" si="49"/>
        <v>5.2640000000000004E-3</v>
      </c>
      <c r="I51" s="474">
        <f t="shared" si="50"/>
        <v>5.1732E-2</v>
      </c>
      <c r="J51" s="61">
        <f t="shared" si="51"/>
        <v>4</v>
      </c>
      <c r="K51" s="967">
        <f t="shared" si="52"/>
        <v>0.80200000000000005</v>
      </c>
      <c r="L51" s="967">
        <f t="shared" si="53"/>
        <v>3.2080000000000003E-3</v>
      </c>
      <c r="M51" s="967">
        <f t="shared" si="54"/>
        <v>6.3358000000000025E-2</v>
      </c>
      <c r="N51" s="54">
        <f t="shared" si="55"/>
        <v>4</v>
      </c>
      <c r="O51" s="968">
        <f t="shared" si="56"/>
        <v>1.3160000000000001</v>
      </c>
      <c r="P51" s="968">
        <f t="shared" si="57"/>
        <v>5.2640000000000004E-3</v>
      </c>
      <c r="Q51" s="969">
        <f t="shared" si="58"/>
        <v>0.10133200000000003</v>
      </c>
      <c r="R51" s="247">
        <f t="shared" si="59"/>
        <v>4</v>
      </c>
      <c r="S51" s="24">
        <f t="shared" si="60"/>
        <v>12933</v>
      </c>
      <c r="T51" s="970">
        <f t="shared" si="61"/>
        <v>5.1732E-2</v>
      </c>
      <c r="U51" s="971">
        <f t="shared" si="62"/>
        <v>1.0217070000000001</v>
      </c>
    </row>
    <row r="52" spans="1:21" x14ac:dyDescent="0.2">
      <c r="A52" s="33">
        <f t="shared" si="19"/>
        <v>2039</v>
      </c>
      <c r="B52" s="787">
        <f t="shared" si="63"/>
        <v>4</v>
      </c>
      <c r="C52" s="565">
        <f t="shared" si="47"/>
        <v>85</v>
      </c>
      <c r="D52" s="965">
        <f t="shared" si="23"/>
        <v>0.80200000000000005</v>
      </c>
      <c r="E52" s="966">
        <f t="shared" si="24"/>
        <v>1.3160000000000001</v>
      </c>
      <c r="F52" s="790">
        <f t="shared" si="25"/>
        <v>12933</v>
      </c>
      <c r="G52" s="473">
        <f t="shared" si="48"/>
        <v>3.2080000000000003E-3</v>
      </c>
      <c r="H52" s="474">
        <f t="shared" si="49"/>
        <v>5.2640000000000004E-3</v>
      </c>
      <c r="I52" s="474">
        <f t="shared" si="50"/>
        <v>5.1732E-2</v>
      </c>
      <c r="J52" s="61">
        <f t="shared" si="51"/>
        <v>4</v>
      </c>
      <c r="K52" s="967">
        <f t="shared" si="52"/>
        <v>0.80200000000000005</v>
      </c>
      <c r="L52" s="967">
        <f t="shared" si="53"/>
        <v>3.2080000000000003E-3</v>
      </c>
      <c r="M52" s="967">
        <f t="shared" si="54"/>
        <v>6.6566000000000028E-2</v>
      </c>
      <c r="N52" s="54">
        <f t="shared" si="55"/>
        <v>4</v>
      </c>
      <c r="O52" s="968">
        <f t="shared" si="56"/>
        <v>1.3160000000000001</v>
      </c>
      <c r="P52" s="968">
        <f t="shared" si="57"/>
        <v>5.2640000000000004E-3</v>
      </c>
      <c r="Q52" s="969">
        <f t="shared" si="58"/>
        <v>0.10659600000000004</v>
      </c>
      <c r="R52" s="247">
        <f t="shared" si="59"/>
        <v>4</v>
      </c>
      <c r="S52" s="24">
        <f t="shared" si="60"/>
        <v>12933</v>
      </c>
      <c r="T52" s="970">
        <f t="shared" si="61"/>
        <v>5.1732E-2</v>
      </c>
      <c r="U52" s="971">
        <f t="shared" si="62"/>
        <v>1.073439</v>
      </c>
    </row>
    <row r="53" spans="1:21" x14ac:dyDescent="0.2">
      <c r="A53" s="33">
        <f t="shared" si="19"/>
        <v>2040</v>
      </c>
      <c r="B53" s="787">
        <f t="shared" si="63"/>
        <v>4</v>
      </c>
      <c r="C53" s="565">
        <f t="shared" si="47"/>
        <v>89</v>
      </c>
      <c r="D53" s="965">
        <f t="shared" si="23"/>
        <v>0.80200000000000005</v>
      </c>
      <c r="E53" s="966">
        <f t="shared" si="24"/>
        <v>1.3160000000000001</v>
      </c>
      <c r="F53" s="790">
        <f t="shared" si="25"/>
        <v>12933</v>
      </c>
      <c r="G53" s="473">
        <f t="shared" si="48"/>
        <v>3.2080000000000003E-3</v>
      </c>
      <c r="H53" s="474">
        <f t="shared" si="49"/>
        <v>5.2640000000000004E-3</v>
      </c>
      <c r="I53" s="474">
        <f t="shared" si="50"/>
        <v>5.1732E-2</v>
      </c>
      <c r="J53" s="61">
        <f t="shared" si="51"/>
        <v>4</v>
      </c>
      <c r="K53" s="967">
        <f t="shared" si="52"/>
        <v>0.80200000000000005</v>
      </c>
      <c r="L53" s="967">
        <f t="shared" si="53"/>
        <v>3.2080000000000003E-3</v>
      </c>
      <c r="M53" s="967">
        <f t="shared" si="54"/>
        <v>6.977400000000003E-2</v>
      </c>
      <c r="N53" s="54">
        <f t="shared" si="55"/>
        <v>4</v>
      </c>
      <c r="O53" s="968">
        <f t="shared" si="56"/>
        <v>1.3160000000000001</v>
      </c>
      <c r="P53" s="968">
        <f t="shared" si="57"/>
        <v>5.2640000000000004E-3</v>
      </c>
      <c r="Q53" s="969">
        <f t="shared" si="58"/>
        <v>0.11186000000000004</v>
      </c>
      <c r="R53" s="247">
        <f t="shared" si="59"/>
        <v>4</v>
      </c>
      <c r="S53" s="24">
        <f t="shared" si="60"/>
        <v>12933</v>
      </c>
      <c r="T53" s="970">
        <f t="shared" si="61"/>
        <v>5.1732E-2</v>
      </c>
      <c r="U53" s="971">
        <f t="shared" si="62"/>
        <v>1.1251709999999999</v>
      </c>
    </row>
    <row r="54" spans="1:21" x14ac:dyDescent="0.2">
      <c r="A54" s="33">
        <f t="shared" si="19"/>
        <v>2041</v>
      </c>
      <c r="B54" s="787">
        <f t="shared" si="63"/>
        <v>4</v>
      </c>
      <c r="C54" s="565">
        <f t="shared" si="47"/>
        <v>93</v>
      </c>
      <c r="D54" s="965">
        <f t="shared" si="23"/>
        <v>0.80200000000000005</v>
      </c>
      <c r="E54" s="966">
        <f t="shared" si="24"/>
        <v>1.3160000000000001</v>
      </c>
      <c r="F54" s="790">
        <f t="shared" si="25"/>
        <v>12933</v>
      </c>
      <c r="G54" s="473">
        <f t="shared" si="48"/>
        <v>3.2080000000000003E-3</v>
      </c>
      <c r="H54" s="474">
        <f t="shared" si="49"/>
        <v>5.2640000000000004E-3</v>
      </c>
      <c r="I54" s="474">
        <f t="shared" si="50"/>
        <v>5.1732E-2</v>
      </c>
      <c r="J54" s="61">
        <f t="shared" si="51"/>
        <v>4</v>
      </c>
      <c r="K54" s="967">
        <f t="shared" si="52"/>
        <v>0.80200000000000005</v>
      </c>
      <c r="L54" s="967">
        <f t="shared" si="53"/>
        <v>3.2080000000000003E-3</v>
      </c>
      <c r="M54" s="967">
        <f t="shared" si="54"/>
        <v>7.2982000000000033E-2</v>
      </c>
      <c r="N54" s="54">
        <f t="shared" si="55"/>
        <v>4</v>
      </c>
      <c r="O54" s="968">
        <f t="shared" si="56"/>
        <v>1.3160000000000001</v>
      </c>
      <c r="P54" s="968">
        <f t="shared" si="57"/>
        <v>5.2640000000000004E-3</v>
      </c>
      <c r="Q54" s="969">
        <f t="shared" si="58"/>
        <v>0.11712400000000005</v>
      </c>
      <c r="R54" s="247">
        <f t="shared" si="59"/>
        <v>4</v>
      </c>
      <c r="S54" s="24">
        <f t="shared" si="60"/>
        <v>12933</v>
      </c>
      <c r="T54" s="970">
        <f t="shared" si="61"/>
        <v>5.1732E-2</v>
      </c>
      <c r="U54" s="971">
        <f t="shared" si="62"/>
        <v>1.1769029999999998</v>
      </c>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R4:U4"/>
    <mergeCell ref="G3:I3"/>
    <mergeCell ref="B4:I4"/>
    <mergeCell ref="J4:M4"/>
    <mergeCell ref="N4:Q4"/>
  </mergeCells>
  <phoneticPr fontId="7" type="noConversion"/>
  <pageMargins left="0.75" right="0.75" top="1" bottom="1" header="0.5" footer="0.5"/>
  <pageSetup scale="43"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1CBE06"/>
  </sheetPr>
  <dimension ref="A1:X59"/>
  <sheetViews>
    <sheetView topLeftCell="A11" workbookViewId="0">
      <selection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391</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42"/>
      <c r="E8" s="63"/>
      <c r="F8" s="641"/>
      <c r="G8" s="643"/>
      <c r="H8" s="87"/>
      <c r="I8" s="88"/>
      <c r="J8" s="61"/>
      <c r="K8" s="59"/>
      <c r="L8" s="59"/>
      <c r="M8" s="60"/>
      <c r="N8" s="51"/>
      <c r="O8" s="55"/>
      <c r="P8" s="55"/>
      <c r="Q8" s="56"/>
      <c r="R8" s="247"/>
      <c r="S8" s="24"/>
      <c r="T8" s="25"/>
      <c r="U8" s="53"/>
      <c r="V8" s="248"/>
      <c r="X8" s="1"/>
    </row>
    <row r="9" spans="1:24" x14ac:dyDescent="0.2">
      <c r="A9" s="33">
        <v>1996</v>
      </c>
      <c r="B9" s="30"/>
      <c r="C9" s="660"/>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660"/>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660"/>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660"/>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660"/>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660"/>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660"/>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660"/>
      <c r="D16" s="642"/>
      <c r="E16" s="63"/>
      <c r="F16" s="641"/>
      <c r="G16" s="616"/>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660"/>
      <c r="D17" s="642"/>
      <c r="E17" s="63"/>
      <c r="F17" s="641"/>
      <c r="G17" s="616"/>
      <c r="H17" s="62"/>
      <c r="I17" s="67"/>
      <c r="J17" s="61"/>
      <c r="K17" s="59"/>
      <c r="L17" s="59"/>
      <c r="M17" s="60"/>
      <c r="N17" s="54"/>
      <c r="O17" s="55"/>
      <c r="P17" s="55"/>
      <c r="Q17" s="56"/>
      <c r="R17" s="247"/>
      <c r="S17" s="24"/>
      <c r="T17" s="25"/>
      <c r="U17" s="53"/>
      <c r="V17" s="248"/>
      <c r="X17" s="1"/>
    </row>
    <row r="18" spans="1:24" x14ac:dyDescent="0.2">
      <c r="A18" s="33">
        <f t="shared" si="0"/>
        <v>2005</v>
      </c>
      <c r="B18" s="30"/>
      <c r="C18" s="660"/>
      <c r="D18" s="642"/>
      <c r="E18" s="63"/>
      <c r="F18" s="641"/>
      <c r="G18" s="616"/>
      <c r="H18" s="62"/>
      <c r="I18" s="67"/>
      <c r="J18" s="61"/>
      <c r="K18" s="59"/>
      <c r="L18" s="59"/>
      <c r="M18" s="60"/>
      <c r="N18" s="54"/>
      <c r="O18" s="55"/>
      <c r="P18" s="55"/>
      <c r="Q18" s="56"/>
      <c r="R18" s="247"/>
      <c r="S18" s="24"/>
      <c r="T18" s="25"/>
      <c r="U18" s="53"/>
      <c r="V18" s="248"/>
      <c r="X18" s="1"/>
    </row>
    <row r="19" spans="1:24" x14ac:dyDescent="0.2">
      <c r="A19" s="33">
        <f t="shared" si="0"/>
        <v>2006</v>
      </c>
      <c r="B19" s="30"/>
      <c r="C19" s="660"/>
      <c r="D19" s="642"/>
      <c r="E19" s="63"/>
      <c r="F19" s="641"/>
      <c r="G19" s="616"/>
      <c r="H19" s="62"/>
      <c r="I19" s="67"/>
      <c r="J19" s="61"/>
      <c r="K19" s="59"/>
      <c r="L19" s="59"/>
      <c r="M19" s="60"/>
      <c r="N19" s="54"/>
      <c r="O19" s="55"/>
      <c r="P19" s="55"/>
      <c r="Q19" s="56"/>
      <c r="R19" s="247"/>
      <c r="S19" s="24"/>
      <c r="T19" s="25"/>
      <c r="U19" s="53"/>
      <c r="V19" s="804"/>
      <c r="X19" s="1"/>
    </row>
    <row r="20" spans="1:24" x14ac:dyDescent="0.2">
      <c r="A20" s="33">
        <f t="shared" si="0"/>
        <v>2007</v>
      </c>
      <c r="B20" s="30"/>
      <c r="C20" s="660"/>
      <c r="D20" s="642"/>
      <c r="E20" s="63"/>
      <c r="F20" s="641"/>
      <c r="G20" s="616"/>
      <c r="H20" s="62"/>
      <c r="I20" s="62"/>
      <c r="J20" s="61"/>
      <c r="K20" s="59"/>
      <c r="L20" s="59"/>
      <c r="M20" s="60"/>
      <c r="N20" s="54"/>
      <c r="O20" s="55"/>
      <c r="P20" s="55"/>
      <c r="Q20" s="56"/>
      <c r="R20" s="247"/>
      <c r="S20" s="24"/>
      <c r="T20" s="25"/>
      <c r="U20" s="53"/>
    </row>
    <row r="21" spans="1:24" x14ac:dyDescent="0.2">
      <c r="A21" s="33">
        <f t="shared" si="0"/>
        <v>2008</v>
      </c>
      <c r="B21" s="30"/>
      <c r="C21" s="660"/>
      <c r="D21" s="642"/>
      <c r="E21" s="63"/>
      <c r="F21" s="641"/>
      <c r="G21" s="616"/>
      <c r="H21" s="62"/>
      <c r="I21" s="67"/>
      <c r="J21" s="61"/>
      <c r="K21" s="59"/>
      <c r="L21" s="59"/>
      <c r="M21" s="60"/>
      <c r="N21" s="54"/>
      <c r="O21" s="55"/>
      <c r="P21" s="55"/>
      <c r="Q21" s="56"/>
      <c r="R21" s="247"/>
      <c r="S21" s="24"/>
      <c r="T21" s="25"/>
      <c r="U21" s="53"/>
    </row>
    <row r="22" spans="1:24" x14ac:dyDescent="0.2">
      <c r="A22" s="33">
        <f t="shared" si="0"/>
        <v>2009</v>
      </c>
      <c r="B22" s="30"/>
      <c r="C22" s="660"/>
      <c r="D22" s="642">
        <v>0</v>
      </c>
      <c r="E22" s="63">
        <v>0</v>
      </c>
      <c r="F22" s="641">
        <v>0</v>
      </c>
      <c r="G22" s="616"/>
      <c r="H22" s="62"/>
      <c r="I22" s="67"/>
      <c r="J22" s="61"/>
      <c r="K22" s="59"/>
      <c r="L22" s="59"/>
      <c r="M22" s="60"/>
      <c r="N22" s="54"/>
      <c r="O22" s="55"/>
      <c r="P22" s="55"/>
      <c r="Q22" s="56"/>
      <c r="R22" s="247"/>
      <c r="S22" s="24"/>
      <c r="T22" s="25"/>
      <c r="U22" s="53"/>
    </row>
    <row r="23" spans="1:24" x14ac:dyDescent="0.2">
      <c r="A23" s="33">
        <f t="shared" si="0"/>
        <v>2010</v>
      </c>
      <c r="B23" s="30">
        <v>0</v>
      </c>
      <c r="C23" s="661">
        <f t="shared" ref="C23:C39" si="1">+C22+B23</f>
        <v>0</v>
      </c>
      <c r="D23" s="30">
        <f t="shared" ref="D23:F38" si="2">+D22</f>
        <v>0</v>
      </c>
      <c r="E23" s="210">
        <f t="shared" si="2"/>
        <v>0</v>
      </c>
      <c r="F23" s="806">
        <f t="shared" si="2"/>
        <v>0</v>
      </c>
      <c r="G23" s="452">
        <f t="shared" ref="G23:H39" si="3">+$B23*D23/1000</f>
        <v>0</v>
      </c>
      <c r="H23" s="72">
        <f t="shared" si="3"/>
        <v>0</v>
      </c>
      <c r="I23" s="72">
        <f t="shared" ref="I23:I39" si="4">+$B23*F23/1000000</f>
        <v>0</v>
      </c>
      <c r="J23" s="61">
        <f t="shared" ref="J23:J39" si="5">+(B23+B22)/2</f>
        <v>0</v>
      </c>
      <c r="K23" s="651">
        <f t="shared" ref="K23:K39" si="6">+D23</f>
        <v>0</v>
      </c>
      <c r="L23" s="651">
        <f t="shared" ref="L23:L39" si="7">+J23*K23/1000</f>
        <v>0</v>
      </c>
      <c r="M23" s="652">
        <f t="shared" ref="M23:M39" si="8">+M22+L23</f>
        <v>0</v>
      </c>
      <c r="N23" s="54">
        <f t="shared" ref="N23:N39" si="9">+B22</f>
        <v>0</v>
      </c>
      <c r="O23" s="597">
        <f t="shared" ref="O23:O39" si="10">+E23</f>
        <v>0</v>
      </c>
      <c r="P23" s="597">
        <f t="shared" ref="P23:P39" si="11">+N23*O23/1000</f>
        <v>0</v>
      </c>
      <c r="Q23" s="653">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0</v>
      </c>
      <c r="C24" s="661">
        <f t="shared" si="1"/>
        <v>0</v>
      </c>
      <c r="D24" s="30">
        <f t="shared" si="2"/>
        <v>0</v>
      </c>
      <c r="E24" s="210">
        <f t="shared" si="2"/>
        <v>0</v>
      </c>
      <c r="F24" s="806">
        <f t="shared" si="2"/>
        <v>0</v>
      </c>
      <c r="G24" s="452">
        <f t="shared" si="3"/>
        <v>0</v>
      </c>
      <c r="H24" s="72">
        <f t="shared" si="3"/>
        <v>0</v>
      </c>
      <c r="I24" s="72">
        <f t="shared" si="4"/>
        <v>0</v>
      </c>
      <c r="J24" s="61">
        <f t="shared" si="5"/>
        <v>0</v>
      </c>
      <c r="K24" s="651">
        <f t="shared" si="6"/>
        <v>0</v>
      </c>
      <c r="L24" s="651">
        <f t="shared" si="7"/>
        <v>0</v>
      </c>
      <c r="M24" s="652">
        <f t="shared" si="8"/>
        <v>0</v>
      </c>
      <c r="N24" s="54">
        <f t="shared" si="9"/>
        <v>0</v>
      </c>
      <c r="O24" s="597">
        <f t="shared" si="10"/>
        <v>0</v>
      </c>
      <c r="P24" s="597">
        <f t="shared" si="11"/>
        <v>0</v>
      </c>
      <c r="Q24" s="653">
        <f t="shared" si="12"/>
        <v>0</v>
      </c>
      <c r="R24" s="247">
        <f t="shared" si="13"/>
        <v>0</v>
      </c>
      <c r="S24" s="24">
        <f t="shared" si="14"/>
        <v>0</v>
      </c>
      <c r="T24" s="25">
        <f t="shared" si="15"/>
        <v>0</v>
      </c>
      <c r="U24" s="654">
        <f t="shared" si="16"/>
        <v>0</v>
      </c>
    </row>
    <row r="25" spans="1:24" x14ac:dyDescent="0.2">
      <c r="A25" s="33">
        <f t="shared" si="0"/>
        <v>2012</v>
      </c>
      <c r="B25" s="30">
        <v>0</v>
      </c>
      <c r="C25" s="661">
        <f t="shared" si="1"/>
        <v>0</v>
      </c>
      <c r="D25" s="30">
        <f t="shared" si="2"/>
        <v>0</v>
      </c>
      <c r="E25" s="210">
        <f t="shared" si="2"/>
        <v>0</v>
      </c>
      <c r="F25" s="806">
        <f t="shared" si="2"/>
        <v>0</v>
      </c>
      <c r="G25" s="452">
        <f t="shared" si="3"/>
        <v>0</v>
      </c>
      <c r="H25" s="72">
        <f t="shared" si="3"/>
        <v>0</v>
      </c>
      <c r="I25" s="72">
        <f t="shared" si="4"/>
        <v>0</v>
      </c>
      <c r="J25" s="61">
        <f t="shared" si="5"/>
        <v>0</v>
      </c>
      <c r="K25" s="651">
        <f t="shared" si="6"/>
        <v>0</v>
      </c>
      <c r="L25" s="651">
        <f t="shared" si="7"/>
        <v>0</v>
      </c>
      <c r="M25" s="652">
        <f t="shared" si="8"/>
        <v>0</v>
      </c>
      <c r="N25" s="54">
        <f t="shared" si="9"/>
        <v>0</v>
      </c>
      <c r="O25" s="597">
        <f t="shared" si="10"/>
        <v>0</v>
      </c>
      <c r="P25" s="597">
        <f t="shared" si="11"/>
        <v>0</v>
      </c>
      <c r="Q25" s="653">
        <f t="shared" si="12"/>
        <v>0</v>
      </c>
      <c r="R25" s="247">
        <f t="shared" si="13"/>
        <v>0</v>
      </c>
      <c r="S25" s="24">
        <f t="shared" si="14"/>
        <v>0</v>
      </c>
      <c r="T25" s="25">
        <f t="shared" si="15"/>
        <v>0</v>
      </c>
      <c r="U25" s="654">
        <f t="shared" si="16"/>
        <v>0</v>
      </c>
    </row>
    <row r="26" spans="1:24" x14ac:dyDescent="0.2">
      <c r="A26" s="33">
        <f t="shared" si="0"/>
        <v>2013</v>
      </c>
      <c r="B26" s="30">
        <v>0</v>
      </c>
      <c r="C26" s="619">
        <f t="shared" si="1"/>
        <v>0</v>
      </c>
      <c r="D26" s="807">
        <f t="shared" si="2"/>
        <v>0</v>
      </c>
      <c r="E26" s="210">
        <f t="shared" si="2"/>
        <v>0</v>
      </c>
      <c r="F26" s="806">
        <f t="shared" si="2"/>
        <v>0</v>
      </c>
      <c r="G26" s="452">
        <f t="shared" si="3"/>
        <v>0</v>
      </c>
      <c r="H26" s="72">
        <f t="shared" si="3"/>
        <v>0</v>
      </c>
      <c r="I26" s="72">
        <f t="shared" si="4"/>
        <v>0</v>
      </c>
      <c r="J26" s="61">
        <f t="shared" si="5"/>
        <v>0</v>
      </c>
      <c r="K26" s="651">
        <f t="shared" si="6"/>
        <v>0</v>
      </c>
      <c r="L26" s="651">
        <f t="shared" si="7"/>
        <v>0</v>
      </c>
      <c r="M26" s="652">
        <f t="shared" si="8"/>
        <v>0</v>
      </c>
      <c r="N26" s="54">
        <f t="shared" si="9"/>
        <v>0</v>
      </c>
      <c r="O26" s="597">
        <f t="shared" si="10"/>
        <v>0</v>
      </c>
      <c r="P26" s="597">
        <f t="shared" si="11"/>
        <v>0</v>
      </c>
      <c r="Q26" s="653">
        <f t="shared" si="12"/>
        <v>0</v>
      </c>
      <c r="R26" s="247">
        <f t="shared" si="13"/>
        <v>0</v>
      </c>
      <c r="S26" s="24">
        <f t="shared" si="14"/>
        <v>0</v>
      </c>
      <c r="T26" s="25">
        <f t="shared" si="15"/>
        <v>0</v>
      </c>
      <c r="U26" s="654">
        <f t="shared" si="16"/>
        <v>0</v>
      </c>
    </row>
    <row r="27" spans="1:24" x14ac:dyDescent="0.2">
      <c r="A27" s="33">
        <f t="shared" si="0"/>
        <v>2014</v>
      </c>
      <c r="B27" s="30">
        <v>0</v>
      </c>
      <c r="C27" s="619">
        <f t="shared" si="1"/>
        <v>0</v>
      </c>
      <c r="D27" s="807">
        <f t="shared" si="2"/>
        <v>0</v>
      </c>
      <c r="E27" s="210">
        <f t="shared" si="2"/>
        <v>0</v>
      </c>
      <c r="F27" s="806">
        <f t="shared" si="2"/>
        <v>0</v>
      </c>
      <c r="G27" s="452">
        <f t="shared" si="3"/>
        <v>0</v>
      </c>
      <c r="H27" s="72">
        <f t="shared" si="3"/>
        <v>0</v>
      </c>
      <c r="I27" s="72">
        <f t="shared" si="4"/>
        <v>0</v>
      </c>
      <c r="J27" s="61">
        <f t="shared" si="5"/>
        <v>0</v>
      </c>
      <c r="K27" s="651">
        <f t="shared" si="6"/>
        <v>0</v>
      </c>
      <c r="L27" s="651">
        <f t="shared" si="7"/>
        <v>0</v>
      </c>
      <c r="M27" s="652">
        <f t="shared" si="8"/>
        <v>0</v>
      </c>
      <c r="N27" s="54">
        <f t="shared" si="9"/>
        <v>0</v>
      </c>
      <c r="O27" s="597">
        <f t="shared" si="10"/>
        <v>0</v>
      </c>
      <c r="P27" s="597">
        <f t="shared" si="11"/>
        <v>0</v>
      </c>
      <c r="Q27" s="653">
        <f t="shared" si="12"/>
        <v>0</v>
      </c>
      <c r="R27" s="247">
        <f t="shared" si="13"/>
        <v>0</v>
      </c>
      <c r="S27" s="24">
        <f t="shared" si="14"/>
        <v>0</v>
      </c>
      <c r="T27" s="25">
        <f t="shared" si="15"/>
        <v>0</v>
      </c>
      <c r="U27" s="654">
        <f t="shared" si="16"/>
        <v>0</v>
      </c>
    </row>
    <row r="28" spans="1:24" x14ac:dyDescent="0.2">
      <c r="A28" s="33">
        <f t="shared" si="0"/>
        <v>2015</v>
      </c>
      <c r="B28" s="30">
        <v>0</v>
      </c>
      <c r="C28" s="619">
        <f t="shared" si="1"/>
        <v>0</v>
      </c>
      <c r="D28" s="807"/>
      <c r="E28" s="210">
        <v>0</v>
      </c>
      <c r="F28" s="806"/>
      <c r="G28" s="452">
        <f t="shared" si="3"/>
        <v>0</v>
      </c>
      <c r="H28" s="72">
        <f t="shared" si="3"/>
        <v>0</v>
      </c>
      <c r="I28" s="72">
        <f t="shared" si="4"/>
        <v>0</v>
      </c>
      <c r="J28" s="61">
        <f t="shared" si="5"/>
        <v>0</v>
      </c>
      <c r="K28" s="651">
        <f t="shared" si="6"/>
        <v>0</v>
      </c>
      <c r="L28" s="651">
        <f t="shared" si="7"/>
        <v>0</v>
      </c>
      <c r="M28" s="652">
        <f t="shared" si="8"/>
        <v>0</v>
      </c>
      <c r="N28" s="54">
        <f t="shared" si="9"/>
        <v>0</v>
      </c>
      <c r="O28" s="597">
        <f t="shared" si="10"/>
        <v>0</v>
      </c>
      <c r="P28" s="597">
        <f t="shared" si="11"/>
        <v>0</v>
      </c>
      <c r="Q28" s="653">
        <f t="shared" si="12"/>
        <v>0</v>
      </c>
      <c r="R28" s="247">
        <f t="shared" si="13"/>
        <v>0</v>
      </c>
      <c r="S28" s="24">
        <f t="shared" si="14"/>
        <v>0</v>
      </c>
      <c r="T28" s="25">
        <f t="shared" si="15"/>
        <v>0</v>
      </c>
      <c r="U28" s="654">
        <f t="shared" si="16"/>
        <v>0</v>
      </c>
    </row>
    <row r="29" spans="1:24" ht="13.5" thickBot="1" x14ac:dyDescent="0.25">
      <c r="A29" s="701">
        <f t="shared" si="0"/>
        <v>2016</v>
      </c>
      <c r="B29" s="702">
        <v>0</v>
      </c>
      <c r="C29" s="703">
        <f t="shared" si="1"/>
        <v>0</v>
      </c>
      <c r="D29" s="835">
        <v>185.14</v>
      </c>
      <c r="E29" s="704">
        <v>0</v>
      </c>
      <c r="F29" s="705">
        <v>19244</v>
      </c>
      <c r="G29" s="706">
        <f t="shared" si="3"/>
        <v>0</v>
      </c>
      <c r="H29" s="707">
        <f t="shared" si="3"/>
        <v>0</v>
      </c>
      <c r="I29" s="707">
        <f t="shared" si="4"/>
        <v>0</v>
      </c>
      <c r="J29" s="708">
        <f t="shared" si="5"/>
        <v>0</v>
      </c>
      <c r="K29" s="709">
        <f t="shared" si="6"/>
        <v>185.14</v>
      </c>
      <c r="L29" s="709">
        <f t="shared" si="7"/>
        <v>0</v>
      </c>
      <c r="M29" s="710">
        <f t="shared" si="8"/>
        <v>0</v>
      </c>
      <c r="N29" s="711">
        <f t="shared" si="9"/>
        <v>0</v>
      </c>
      <c r="O29" s="712">
        <f t="shared" si="10"/>
        <v>0</v>
      </c>
      <c r="P29" s="712">
        <f t="shared" si="11"/>
        <v>0</v>
      </c>
      <c r="Q29" s="713">
        <f t="shared" si="12"/>
        <v>0</v>
      </c>
      <c r="R29" s="714">
        <f t="shared" si="13"/>
        <v>0</v>
      </c>
      <c r="S29" s="715">
        <f t="shared" si="14"/>
        <v>19244</v>
      </c>
      <c r="T29" s="716">
        <f t="shared" si="15"/>
        <v>0</v>
      </c>
      <c r="U29" s="717">
        <f t="shared" si="16"/>
        <v>0</v>
      </c>
    </row>
    <row r="30" spans="1:24" x14ac:dyDescent="0.2">
      <c r="A30" s="33">
        <f t="shared" si="0"/>
        <v>2017</v>
      </c>
      <c r="B30" s="787">
        <v>3</v>
      </c>
      <c r="C30" s="565">
        <f t="shared" si="1"/>
        <v>3</v>
      </c>
      <c r="D30" s="965">
        <f t="shared" si="2"/>
        <v>185.14</v>
      </c>
      <c r="E30" s="966">
        <f t="shared" si="2"/>
        <v>0</v>
      </c>
      <c r="F30" s="790">
        <f t="shared" si="2"/>
        <v>19244</v>
      </c>
      <c r="G30" s="473">
        <f t="shared" si="3"/>
        <v>0.55541999999999991</v>
      </c>
      <c r="H30" s="474">
        <f t="shared" si="3"/>
        <v>0</v>
      </c>
      <c r="I30" s="474">
        <f t="shared" si="4"/>
        <v>5.7731999999999999E-2</v>
      </c>
      <c r="J30" s="61">
        <f t="shared" si="5"/>
        <v>1.5</v>
      </c>
      <c r="K30" s="967">
        <f t="shared" si="6"/>
        <v>185.14</v>
      </c>
      <c r="L30" s="967">
        <f t="shared" si="7"/>
        <v>0.27770999999999996</v>
      </c>
      <c r="M30" s="967">
        <f t="shared" si="8"/>
        <v>0.27770999999999996</v>
      </c>
      <c r="N30" s="54">
        <f t="shared" si="9"/>
        <v>0</v>
      </c>
      <c r="O30" s="968">
        <f t="shared" si="10"/>
        <v>0</v>
      </c>
      <c r="P30" s="968">
        <f t="shared" si="11"/>
        <v>0</v>
      </c>
      <c r="Q30" s="969">
        <f t="shared" si="12"/>
        <v>0</v>
      </c>
      <c r="R30" s="247">
        <f t="shared" si="13"/>
        <v>1.5</v>
      </c>
      <c r="S30" s="24">
        <f t="shared" si="14"/>
        <v>19244</v>
      </c>
      <c r="T30" s="970">
        <f t="shared" si="15"/>
        <v>2.8865999999999999E-2</v>
      </c>
      <c r="U30" s="971">
        <f t="shared" si="16"/>
        <v>2.8865999999999999E-2</v>
      </c>
    </row>
    <row r="31" spans="1:24" x14ac:dyDescent="0.2">
      <c r="A31" s="33">
        <f t="shared" si="0"/>
        <v>2018</v>
      </c>
      <c r="B31" s="787">
        <v>5</v>
      </c>
      <c r="C31" s="565">
        <f t="shared" si="1"/>
        <v>8</v>
      </c>
      <c r="D31" s="965">
        <f t="shared" si="2"/>
        <v>185.14</v>
      </c>
      <c r="E31" s="966">
        <f t="shared" si="2"/>
        <v>0</v>
      </c>
      <c r="F31" s="790">
        <f t="shared" si="2"/>
        <v>19244</v>
      </c>
      <c r="G31" s="473">
        <f t="shared" si="3"/>
        <v>0.92569999999999997</v>
      </c>
      <c r="H31" s="474">
        <f t="shared" si="3"/>
        <v>0</v>
      </c>
      <c r="I31" s="474">
        <f t="shared" si="4"/>
        <v>9.622E-2</v>
      </c>
      <c r="J31" s="61">
        <f t="shared" si="5"/>
        <v>4</v>
      </c>
      <c r="K31" s="967">
        <f t="shared" si="6"/>
        <v>185.14</v>
      </c>
      <c r="L31" s="967">
        <f t="shared" si="7"/>
        <v>0.74056</v>
      </c>
      <c r="M31" s="967">
        <f t="shared" si="8"/>
        <v>1.01827</v>
      </c>
      <c r="N31" s="54">
        <f t="shared" si="9"/>
        <v>3</v>
      </c>
      <c r="O31" s="968">
        <f t="shared" si="10"/>
        <v>0</v>
      </c>
      <c r="P31" s="968">
        <f t="shared" si="11"/>
        <v>0</v>
      </c>
      <c r="Q31" s="969">
        <f t="shared" si="12"/>
        <v>0</v>
      </c>
      <c r="R31" s="247">
        <f t="shared" si="13"/>
        <v>4</v>
      </c>
      <c r="S31" s="24">
        <f t="shared" si="14"/>
        <v>19244</v>
      </c>
      <c r="T31" s="970">
        <f t="shared" si="15"/>
        <v>7.6976000000000003E-2</v>
      </c>
      <c r="U31" s="971">
        <f t="shared" si="16"/>
        <v>0.10584200000000001</v>
      </c>
    </row>
    <row r="32" spans="1:24" x14ac:dyDescent="0.2">
      <c r="A32" s="33">
        <f t="shared" si="0"/>
        <v>2019</v>
      </c>
      <c r="B32" s="787">
        <v>5</v>
      </c>
      <c r="C32" s="565">
        <f t="shared" si="1"/>
        <v>13</v>
      </c>
      <c r="D32" s="965">
        <f t="shared" si="2"/>
        <v>185.14</v>
      </c>
      <c r="E32" s="966">
        <f t="shared" si="2"/>
        <v>0</v>
      </c>
      <c r="F32" s="790">
        <f t="shared" si="2"/>
        <v>19244</v>
      </c>
      <c r="G32" s="473">
        <f t="shared" si="3"/>
        <v>0.92569999999999997</v>
      </c>
      <c r="H32" s="474">
        <f t="shared" si="3"/>
        <v>0</v>
      </c>
      <c r="I32" s="474">
        <f t="shared" si="4"/>
        <v>9.622E-2</v>
      </c>
      <c r="J32" s="61">
        <f t="shared" si="5"/>
        <v>5</v>
      </c>
      <c r="K32" s="967">
        <f t="shared" si="6"/>
        <v>185.14</v>
      </c>
      <c r="L32" s="967">
        <f t="shared" si="7"/>
        <v>0.92569999999999997</v>
      </c>
      <c r="M32" s="967">
        <f t="shared" si="8"/>
        <v>1.94397</v>
      </c>
      <c r="N32" s="54">
        <f t="shared" si="9"/>
        <v>5</v>
      </c>
      <c r="O32" s="968">
        <f t="shared" si="10"/>
        <v>0</v>
      </c>
      <c r="P32" s="968">
        <f t="shared" si="11"/>
        <v>0</v>
      </c>
      <c r="Q32" s="969">
        <f t="shared" si="12"/>
        <v>0</v>
      </c>
      <c r="R32" s="247">
        <f t="shared" si="13"/>
        <v>5</v>
      </c>
      <c r="S32" s="24">
        <f t="shared" si="14"/>
        <v>19244</v>
      </c>
      <c r="T32" s="970">
        <f t="shared" si="15"/>
        <v>9.622E-2</v>
      </c>
      <c r="U32" s="971">
        <f t="shared" si="16"/>
        <v>0.20206200000000002</v>
      </c>
    </row>
    <row r="33" spans="1:21" x14ac:dyDescent="0.2">
      <c r="A33" s="33">
        <f t="shared" si="0"/>
        <v>2020</v>
      </c>
      <c r="B33" s="787">
        <v>5</v>
      </c>
      <c r="C33" s="565">
        <f t="shared" si="1"/>
        <v>18</v>
      </c>
      <c r="D33" s="965">
        <f t="shared" si="2"/>
        <v>185.14</v>
      </c>
      <c r="E33" s="966">
        <f t="shared" si="2"/>
        <v>0</v>
      </c>
      <c r="F33" s="790">
        <f t="shared" si="2"/>
        <v>19244</v>
      </c>
      <c r="G33" s="473">
        <f t="shared" si="3"/>
        <v>0.92569999999999997</v>
      </c>
      <c r="H33" s="474">
        <f t="shared" si="3"/>
        <v>0</v>
      </c>
      <c r="I33" s="474">
        <f t="shared" si="4"/>
        <v>9.622E-2</v>
      </c>
      <c r="J33" s="61">
        <f t="shared" si="5"/>
        <v>5</v>
      </c>
      <c r="K33" s="967">
        <f t="shared" si="6"/>
        <v>185.14</v>
      </c>
      <c r="L33" s="967">
        <f t="shared" si="7"/>
        <v>0.92569999999999997</v>
      </c>
      <c r="M33" s="967">
        <f t="shared" si="8"/>
        <v>2.8696700000000002</v>
      </c>
      <c r="N33" s="54">
        <f t="shared" si="9"/>
        <v>5</v>
      </c>
      <c r="O33" s="968">
        <f t="shared" si="10"/>
        <v>0</v>
      </c>
      <c r="P33" s="968">
        <f t="shared" si="11"/>
        <v>0</v>
      </c>
      <c r="Q33" s="969">
        <f t="shared" si="12"/>
        <v>0</v>
      </c>
      <c r="R33" s="247">
        <f t="shared" si="13"/>
        <v>5</v>
      </c>
      <c r="S33" s="24">
        <f t="shared" si="14"/>
        <v>19244</v>
      </c>
      <c r="T33" s="970">
        <f t="shared" si="15"/>
        <v>9.622E-2</v>
      </c>
      <c r="U33" s="971">
        <f t="shared" si="16"/>
        <v>0.29828200000000005</v>
      </c>
    </row>
    <row r="34" spans="1:21" x14ac:dyDescent="0.2">
      <c r="A34" s="33">
        <f t="shared" si="0"/>
        <v>2021</v>
      </c>
      <c r="B34" s="791">
        <v>5</v>
      </c>
      <c r="C34" s="565">
        <f t="shared" si="1"/>
        <v>23</v>
      </c>
      <c r="D34" s="965">
        <f t="shared" si="2"/>
        <v>185.14</v>
      </c>
      <c r="E34" s="966">
        <f t="shared" si="2"/>
        <v>0</v>
      </c>
      <c r="F34" s="790">
        <f t="shared" si="2"/>
        <v>19244</v>
      </c>
      <c r="G34" s="473">
        <f t="shared" si="3"/>
        <v>0.92569999999999997</v>
      </c>
      <c r="H34" s="474">
        <f t="shared" si="3"/>
        <v>0</v>
      </c>
      <c r="I34" s="474">
        <f t="shared" si="4"/>
        <v>9.622E-2</v>
      </c>
      <c r="J34" s="61">
        <f t="shared" si="5"/>
        <v>5</v>
      </c>
      <c r="K34" s="967">
        <f t="shared" si="6"/>
        <v>185.14</v>
      </c>
      <c r="L34" s="967">
        <f t="shared" si="7"/>
        <v>0.92569999999999997</v>
      </c>
      <c r="M34" s="967">
        <f t="shared" si="8"/>
        <v>3.7953700000000001</v>
      </c>
      <c r="N34" s="54">
        <f t="shared" si="9"/>
        <v>5</v>
      </c>
      <c r="O34" s="968">
        <f t="shared" si="10"/>
        <v>0</v>
      </c>
      <c r="P34" s="968">
        <f t="shared" si="11"/>
        <v>0</v>
      </c>
      <c r="Q34" s="969">
        <f t="shared" si="12"/>
        <v>0</v>
      </c>
      <c r="R34" s="247">
        <f t="shared" si="13"/>
        <v>5</v>
      </c>
      <c r="S34" s="24">
        <f t="shared" si="14"/>
        <v>19244</v>
      </c>
      <c r="T34" s="970">
        <f t="shared" si="15"/>
        <v>9.622E-2</v>
      </c>
      <c r="U34" s="971">
        <f t="shared" si="16"/>
        <v>0.39450200000000002</v>
      </c>
    </row>
    <row r="35" spans="1:21" x14ac:dyDescent="0.2">
      <c r="A35" s="33">
        <f t="shared" si="0"/>
        <v>2022</v>
      </c>
      <c r="B35" s="791">
        <v>5</v>
      </c>
      <c r="C35" s="565">
        <f t="shared" si="1"/>
        <v>28</v>
      </c>
      <c r="D35" s="965">
        <f t="shared" si="2"/>
        <v>185.14</v>
      </c>
      <c r="E35" s="966">
        <f t="shared" si="2"/>
        <v>0</v>
      </c>
      <c r="F35" s="790">
        <f t="shared" si="2"/>
        <v>19244</v>
      </c>
      <c r="G35" s="473">
        <f t="shared" si="3"/>
        <v>0.92569999999999997</v>
      </c>
      <c r="H35" s="474">
        <f t="shared" si="3"/>
        <v>0</v>
      </c>
      <c r="I35" s="474">
        <f t="shared" si="4"/>
        <v>9.622E-2</v>
      </c>
      <c r="J35" s="61">
        <f t="shared" si="5"/>
        <v>5</v>
      </c>
      <c r="K35" s="967">
        <f t="shared" si="6"/>
        <v>185.14</v>
      </c>
      <c r="L35" s="967">
        <f t="shared" si="7"/>
        <v>0.92569999999999997</v>
      </c>
      <c r="M35" s="967">
        <f t="shared" si="8"/>
        <v>4.7210700000000001</v>
      </c>
      <c r="N35" s="54">
        <f t="shared" si="9"/>
        <v>5</v>
      </c>
      <c r="O35" s="968">
        <f t="shared" si="10"/>
        <v>0</v>
      </c>
      <c r="P35" s="968">
        <f t="shared" si="11"/>
        <v>0</v>
      </c>
      <c r="Q35" s="969">
        <f t="shared" si="12"/>
        <v>0</v>
      </c>
      <c r="R35" s="247">
        <f t="shared" si="13"/>
        <v>5</v>
      </c>
      <c r="S35" s="24">
        <f t="shared" si="14"/>
        <v>19244</v>
      </c>
      <c r="T35" s="970">
        <f t="shared" si="15"/>
        <v>9.622E-2</v>
      </c>
      <c r="U35" s="971">
        <f t="shared" si="16"/>
        <v>0.49072199999999999</v>
      </c>
    </row>
    <row r="36" spans="1:21" x14ac:dyDescent="0.2">
      <c r="A36" s="33">
        <f t="shared" si="0"/>
        <v>2023</v>
      </c>
      <c r="B36" s="791">
        <v>5</v>
      </c>
      <c r="C36" s="565">
        <f t="shared" si="1"/>
        <v>33</v>
      </c>
      <c r="D36" s="965">
        <f t="shared" si="2"/>
        <v>185.14</v>
      </c>
      <c r="E36" s="966">
        <f t="shared" si="2"/>
        <v>0</v>
      </c>
      <c r="F36" s="790">
        <f t="shared" si="2"/>
        <v>19244</v>
      </c>
      <c r="G36" s="473">
        <f t="shared" si="3"/>
        <v>0.92569999999999997</v>
      </c>
      <c r="H36" s="474">
        <f t="shared" si="3"/>
        <v>0</v>
      </c>
      <c r="I36" s="474">
        <f t="shared" si="4"/>
        <v>9.622E-2</v>
      </c>
      <c r="J36" s="61">
        <f t="shared" si="5"/>
        <v>5</v>
      </c>
      <c r="K36" s="967">
        <f t="shared" si="6"/>
        <v>185.14</v>
      </c>
      <c r="L36" s="967">
        <f t="shared" si="7"/>
        <v>0.92569999999999997</v>
      </c>
      <c r="M36" s="967">
        <f t="shared" si="8"/>
        <v>5.6467700000000001</v>
      </c>
      <c r="N36" s="54">
        <f t="shared" si="9"/>
        <v>5</v>
      </c>
      <c r="O36" s="968">
        <f t="shared" si="10"/>
        <v>0</v>
      </c>
      <c r="P36" s="968">
        <f t="shared" si="11"/>
        <v>0</v>
      </c>
      <c r="Q36" s="969">
        <f t="shared" si="12"/>
        <v>0</v>
      </c>
      <c r="R36" s="247">
        <f t="shared" si="13"/>
        <v>5</v>
      </c>
      <c r="S36" s="24">
        <f t="shared" si="14"/>
        <v>19244</v>
      </c>
      <c r="T36" s="970">
        <f t="shared" si="15"/>
        <v>9.622E-2</v>
      </c>
      <c r="U36" s="971">
        <f t="shared" si="16"/>
        <v>0.58694199999999996</v>
      </c>
    </row>
    <row r="37" spans="1:21" x14ac:dyDescent="0.2">
      <c r="A37" s="33">
        <f t="shared" si="0"/>
        <v>2024</v>
      </c>
      <c r="B37" s="791">
        <v>5</v>
      </c>
      <c r="C37" s="565">
        <f t="shared" si="1"/>
        <v>38</v>
      </c>
      <c r="D37" s="965">
        <f t="shared" si="2"/>
        <v>185.14</v>
      </c>
      <c r="E37" s="966">
        <f t="shared" si="2"/>
        <v>0</v>
      </c>
      <c r="F37" s="790">
        <f t="shared" si="2"/>
        <v>19244</v>
      </c>
      <c r="G37" s="473">
        <f t="shared" si="3"/>
        <v>0.92569999999999997</v>
      </c>
      <c r="H37" s="474">
        <f t="shared" si="3"/>
        <v>0</v>
      </c>
      <c r="I37" s="474">
        <f t="shared" si="4"/>
        <v>9.622E-2</v>
      </c>
      <c r="J37" s="61">
        <f t="shared" si="5"/>
        <v>5</v>
      </c>
      <c r="K37" s="967">
        <f t="shared" si="6"/>
        <v>185.14</v>
      </c>
      <c r="L37" s="967">
        <f t="shared" si="7"/>
        <v>0.92569999999999997</v>
      </c>
      <c r="M37" s="967">
        <f t="shared" si="8"/>
        <v>6.57247</v>
      </c>
      <c r="N37" s="54">
        <f t="shared" si="9"/>
        <v>5</v>
      </c>
      <c r="O37" s="968">
        <f t="shared" si="10"/>
        <v>0</v>
      </c>
      <c r="P37" s="968">
        <f t="shared" si="11"/>
        <v>0</v>
      </c>
      <c r="Q37" s="969">
        <f t="shared" si="12"/>
        <v>0</v>
      </c>
      <c r="R37" s="247">
        <f t="shared" si="13"/>
        <v>5</v>
      </c>
      <c r="S37" s="24">
        <f t="shared" si="14"/>
        <v>19244</v>
      </c>
      <c r="T37" s="970">
        <f t="shared" si="15"/>
        <v>9.622E-2</v>
      </c>
      <c r="U37" s="971">
        <f t="shared" si="16"/>
        <v>0.68316199999999994</v>
      </c>
    </row>
    <row r="38" spans="1:21" x14ac:dyDescent="0.2">
      <c r="A38" s="33">
        <f t="shared" si="0"/>
        <v>2025</v>
      </c>
      <c r="B38" s="791">
        <v>5</v>
      </c>
      <c r="C38" s="565">
        <f t="shared" si="1"/>
        <v>43</v>
      </c>
      <c r="D38" s="965">
        <f t="shared" si="2"/>
        <v>185.14</v>
      </c>
      <c r="E38" s="966">
        <f t="shared" si="2"/>
        <v>0</v>
      </c>
      <c r="F38" s="790">
        <f t="shared" si="2"/>
        <v>19244</v>
      </c>
      <c r="G38" s="473">
        <f t="shared" si="3"/>
        <v>0.92569999999999997</v>
      </c>
      <c r="H38" s="474">
        <f t="shared" si="3"/>
        <v>0</v>
      </c>
      <c r="I38" s="474">
        <f t="shared" si="4"/>
        <v>9.622E-2</v>
      </c>
      <c r="J38" s="61">
        <f t="shared" si="5"/>
        <v>5</v>
      </c>
      <c r="K38" s="967">
        <f t="shared" si="6"/>
        <v>185.14</v>
      </c>
      <c r="L38" s="967">
        <f t="shared" si="7"/>
        <v>0.92569999999999997</v>
      </c>
      <c r="M38" s="967">
        <f t="shared" si="8"/>
        <v>7.49817</v>
      </c>
      <c r="N38" s="54">
        <f t="shared" si="9"/>
        <v>5</v>
      </c>
      <c r="O38" s="968">
        <f t="shared" si="10"/>
        <v>0</v>
      </c>
      <c r="P38" s="968">
        <f t="shared" si="11"/>
        <v>0</v>
      </c>
      <c r="Q38" s="969">
        <f t="shared" si="12"/>
        <v>0</v>
      </c>
      <c r="R38" s="247">
        <f t="shared" si="13"/>
        <v>5</v>
      </c>
      <c r="S38" s="24">
        <f t="shared" si="14"/>
        <v>19244</v>
      </c>
      <c r="T38" s="970">
        <f t="shared" si="15"/>
        <v>9.622E-2</v>
      </c>
      <c r="U38" s="971">
        <f t="shared" si="16"/>
        <v>0.77938199999999991</v>
      </c>
    </row>
    <row r="39" spans="1:21" x14ac:dyDescent="0.2">
      <c r="A39" s="33">
        <f t="shared" si="0"/>
        <v>2026</v>
      </c>
      <c r="B39" s="791">
        <v>5</v>
      </c>
      <c r="C39" s="565">
        <f t="shared" si="1"/>
        <v>48</v>
      </c>
      <c r="D39" s="965">
        <f t="shared" ref="D39:F42" si="17">+D38</f>
        <v>185.14</v>
      </c>
      <c r="E39" s="966">
        <f t="shared" si="17"/>
        <v>0</v>
      </c>
      <c r="F39" s="790">
        <f t="shared" si="17"/>
        <v>19244</v>
      </c>
      <c r="G39" s="473">
        <f t="shared" si="3"/>
        <v>0.92569999999999997</v>
      </c>
      <c r="H39" s="474">
        <f t="shared" si="3"/>
        <v>0</v>
      </c>
      <c r="I39" s="474">
        <f t="shared" si="4"/>
        <v>9.622E-2</v>
      </c>
      <c r="J39" s="61">
        <f t="shared" si="5"/>
        <v>5</v>
      </c>
      <c r="K39" s="967">
        <f t="shared" si="6"/>
        <v>185.14</v>
      </c>
      <c r="L39" s="967">
        <f t="shared" si="7"/>
        <v>0.92569999999999997</v>
      </c>
      <c r="M39" s="967">
        <f t="shared" si="8"/>
        <v>8.4238700000000009</v>
      </c>
      <c r="N39" s="54">
        <f t="shared" si="9"/>
        <v>5</v>
      </c>
      <c r="O39" s="968">
        <f t="shared" si="10"/>
        <v>0</v>
      </c>
      <c r="P39" s="968">
        <f t="shared" si="11"/>
        <v>0</v>
      </c>
      <c r="Q39" s="969">
        <f t="shared" si="12"/>
        <v>0</v>
      </c>
      <c r="R39" s="247">
        <f>+(B39+B38)/2</f>
        <v>5</v>
      </c>
      <c r="S39" s="24">
        <f>+F39</f>
        <v>19244</v>
      </c>
      <c r="T39" s="970">
        <f>+R39*S39/1000000</f>
        <v>9.622E-2</v>
      </c>
      <c r="U39" s="971">
        <f t="shared" si="16"/>
        <v>0.87560199999999988</v>
      </c>
    </row>
    <row r="40" spans="1:21" x14ac:dyDescent="0.2">
      <c r="A40" s="33">
        <f>+A39+1</f>
        <v>2027</v>
      </c>
      <c r="B40" s="791">
        <v>5</v>
      </c>
      <c r="C40" s="565">
        <f>+C39+B40</f>
        <v>53</v>
      </c>
      <c r="D40" s="965">
        <f t="shared" si="17"/>
        <v>185.14</v>
      </c>
      <c r="E40" s="966">
        <f t="shared" si="17"/>
        <v>0</v>
      </c>
      <c r="F40" s="790">
        <f t="shared" si="17"/>
        <v>19244</v>
      </c>
      <c r="G40" s="473">
        <f t="shared" ref="G40:H42" si="18">+$B40*D40/1000</f>
        <v>0.92569999999999997</v>
      </c>
      <c r="H40" s="474">
        <f t="shared" si="18"/>
        <v>0</v>
      </c>
      <c r="I40" s="474">
        <f>+$B40*F40/1000000</f>
        <v>9.622E-2</v>
      </c>
      <c r="J40" s="61">
        <f>+(B40+B39)/2</f>
        <v>5</v>
      </c>
      <c r="K40" s="967">
        <f>+D40</f>
        <v>185.14</v>
      </c>
      <c r="L40" s="967">
        <f>+J40*K40/1000</f>
        <v>0.92569999999999997</v>
      </c>
      <c r="M40" s="967">
        <f>+M39+L40</f>
        <v>9.3495699999999999</v>
      </c>
      <c r="N40" s="54">
        <f>+B39</f>
        <v>5</v>
      </c>
      <c r="O40" s="968">
        <f>+E40</f>
        <v>0</v>
      </c>
      <c r="P40" s="968">
        <f>+N40*O40/1000</f>
        <v>0</v>
      </c>
      <c r="Q40" s="969">
        <f>+Q39+P40</f>
        <v>0</v>
      </c>
      <c r="R40" s="247">
        <f>+(B40+B39)/2</f>
        <v>5</v>
      </c>
      <c r="S40" s="24">
        <f>+F40</f>
        <v>19244</v>
      </c>
      <c r="T40" s="970">
        <f>+R40*S40/1000000</f>
        <v>9.622E-2</v>
      </c>
      <c r="U40" s="971">
        <f>+U39+T40</f>
        <v>0.97182199999999985</v>
      </c>
    </row>
    <row r="41" spans="1:21" x14ac:dyDescent="0.2">
      <c r="A41" s="33">
        <f t="shared" si="0"/>
        <v>2028</v>
      </c>
      <c r="B41" s="791">
        <v>5</v>
      </c>
      <c r="C41" s="565">
        <f>+C40+B41</f>
        <v>58</v>
      </c>
      <c r="D41" s="965">
        <f>+D40</f>
        <v>185.14</v>
      </c>
      <c r="E41" s="966">
        <f>+E40</f>
        <v>0</v>
      </c>
      <c r="F41" s="790">
        <f>+F40</f>
        <v>19244</v>
      </c>
      <c r="G41" s="473">
        <f t="shared" si="18"/>
        <v>0.92569999999999997</v>
      </c>
      <c r="H41" s="474">
        <f t="shared" si="18"/>
        <v>0</v>
      </c>
      <c r="I41" s="474">
        <f>+$B41*F41/1000000</f>
        <v>9.622E-2</v>
      </c>
      <c r="J41" s="61">
        <f>+(B41+B40)/2</f>
        <v>5</v>
      </c>
      <c r="K41" s="967">
        <f>+D41</f>
        <v>185.14</v>
      </c>
      <c r="L41" s="967">
        <f>+J41*K41/1000</f>
        <v>0.92569999999999997</v>
      </c>
      <c r="M41" s="967">
        <f>+M40+L41</f>
        <v>10.275269999999999</v>
      </c>
      <c r="N41" s="54">
        <f>+B40</f>
        <v>5</v>
      </c>
      <c r="O41" s="968">
        <f>+E41</f>
        <v>0</v>
      </c>
      <c r="P41" s="968">
        <f>+N41*O41/1000</f>
        <v>0</v>
      </c>
      <c r="Q41" s="969">
        <f>+Q40+P41</f>
        <v>0</v>
      </c>
      <c r="R41" s="247">
        <f>+(B41+B40)/2</f>
        <v>5</v>
      </c>
      <c r="S41" s="24">
        <f>+F41</f>
        <v>19244</v>
      </c>
      <c r="T41" s="970">
        <f>+R41*S41/1000000</f>
        <v>9.622E-2</v>
      </c>
      <c r="U41" s="971">
        <f>+U40+T41</f>
        <v>1.0680419999999999</v>
      </c>
    </row>
    <row r="42" spans="1:21" x14ac:dyDescent="0.2">
      <c r="A42" s="33">
        <f t="shared" si="0"/>
        <v>2029</v>
      </c>
      <c r="B42" s="791">
        <v>5</v>
      </c>
      <c r="C42" s="565">
        <f>+C41+B42</f>
        <v>63</v>
      </c>
      <c r="D42" s="965">
        <f t="shared" si="17"/>
        <v>185.14</v>
      </c>
      <c r="E42" s="966">
        <f t="shared" si="17"/>
        <v>0</v>
      </c>
      <c r="F42" s="790">
        <f t="shared" si="17"/>
        <v>19244</v>
      </c>
      <c r="G42" s="473">
        <f t="shared" si="18"/>
        <v>0.92569999999999997</v>
      </c>
      <c r="H42" s="474">
        <f t="shared" si="18"/>
        <v>0</v>
      </c>
      <c r="I42" s="474">
        <f>+$B42*F42/1000000</f>
        <v>9.622E-2</v>
      </c>
      <c r="J42" s="61">
        <f>+(B42+B41)/2</f>
        <v>5</v>
      </c>
      <c r="K42" s="967">
        <f>+D42</f>
        <v>185.14</v>
      </c>
      <c r="L42" s="967">
        <f>+J42*K42/1000</f>
        <v>0.92569999999999997</v>
      </c>
      <c r="M42" s="967">
        <f>+M41+L42</f>
        <v>11.200969999999998</v>
      </c>
      <c r="N42" s="54">
        <f>+B41</f>
        <v>5</v>
      </c>
      <c r="O42" s="968">
        <f>+E42</f>
        <v>0</v>
      </c>
      <c r="P42" s="968">
        <f>+N42*O42/1000</f>
        <v>0</v>
      </c>
      <c r="Q42" s="969">
        <f>+Q41+P42</f>
        <v>0</v>
      </c>
      <c r="R42" s="247">
        <f>+(B42+B41)/2</f>
        <v>5</v>
      </c>
      <c r="S42" s="24">
        <f>+F42</f>
        <v>19244</v>
      </c>
      <c r="T42" s="970">
        <f>+R42*S42/1000000</f>
        <v>9.622E-2</v>
      </c>
      <c r="U42" s="971">
        <f>+U41+T42</f>
        <v>1.1642619999999999</v>
      </c>
    </row>
    <row r="43" spans="1:21" x14ac:dyDescent="0.2">
      <c r="A43" s="33">
        <f t="shared" si="0"/>
        <v>2030</v>
      </c>
      <c r="B43" s="791">
        <v>5</v>
      </c>
      <c r="C43" s="565">
        <f t="shared" ref="C43:C47" si="19">+C42+B43</f>
        <v>68</v>
      </c>
      <c r="D43" s="965">
        <f t="shared" ref="D43:F43" si="20">+D42</f>
        <v>185.14</v>
      </c>
      <c r="E43" s="966">
        <f t="shared" si="20"/>
        <v>0</v>
      </c>
      <c r="F43" s="790">
        <f t="shared" si="20"/>
        <v>19244</v>
      </c>
      <c r="G43" s="473">
        <f t="shared" ref="G43:G47" si="21">+$B43*D43/1000</f>
        <v>0.92569999999999997</v>
      </c>
      <c r="H43" s="474">
        <f t="shared" ref="H43:H47" si="22">+$B43*E43/1000</f>
        <v>0</v>
      </c>
      <c r="I43" s="474">
        <f t="shared" ref="I43:I47" si="23">+$B43*F43/1000000</f>
        <v>9.622E-2</v>
      </c>
      <c r="J43" s="61">
        <f t="shared" ref="J43:J47" si="24">+(B43+B42)/2</f>
        <v>5</v>
      </c>
      <c r="K43" s="967">
        <f t="shared" ref="K43:K47" si="25">+D43</f>
        <v>185.14</v>
      </c>
      <c r="L43" s="967">
        <f t="shared" ref="L43:L47" si="26">+J43*K43/1000</f>
        <v>0.92569999999999997</v>
      </c>
      <c r="M43" s="967">
        <f t="shared" ref="M43:M47" si="27">+M42+L43</f>
        <v>12.126669999999997</v>
      </c>
      <c r="N43" s="54">
        <f t="shared" ref="N43:N47" si="28">+B42</f>
        <v>5</v>
      </c>
      <c r="O43" s="968">
        <f t="shared" ref="O43:O47" si="29">+E43</f>
        <v>0</v>
      </c>
      <c r="P43" s="968">
        <f t="shared" ref="P43:P47" si="30">+N43*O43/1000</f>
        <v>0</v>
      </c>
      <c r="Q43" s="969">
        <f t="shared" ref="Q43:Q47" si="31">+Q42+P43</f>
        <v>0</v>
      </c>
      <c r="R43" s="247">
        <f t="shared" ref="R43:R47" si="32">+(B43+B42)/2</f>
        <v>5</v>
      </c>
      <c r="S43" s="24">
        <f t="shared" ref="S43:S47" si="33">+F43</f>
        <v>19244</v>
      </c>
      <c r="T43" s="970">
        <f t="shared" ref="T43:T47" si="34">+R43*S43/1000000</f>
        <v>9.622E-2</v>
      </c>
      <c r="U43" s="971">
        <f t="shared" ref="U43:U47" si="35">+U42+T43</f>
        <v>1.2604819999999999</v>
      </c>
    </row>
    <row r="44" spans="1:21" x14ac:dyDescent="0.2">
      <c r="A44" s="33">
        <f t="shared" si="0"/>
        <v>2031</v>
      </c>
      <c r="B44" s="791">
        <v>5</v>
      </c>
      <c r="C44" s="565">
        <f t="shared" si="19"/>
        <v>73</v>
      </c>
      <c r="D44" s="965">
        <f t="shared" ref="D44:F44" si="36">+D43</f>
        <v>185.14</v>
      </c>
      <c r="E44" s="966">
        <f t="shared" si="36"/>
        <v>0</v>
      </c>
      <c r="F44" s="790">
        <f t="shared" si="36"/>
        <v>19244</v>
      </c>
      <c r="G44" s="473">
        <f t="shared" si="21"/>
        <v>0.92569999999999997</v>
      </c>
      <c r="H44" s="474">
        <f t="shared" si="22"/>
        <v>0</v>
      </c>
      <c r="I44" s="474">
        <f t="shared" si="23"/>
        <v>9.622E-2</v>
      </c>
      <c r="J44" s="61">
        <f t="shared" si="24"/>
        <v>5</v>
      </c>
      <c r="K44" s="967">
        <f t="shared" si="25"/>
        <v>185.14</v>
      </c>
      <c r="L44" s="967">
        <f t="shared" si="26"/>
        <v>0.92569999999999997</v>
      </c>
      <c r="M44" s="967">
        <f t="shared" si="27"/>
        <v>13.052369999999996</v>
      </c>
      <c r="N44" s="54">
        <f t="shared" si="28"/>
        <v>5</v>
      </c>
      <c r="O44" s="968">
        <f t="shared" si="29"/>
        <v>0</v>
      </c>
      <c r="P44" s="968">
        <f t="shared" si="30"/>
        <v>0</v>
      </c>
      <c r="Q44" s="969">
        <f t="shared" si="31"/>
        <v>0</v>
      </c>
      <c r="R44" s="247">
        <f t="shared" si="32"/>
        <v>5</v>
      </c>
      <c r="S44" s="24">
        <f t="shared" si="33"/>
        <v>19244</v>
      </c>
      <c r="T44" s="970">
        <f t="shared" si="34"/>
        <v>9.622E-2</v>
      </c>
      <c r="U44" s="971">
        <f t="shared" si="35"/>
        <v>1.3567019999999999</v>
      </c>
    </row>
    <row r="45" spans="1:21" x14ac:dyDescent="0.2">
      <c r="A45" s="33">
        <f t="shared" si="0"/>
        <v>2032</v>
      </c>
      <c r="B45" s="791">
        <v>5</v>
      </c>
      <c r="C45" s="565">
        <f t="shared" si="19"/>
        <v>78</v>
      </c>
      <c r="D45" s="965">
        <f t="shared" ref="D45:F45" si="37">+D44</f>
        <v>185.14</v>
      </c>
      <c r="E45" s="966">
        <f t="shared" si="37"/>
        <v>0</v>
      </c>
      <c r="F45" s="790">
        <f t="shared" si="37"/>
        <v>19244</v>
      </c>
      <c r="G45" s="473">
        <f t="shared" si="21"/>
        <v>0.92569999999999997</v>
      </c>
      <c r="H45" s="474">
        <f t="shared" si="22"/>
        <v>0</v>
      </c>
      <c r="I45" s="474">
        <f t="shared" si="23"/>
        <v>9.622E-2</v>
      </c>
      <c r="J45" s="61">
        <f t="shared" si="24"/>
        <v>5</v>
      </c>
      <c r="K45" s="967">
        <f t="shared" si="25"/>
        <v>185.14</v>
      </c>
      <c r="L45" s="967">
        <f t="shared" si="26"/>
        <v>0.92569999999999997</v>
      </c>
      <c r="M45" s="967">
        <f t="shared" si="27"/>
        <v>13.978069999999995</v>
      </c>
      <c r="N45" s="54">
        <f t="shared" si="28"/>
        <v>5</v>
      </c>
      <c r="O45" s="968">
        <f t="shared" si="29"/>
        <v>0</v>
      </c>
      <c r="P45" s="968">
        <f t="shared" si="30"/>
        <v>0</v>
      </c>
      <c r="Q45" s="969">
        <f t="shared" si="31"/>
        <v>0</v>
      </c>
      <c r="R45" s="247">
        <f t="shared" si="32"/>
        <v>5</v>
      </c>
      <c r="S45" s="24">
        <f t="shared" si="33"/>
        <v>19244</v>
      </c>
      <c r="T45" s="970">
        <f t="shared" si="34"/>
        <v>9.622E-2</v>
      </c>
      <c r="U45" s="971">
        <f t="shared" si="35"/>
        <v>1.4529219999999998</v>
      </c>
    </row>
    <row r="46" spans="1:21" x14ac:dyDescent="0.2">
      <c r="A46" s="33">
        <f t="shared" si="0"/>
        <v>2033</v>
      </c>
      <c r="B46" s="791">
        <v>5</v>
      </c>
      <c r="C46" s="565">
        <f t="shared" si="19"/>
        <v>83</v>
      </c>
      <c r="D46" s="965">
        <f t="shared" ref="D46:F46" si="38">+D45</f>
        <v>185.14</v>
      </c>
      <c r="E46" s="966">
        <f t="shared" si="38"/>
        <v>0</v>
      </c>
      <c r="F46" s="790">
        <f t="shared" si="38"/>
        <v>19244</v>
      </c>
      <c r="G46" s="473">
        <f t="shared" si="21"/>
        <v>0.92569999999999997</v>
      </c>
      <c r="H46" s="474">
        <f t="shared" si="22"/>
        <v>0</v>
      </c>
      <c r="I46" s="474">
        <f t="shared" si="23"/>
        <v>9.622E-2</v>
      </c>
      <c r="J46" s="61">
        <f t="shared" si="24"/>
        <v>5</v>
      </c>
      <c r="K46" s="967">
        <f t="shared" si="25"/>
        <v>185.14</v>
      </c>
      <c r="L46" s="967">
        <f t="shared" si="26"/>
        <v>0.92569999999999997</v>
      </c>
      <c r="M46" s="967">
        <f t="shared" si="27"/>
        <v>14.903769999999994</v>
      </c>
      <c r="N46" s="54">
        <f t="shared" si="28"/>
        <v>5</v>
      </c>
      <c r="O46" s="968">
        <f t="shared" si="29"/>
        <v>0</v>
      </c>
      <c r="P46" s="968">
        <f t="shared" si="30"/>
        <v>0</v>
      </c>
      <c r="Q46" s="969">
        <f t="shared" si="31"/>
        <v>0</v>
      </c>
      <c r="R46" s="247">
        <f t="shared" si="32"/>
        <v>5</v>
      </c>
      <c r="S46" s="24">
        <f t="shared" si="33"/>
        <v>19244</v>
      </c>
      <c r="T46" s="970">
        <f t="shared" si="34"/>
        <v>9.622E-2</v>
      </c>
      <c r="U46" s="971">
        <f t="shared" si="35"/>
        <v>1.5491419999999998</v>
      </c>
    </row>
    <row r="47" spans="1:21" x14ac:dyDescent="0.2">
      <c r="A47" s="33">
        <f t="shared" si="0"/>
        <v>2034</v>
      </c>
      <c r="B47" s="791">
        <v>5</v>
      </c>
      <c r="C47" s="565">
        <f t="shared" si="19"/>
        <v>88</v>
      </c>
      <c r="D47" s="965">
        <f t="shared" ref="D47:F47" si="39">+D46</f>
        <v>185.14</v>
      </c>
      <c r="E47" s="966">
        <f t="shared" si="39"/>
        <v>0</v>
      </c>
      <c r="F47" s="790">
        <f t="shared" si="39"/>
        <v>19244</v>
      </c>
      <c r="G47" s="473">
        <f t="shared" si="21"/>
        <v>0.92569999999999997</v>
      </c>
      <c r="H47" s="474">
        <f t="shared" si="22"/>
        <v>0</v>
      </c>
      <c r="I47" s="474">
        <f t="shared" si="23"/>
        <v>9.622E-2</v>
      </c>
      <c r="J47" s="61">
        <f t="shared" si="24"/>
        <v>5</v>
      </c>
      <c r="K47" s="967">
        <f t="shared" si="25"/>
        <v>185.14</v>
      </c>
      <c r="L47" s="967">
        <f t="shared" si="26"/>
        <v>0.92569999999999997</v>
      </c>
      <c r="M47" s="967">
        <f t="shared" si="27"/>
        <v>15.829469999999993</v>
      </c>
      <c r="N47" s="54">
        <f t="shared" si="28"/>
        <v>5</v>
      </c>
      <c r="O47" s="968">
        <f t="shared" si="29"/>
        <v>0</v>
      </c>
      <c r="P47" s="968">
        <f t="shared" si="30"/>
        <v>0</v>
      </c>
      <c r="Q47" s="969">
        <f t="shared" si="31"/>
        <v>0</v>
      </c>
      <c r="R47" s="247">
        <f t="shared" si="32"/>
        <v>5</v>
      </c>
      <c r="S47" s="24">
        <f t="shared" si="33"/>
        <v>19244</v>
      </c>
      <c r="T47" s="970">
        <f t="shared" si="34"/>
        <v>9.622E-2</v>
      </c>
      <c r="U47" s="971">
        <f t="shared" si="35"/>
        <v>1.6453619999999998</v>
      </c>
    </row>
    <row r="48" spans="1:21" x14ac:dyDescent="0.2">
      <c r="A48" s="33">
        <f t="shared" si="0"/>
        <v>2035</v>
      </c>
      <c r="B48" s="791">
        <f>B47</f>
        <v>5</v>
      </c>
      <c r="C48" s="565">
        <f t="shared" ref="C48:C54" si="40">+C47+B48</f>
        <v>93</v>
      </c>
      <c r="D48" s="965">
        <f t="shared" ref="D48:F48" si="41">+D47</f>
        <v>185.14</v>
      </c>
      <c r="E48" s="966">
        <f t="shared" si="41"/>
        <v>0</v>
      </c>
      <c r="F48" s="790">
        <f t="shared" si="41"/>
        <v>19244</v>
      </c>
      <c r="G48" s="473">
        <f t="shared" ref="G48:G54" si="42">+$B48*D48/1000</f>
        <v>0.92569999999999997</v>
      </c>
      <c r="H48" s="474">
        <f t="shared" ref="H48:H54" si="43">+$B48*E48/1000</f>
        <v>0</v>
      </c>
      <c r="I48" s="474">
        <f t="shared" ref="I48:I54" si="44">+$B48*F48/1000000</f>
        <v>9.622E-2</v>
      </c>
      <c r="J48" s="61">
        <f t="shared" ref="J48:J54" si="45">+(B48+B47)/2</f>
        <v>5</v>
      </c>
      <c r="K48" s="967">
        <f t="shared" ref="K48:K54" si="46">+D48</f>
        <v>185.14</v>
      </c>
      <c r="L48" s="967">
        <f t="shared" ref="L48:L54" si="47">+J48*K48/1000</f>
        <v>0.92569999999999997</v>
      </c>
      <c r="M48" s="967">
        <f t="shared" ref="M48:M54" si="48">+M47+L48</f>
        <v>16.755169999999993</v>
      </c>
      <c r="N48" s="54">
        <f t="shared" ref="N48:N54" si="49">+B47</f>
        <v>5</v>
      </c>
      <c r="O48" s="968">
        <f t="shared" ref="O48:O54" si="50">+E48</f>
        <v>0</v>
      </c>
      <c r="P48" s="968">
        <f t="shared" ref="P48:P54" si="51">+N48*O48/1000</f>
        <v>0</v>
      </c>
      <c r="Q48" s="969">
        <f t="shared" ref="Q48:Q54" si="52">+Q47+P48</f>
        <v>0</v>
      </c>
      <c r="R48" s="247">
        <f t="shared" ref="R48:R54" si="53">+(B48+B47)/2</f>
        <v>5</v>
      </c>
      <c r="S48" s="24">
        <f t="shared" ref="S48:S54" si="54">+F48</f>
        <v>19244</v>
      </c>
      <c r="T48" s="970">
        <f t="shared" ref="T48:T54" si="55">+R48*S48/1000000</f>
        <v>9.622E-2</v>
      </c>
      <c r="U48" s="971">
        <f t="shared" ref="U48:U54" si="56">+U47+T48</f>
        <v>1.7415819999999997</v>
      </c>
    </row>
    <row r="49" spans="1:21" x14ac:dyDescent="0.2">
      <c r="A49" s="33">
        <f t="shared" si="0"/>
        <v>2036</v>
      </c>
      <c r="B49" s="791">
        <f t="shared" ref="B49:B54" si="57">B48</f>
        <v>5</v>
      </c>
      <c r="C49" s="565">
        <f t="shared" si="40"/>
        <v>98</v>
      </c>
      <c r="D49" s="965">
        <f t="shared" ref="D49:F49" si="58">+D48</f>
        <v>185.14</v>
      </c>
      <c r="E49" s="966">
        <f t="shared" si="58"/>
        <v>0</v>
      </c>
      <c r="F49" s="790">
        <f t="shared" si="58"/>
        <v>19244</v>
      </c>
      <c r="G49" s="473">
        <f t="shared" si="42"/>
        <v>0.92569999999999997</v>
      </c>
      <c r="H49" s="474">
        <f t="shared" si="43"/>
        <v>0</v>
      </c>
      <c r="I49" s="474">
        <f t="shared" si="44"/>
        <v>9.622E-2</v>
      </c>
      <c r="J49" s="61">
        <f t="shared" si="45"/>
        <v>5</v>
      </c>
      <c r="K49" s="967">
        <f t="shared" si="46"/>
        <v>185.14</v>
      </c>
      <c r="L49" s="967">
        <f t="shared" si="47"/>
        <v>0.92569999999999997</v>
      </c>
      <c r="M49" s="967">
        <f t="shared" si="48"/>
        <v>17.680869999999992</v>
      </c>
      <c r="N49" s="54">
        <f t="shared" si="49"/>
        <v>5</v>
      </c>
      <c r="O49" s="968">
        <f t="shared" si="50"/>
        <v>0</v>
      </c>
      <c r="P49" s="968">
        <f t="shared" si="51"/>
        <v>0</v>
      </c>
      <c r="Q49" s="969">
        <f t="shared" si="52"/>
        <v>0</v>
      </c>
      <c r="R49" s="247">
        <f t="shared" si="53"/>
        <v>5</v>
      </c>
      <c r="S49" s="24">
        <f t="shared" si="54"/>
        <v>19244</v>
      </c>
      <c r="T49" s="970">
        <f t="shared" si="55"/>
        <v>9.622E-2</v>
      </c>
      <c r="U49" s="971">
        <f t="shared" si="56"/>
        <v>1.8378019999999997</v>
      </c>
    </row>
    <row r="50" spans="1:21" x14ac:dyDescent="0.2">
      <c r="A50" s="33">
        <f t="shared" si="0"/>
        <v>2037</v>
      </c>
      <c r="B50" s="791">
        <f t="shared" si="57"/>
        <v>5</v>
      </c>
      <c r="C50" s="565">
        <f t="shared" si="40"/>
        <v>103</v>
      </c>
      <c r="D50" s="965">
        <f t="shared" ref="D50:F50" si="59">+D49</f>
        <v>185.14</v>
      </c>
      <c r="E50" s="966">
        <f t="shared" si="59"/>
        <v>0</v>
      </c>
      <c r="F50" s="790">
        <f t="shared" si="59"/>
        <v>19244</v>
      </c>
      <c r="G50" s="473">
        <f t="shared" si="42"/>
        <v>0.92569999999999997</v>
      </c>
      <c r="H50" s="474">
        <f t="shared" si="43"/>
        <v>0</v>
      </c>
      <c r="I50" s="474">
        <f t="shared" si="44"/>
        <v>9.622E-2</v>
      </c>
      <c r="J50" s="61">
        <f t="shared" si="45"/>
        <v>5</v>
      </c>
      <c r="K50" s="967">
        <f t="shared" si="46"/>
        <v>185.14</v>
      </c>
      <c r="L50" s="967">
        <f t="shared" si="47"/>
        <v>0.92569999999999997</v>
      </c>
      <c r="M50" s="967">
        <f t="shared" si="48"/>
        <v>18.606569999999991</v>
      </c>
      <c r="N50" s="54">
        <f t="shared" si="49"/>
        <v>5</v>
      </c>
      <c r="O50" s="968">
        <f t="shared" si="50"/>
        <v>0</v>
      </c>
      <c r="P50" s="968">
        <f t="shared" si="51"/>
        <v>0</v>
      </c>
      <c r="Q50" s="969">
        <f t="shared" si="52"/>
        <v>0</v>
      </c>
      <c r="R50" s="247">
        <f t="shared" si="53"/>
        <v>5</v>
      </c>
      <c r="S50" s="24">
        <f t="shared" si="54"/>
        <v>19244</v>
      </c>
      <c r="T50" s="970">
        <f t="shared" si="55"/>
        <v>9.622E-2</v>
      </c>
      <c r="U50" s="971">
        <f t="shared" si="56"/>
        <v>1.9340219999999997</v>
      </c>
    </row>
    <row r="51" spans="1:21" x14ac:dyDescent="0.2">
      <c r="A51" s="33">
        <f t="shared" si="0"/>
        <v>2038</v>
      </c>
      <c r="B51" s="791">
        <f t="shared" si="57"/>
        <v>5</v>
      </c>
      <c r="C51" s="565">
        <f t="shared" si="40"/>
        <v>108</v>
      </c>
      <c r="D51" s="965">
        <f t="shared" ref="D51:F51" si="60">+D50</f>
        <v>185.14</v>
      </c>
      <c r="E51" s="966">
        <f t="shared" si="60"/>
        <v>0</v>
      </c>
      <c r="F51" s="790">
        <f t="shared" si="60"/>
        <v>19244</v>
      </c>
      <c r="G51" s="473">
        <f t="shared" si="42"/>
        <v>0.92569999999999997</v>
      </c>
      <c r="H51" s="474">
        <f t="shared" si="43"/>
        <v>0</v>
      </c>
      <c r="I51" s="474">
        <f t="shared" si="44"/>
        <v>9.622E-2</v>
      </c>
      <c r="J51" s="61">
        <f t="shared" si="45"/>
        <v>5</v>
      </c>
      <c r="K51" s="967">
        <f t="shared" si="46"/>
        <v>185.14</v>
      </c>
      <c r="L51" s="967">
        <f t="shared" si="47"/>
        <v>0.92569999999999997</v>
      </c>
      <c r="M51" s="967">
        <f t="shared" si="48"/>
        <v>19.53226999999999</v>
      </c>
      <c r="N51" s="54">
        <f t="shared" si="49"/>
        <v>5</v>
      </c>
      <c r="O51" s="968">
        <f t="shared" si="50"/>
        <v>0</v>
      </c>
      <c r="P51" s="968">
        <f t="shared" si="51"/>
        <v>0</v>
      </c>
      <c r="Q51" s="969">
        <f t="shared" si="52"/>
        <v>0</v>
      </c>
      <c r="R51" s="247">
        <f t="shared" si="53"/>
        <v>5</v>
      </c>
      <c r="S51" s="24">
        <f t="shared" si="54"/>
        <v>19244</v>
      </c>
      <c r="T51" s="970">
        <f t="shared" si="55"/>
        <v>9.622E-2</v>
      </c>
      <c r="U51" s="971">
        <f t="shared" si="56"/>
        <v>2.0302419999999999</v>
      </c>
    </row>
    <row r="52" spans="1:21" x14ac:dyDescent="0.2">
      <c r="A52" s="33">
        <f t="shared" si="0"/>
        <v>2039</v>
      </c>
      <c r="B52" s="791">
        <f t="shared" si="57"/>
        <v>5</v>
      </c>
      <c r="C52" s="565">
        <f t="shared" si="40"/>
        <v>113</v>
      </c>
      <c r="D52" s="965">
        <f t="shared" ref="D52:F52" si="61">+D51</f>
        <v>185.14</v>
      </c>
      <c r="E52" s="966">
        <f t="shared" si="61"/>
        <v>0</v>
      </c>
      <c r="F52" s="790">
        <f t="shared" si="61"/>
        <v>19244</v>
      </c>
      <c r="G52" s="473">
        <f t="shared" si="42"/>
        <v>0.92569999999999997</v>
      </c>
      <c r="H52" s="474">
        <f t="shared" si="43"/>
        <v>0</v>
      </c>
      <c r="I52" s="474">
        <f t="shared" si="44"/>
        <v>9.622E-2</v>
      </c>
      <c r="J52" s="61">
        <f t="shared" si="45"/>
        <v>5</v>
      </c>
      <c r="K52" s="967">
        <f t="shared" si="46"/>
        <v>185.14</v>
      </c>
      <c r="L52" s="967">
        <f t="shared" si="47"/>
        <v>0.92569999999999997</v>
      </c>
      <c r="M52" s="967">
        <f t="shared" si="48"/>
        <v>20.457969999999989</v>
      </c>
      <c r="N52" s="54">
        <f t="shared" si="49"/>
        <v>5</v>
      </c>
      <c r="O52" s="968">
        <f t="shared" si="50"/>
        <v>0</v>
      </c>
      <c r="P52" s="968">
        <f t="shared" si="51"/>
        <v>0</v>
      </c>
      <c r="Q52" s="969">
        <f t="shared" si="52"/>
        <v>0</v>
      </c>
      <c r="R52" s="247">
        <f t="shared" si="53"/>
        <v>5</v>
      </c>
      <c r="S52" s="24">
        <f t="shared" si="54"/>
        <v>19244</v>
      </c>
      <c r="T52" s="970">
        <f t="shared" si="55"/>
        <v>9.622E-2</v>
      </c>
      <c r="U52" s="971">
        <f t="shared" si="56"/>
        <v>2.1264620000000001</v>
      </c>
    </row>
    <row r="53" spans="1:21" x14ac:dyDescent="0.2">
      <c r="A53" s="33">
        <f t="shared" si="0"/>
        <v>2040</v>
      </c>
      <c r="B53" s="791">
        <f t="shared" si="57"/>
        <v>5</v>
      </c>
      <c r="C53" s="565">
        <f t="shared" si="40"/>
        <v>118</v>
      </c>
      <c r="D53" s="965">
        <f t="shared" ref="D53:F53" si="62">+D52</f>
        <v>185.14</v>
      </c>
      <c r="E53" s="966">
        <f t="shared" si="62"/>
        <v>0</v>
      </c>
      <c r="F53" s="790">
        <f t="shared" si="62"/>
        <v>19244</v>
      </c>
      <c r="G53" s="473">
        <f t="shared" si="42"/>
        <v>0.92569999999999997</v>
      </c>
      <c r="H53" s="474">
        <f t="shared" si="43"/>
        <v>0</v>
      </c>
      <c r="I53" s="474">
        <f t="shared" si="44"/>
        <v>9.622E-2</v>
      </c>
      <c r="J53" s="61">
        <f t="shared" si="45"/>
        <v>5</v>
      </c>
      <c r="K53" s="967">
        <f t="shared" si="46"/>
        <v>185.14</v>
      </c>
      <c r="L53" s="967">
        <f t="shared" si="47"/>
        <v>0.92569999999999997</v>
      </c>
      <c r="M53" s="967">
        <f t="shared" si="48"/>
        <v>21.383669999999988</v>
      </c>
      <c r="N53" s="54">
        <f t="shared" si="49"/>
        <v>5</v>
      </c>
      <c r="O53" s="968">
        <f t="shared" si="50"/>
        <v>0</v>
      </c>
      <c r="P53" s="968">
        <f t="shared" si="51"/>
        <v>0</v>
      </c>
      <c r="Q53" s="969">
        <f t="shared" si="52"/>
        <v>0</v>
      </c>
      <c r="R53" s="247">
        <f t="shared" si="53"/>
        <v>5</v>
      </c>
      <c r="S53" s="24">
        <f t="shared" si="54"/>
        <v>19244</v>
      </c>
      <c r="T53" s="970">
        <f t="shared" si="55"/>
        <v>9.622E-2</v>
      </c>
      <c r="U53" s="971">
        <f t="shared" si="56"/>
        <v>2.2226820000000003</v>
      </c>
    </row>
    <row r="54" spans="1:21" x14ac:dyDescent="0.2">
      <c r="A54" s="33">
        <f t="shared" si="0"/>
        <v>2041</v>
      </c>
      <c r="B54" s="791">
        <f t="shared" si="57"/>
        <v>5</v>
      </c>
      <c r="C54" s="565">
        <f t="shared" si="40"/>
        <v>123</v>
      </c>
      <c r="D54" s="965">
        <f t="shared" ref="D54:F54" si="63">+D53</f>
        <v>185.14</v>
      </c>
      <c r="E54" s="966">
        <f t="shared" si="63"/>
        <v>0</v>
      </c>
      <c r="F54" s="790">
        <f t="shared" si="63"/>
        <v>19244</v>
      </c>
      <c r="G54" s="473">
        <f t="shared" si="42"/>
        <v>0.92569999999999997</v>
      </c>
      <c r="H54" s="474">
        <f t="shared" si="43"/>
        <v>0</v>
      </c>
      <c r="I54" s="474">
        <f t="shared" si="44"/>
        <v>9.622E-2</v>
      </c>
      <c r="J54" s="61">
        <f t="shared" si="45"/>
        <v>5</v>
      </c>
      <c r="K54" s="967">
        <f t="shared" si="46"/>
        <v>185.14</v>
      </c>
      <c r="L54" s="967">
        <f t="shared" si="47"/>
        <v>0.92569999999999997</v>
      </c>
      <c r="M54" s="967">
        <f t="shared" si="48"/>
        <v>22.309369999999987</v>
      </c>
      <c r="N54" s="54">
        <f t="shared" si="49"/>
        <v>5</v>
      </c>
      <c r="O54" s="968">
        <f t="shared" si="50"/>
        <v>0</v>
      </c>
      <c r="P54" s="968">
        <f t="shared" si="51"/>
        <v>0</v>
      </c>
      <c r="Q54" s="969">
        <f t="shared" si="52"/>
        <v>0</v>
      </c>
      <c r="R54" s="247">
        <f t="shared" si="53"/>
        <v>5</v>
      </c>
      <c r="S54" s="24">
        <f t="shared" si="54"/>
        <v>19244</v>
      </c>
      <c r="T54" s="970">
        <f t="shared" si="55"/>
        <v>9.622E-2</v>
      </c>
      <c r="U54" s="971">
        <f t="shared" si="56"/>
        <v>2.3189020000000005</v>
      </c>
    </row>
    <row r="55" spans="1:21" s="2" customFormat="1" x14ac:dyDescent="0.2">
      <c r="A55" s="491"/>
      <c r="B55" s="1065"/>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1CBE06"/>
  </sheetPr>
  <dimension ref="A1:X59"/>
  <sheetViews>
    <sheetView workbookViewId="0">
      <pane xSplit="1" ySplit="5" topLeftCell="B24"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327</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807"/>
      <c r="E8" s="808"/>
      <c r="F8" s="675"/>
      <c r="G8" s="626"/>
      <c r="H8" s="72"/>
      <c r="I8" s="630"/>
      <c r="J8" s="61"/>
      <c r="K8" s="188"/>
      <c r="L8" s="188"/>
      <c r="M8" s="188"/>
      <c r="N8" s="51"/>
      <c r="O8" s="670"/>
      <c r="P8" s="670"/>
      <c r="Q8" s="670"/>
      <c r="R8" s="247"/>
      <c r="S8" s="24"/>
      <c r="T8" s="25"/>
      <c r="U8" s="654"/>
      <c r="V8" s="248"/>
      <c r="X8" s="1"/>
    </row>
    <row r="9" spans="1:24" x14ac:dyDescent="0.2">
      <c r="A9" s="33">
        <v>1996</v>
      </c>
      <c r="B9" s="30"/>
      <c r="C9" s="660"/>
      <c r="D9" s="807"/>
      <c r="E9" s="808"/>
      <c r="F9" s="675"/>
      <c r="G9" s="626"/>
      <c r="H9" s="72"/>
      <c r="I9" s="630"/>
      <c r="J9" s="61"/>
      <c r="K9" s="188"/>
      <c r="L9" s="188"/>
      <c r="M9" s="188"/>
      <c r="N9" s="54"/>
      <c r="O9" s="670"/>
      <c r="P9" s="670"/>
      <c r="Q9" s="670"/>
      <c r="R9" s="247"/>
      <c r="S9" s="24"/>
      <c r="T9" s="25"/>
      <c r="U9" s="654"/>
      <c r="V9" s="10"/>
      <c r="X9" s="1"/>
    </row>
    <row r="10" spans="1:24" x14ac:dyDescent="0.2">
      <c r="A10" s="33">
        <v>1997</v>
      </c>
      <c r="B10" s="30"/>
      <c r="C10" s="660"/>
      <c r="D10" s="807"/>
      <c r="E10" s="808"/>
      <c r="F10" s="675"/>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807"/>
      <c r="E11" s="808"/>
      <c r="F11" s="675"/>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807"/>
      <c r="E12" s="808"/>
      <c r="F12" s="675"/>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807"/>
      <c r="E13" s="808"/>
      <c r="F13" s="675"/>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807"/>
      <c r="E14" s="808"/>
      <c r="F14" s="675"/>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807"/>
      <c r="E15" s="808"/>
      <c r="F15" s="675"/>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807"/>
      <c r="E16" s="808"/>
      <c r="F16" s="675"/>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807"/>
      <c r="E17" s="808"/>
      <c r="F17" s="675"/>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807"/>
      <c r="E18" s="808"/>
      <c r="F18" s="675"/>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807"/>
      <c r="E19" s="808"/>
      <c r="F19" s="675"/>
      <c r="G19" s="626"/>
      <c r="H19" s="72"/>
      <c r="I19" s="630"/>
      <c r="J19" s="61"/>
      <c r="K19" s="188"/>
      <c r="L19" s="188"/>
      <c r="M19" s="188"/>
      <c r="N19" s="54"/>
      <c r="O19" s="670"/>
      <c r="P19" s="670"/>
      <c r="Q19" s="670"/>
      <c r="R19" s="247"/>
      <c r="S19" s="24"/>
      <c r="T19" s="25"/>
      <c r="U19" s="654"/>
      <c r="V19" s="804"/>
      <c r="X19" s="1"/>
    </row>
    <row r="20" spans="1:24" x14ac:dyDescent="0.2">
      <c r="A20" s="33">
        <f t="shared" si="0"/>
        <v>2007</v>
      </c>
      <c r="B20" s="30"/>
      <c r="C20" s="660"/>
      <c r="D20" s="807"/>
      <c r="E20" s="808"/>
      <c r="F20" s="675"/>
      <c r="G20" s="626"/>
      <c r="H20" s="72"/>
      <c r="I20" s="630"/>
      <c r="J20" s="61"/>
      <c r="K20" s="188"/>
      <c r="L20" s="188"/>
      <c r="M20" s="188"/>
      <c r="N20" s="54"/>
      <c r="O20" s="670"/>
      <c r="P20" s="670"/>
      <c r="Q20" s="670"/>
      <c r="R20" s="247"/>
      <c r="S20" s="24"/>
      <c r="T20" s="25"/>
      <c r="U20" s="654"/>
    </row>
    <row r="21" spans="1:24" x14ac:dyDescent="0.2">
      <c r="A21" s="33">
        <f t="shared" si="0"/>
        <v>2008</v>
      </c>
      <c r="B21" s="30"/>
      <c r="C21" s="660"/>
      <c r="D21" s="807"/>
      <c r="E21" s="808"/>
      <c r="F21" s="806"/>
      <c r="G21" s="626"/>
      <c r="H21" s="72"/>
      <c r="I21" s="630"/>
      <c r="J21" s="61"/>
      <c r="K21" s="188"/>
      <c r="L21" s="188"/>
      <c r="M21" s="188"/>
      <c r="N21" s="54"/>
      <c r="O21" s="670"/>
      <c r="P21" s="670"/>
      <c r="Q21" s="670"/>
      <c r="R21" s="247"/>
      <c r="S21" s="24"/>
      <c r="T21" s="25"/>
      <c r="U21" s="654"/>
    </row>
    <row r="22" spans="1:24" x14ac:dyDescent="0.2">
      <c r="A22" s="33">
        <f t="shared" si="0"/>
        <v>2009</v>
      </c>
      <c r="B22" s="30"/>
      <c r="C22" s="660"/>
      <c r="D22" s="807">
        <v>0</v>
      </c>
      <c r="E22" s="808">
        <v>0</v>
      </c>
      <c r="F22" s="806">
        <v>0</v>
      </c>
      <c r="G22" s="626"/>
      <c r="H22" s="72"/>
      <c r="I22" s="630"/>
      <c r="J22" s="61"/>
      <c r="K22" s="188"/>
      <c r="L22" s="188"/>
      <c r="M22" s="188"/>
      <c r="N22" s="54"/>
      <c r="O22" s="670"/>
      <c r="P22" s="670"/>
      <c r="Q22" s="670"/>
      <c r="R22" s="247"/>
      <c r="S22" s="24"/>
      <c r="T22" s="25"/>
      <c r="U22" s="654"/>
    </row>
    <row r="23" spans="1:24" x14ac:dyDescent="0.2">
      <c r="A23" s="33">
        <f t="shared" si="0"/>
        <v>2010</v>
      </c>
      <c r="B23" s="605">
        <v>0</v>
      </c>
      <c r="C23" s="661">
        <f t="shared" ref="C23:C39" si="1">+C22+B23</f>
        <v>0</v>
      </c>
      <c r="D23" s="807">
        <f t="shared" ref="D23:F38" si="2">+D22</f>
        <v>0</v>
      </c>
      <c r="E23" s="808">
        <f t="shared" si="2"/>
        <v>0</v>
      </c>
      <c r="F23" s="806">
        <f t="shared" si="2"/>
        <v>0</v>
      </c>
      <c r="G23" s="626">
        <f t="shared" ref="G23:H39" si="3">+$B23*D23/1000</f>
        <v>0</v>
      </c>
      <c r="H23" s="72">
        <f t="shared" si="3"/>
        <v>0</v>
      </c>
      <c r="I23" s="630">
        <f t="shared" ref="I23:I39" si="4">+$B23*F23/1000000</f>
        <v>0</v>
      </c>
      <c r="J23" s="666">
        <f t="shared" ref="J23:J39" si="5">+(B23+B22)/2</f>
        <v>0</v>
      </c>
      <c r="K23" s="188">
        <f t="shared" ref="K23:K39" si="6">+D23</f>
        <v>0</v>
      </c>
      <c r="L23" s="188">
        <f t="shared" ref="L23:L39" si="7">+J23*K23/1000</f>
        <v>0</v>
      </c>
      <c r="M23" s="188">
        <f t="shared" ref="M23:M39" si="8">+M22+L23</f>
        <v>0</v>
      </c>
      <c r="N23" s="669">
        <f t="shared" ref="N23:N39" si="9">+B22</f>
        <v>0</v>
      </c>
      <c r="O23" s="670">
        <f t="shared" ref="O23:O39" si="10">+E23</f>
        <v>0</v>
      </c>
      <c r="P23" s="670">
        <f t="shared" ref="P23:P39" si="11">+N23*O23/1000</f>
        <v>0</v>
      </c>
      <c r="Q23" s="670">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605">
        <v>0</v>
      </c>
      <c r="C24" s="661">
        <f t="shared" si="1"/>
        <v>0</v>
      </c>
      <c r="D24" s="807">
        <f t="shared" si="2"/>
        <v>0</v>
      </c>
      <c r="E24" s="808">
        <f t="shared" si="2"/>
        <v>0</v>
      </c>
      <c r="F24" s="806">
        <f t="shared" si="2"/>
        <v>0</v>
      </c>
      <c r="G24" s="626">
        <f t="shared" si="3"/>
        <v>0</v>
      </c>
      <c r="H24" s="72">
        <f t="shared" si="3"/>
        <v>0</v>
      </c>
      <c r="I24" s="630">
        <f t="shared" si="4"/>
        <v>0</v>
      </c>
      <c r="J24" s="666">
        <f t="shared" si="5"/>
        <v>0</v>
      </c>
      <c r="K24" s="188">
        <f t="shared" si="6"/>
        <v>0</v>
      </c>
      <c r="L24" s="188">
        <f t="shared" si="7"/>
        <v>0</v>
      </c>
      <c r="M24" s="188">
        <f t="shared" si="8"/>
        <v>0</v>
      </c>
      <c r="N24" s="669">
        <f t="shared" si="9"/>
        <v>0</v>
      </c>
      <c r="O24" s="670">
        <f t="shared" si="10"/>
        <v>0</v>
      </c>
      <c r="P24" s="670">
        <f t="shared" si="11"/>
        <v>0</v>
      </c>
      <c r="Q24" s="670">
        <f t="shared" si="12"/>
        <v>0</v>
      </c>
      <c r="R24" s="247">
        <f t="shared" si="13"/>
        <v>0</v>
      </c>
      <c r="S24" s="24">
        <f t="shared" si="14"/>
        <v>0</v>
      </c>
      <c r="T24" s="25">
        <f t="shared" si="15"/>
        <v>0</v>
      </c>
      <c r="U24" s="654">
        <f t="shared" si="16"/>
        <v>0</v>
      </c>
    </row>
    <row r="25" spans="1:24" x14ac:dyDescent="0.2">
      <c r="A25" s="33">
        <f t="shared" si="0"/>
        <v>2012</v>
      </c>
      <c r="B25" s="30">
        <v>0</v>
      </c>
      <c r="C25" s="661">
        <f t="shared" si="1"/>
        <v>0</v>
      </c>
      <c r="D25" s="807">
        <f t="shared" si="2"/>
        <v>0</v>
      </c>
      <c r="E25" s="808">
        <f t="shared" si="2"/>
        <v>0</v>
      </c>
      <c r="F25" s="806">
        <f t="shared" si="2"/>
        <v>0</v>
      </c>
      <c r="G25" s="626">
        <f t="shared" si="3"/>
        <v>0</v>
      </c>
      <c r="H25" s="72">
        <f t="shared" si="3"/>
        <v>0</v>
      </c>
      <c r="I25" s="630">
        <f t="shared" si="4"/>
        <v>0</v>
      </c>
      <c r="J25" s="666">
        <f t="shared" si="5"/>
        <v>0</v>
      </c>
      <c r="K25" s="188">
        <f t="shared" si="6"/>
        <v>0</v>
      </c>
      <c r="L25" s="188">
        <f t="shared" si="7"/>
        <v>0</v>
      </c>
      <c r="M25" s="188">
        <f t="shared" si="8"/>
        <v>0</v>
      </c>
      <c r="N25" s="669">
        <f t="shared" si="9"/>
        <v>0</v>
      </c>
      <c r="O25" s="670">
        <f t="shared" si="10"/>
        <v>0</v>
      </c>
      <c r="P25" s="670">
        <f t="shared" si="11"/>
        <v>0</v>
      </c>
      <c r="Q25" s="670">
        <f t="shared" si="12"/>
        <v>0</v>
      </c>
      <c r="R25" s="247">
        <f t="shared" si="13"/>
        <v>0</v>
      </c>
      <c r="S25" s="24">
        <f t="shared" si="14"/>
        <v>0</v>
      </c>
      <c r="T25" s="25">
        <f t="shared" si="15"/>
        <v>0</v>
      </c>
      <c r="U25" s="654">
        <f t="shared" si="16"/>
        <v>0</v>
      </c>
    </row>
    <row r="26" spans="1:24" x14ac:dyDescent="0.2">
      <c r="A26" s="33">
        <f t="shared" si="0"/>
        <v>2013</v>
      </c>
      <c r="B26" s="30">
        <v>0</v>
      </c>
      <c r="C26" s="661">
        <f t="shared" si="1"/>
        <v>0</v>
      </c>
      <c r="D26" s="807">
        <f t="shared" si="2"/>
        <v>0</v>
      </c>
      <c r="E26" s="808">
        <f t="shared" si="2"/>
        <v>0</v>
      </c>
      <c r="F26" s="806">
        <f t="shared" si="2"/>
        <v>0</v>
      </c>
      <c r="G26" s="626">
        <f t="shared" si="3"/>
        <v>0</v>
      </c>
      <c r="H26" s="72">
        <f t="shared" si="3"/>
        <v>0</v>
      </c>
      <c r="I26" s="630">
        <f t="shared" si="4"/>
        <v>0</v>
      </c>
      <c r="J26" s="666">
        <f t="shared" si="5"/>
        <v>0</v>
      </c>
      <c r="K26" s="188">
        <f t="shared" si="6"/>
        <v>0</v>
      </c>
      <c r="L26" s="188">
        <f t="shared" si="7"/>
        <v>0</v>
      </c>
      <c r="M26" s="188">
        <f t="shared" si="8"/>
        <v>0</v>
      </c>
      <c r="N26" s="669">
        <f t="shared" si="9"/>
        <v>0</v>
      </c>
      <c r="O26" s="670">
        <f t="shared" si="10"/>
        <v>0</v>
      </c>
      <c r="P26" s="670">
        <f t="shared" si="11"/>
        <v>0</v>
      </c>
      <c r="Q26" s="670">
        <f t="shared" si="12"/>
        <v>0</v>
      </c>
      <c r="R26" s="247">
        <f t="shared" si="13"/>
        <v>0</v>
      </c>
      <c r="S26" s="24">
        <f t="shared" si="14"/>
        <v>0</v>
      </c>
      <c r="T26" s="25">
        <f t="shared" si="15"/>
        <v>0</v>
      </c>
      <c r="U26" s="654">
        <f t="shared" si="16"/>
        <v>0</v>
      </c>
    </row>
    <row r="27" spans="1:24" x14ac:dyDescent="0.2">
      <c r="A27" s="33">
        <f t="shared" si="0"/>
        <v>2014</v>
      </c>
      <c r="B27" s="30">
        <v>0</v>
      </c>
      <c r="C27" s="661">
        <f t="shared" si="1"/>
        <v>0</v>
      </c>
      <c r="D27" s="807">
        <f t="shared" si="2"/>
        <v>0</v>
      </c>
      <c r="E27" s="808">
        <f t="shared" si="2"/>
        <v>0</v>
      </c>
      <c r="F27" s="806">
        <f t="shared" si="2"/>
        <v>0</v>
      </c>
      <c r="G27" s="626">
        <f t="shared" si="3"/>
        <v>0</v>
      </c>
      <c r="H27" s="72">
        <f t="shared" si="3"/>
        <v>0</v>
      </c>
      <c r="I27" s="630">
        <f t="shared" si="4"/>
        <v>0</v>
      </c>
      <c r="J27" s="666">
        <f t="shared" si="5"/>
        <v>0</v>
      </c>
      <c r="K27" s="188">
        <f t="shared" si="6"/>
        <v>0</v>
      </c>
      <c r="L27" s="188">
        <f t="shared" si="7"/>
        <v>0</v>
      </c>
      <c r="M27" s="188">
        <f t="shared" si="8"/>
        <v>0</v>
      </c>
      <c r="N27" s="669">
        <f t="shared" si="9"/>
        <v>0</v>
      </c>
      <c r="O27" s="670">
        <f t="shared" si="10"/>
        <v>0</v>
      </c>
      <c r="P27" s="670">
        <f t="shared" si="11"/>
        <v>0</v>
      </c>
      <c r="Q27" s="670">
        <f t="shared" si="12"/>
        <v>0</v>
      </c>
      <c r="R27" s="247">
        <f t="shared" si="13"/>
        <v>0</v>
      </c>
      <c r="S27" s="24">
        <f t="shared" si="14"/>
        <v>0</v>
      </c>
      <c r="T27" s="25">
        <f t="shared" si="15"/>
        <v>0</v>
      </c>
      <c r="U27" s="654">
        <f t="shared" si="16"/>
        <v>0</v>
      </c>
    </row>
    <row r="28" spans="1:24" x14ac:dyDescent="0.2">
      <c r="A28" s="33">
        <f t="shared" si="0"/>
        <v>2015</v>
      </c>
      <c r="B28" s="30">
        <v>0</v>
      </c>
      <c r="C28" s="661">
        <f t="shared" si="1"/>
        <v>0</v>
      </c>
      <c r="D28" s="807"/>
      <c r="E28" s="808"/>
      <c r="F28" s="806"/>
      <c r="G28" s="626">
        <f t="shared" si="3"/>
        <v>0</v>
      </c>
      <c r="H28" s="72">
        <f t="shared" si="3"/>
        <v>0</v>
      </c>
      <c r="I28" s="630">
        <f t="shared" si="4"/>
        <v>0</v>
      </c>
      <c r="J28" s="666">
        <f t="shared" si="5"/>
        <v>0</v>
      </c>
      <c r="K28" s="188">
        <f t="shared" si="6"/>
        <v>0</v>
      </c>
      <c r="L28" s="188">
        <f t="shared" si="7"/>
        <v>0</v>
      </c>
      <c r="M28" s="188">
        <f t="shared" si="8"/>
        <v>0</v>
      </c>
      <c r="N28" s="669">
        <f t="shared" si="9"/>
        <v>0</v>
      </c>
      <c r="O28" s="670">
        <f t="shared" si="10"/>
        <v>0</v>
      </c>
      <c r="P28" s="670">
        <f t="shared" si="11"/>
        <v>0</v>
      </c>
      <c r="Q28" s="670">
        <f t="shared" si="12"/>
        <v>0</v>
      </c>
      <c r="R28" s="247">
        <f t="shared" si="13"/>
        <v>0</v>
      </c>
      <c r="S28" s="24">
        <f t="shared" si="14"/>
        <v>0</v>
      </c>
      <c r="T28" s="25">
        <f t="shared" si="15"/>
        <v>0</v>
      </c>
      <c r="U28" s="654">
        <f t="shared" si="16"/>
        <v>0</v>
      </c>
    </row>
    <row r="29" spans="1:24" ht="13.5" thickBot="1" x14ac:dyDescent="0.25">
      <c r="A29" s="34">
        <f t="shared" si="0"/>
        <v>2016</v>
      </c>
      <c r="B29" s="400">
        <v>0</v>
      </c>
      <c r="C29" s="1386">
        <f t="shared" si="1"/>
        <v>0</v>
      </c>
      <c r="D29" s="664">
        <v>0.5</v>
      </c>
      <c r="E29" s="665">
        <v>0.39</v>
      </c>
      <c r="F29" s="640">
        <v>682</v>
      </c>
      <c r="G29" s="621">
        <f t="shared" si="3"/>
        <v>0</v>
      </c>
      <c r="H29" s="448">
        <f t="shared" si="3"/>
        <v>0</v>
      </c>
      <c r="I29" s="622">
        <f t="shared" si="4"/>
        <v>0</v>
      </c>
      <c r="J29" s="667">
        <f t="shared" si="5"/>
        <v>0</v>
      </c>
      <c r="K29" s="287">
        <f t="shared" si="6"/>
        <v>0.5</v>
      </c>
      <c r="L29" s="287">
        <f t="shared" si="7"/>
        <v>0</v>
      </c>
      <c r="M29" s="287">
        <f t="shared" si="8"/>
        <v>0</v>
      </c>
      <c r="N29" s="672">
        <f t="shared" si="9"/>
        <v>0</v>
      </c>
      <c r="O29" s="673">
        <f t="shared" si="10"/>
        <v>0.39</v>
      </c>
      <c r="P29" s="673">
        <f t="shared" si="11"/>
        <v>0</v>
      </c>
      <c r="Q29" s="673">
        <f t="shared" si="12"/>
        <v>0</v>
      </c>
      <c r="R29" s="401">
        <f t="shared" si="13"/>
        <v>0</v>
      </c>
      <c r="S29" s="156">
        <f t="shared" si="14"/>
        <v>682</v>
      </c>
      <c r="T29" s="157">
        <f t="shared" si="15"/>
        <v>0</v>
      </c>
      <c r="U29" s="655">
        <f t="shared" si="16"/>
        <v>0</v>
      </c>
    </row>
    <row r="30" spans="1:24" x14ac:dyDescent="0.2">
      <c r="A30" s="283">
        <f t="shared" si="0"/>
        <v>2017</v>
      </c>
      <c r="B30" s="403">
        <v>2</v>
      </c>
      <c r="C30" s="284">
        <f t="shared" si="1"/>
        <v>2</v>
      </c>
      <c r="D30" s="1014">
        <f t="shared" si="2"/>
        <v>0.5</v>
      </c>
      <c r="E30" s="1015">
        <f t="shared" si="2"/>
        <v>0.39</v>
      </c>
      <c r="F30" s="1016">
        <f t="shared" si="2"/>
        <v>682</v>
      </c>
      <c r="G30" s="1017">
        <f t="shared" si="3"/>
        <v>1E-3</v>
      </c>
      <c r="H30" s="1018">
        <f t="shared" si="3"/>
        <v>7.7999999999999999E-4</v>
      </c>
      <c r="I30" s="1018">
        <f t="shared" si="4"/>
        <v>1.364E-3</v>
      </c>
      <c r="J30" s="138">
        <f t="shared" si="5"/>
        <v>1</v>
      </c>
      <c r="K30" s="1019">
        <f t="shared" si="6"/>
        <v>0.5</v>
      </c>
      <c r="L30" s="1019">
        <f t="shared" si="7"/>
        <v>5.0000000000000001E-4</v>
      </c>
      <c r="M30" s="1019">
        <f t="shared" si="8"/>
        <v>5.0000000000000001E-4</v>
      </c>
      <c r="N30" s="141">
        <f t="shared" si="9"/>
        <v>0</v>
      </c>
      <c r="O30" s="1020">
        <f t="shared" si="10"/>
        <v>0.39</v>
      </c>
      <c r="P30" s="1020">
        <f t="shared" si="11"/>
        <v>0</v>
      </c>
      <c r="Q30" s="1021">
        <f t="shared" si="12"/>
        <v>0</v>
      </c>
      <c r="R30" s="891">
        <f t="shared" si="13"/>
        <v>1</v>
      </c>
      <c r="S30" s="145">
        <f t="shared" si="14"/>
        <v>682</v>
      </c>
      <c r="T30" s="1022">
        <f t="shared" si="15"/>
        <v>6.8199999999999999E-4</v>
      </c>
      <c r="U30" s="1023">
        <f t="shared" si="16"/>
        <v>6.8199999999999999E-4</v>
      </c>
    </row>
    <row r="31" spans="1:24" x14ac:dyDescent="0.2">
      <c r="A31" s="33">
        <f t="shared" si="0"/>
        <v>2018</v>
      </c>
      <c r="B31" s="403">
        <v>2</v>
      </c>
      <c r="C31" s="64">
        <f t="shared" si="1"/>
        <v>4</v>
      </c>
      <c r="D31" s="965">
        <f t="shared" si="2"/>
        <v>0.5</v>
      </c>
      <c r="E31" s="966">
        <f t="shared" si="2"/>
        <v>0.39</v>
      </c>
      <c r="F31" s="790">
        <f t="shared" si="2"/>
        <v>682</v>
      </c>
      <c r="G31" s="473">
        <f t="shared" si="3"/>
        <v>1E-3</v>
      </c>
      <c r="H31" s="474">
        <f t="shared" si="3"/>
        <v>7.7999999999999999E-4</v>
      </c>
      <c r="I31" s="474">
        <f t="shared" si="4"/>
        <v>1.364E-3</v>
      </c>
      <c r="J31" s="61">
        <f t="shared" si="5"/>
        <v>2</v>
      </c>
      <c r="K31" s="967">
        <f t="shared" si="6"/>
        <v>0.5</v>
      </c>
      <c r="L31" s="967">
        <f t="shared" si="7"/>
        <v>1E-3</v>
      </c>
      <c r="M31" s="967">
        <f t="shared" si="8"/>
        <v>1.5E-3</v>
      </c>
      <c r="N31" s="54">
        <f t="shared" si="9"/>
        <v>2</v>
      </c>
      <c r="O31" s="968">
        <f t="shared" si="10"/>
        <v>0.39</v>
      </c>
      <c r="P31" s="968">
        <f t="shared" si="11"/>
        <v>7.7999999999999999E-4</v>
      </c>
      <c r="Q31" s="969">
        <f t="shared" si="12"/>
        <v>7.7999999999999999E-4</v>
      </c>
      <c r="R31" s="247">
        <f t="shared" si="13"/>
        <v>2</v>
      </c>
      <c r="S31" s="24">
        <f t="shared" si="14"/>
        <v>682</v>
      </c>
      <c r="T31" s="970">
        <f t="shared" si="15"/>
        <v>1.364E-3</v>
      </c>
      <c r="U31" s="971">
        <f t="shared" si="16"/>
        <v>2.0460000000000001E-3</v>
      </c>
    </row>
    <row r="32" spans="1:24" x14ac:dyDescent="0.2">
      <c r="A32" s="33">
        <f t="shared" si="0"/>
        <v>2019</v>
      </c>
      <c r="B32" s="403">
        <v>2</v>
      </c>
      <c r="C32" s="64">
        <f t="shared" si="1"/>
        <v>6</v>
      </c>
      <c r="D32" s="965">
        <f t="shared" si="2"/>
        <v>0.5</v>
      </c>
      <c r="E32" s="966">
        <f t="shared" si="2"/>
        <v>0.39</v>
      </c>
      <c r="F32" s="790">
        <f t="shared" si="2"/>
        <v>682</v>
      </c>
      <c r="G32" s="473">
        <f t="shared" si="3"/>
        <v>1E-3</v>
      </c>
      <c r="H32" s="474">
        <f t="shared" si="3"/>
        <v>7.7999999999999999E-4</v>
      </c>
      <c r="I32" s="474">
        <f t="shared" si="4"/>
        <v>1.364E-3</v>
      </c>
      <c r="J32" s="61">
        <f t="shared" si="5"/>
        <v>2</v>
      </c>
      <c r="K32" s="967">
        <f t="shared" si="6"/>
        <v>0.5</v>
      </c>
      <c r="L32" s="967">
        <f t="shared" si="7"/>
        <v>1E-3</v>
      </c>
      <c r="M32" s="967">
        <f t="shared" si="8"/>
        <v>2.5000000000000001E-3</v>
      </c>
      <c r="N32" s="54">
        <f t="shared" si="9"/>
        <v>2</v>
      </c>
      <c r="O32" s="968">
        <f t="shared" si="10"/>
        <v>0.39</v>
      </c>
      <c r="P32" s="968">
        <f t="shared" si="11"/>
        <v>7.7999999999999999E-4</v>
      </c>
      <c r="Q32" s="969">
        <f t="shared" si="12"/>
        <v>1.56E-3</v>
      </c>
      <c r="R32" s="247">
        <f t="shared" si="13"/>
        <v>2</v>
      </c>
      <c r="S32" s="24">
        <f t="shared" si="14"/>
        <v>682</v>
      </c>
      <c r="T32" s="970">
        <f t="shared" si="15"/>
        <v>1.364E-3</v>
      </c>
      <c r="U32" s="971">
        <f t="shared" si="16"/>
        <v>3.4099999999999998E-3</v>
      </c>
    </row>
    <row r="33" spans="1:21" x14ac:dyDescent="0.2">
      <c r="A33" s="33">
        <f t="shared" si="0"/>
        <v>2020</v>
      </c>
      <c r="B33" s="403">
        <v>2</v>
      </c>
      <c r="C33" s="64">
        <f t="shared" si="1"/>
        <v>8</v>
      </c>
      <c r="D33" s="965">
        <f t="shared" si="2"/>
        <v>0.5</v>
      </c>
      <c r="E33" s="966">
        <f t="shared" si="2"/>
        <v>0.39</v>
      </c>
      <c r="F33" s="790">
        <f t="shared" si="2"/>
        <v>682</v>
      </c>
      <c r="G33" s="473">
        <f t="shared" si="3"/>
        <v>1E-3</v>
      </c>
      <c r="H33" s="474">
        <f t="shared" si="3"/>
        <v>7.7999999999999999E-4</v>
      </c>
      <c r="I33" s="474">
        <f t="shared" si="4"/>
        <v>1.364E-3</v>
      </c>
      <c r="J33" s="61">
        <f t="shared" si="5"/>
        <v>2</v>
      </c>
      <c r="K33" s="967">
        <f t="shared" si="6"/>
        <v>0.5</v>
      </c>
      <c r="L33" s="967">
        <f t="shared" si="7"/>
        <v>1E-3</v>
      </c>
      <c r="M33" s="967">
        <f t="shared" si="8"/>
        <v>3.5000000000000001E-3</v>
      </c>
      <c r="N33" s="54">
        <f t="shared" si="9"/>
        <v>2</v>
      </c>
      <c r="O33" s="968">
        <f t="shared" si="10"/>
        <v>0.39</v>
      </c>
      <c r="P33" s="968">
        <f t="shared" si="11"/>
        <v>7.7999999999999999E-4</v>
      </c>
      <c r="Q33" s="969">
        <f t="shared" si="12"/>
        <v>2.3400000000000001E-3</v>
      </c>
      <c r="R33" s="247">
        <f t="shared" si="13"/>
        <v>2</v>
      </c>
      <c r="S33" s="24">
        <f t="shared" si="14"/>
        <v>682</v>
      </c>
      <c r="T33" s="970">
        <f t="shared" si="15"/>
        <v>1.364E-3</v>
      </c>
      <c r="U33" s="971">
        <f t="shared" si="16"/>
        <v>4.7739999999999996E-3</v>
      </c>
    </row>
    <row r="34" spans="1:21" x14ac:dyDescent="0.2">
      <c r="A34" s="33">
        <f t="shared" si="0"/>
        <v>2021</v>
      </c>
      <c r="B34" s="403">
        <v>2</v>
      </c>
      <c r="C34" s="64">
        <f t="shared" si="1"/>
        <v>10</v>
      </c>
      <c r="D34" s="965">
        <f t="shared" si="2"/>
        <v>0.5</v>
      </c>
      <c r="E34" s="966">
        <f t="shared" si="2"/>
        <v>0.39</v>
      </c>
      <c r="F34" s="790">
        <f t="shared" si="2"/>
        <v>682</v>
      </c>
      <c r="G34" s="473">
        <f t="shared" si="3"/>
        <v>1E-3</v>
      </c>
      <c r="H34" s="474">
        <f t="shared" si="3"/>
        <v>7.7999999999999999E-4</v>
      </c>
      <c r="I34" s="474">
        <f t="shared" si="4"/>
        <v>1.364E-3</v>
      </c>
      <c r="J34" s="61">
        <f t="shared" si="5"/>
        <v>2</v>
      </c>
      <c r="K34" s="967">
        <f t="shared" si="6"/>
        <v>0.5</v>
      </c>
      <c r="L34" s="967">
        <f t="shared" si="7"/>
        <v>1E-3</v>
      </c>
      <c r="M34" s="967">
        <f t="shared" si="8"/>
        <v>4.5000000000000005E-3</v>
      </c>
      <c r="N34" s="54">
        <f t="shared" si="9"/>
        <v>2</v>
      </c>
      <c r="O34" s="968">
        <f t="shared" si="10"/>
        <v>0.39</v>
      </c>
      <c r="P34" s="968">
        <f t="shared" si="11"/>
        <v>7.7999999999999999E-4</v>
      </c>
      <c r="Q34" s="969">
        <f t="shared" si="12"/>
        <v>3.1199999999999999E-3</v>
      </c>
      <c r="R34" s="247">
        <f t="shared" si="13"/>
        <v>2</v>
      </c>
      <c r="S34" s="24">
        <f t="shared" si="14"/>
        <v>682</v>
      </c>
      <c r="T34" s="970">
        <f t="shared" si="15"/>
        <v>1.364E-3</v>
      </c>
      <c r="U34" s="971">
        <f t="shared" si="16"/>
        <v>6.1379999999999994E-3</v>
      </c>
    </row>
    <row r="35" spans="1:21" x14ac:dyDescent="0.2">
      <c r="A35" s="33">
        <f t="shared" si="0"/>
        <v>2022</v>
      </c>
      <c r="B35" s="403">
        <v>2</v>
      </c>
      <c r="C35" s="64">
        <f t="shared" si="1"/>
        <v>12</v>
      </c>
      <c r="D35" s="965">
        <f t="shared" si="2"/>
        <v>0.5</v>
      </c>
      <c r="E35" s="966">
        <f t="shared" si="2"/>
        <v>0.39</v>
      </c>
      <c r="F35" s="790">
        <f t="shared" si="2"/>
        <v>682</v>
      </c>
      <c r="G35" s="473">
        <f t="shared" si="3"/>
        <v>1E-3</v>
      </c>
      <c r="H35" s="474">
        <f t="shared" si="3"/>
        <v>7.7999999999999999E-4</v>
      </c>
      <c r="I35" s="474">
        <f t="shared" si="4"/>
        <v>1.364E-3</v>
      </c>
      <c r="J35" s="61">
        <f t="shared" si="5"/>
        <v>2</v>
      </c>
      <c r="K35" s="967">
        <f t="shared" si="6"/>
        <v>0.5</v>
      </c>
      <c r="L35" s="967">
        <f t="shared" si="7"/>
        <v>1E-3</v>
      </c>
      <c r="M35" s="967">
        <f t="shared" si="8"/>
        <v>5.5000000000000005E-3</v>
      </c>
      <c r="N35" s="54">
        <f t="shared" si="9"/>
        <v>2</v>
      </c>
      <c r="O35" s="968">
        <f t="shared" si="10"/>
        <v>0.39</v>
      </c>
      <c r="P35" s="968">
        <f t="shared" si="11"/>
        <v>7.7999999999999999E-4</v>
      </c>
      <c r="Q35" s="969">
        <f t="shared" si="12"/>
        <v>3.8999999999999998E-3</v>
      </c>
      <c r="R35" s="247">
        <f t="shared" si="13"/>
        <v>2</v>
      </c>
      <c r="S35" s="24">
        <f t="shared" si="14"/>
        <v>682</v>
      </c>
      <c r="T35" s="970">
        <f t="shared" si="15"/>
        <v>1.364E-3</v>
      </c>
      <c r="U35" s="971">
        <f t="shared" si="16"/>
        <v>7.5019999999999991E-3</v>
      </c>
    </row>
    <row r="36" spans="1:21" x14ac:dyDescent="0.2">
      <c r="A36" s="33">
        <f t="shared" si="0"/>
        <v>2023</v>
      </c>
      <c r="B36" s="403">
        <v>2</v>
      </c>
      <c r="C36" s="64">
        <f t="shared" si="1"/>
        <v>14</v>
      </c>
      <c r="D36" s="965">
        <f t="shared" si="2"/>
        <v>0.5</v>
      </c>
      <c r="E36" s="966">
        <f t="shared" si="2"/>
        <v>0.39</v>
      </c>
      <c r="F36" s="790">
        <f t="shared" si="2"/>
        <v>682</v>
      </c>
      <c r="G36" s="473">
        <f t="shared" si="3"/>
        <v>1E-3</v>
      </c>
      <c r="H36" s="474">
        <f t="shared" si="3"/>
        <v>7.7999999999999999E-4</v>
      </c>
      <c r="I36" s="474">
        <f t="shared" si="4"/>
        <v>1.364E-3</v>
      </c>
      <c r="J36" s="61">
        <f t="shared" si="5"/>
        <v>2</v>
      </c>
      <c r="K36" s="967">
        <f t="shared" si="6"/>
        <v>0.5</v>
      </c>
      <c r="L36" s="967">
        <f t="shared" si="7"/>
        <v>1E-3</v>
      </c>
      <c r="M36" s="967">
        <f t="shared" si="8"/>
        <v>6.5000000000000006E-3</v>
      </c>
      <c r="N36" s="54">
        <f t="shared" si="9"/>
        <v>2</v>
      </c>
      <c r="O36" s="968">
        <f t="shared" si="10"/>
        <v>0.39</v>
      </c>
      <c r="P36" s="968">
        <f t="shared" si="11"/>
        <v>7.7999999999999999E-4</v>
      </c>
      <c r="Q36" s="969">
        <f t="shared" si="12"/>
        <v>4.6800000000000001E-3</v>
      </c>
      <c r="R36" s="247">
        <f t="shared" si="13"/>
        <v>2</v>
      </c>
      <c r="S36" s="24">
        <f t="shared" si="14"/>
        <v>682</v>
      </c>
      <c r="T36" s="970">
        <f t="shared" si="15"/>
        <v>1.364E-3</v>
      </c>
      <c r="U36" s="971">
        <f t="shared" si="16"/>
        <v>8.8659999999999989E-3</v>
      </c>
    </row>
    <row r="37" spans="1:21" x14ac:dyDescent="0.2">
      <c r="A37" s="447">
        <f t="shared" si="0"/>
        <v>2024</v>
      </c>
      <c r="B37" s="403">
        <v>2</v>
      </c>
      <c r="C37" s="64">
        <f t="shared" si="1"/>
        <v>16</v>
      </c>
      <c r="D37" s="965">
        <f t="shared" si="2"/>
        <v>0.5</v>
      </c>
      <c r="E37" s="966">
        <f t="shared" si="2"/>
        <v>0.39</v>
      </c>
      <c r="F37" s="790">
        <f t="shared" si="2"/>
        <v>682</v>
      </c>
      <c r="G37" s="473">
        <f t="shared" si="3"/>
        <v>1E-3</v>
      </c>
      <c r="H37" s="474">
        <f t="shared" si="3"/>
        <v>7.7999999999999999E-4</v>
      </c>
      <c r="I37" s="474">
        <f t="shared" si="4"/>
        <v>1.364E-3</v>
      </c>
      <c r="J37" s="61">
        <f t="shared" si="5"/>
        <v>2</v>
      </c>
      <c r="K37" s="967">
        <f t="shared" si="6"/>
        <v>0.5</v>
      </c>
      <c r="L37" s="967">
        <f t="shared" si="7"/>
        <v>1E-3</v>
      </c>
      <c r="M37" s="967">
        <f t="shared" si="8"/>
        <v>7.5000000000000006E-3</v>
      </c>
      <c r="N37" s="54">
        <f t="shared" si="9"/>
        <v>2</v>
      </c>
      <c r="O37" s="968">
        <f t="shared" si="10"/>
        <v>0.39</v>
      </c>
      <c r="P37" s="968">
        <f t="shared" si="11"/>
        <v>7.7999999999999999E-4</v>
      </c>
      <c r="Q37" s="969">
        <f t="shared" si="12"/>
        <v>5.4600000000000004E-3</v>
      </c>
      <c r="R37" s="247">
        <f t="shared" si="13"/>
        <v>2</v>
      </c>
      <c r="S37" s="24">
        <f t="shared" si="14"/>
        <v>682</v>
      </c>
      <c r="T37" s="970">
        <f t="shared" si="15"/>
        <v>1.364E-3</v>
      </c>
      <c r="U37" s="971">
        <f t="shared" si="16"/>
        <v>1.023E-2</v>
      </c>
    </row>
    <row r="38" spans="1:21" x14ac:dyDescent="0.2">
      <c r="A38" s="447">
        <f t="shared" si="0"/>
        <v>2025</v>
      </c>
      <c r="B38" s="403">
        <v>2</v>
      </c>
      <c r="C38" s="64">
        <f t="shared" si="1"/>
        <v>18</v>
      </c>
      <c r="D38" s="965">
        <f t="shared" si="2"/>
        <v>0.5</v>
      </c>
      <c r="E38" s="966">
        <f t="shared" si="2"/>
        <v>0.39</v>
      </c>
      <c r="F38" s="790">
        <f t="shared" si="2"/>
        <v>682</v>
      </c>
      <c r="G38" s="473">
        <f t="shared" si="3"/>
        <v>1E-3</v>
      </c>
      <c r="H38" s="474">
        <f t="shared" si="3"/>
        <v>7.7999999999999999E-4</v>
      </c>
      <c r="I38" s="474">
        <f t="shared" si="4"/>
        <v>1.364E-3</v>
      </c>
      <c r="J38" s="61">
        <f t="shared" si="5"/>
        <v>2</v>
      </c>
      <c r="K38" s="967">
        <f t="shared" si="6"/>
        <v>0.5</v>
      </c>
      <c r="L38" s="967">
        <f t="shared" si="7"/>
        <v>1E-3</v>
      </c>
      <c r="M38" s="967">
        <f t="shared" si="8"/>
        <v>8.5000000000000006E-3</v>
      </c>
      <c r="N38" s="54">
        <f t="shared" si="9"/>
        <v>2</v>
      </c>
      <c r="O38" s="968">
        <f t="shared" si="10"/>
        <v>0.39</v>
      </c>
      <c r="P38" s="968">
        <f t="shared" si="11"/>
        <v>7.7999999999999999E-4</v>
      </c>
      <c r="Q38" s="969">
        <f t="shared" si="12"/>
        <v>6.2400000000000008E-3</v>
      </c>
      <c r="R38" s="247">
        <f t="shared" si="13"/>
        <v>2</v>
      </c>
      <c r="S38" s="24">
        <f t="shared" si="14"/>
        <v>682</v>
      </c>
      <c r="T38" s="970">
        <f t="shared" si="15"/>
        <v>1.364E-3</v>
      </c>
      <c r="U38" s="971">
        <f t="shared" si="16"/>
        <v>1.1594E-2</v>
      </c>
    </row>
    <row r="39" spans="1:21" x14ac:dyDescent="0.2">
      <c r="A39" s="447">
        <f t="shared" si="0"/>
        <v>2026</v>
      </c>
      <c r="B39" s="403">
        <v>2</v>
      </c>
      <c r="C39" s="64">
        <f t="shared" si="1"/>
        <v>20</v>
      </c>
      <c r="D39" s="965">
        <f t="shared" ref="D39:F42" si="17">+D38</f>
        <v>0.5</v>
      </c>
      <c r="E39" s="966">
        <f t="shared" si="17"/>
        <v>0.39</v>
      </c>
      <c r="F39" s="790">
        <f t="shared" si="17"/>
        <v>682</v>
      </c>
      <c r="G39" s="473">
        <f t="shared" si="3"/>
        <v>1E-3</v>
      </c>
      <c r="H39" s="474">
        <f t="shared" si="3"/>
        <v>7.7999999999999999E-4</v>
      </c>
      <c r="I39" s="474">
        <f t="shared" si="4"/>
        <v>1.364E-3</v>
      </c>
      <c r="J39" s="61">
        <f t="shared" si="5"/>
        <v>2</v>
      </c>
      <c r="K39" s="967">
        <f t="shared" si="6"/>
        <v>0.5</v>
      </c>
      <c r="L39" s="967">
        <f t="shared" si="7"/>
        <v>1E-3</v>
      </c>
      <c r="M39" s="967">
        <f t="shared" si="8"/>
        <v>9.5000000000000015E-3</v>
      </c>
      <c r="N39" s="54">
        <f t="shared" si="9"/>
        <v>2</v>
      </c>
      <c r="O39" s="968">
        <f t="shared" si="10"/>
        <v>0.39</v>
      </c>
      <c r="P39" s="968">
        <f t="shared" si="11"/>
        <v>7.7999999999999999E-4</v>
      </c>
      <c r="Q39" s="969">
        <f t="shared" si="12"/>
        <v>7.0200000000000011E-3</v>
      </c>
      <c r="R39" s="247">
        <f>+(B39+B38)/2</f>
        <v>2</v>
      </c>
      <c r="S39" s="24">
        <f>+F39</f>
        <v>682</v>
      </c>
      <c r="T39" s="970">
        <f>+R39*S39/1000000</f>
        <v>1.364E-3</v>
      </c>
      <c r="U39" s="971">
        <f t="shared" si="16"/>
        <v>1.2958000000000001E-2</v>
      </c>
    </row>
    <row r="40" spans="1:21" x14ac:dyDescent="0.2">
      <c r="A40" s="447">
        <f>+A39+1</f>
        <v>2027</v>
      </c>
      <c r="B40" s="403">
        <v>2</v>
      </c>
      <c r="C40" s="64">
        <f>+C39+B40</f>
        <v>22</v>
      </c>
      <c r="D40" s="965">
        <f t="shared" si="17"/>
        <v>0.5</v>
      </c>
      <c r="E40" s="966">
        <f t="shared" si="17"/>
        <v>0.39</v>
      </c>
      <c r="F40" s="790">
        <f t="shared" si="17"/>
        <v>682</v>
      </c>
      <c r="G40" s="473">
        <f t="shared" ref="G40:H42" si="18">+$B40*D40/1000</f>
        <v>1E-3</v>
      </c>
      <c r="H40" s="474">
        <f t="shared" si="18"/>
        <v>7.7999999999999999E-4</v>
      </c>
      <c r="I40" s="474">
        <f>+$B40*F40/1000000</f>
        <v>1.364E-3</v>
      </c>
      <c r="J40" s="61">
        <f>+(B40+B39)/2</f>
        <v>2</v>
      </c>
      <c r="K40" s="967">
        <f>+D40</f>
        <v>0.5</v>
      </c>
      <c r="L40" s="967">
        <f>+J40*K40/1000</f>
        <v>1E-3</v>
      </c>
      <c r="M40" s="967">
        <f>+M39+L40</f>
        <v>1.0500000000000002E-2</v>
      </c>
      <c r="N40" s="54">
        <f>+B39</f>
        <v>2</v>
      </c>
      <c r="O40" s="968">
        <f>+E40</f>
        <v>0.39</v>
      </c>
      <c r="P40" s="968">
        <f>+N40*O40/1000</f>
        <v>7.7999999999999999E-4</v>
      </c>
      <c r="Q40" s="969">
        <f>+Q39+P40</f>
        <v>7.8000000000000014E-3</v>
      </c>
      <c r="R40" s="247">
        <f>+(B40+B39)/2</f>
        <v>2</v>
      </c>
      <c r="S40" s="24">
        <f>+F40</f>
        <v>682</v>
      </c>
      <c r="T40" s="970">
        <f>+R40*S40/1000000</f>
        <v>1.364E-3</v>
      </c>
      <c r="U40" s="971">
        <f>+U39+T40</f>
        <v>1.4322000000000001E-2</v>
      </c>
    </row>
    <row r="41" spans="1:21" x14ac:dyDescent="0.2">
      <c r="A41" s="447">
        <f t="shared" si="0"/>
        <v>2028</v>
      </c>
      <c r="B41" s="403">
        <v>2</v>
      </c>
      <c r="C41" s="64">
        <f>+C40+B41</f>
        <v>24</v>
      </c>
      <c r="D41" s="965">
        <f>+D40</f>
        <v>0.5</v>
      </c>
      <c r="E41" s="966">
        <f>+E40</f>
        <v>0.39</v>
      </c>
      <c r="F41" s="790">
        <f>+F40</f>
        <v>682</v>
      </c>
      <c r="G41" s="473">
        <f t="shared" si="18"/>
        <v>1E-3</v>
      </c>
      <c r="H41" s="474">
        <f t="shared" si="18"/>
        <v>7.7999999999999999E-4</v>
      </c>
      <c r="I41" s="474">
        <f>+$B41*F41/1000000</f>
        <v>1.364E-3</v>
      </c>
      <c r="J41" s="61">
        <f>+(B41+B40)/2</f>
        <v>2</v>
      </c>
      <c r="K41" s="967">
        <f>+D41</f>
        <v>0.5</v>
      </c>
      <c r="L41" s="967">
        <f>+J41*K41/1000</f>
        <v>1E-3</v>
      </c>
      <c r="M41" s="967">
        <f>+M40+L41</f>
        <v>1.1500000000000003E-2</v>
      </c>
      <c r="N41" s="54">
        <f>+B40</f>
        <v>2</v>
      </c>
      <c r="O41" s="968">
        <f>+E41</f>
        <v>0.39</v>
      </c>
      <c r="P41" s="968">
        <f>+N41*O41/1000</f>
        <v>7.7999999999999999E-4</v>
      </c>
      <c r="Q41" s="969">
        <f>+Q40+P41</f>
        <v>8.5800000000000008E-3</v>
      </c>
      <c r="R41" s="247">
        <f>+(B41+B40)/2</f>
        <v>2</v>
      </c>
      <c r="S41" s="24">
        <f>+F41</f>
        <v>682</v>
      </c>
      <c r="T41" s="970">
        <f>+R41*S41/1000000</f>
        <v>1.364E-3</v>
      </c>
      <c r="U41" s="971">
        <f>+U40+T41</f>
        <v>1.5686000000000002E-2</v>
      </c>
    </row>
    <row r="42" spans="1:21" x14ac:dyDescent="0.2">
      <c r="A42" s="447">
        <f t="shared" si="0"/>
        <v>2029</v>
      </c>
      <c r="B42" s="403">
        <v>2</v>
      </c>
      <c r="C42" s="64">
        <f>+C41+B42</f>
        <v>26</v>
      </c>
      <c r="D42" s="965">
        <f t="shared" si="17"/>
        <v>0.5</v>
      </c>
      <c r="E42" s="966">
        <f t="shared" si="17"/>
        <v>0.39</v>
      </c>
      <c r="F42" s="790">
        <f t="shared" si="17"/>
        <v>682</v>
      </c>
      <c r="G42" s="473">
        <f t="shared" si="18"/>
        <v>1E-3</v>
      </c>
      <c r="H42" s="474">
        <f t="shared" si="18"/>
        <v>7.7999999999999999E-4</v>
      </c>
      <c r="I42" s="474">
        <f>+$B42*F42/1000000</f>
        <v>1.364E-3</v>
      </c>
      <c r="J42" s="61">
        <f>+(B42+B41)/2</f>
        <v>2</v>
      </c>
      <c r="K42" s="967">
        <f>+D42</f>
        <v>0.5</v>
      </c>
      <c r="L42" s="967">
        <f>+J42*K42/1000</f>
        <v>1E-3</v>
      </c>
      <c r="M42" s="967">
        <f>+M41+L42</f>
        <v>1.2500000000000004E-2</v>
      </c>
      <c r="N42" s="54">
        <f>+B41</f>
        <v>2</v>
      </c>
      <c r="O42" s="968">
        <f>+E42</f>
        <v>0.39</v>
      </c>
      <c r="P42" s="968">
        <f>+N42*O42/1000</f>
        <v>7.7999999999999999E-4</v>
      </c>
      <c r="Q42" s="969">
        <f>+Q41+P42</f>
        <v>9.3600000000000003E-3</v>
      </c>
      <c r="R42" s="247">
        <f>+(B42+B41)/2</f>
        <v>2</v>
      </c>
      <c r="S42" s="24">
        <f>+F42</f>
        <v>682</v>
      </c>
      <c r="T42" s="970">
        <f>+R42*S42/1000000</f>
        <v>1.364E-3</v>
      </c>
      <c r="U42" s="971">
        <f>+U41+T42</f>
        <v>1.7050000000000003E-2</v>
      </c>
    </row>
    <row r="43" spans="1:21" x14ac:dyDescent="0.2">
      <c r="A43" s="447">
        <f t="shared" si="0"/>
        <v>2030</v>
      </c>
      <c r="B43" s="403">
        <v>2</v>
      </c>
      <c r="C43" s="64">
        <f t="shared" ref="C43:C47" si="19">+C42+B43</f>
        <v>28</v>
      </c>
      <c r="D43" s="965">
        <f t="shared" ref="D43:F43" si="20">+D42</f>
        <v>0.5</v>
      </c>
      <c r="E43" s="966">
        <f t="shared" si="20"/>
        <v>0.39</v>
      </c>
      <c r="F43" s="790">
        <f t="shared" si="20"/>
        <v>682</v>
      </c>
      <c r="G43" s="473">
        <f t="shared" ref="G43:G47" si="21">+$B43*D43/1000</f>
        <v>1E-3</v>
      </c>
      <c r="H43" s="474">
        <f t="shared" ref="H43:H47" si="22">+$B43*E43/1000</f>
        <v>7.7999999999999999E-4</v>
      </c>
      <c r="I43" s="474">
        <f t="shared" ref="I43:I47" si="23">+$B43*F43/1000000</f>
        <v>1.364E-3</v>
      </c>
      <c r="J43" s="61">
        <f t="shared" ref="J43:J47" si="24">+(B43+B42)/2</f>
        <v>2</v>
      </c>
      <c r="K43" s="967">
        <f t="shared" ref="K43:K47" si="25">+D43</f>
        <v>0.5</v>
      </c>
      <c r="L43" s="967">
        <f t="shared" ref="L43:L47" si="26">+J43*K43/1000</f>
        <v>1E-3</v>
      </c>
      <c r="M43" s="967">
        <f t="shared" ref="M43:M47" si="27">+M42+L43</f>
        <v>1.3500000000000005E-2</v>
      </c>
      <c r="N43" s="54">
        <f t="shared" ref="N43:N47" si="28">+B42</f>
        <v>2</v>
      </c>
      <c r="O43" s="968">
        <f t="shared" ref="O43:O47" si="29">+E43</f>
        <v>0.39</v>
      </c>
      <c r="P43" s="968">
        <f t="shared" ref="P43:P47" si="30">+N43*O43/1000</f>
        <v>7.7999999999999999E-4</v>
      </c>
      <c r="Q43" s="969">
        <f t="shared" ref="Q43:Q47" si="31">+Q42+P43</f>
        <v>1.014E-2</v>
      </c>
      <c r="R43" s="247">
        <f t="shared" ref="R43:R47" si="32">+(B43+B42)/2</f>
        <v>2</v>
      </c>
      <c r="S43" s="24">
        <f t="shared" ref="S43:S47" si="33">+F43</f>
        <v>682</v>
      </c>
      <c r="T43" s="970">
        <f t="shared" ref="T43:T47" si="34">+R43*S43/1000000</f>
        <v>1.364E-3</v>
      </c>
      <c r="U43" s="971">
        <f t="shared" ref="U43:U47" si="35">+U42+T43</f>
        <v>1.8414000000000003E-2</v>
      </c>
    </row>
    <row r="44" spans="1:21" x14ac:dyDescent="0.2">
      <c r="A44" s="447">
        <f t="shared" si="0"/>
        <v>2031</v>
      </c>
      <c r="B44" s="403">
        <v>2</v>
      </c>
      <c r="C44" s="64">
        <f t="shared" si="19"/>
        <v>30</v>
      </c>
      <c r="D44" s="965">
        <f t="shared" ref="D44:F44" si="36">+D43</f>
        <v>0.5</v>
      </c>
      <c r="E44" s="966">
        <f t="shared" si="36"/>
        <v>0.39</v>
      </c>
      <c r="F44" s="790">
        <f t="shared" si="36"/>
        <v>682</v>
      </c>
      <c r="G44" s="473">
        <f t="shared" si="21"/>
        <v>1E-3</v>
      </c>
      <c r="H44" s="474">
        <f t="shared" si="22"/>
        <v>7.7999999999999999E-4</v>
      </c>
      <c r="I44" s="474">
        <f t="shared" si="23"/>
        <v>1.364E-3</v>
      </c>
      <c r="J44" s="61">
        <f t="shared" si="24"/>
        <v>2</v>
      </c>
      <c r="K44" s="967">
        <f t="shared" si="25"/>
        <v>0.5</v>
      </c>
      <c r="L44" s="967">
        <f t="shared" si="26"/>
        <v>1E-3</v>
      </c>
      <c r="M44" s="967">
        <f t="shared" si="27"/>
        <v>1.4500000000000006E-2</v>
      </c>
      <c r="N44" s="54">
        <f t="shared" si="28"/>
        <v>2</v>
      </c>
      <c r="O44" s="968">
        <f t="shared" si="29"/>
        <v>0.39</v>
      </c>
      <c r="P44" s="968">
        <f t="shared" si="30"/>
        <v>7.7999999999999999E-4</v>
      </c>
      <c r="Q44" s="969">
        <f t="shared" si="31"/>
        <v>1.0919999999999999E-2</v>
      </c>
      <c r="R44" s="247">
        <f t="shared" si="32"/>
        <v>2</v>
      </c>
      <c r="S44" s="24">
        <f t="shared" si="33"/>
        <v>682</v>
      </c>
      <c r="T44" s="970">
        <f t="shared" si="34"/>
        <v>1.364E-3</v>
      </c>
      <c r="U44" s="971">
        <f t="shared" si="35"/>
        <v>1.9778000000000004E-2</v>
      </c>
    </row>
    <row r="45" spans="1:21" x14ac:dyDescent="0.2">
      <c r="A45" s="447">
        <f t="shared" si="0"/>
        <v>2032</v>
      </c>
      <c r="B45" s="403">
        <v>2</v>
      </c>
      <c r="C45" s="64">
        <f t="shared" si="19"/>
        <v>32</v>
      </c>
      <c r="D45" s="965">
        <f t="shared" ref="D45:F45" si="37">+D44</f>
        <v>0.5</v>
      </c>
      <c r="E45" s="966">
        <f t="shared" si="37"/>
        <v>0.39</v>
      </c>
      <c r="F45" s="790">
        <f t="shared" si="37"/>
        <v>682</v>
      </c>
      <c r="G45" s="473">
        <f t="shared" si="21"/>
        <v>1E-3</v>
      </c>
      <c r="H45" s="474">
        <f t="shared" si="22"/>
        <v>7.7999999999999999E-4</v>
      </c>
      <c r="I45" s="474">
        <f t="shared" si="23"/>
        <v>1.364E-3</v>
      </c>
      <c r="J45" s="61">
        <f t="shared" si="24"/>
        <v>2</v>
      </c>
      <c r="K45" s="967">
        <f t="shared" si="25"/>
        <v>0.5</v>
      </c>
      <c r="L45" s="967">
        <f t="shared" si="26"/>
        <v>1E-3</v>
      </c>
      <c r="M45" s="967">
        <f t="shared" si="27"/>
        <v>1.5500000000000007E-2</v>
      </c>
      <c r="N45" s="54">
        <f t="shared" si="28"/>
        <v>2</v>
      </c>
      <c r="O45" s="968">
        <f t="shared" si="29"/>
        <v>0.39</v>
      </c>
      <c r="P45" s="968">
        <f t="shared" si="30"/>
        <v>7.7999999999999999E-4</v>
      </c>
      <c r="Q45" s="969">
        <f t="shared" si="31"/>
        <v>1.1699999999999999E-2</v>
      </c>
      <c r="R45" s="247">
        <f t="shared" si="32"/>
        <v>2</v>
      </c>
      <c r="S45" s="24">
        <f t="shared" si="33"/>
        <v>682</v>
      </c>
      <c r="T45" s="970">
        <f t="shared" si="34"/>
        <v>1.364E-3</v>
      </c>
      <c r="U45" s="971">
        <f t="shared" si="35"/>
        <v>2.1142000000000005E-2</v>
      </c>
    </row>
    <row r="46" spans="1:21" x14ac:dyDescent="0.2">
      <c r="A46" s="447">
        <f t="shared" si="0"/>
        <v>2033</v>
      </c>
      <c r="B46" s="403">
        <v>2</v>
      </c>
      <c r="C46" s="64">
        <f t="shared" si="19"/>
        <v>34</v>
      </c>
      <c r="D46" s="965">
        <f t="shared" ref="D46:F46" si="38">+D45</f>
        <v>0.5</v>
      </c>
      <c r="E46" s="966">
        <f t="shared" si="38"/>
        <v>0.39</v>
      </c>
      <c r="F46" s="790">
        <f t="shared" si="38"/>
        <v>682</v>
      </c>
      <c r="G46" s="473">
        <f t="shared" si="21"/>
        <v>1E-3</v>
      </c>
      <c r="H46" s="474">
        <f t="shared" si="22"/>
        <v>7.7999999999999999E-4</v>
      </c>
      <c r="I46" s="474">
        <f t="shared" si="23"/>
        <v>1.364E-3</v>
      </c>
      <c r="J46" s="61">
        <f t="shared" si="24"/>
        <v>2</v>
      </c>
      <c r="K46" s="967">
        <f t="shared" si="25"/>
        <v>0.5</v>
      </c>
      <c r="L46" s="967">
        <f t="shared" si="26"/>
        <v>1E-3</v>
      </c>
      <c r="M46" s="967">
        <f t="shared" si="27"/>
        <v>1.6500000000000008E-2</v>
      </c>
      <c r="N46" s="54">
        <f t="shared" si="28"/>
        <v>2</v>
      </c>
      <c r="O46" s="968">
        <f t="shared" si="29"/>
        <v>0.39</v>
      </c>
      <c r="P46" s="968">
        <f t="shared" si="30"/>
        <v>7.7999999999999999E-4</v>
      </c>
      <c r="Q46" s="969">
        <f t="shared" si="31"/>
        <v>1.2479999999999998E-2</v>
      </c>
      <c r="R46" s="247">
        <f t="shared" si="32"/>
        <v>2</v>
      </c>
      <c r="S46" s="24">
        <f t="shared" si="33"/>
        <v>682</v>
      </c>
      <c r="T46" s="970">
        <f t="shared" si="34"/>
        <v>1.364E-3</v>
      </c>
      <c r="U46" s="971">
        <f t="shared" si="35"/>
        <v>2.2506000000000005E-2</v>
      </c>
    </row>
    <row r="47" spans="1:21" x14ac:dyDescent="0.2">
      <c r="A47" s="447">
        <f t="shared" si="0"/>
        <v>2034</v>
      </c>
      <c r="B47" s="403">
        <v>2</v>
      </c>
      <c r="C47" s="64">
        <f t="shared" si="19"/>
        <v>36</v>
      </c>
      <c r="D47" s="965">
        <f t="shared" ref="D47:F47" si="39">+D46</f>
        <v>0.5</v>
      </c>
      <c r="E47" s="966">
        <f t="shared" si="39"/>
        <v>0.39</v>
      </c>
      <c r="F47" s="790">
        <f t="shared" si="39"/>
        <v>682</v>
      </c>
      <c r="G47" s="473">
        <f t="shared" si="21"/>
        <v>1E-3</v>
      </c>
      <c r="H47" s="474">
        <f t="shared" si="22"/>
        <v>7.7999999999999999E-4</v>
      </c>
      <c r="I47" s="474">
        <f t="shared" si="23"/>
        <v>1.364E-3</v>
      </c>
      <c r="J47" s="61">
        <f t="shared" si="24"/>
        <v>2</v>
      </c>
      <c r="K47" s="967">
        <f t="shared" si="25"/>
        <v>0.5</v>
      </c>
      <c r="L47" s="967">
        <f t="shared" si="26"/>
        <v>1E-3</v>
      </c>
      <c r="M47" s="967">
        <f t="shared" si="27"/>
        <v>1.7500000000000009E-2</v>
      </c>
      <c r="N47" s="54">
        <f t="shared" si="28"/>
        <v>2</v>
      </c>
      <c r="O47" s="968">
        <f t="shared" si="29"/>
        <v>0.39</v>
      </c>
      <c r="P47" s="968">
        <f t="shared" si="30"/>
        <v>7.7999999999999999E-4</v>
      </c>
      <c r="Q47" s="969">
        <f t="shared" si="31"/>
        <v>1.3259999999999997E-2</v>
      </c>
      <c r="R47" s="247">
        <f t="shared" si="32"/>
        <v>2</v>
      </c>
      <c r="S47" s="24">
        <f t="shared" si="33"/>
        <v>682</v>
      </c>
      <c r="T47" s="970">
        <f t="shared" si="34"/>
        <v>1.364E-3</v>
      </c>
      <c r="U47" s="971">
        <f t="shared" si="35"/>
        <v>2.3870000000000006E-2</v>
      </c>
    </row>
    <row r="48" spans="1:21" x14ac:dyDescent="0.2">
      <c r="A48" s="447">
        <f t="shared" si="0"/>
        <v>2035</v>
      </c>
      <c r="B48" s="403">
        <f>B47</f>
        <v>2</v>
      </c>
      <c r="C48" s="64">
        <f t="shared" ref="C48:C54" si="40">+C47+B48</f>
        <v>38</v>
      </c>
      <c r="D48" s="965">
        <f t="shared" ref="D48:F48" si="41">+D47</f>
        <v>0.5</v>
      </c>
      <c r="E48" s="966">
        <f t="shared" si="41"/>
        <v>0.39</v>
      </c>
      <c r="F48" s="790">
        <f t="shared" si="41"/>
        <v>682</v>
      </c>
      <c r="G48" s="473">
        <f t="shared" ref="G48:G54" si="42">+$B48*D48/1000</f>
        <v>1E-3</v>
      </c>
      <c r="H48" s="474">
        <f t="shared" ref="H48:H54" si="43">+$B48*E48/1000</f>
        <v>7.7999999999999999E-4</v>
      </c>
      <c r="I48" s="474">
        <f t="shared" ref="I48:I54" si="44">+$B48*F48/1000000</f>
        <v>1.364E-3</v>
      </c>
      <c r="J48" s="61">
        <f t="shared" ref="J48:J54" si="45">+(B48+B47)/2</f>
        <v>2</v>
      </c>
      <c r="K48" s="967">
        <f t="shared" ref="K48:K54" si="46">+D48</f>
        <v>0.5</v>
      </c>
      <c r="L48" s="967">
        <f t="shared" ref="L48:L54" si="47">+J48*K48/1000</f>
        <v>1E-3</v>
      </c>
      <c r="M48" s="967">
        <f t="shared" ref="M48:M54" si="48">+M47+L48</f>
        <v>1.8500000000000009E-2</v>
      </c>
      <c r="N48" s="54">
        <f t="shared" ref="N48:N54" si="49">+B47</f>
        <v>2</v>
      </c>
      <c r="O48" s="968">
        <f t="shared" ref="O48:O54" si="50">+E48</f>
        <v>0.39</v>
      </c>
      <c r="P48" s="968">
        <f t="shared" ref="P48:P54" si="51">+N48*O48/1000</f>
        <v>7.7999999999999999E-4</v>
      </c>
      <c r="Q48" s="969">
        <f t="shared" ref="Q48:Q54" si="52">+Q47+P48</f>
        <v>1.4039999999999997E-2</v>
      </c>
      <c r="R48" s="247">
        <f t="shared" ref="R48:R54" si="53">+(B48+B47)/2</f>
        <v>2</v>
      </c>
      <c r="S48" s="24">
        <f t="shared" ref="S48:S54" si="54">+F48</f>
        <v>682</v>
      </c>
      <c r="T48" s="970">
        <f t="shared" ref="T48:T54" si="55">+R48*S48/1000000</f>
        <v>1.364E-3</v>
      </c>
      <c r="U48" s="971">
        <f t="shared" ref="U48:U54" si="56">+U47+T48</f>
        <v>2.5234000000000006E-2</v>
      </c>
    </row>
    <row r="49" spans="1:21" x14ac:dyDescent="0.2">
      <c r="A49" s="447">
        <f t="shared" si="0"/>
        <v>2036</v>
      </c>
      <c r="B49" s="403">
        <f t="shared" ref="B49:B54" si="57">B48</f>
        <v>2</v>
      </c>
      <c r="C49" s="64">
        <f t="shared" si="40"/>
        <v>40</v>
      </c>
      <c r="D49" s="965">
        <f t="shared" ref="D49:F49" si="58">+D48</f>
        <v>0.5</v>
      </c>
      <c r="E49" s="966">
        <f t="shared" si="58"/>
        <v>0.39</v>
      </c>
      <c r="F49" s="790">
        <f t="shared" si="58"/>
        <v>682</v>
      </c>
      <c r="G49" s="473">
        <f t="shared" si="42"/>
        <v>1E-3</v>
      </c>
      <c r="H49" s="474">
        <f t="shared" si="43"/>
        <v>7.7999999999999999E-4</v>
      </c>
      <c r="I49" s="474">
        <f t="shared" si="44"/>
        <v>1.364E-3</v>
      </c>
      <c r="J49" s="61">
        <f t="shared" si="45"/>
        <v>2</v>
      </c>
      <c r="K49" s="967">
        <f t="shared" si="46"/>
        <v>0.5</v>
      </c>
      <c r="L49" s="967">
        <f t="shared" si="47"/>
        <v>1E-3</v>
      </c>
      <c r="M49" s="967">
        <f t="shared" si="48"/>
        <v>1.950000000000001E-2</v>
      </c>
      <c r="N49" s="54">
        <f t="shared" si="49"/>
        <v>2</v>
      </c>
      <c r="O49" s="968">
        <f t="shared" si="50"/>
        <v>0.39</v>
      </c>
      <c r="P49" s="968">
        <f t="shared" si="51"/>
        <v>7.7999999999999999E-4</v>
      </c>
      <c r="Q49" s="969">
        <f t="shared" si="52"/>
        <v>1.4819999999999996E-2</v>
      </c>
      <c r="R49" s="247">
        <f t="shared" si="53"/>
        <v>2</v>
      </c>
      <c r="S49" s="24">
        <f t="shared" si="54"/>
        <v>682</v>
      </c>
      <c r="T49" s="970">
        <f t="shared" si="55"/>
        <v>1.364E-3</v>
      </c>
      <c r="U49" s="971">
        <f t="shared" si="56"/>
        <v>2.6598000000000007E-2</v>
      </c>
    </row>
    <row r="50" spans="1:21" x14ac:dyDescent="0.2">
      <c r="A50" s="447">
        <f t="shared" si="0"/>
        <v>2037</v>
      </c>
      <c r="B50" s="403">
        <f t="shared" si="57"/>
        <v>2</v>
      </c>
      <c r="C50" s="64">
        <f t="shared" si="40"/>
        <v>42</v>
      </c>
      <c r="D50" s="965">
        <f t="shared" ref="D50:F50" si="59">+D49</f>
        <v>0.5</v>
      </c>
      <c r="E50" s="966">
        <f t="shared" si="59"/>
        <v>0.39</v>
      </c>
      <c r="F50" s="790">
        <f t="shared" si="59"/>
        <v>682</v>
      </c>
      <c r="G50" s="473">
        <f t="shared" si="42"/>
        <v>1E-3</v>
      </c>
      <c r="H50" s="474">
        <f t="shared" si="43"/>
        <v>7.7999999999999999E-4</v>
      </c>
      <c r="I50" s="474">
        <f t="shared" si="44"/>
        <v>1.364E-3</v>
      </c>
      <c r="J50" s="61">
        <f t="shared" si="45"/>
        <v>2</v>
      </c>
      <c r="K50" s="967">
        <f t="shared" si="46"/>
        <v>0.5</v>
      </c>
      <c r="L50" s="967">
        <f t="shared" si="47"/>
        <v>1E-3</v>
      </c>
      <c r="M50" s="967">
        <f t="shared" si="48"/>
        <v>2.0500000000000011E-2</v>
      </c>
      <c r="N50" s="54">
        <f t="shared" si="49"/>
        <v>2</v>
      </c>
      <c r="O50" s="968">
        <f t="shared" si="50"/>
        <v>0.39</v>
      </c>
      <c r="P50" s="968">
        <f t="shared" si="51"/>
        <v>7.7999999999999999E-4</v>
      </c>
      <c r="Q50" s="969">
        <f t="shared" si="52"/>
        <v>1.5599999999999996E-2</v>
      </c>
      <c r="R50" s="247">
        <f t="shared" si="53"/>
        <v>2</v>
      </c>
      <c r="S50" s="24">
        <f t="shared" si="54"/>
        <v>682</v>
      </c>
      <c r="T50" s="970">
        <f t="shared" si="55"/>
        <v>1.364E-3</v>
      </c>
      <c r="U50" s="971">
        <f t="shared" si="56"/>
        <v>2.7962000000000008E-2</v>
      </c>
    </row>
    <row r="51" spans="1:21" x14ac:dyDescent="0.2">
      <c r="A51" s="447">
        <f t="shared" si="0"/>
        <v>2038</v>
      </c>
      <c r="B51" s="403">
        <f t="shared" si="57"/>
        <v>2</v>
      </c>
      <c r="C51" s="64">
        <f t="shared" si="40"/>
        <v>44</v>
      </c>
      <c r="D51" s="965">
        <f t="shared" ref="D51:F51" si="60">+D50</f>
        <v>0.5</v>
      </c>
      <c r="E51" s="966">
        <f t="shared" si="60"/>
        <v>0.39</v>
      </c>
      <c r="F51" s="790">
        <f t="shared" si="60"/>
        <v>682</v>
      </c>
      <c r="G51" s="473">
        <f t="shared" si="42"/>
        <v>1E-3</v>
      </c>
      <c r="H51" s="474">
        <f t="shared" si="43"/>
        <v>7.7999999999999999E-4</v>
      </c>
      <c r="I51" s="474">
        <f t="shared" si="44"/>
        <v>1.364E-3</v>
      </c>
      <c r="J51" s="61">
        <f t="shared" si="45"/>
        <v>2</v>
      </c>
      <c r="K51" s="967">
        <f t="shared" si="46"/>
        <v>0.5</v>
      </c>
      <c r="L51" s="967">
        <f t="shared" si="47"/>
        <v>1E-3</v>
      </c>
      <c r="M51" s="967">
        <f t="shared" si="48"/>
        <v>2.1500000000000012E-2</v>
      </c>
      <c r="N51" s="54">
        <f t="shared" si="49"/>
        <v>2</v>
      </c>
      <c r="O51" s="968">
        <f t="shared" si="50"/>
        <v>0.39</v>
      </c>
      <c r="P51" s="968">
        <f t="shared" si="51"/>
        <v>7.7999999999999999E-4</v>
      </c>
      <c r="Q51" s="969">
        <f t="shared" si="52"/>
        <v>1.6379999999999995E-2</v>
      </c>
      <c r="R51" s="247">
        <f t="shared" si="53"/>
        <v>2</v>
      </c>
      <c r="S51" s="24">
        <f t="shared" si="54"/>
        <v>682</v>
      </c>
      <c r="T51" s="970">
        <f t="shared" si="55"/>
        <v>1.364E-3</v>
      </c>
      <c r="U51" s="971">
        <f t="shared" si="56"/>
        <v>2.9326000000000008E-2</v>
      </c>
    </row>
    <row r="52" spans="1:21" x14ac:dyDescent="0.2">
      <c r="A52" s="447">
        <f t="shared" si="0"/>
        <v>2039</v>
      </c>
      <c r="B52" s="403">
        <f t="shared" si="57"/>
        <v>2</v>
      </c>
      <c r="C52" s="64">
        <f t="shared" si="40"/>
        <v>46</v>
      </c>
      <c r="D52" s="965">
        <f t="shared" ref="D52:F52" si="61">+D51</f>
        <v>0.5</v>
      </c>
      <c r="E52" s="966">
        <f t="shared" si="61"/>
        <v>0.39</v>
      </c>
      <c r="F52" s="790">
        <f t="shared" si="61"/>
        <v>682</v>
      </c>
      <c r="G52" s="473">
        <f t="shared" si="42"/>
        <v>1E-3</v>
      </c>
      <c r="H52" s="474">
        <f t="shared" si="43"/>
        <v>7.7999999999999999E-4</v>
      </c>
      <c r="I52" s="474">
        <f t="shared" si="44"/>
        <v>1.364E-3</v>
      </c>
      <c r="J52" s="61">
        <f t="shared" si="45"/>
        <v>2</v>
      </c>
      <c r="K52" s="967">
        <f t="shared" si="46"/>
        <v>0.5</v>
      </c>
      <c r="L52" s="967">
        <f t="shared" si="47"/>
        <v>1E-3</v>
      </c>
      <c r="M52" s="967">
        <f t="shared" si="48"/>
        <v>2.2500000000000013E-2</v>
      </c>
      <c r="N52" s="54">
        <f t="shared" si="49"/>
        <v>2</v>
      </c>
      <c r="O52" s="968">
        <f t="shared" si="50"/>
        <v>0.39</v>
      </c>
      <c r="P52" s="968">
        <f t="shared" si="51"/>
        <v>7.7999999999999999E-4</v>
      </c>
      <c r="Q52" s="969">
        <f t="shared" si="52"/>
        <v>1.7159999999999995E-2</v>
      </c>
      <c r="R52" s="247">
        <f t="shared" si="53"/>
        <v>2</v>
      </c>
      <c r="S52" s="24">
        <f t="shared" si="54"/>
        <v>682</v>
      </c>
      <c r="T52" s="970">
        <f t="shared" si="55"/>
        <v>1.364E-3</v>
      </c>
      <c r="U52" s="971">
        <f t="shared" si="56"/>
        <v>3.0690000000000009E-2</v>
      </c>
    </row>
    <row r="53" spans="1:21" x14ac:dyDescent="0.2">
      <c r="A53" s="447">
        <f t="shared" si="0"/>
        <v>2040</v>
      </c>
      <c r="B53" s="403">
        <f t="shared" si="57"/>
        <v>2</v>
      </c>
      <c r="C53" s="64">
        <f t="shared" si="40"/>
        <v>48</v>
      </c>
      <c r="D53" s="965">
        <f t="shared" ref="D53:F53" si="62">+D52</f>
        <v>0.5</v>
      </c>
      <c r="E53" s="966">
        <f t="shared" si="62"/>
        <v>0.39</v>
      </c>
      <c r="F53" s="790">
        <f t="shared" si="62"/>
        <v>682</v>
      </c>
      <c r="G53" s="473">
        <f t="shared" si="42"/>
        <v>1E-3</v>
      </c>
      <c r="H53" s="474">
        <f t="shared" si="43"/>
        <v>7.7999999999999999E-4</v>
      </c>
      <c r="I53" s="474">
        <f t="shared" si="44"/>
        <v>1.364E-3</v>
      </c>
      <c r="J53" s="61">
        <f t="shared" si="45"/>
        <v>2</v>
      </c>
      <c r="K53" s="967">
        <f t="shared" si="46"/>
        <v>0.5</v>
      </c>
      <c r="L53" s="967">
        <f t="shared" si="47"/>
        <v>1E-3</v>
      </c>
      <c r="M53" s="967">
        <f t="shared" si="48"/>
        <v>2.3500000000000014E-2</v>
      </c>
      <c r="N53" s="54">
        <f t="shared" si="49"/>
        <v>2</v>
      </c>
      <c r="O53" s="968">
        <f t="shared" si="50"/>
        <v>0.39</v>
      </c>
      <c r="P53" s="968">
        <f t="shared" si="51"/>
        <v>7.7999999999999999E-4</v>
      </c>
      <c r="Q53" s="969">
        <f t="shared" si="52"/>
        <v>1.7939999999999994E-2</v>
      </c>
      <c r="R53" s="247">
        <f t="shared" si="53"/>
        <v>2</v>
      </c>
      <c r="S53" s="24">
        <f t="shared" si="54"/>
        <v>682</v>
      </c>
      <c r="T53" s="970">
        <f t="shared" si="55"/>
        <v>1.364E-3</v>
      </c>
      <c r="U53" s="971">
        <f t="shared" si="56"/>
        <v>3.2054000000000006E-2</v>
      </c>
    </row>
    <row r="54" spans="1:21" x14ac:dyDescent="0.2">
      <c r="A54" s="447">
        <f t="shared" si="0"/>
        <v>2041</v>
      </c>
      <c r="B54" s="403">
        <f t="shared" si="57"/>
        <v>2</v>
      </c>
      <c r="C54" s="64">
        <f t="shared" si="40"/>
        <v>50</v>
      </c>
      <c r="D54" s="965">
        <f t="shared" ref="D54:F54" si="63">+D53</f>
        <v>0.5</v>
      </c>
      <c r="E54" s="966">
        <f t="shared" si="63"/>
        <v>0.39</v>
      </c>
      <c r="F54" s="790">
        <f t="shared" si="63"/>
        <v>682</v>
      </c>
      <c r="G54" s="473">
        <f t="shared" si="42"/>
        <v>1E-3</v>
      </c>
      <c r="H54" s="474">
        <f t="shared" si="43"/>
        <v>7.7999999999999999E-4</v>
      </c>
      <c r="I54" s="474">
        <f t="shared" si="44"/>
        <v>1.364E-3</v>
      </c>
      <c r="J54" s="61">
        <f t="shared" si="45"/>
        <v>2</v>
      </c>
      <c r="K54" s="967">
        <f t="shared" si="46"/>
        <v>0.5</v>
      </c>
      <c r="L54" s="967">
        <f t="shared" si="47"/>
        <v>1E-3</v>
      </c>
      <c r="M54" s="967">
        <f t="shared" si="48"/>
        <v>2.4500000000000015E-2</v>
      </c>
      <c r="N54" s="54">
        <f t="shared" si="49"/>
        <v>2</v>
      </c>
      <c r="O54" s="968">
        <f t="shared" si="50"/>
        <v>0.39</v>
      </c>
      <c r="P54" s="968">
        <f t="shared" si="51"/>
        <v>7.7999999999999999E-4</v>
      </c>
      <c r="Q54" s="969">
        <f t="shared" si="52"/>
        <v>1.8719999999999994E-2</v>
      </c>
      <c r="R54" s="247">
        <f t="shared" si="53"/>
        <v>2</v>
      </c>
      <c r="S54" s="24">
        <f t="shared" si="54"/>
        <v>682</v>
      </c>
      <c r="T54" s="970">
        <f t="shared" si="55"/>
        <v>1.364E-3</v>
      </c>
      <c r="U54" s="971">
        <f t="shared" si="56"/>
        <v>3.3418000000000003E-2</v>
      </c>
    </row>
    <row r="55" spans="1:21" s="2" customFormat="1" x14ac:dyDescent="0.2">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1CBE06"/>
    <pageSetUpPr fitToPage="1"/>
  </sheetPr>
  <dimension ref="A1:X59"/>
  <sheetViews>
    <sheetView workbookViewId="0">
      <pane xSplit="1" ySplit="5" topLeftCell="B21" activePane="bottomRight" state="frozen"/>
      <selection activeCell="B31" sqref="B31"/>
      <selection pane="topRight" activeCell="B31" sqref="B31"/>
      <selection pane="bottomLeft" activeCell="B31" sqref="B31"/>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207</v>
      </c>
      <c r="C2" s="27"/>
      <c r="D2" s="27"/>
      <c r="E2" s="27"/>
      <c r="F2" s="23"/>
      <c r="G2" s="23"/>
      <c r="H2" s="23"/>
      <c r="I2" s="23"/>
      <c r="J2" s="23"/>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42">
        <f t="shared" ref="D8:D19" si="1">IF($B8=0,0,(G8*1000)/$B8)</f>
        <v>0</v>
      </c>
      <c r="E8" s="63">
        <f t="shared" ref="E8:E19" si="2">IF($B8=0,0,(H8*1000)/$B8)</f>
        <v>0</v>
      </c>
      <c r="F8" s="641">
        <f t="shared" ref="F8:F19" si="3">IF($B8=0,0,(I8*1000000)/$B8)</f>
        <v>0</v>
      </c>
      <c r="G8" s="452">
        <f t="shared" ref="G8:G23" si="4">+$B8*D8/1000</f>
        <v>0</v>
      </c>
      <c r="H8" s="72">
        <f t="shared" ref="H8:H23" si="5">+$B8*E8/1000</f>
        <v>0</v>
      </c>
      <c r="I8" s="72">
        <f t="shared" ref="I8:I23" si="6">+$B8*F8/1000000</f>
        <v>0</v>
      </c>
      <c r="J8" s="61">
        <f>+(B8+N8)/2</f>
        <v>0</v>
      </c>
      <c r="K8" s="59">
        <f t="shared" ref="K8:K39" si="7">+D8</f>
        <v>0</v>
      </c>
      <c r="L8" s="59">
        <f t="shared" ref="L8:L39" si="8">+J8*K8/1000</f>
        <v>0</v>
      </c>
      <c r="M8" s="60">
        <f t="shared" ref="M8:M39" si="9">+M7+L8</f>
        <v>0</v>
      </c>
      <c r="N8" s="51">
        <v>0</v>
      </c>
      <c r="O8" s="55">
        <f t="shared" ref="O8:O39" si="10">+E8</f>
        <v>0</v>
      </c>
      <c r="P8" s="55">
        <f t="shared" ref="P8:P39" si="11">+N8*O8/1000</f>
        <v>0</v>
      </c>
      <c r="Q8" s="56">
        <f t="shared" ref="Q8:Q39" si="12">+Q7+P8</f>
        <v>0</v>
      </c>
      <c r="R8" s="247">
        <f>J8</f>
        <v>0</v>
      </c>
      <c r="S8" s="24">
        <f t="shared" ref="S8:S38" si="13">+F8</f>
        <v>0</v>
      </c>
      <c r="T8" s="25">
        <f t="shared" ref="T8:T38" si="14">+R8*S8/1000000</f>
        <v>0</v>
      </c>
      <c r="U8" s="53">
        <f t="shared" ref="U8:U39" si="15">+U7+T8</f>
        <v>0</v>
      </c>
      <c r="V8" s="248"/>
      <c r="X8" s="1"/>
    </row>
    <row r="9" spans="1:24" x14ac:dyDescent="0.2">
      <c r="A9" s="33">
        <v>1996</v>
      </c>
      <c r="B9" s="30">
        <v>0</v>
      </c>
      <c r="C9" s="660">
        <f t="shared" si="0"/>
        <v>0</v>
      </c>
      <c r="D9" s="642">
        <f t="shared" si="1"/>
        <v>0</v>
      </c>
      <c r="E9" s="63">
        <f t="shared" si="2"/>
        <v>0</v>
      </c>
      <c r="F9" s="641">
        <f t="shared" si="3"/>
        <v>0</v>
      </c>
      <c r="G9" s="452">
        <f t="shared" si="4"/>
        <v>0</v>
      </c>
      <c r="H9" s="72">
        <f t="shared" si="5"/>
        <v>0</v>
      </c>
      <c r="I9" s="72">
        <f t="shared" si="6"/>
        <v>0</v>
      </c>
      <c r="J9" s="61">
        <f t="shared" ref="J9:J39" si="16">+(B9+B8)/2</f>
        <v>0</v>
      </c>
      <c r="K9" s="59">
        <f t="shared" si="7"/>
        <v>0</v>
      </c>
      <c r="L9" s="59">
        <f t="shared" si="8"/>
        <v>0</v>
      </c>
      <c r="M9" s="60">
        <f t="shared" si="9"/>
        <v>0</v>
      </c>
      <c r="N9" s="54">
        <f t="shared" ref="N9:N39" si="17">+B8</f>
        <v>0</v>
      </c>
      <c r="O9" s="55">
        <f t="shared" si="10"/>
        <v>0</v>
      </c>
      <c r="P9" s="55">
        <f t="shared" si="11"/>
        <v>0</v>
      </c>
      <c r="Q9" s="56">
        <f t="shared" si="12"/>
        <v>0</v>
      </c>
      <c r="R9" s="247">
        <f t="shared" ref="R9:R38" si="18">+(B9+B8)/2</f>
        <v>0</v>
      </c>
      <c r="S9" s="24">
        <f t="shared" si="13"/>
        <v>0</v>
      </c>
      <c r="T9" s="25">
        <f t="shared" si="14"/>
        <v>0</v>
      </c>
      <c r="U9" s="53">
        <f t="shared" si="15"/>
        <v>0</v>
      </c>
      <c r="V9" s="10"/>
      <c r="X9" s="1"/>
    </row>
    <row r="10" spans="1:24" x14ac:dyDescent="0.2">
      <c r="A10" s="33">
        <v>1997</v>
      </c>
      <c r="B10" s="30">
        <v>0</v>
      </c>
      <c r="C10" s="660">
        <f t="shared" si="0"/>
        <v>0</v>
      </c>
      <c r="D10" s="642">
        <f t="shared" si="1"/>
        <v>0</v>
      </c>
      <c r="E10" s="63">
        <f t="shared" si="2"/>
        <v>0</v>
      </c>
      <c r="F10" s="641">
        <f t="shared" si="3"/>
        <v>0</v>
      </c>
      <c r="G10" s="452">
        <f t="shared" si="4"/>
        <v>0</v>
      </c>
      <c r="H10" s="72">
        <f t="shared" si="5"/>
        <v>0</v>
      </c>
      <c r="I10" s="72">
        <f t="shared" si="6"/>
        <v>0</v>
      </c>
      <c r="J10" s="61">
        <f t="shared" si="16"/>
        <v>0</v>
      </c>
      <c r="K10" s="59">
        <f t="shared" si="7"/>
        <v>0</v>
      </c>
      <c r="L10" s="59">
        <f t="shared" si="8"/>
        <v>0</v>
      </c>
      <c r="M10" s="60">
        <f t="shared" si="9"/>
        <v>0</v>
      </c>
      <c r="N10" s="54">
        <f t="shared" si="17"/>
        <v>0</v>
      </c>
      <c r="O10" s="55">
        <f t="shared" si="10"/>
        <v>0</v>
      </c>
      <c r="P10" s="55">
        <f t="shared" si="11"/>
        <v>0</v>
      </c>
      <c r="Q10" s="56">
        <f t="shared" si="12"/>
        <v>0</v>
      </c>
      <c r="R10" s="247">
        <f t="shared" si="18"/>
        <v>0</v>
      </c>
      <c r="S10" s="24">
        <f t="shared" si="13"/>
        <v>0</v>
      </c>
      <c r="T10" s="25">
        <f t="shared" si="14"/>
        <v>0</v>
      </c>
      <c r="U10" s="53">
        <f t="shared" si="15"/>
        <v>0</v>
      </c>
      <c r="V10" s="10"/>
      <c r="X10" s="1"/>
    </row>
    <row r="11" spans="1:24" x14ac:dyDescent="0.2">
      <c r="A11" s="33">
        <v>1998</v>
      </c>
      <c r="B11" s="30">
        <v>0</v>
      </c>
      <c r="C11" s="660">
        <f t="shared" si="0"/>
        <v>0</v>
      </c>
      <c r="D11" s="642">
        <f t="shared" si="1"/>
        <v>0</v>
      </c>
      <c r="E11" s="63">
        <f t="shared" si="2"/>
        <v>0</v>
      </c>
      <c r="F11" s="641">
        <f t="shared" si="3"/>
        <v>0</v>
      </c>
      <c r="G11" s="452">
        <f t="shared" si="4"/>
        <v>0</v>
      </c>
      <c r="H11" s="72">
        <f t="shared" si="5"/>
        <v>0</v>
      </c>
      <c r="I11" s="72">
        <f t="shared" si="6"/>
        <v>0</v>
      </c>
      <c r="J11" s="61">
        <f t="shared" si="16"/>
        <v>0</v>
      </c>
      <c r="K11" s="59">
        <f t="shared" si="7"/>
        <v>0</v>
      </c>
      <c r="L11" s="59">
        <f t="shared" si="8"/>
        <v>0</v>
      </c>
      <c r="M11" s="60">
        <f t="shared" si="9"/>
        <v>0</v>
      </c>
      <c r="N11" s="54">
        <f t="shared" si="17"/>
        <v>0</v>
      </c>
      <c r="O11" s="55">
        <f t="shared" si="10"/>
        <v>0</v>
      </c>
      <c r="P11" s="55">
        <f t="shared" si="11"/>
        <v>0</v>
      </c>
      <c r="Q11" s="56">
        <f t="shared" si="12"/>
        <v>0</v>
      </c>
      <c r="R11" s="247">
        <f t="shared" si="18"/>
        <v>0</v>
      </c>
      <c r="S11" s="24">
        <f t="shared" si="13"/>
        <v>0</v>
      </c>
      <c r="T11" s="25">
        <f t="shared" si="14"/>
        <v>0</v>
      </c>
      <c r="U11" s="53">
        <f t="shared" si="15"/>
        <v>0</v>
      </c>
      <c r="V11" s="10"/>
      <c r="X11" s="1"/>
    </row>
    <row r="12" spans="1:24" x14ac:dyDescent="0.2">
      <c r="A12" s="33">
        <v>1999</v>
      </c>
      <c r="B12" s="30">
        <v>0</v>
      </c>
      <c r="C12" s="660">
        <f t="shared" si="0"/>
        <v>0</v>
      </c>
      <c r="D12" s="642">
        <f t="shared" si="1"/>
        <v>0</v>
      </c>
      <c r="E12" s="63">
        <f t="shared" si="2"/>
        <v>0</v>
      </c>
      <c r="F12" s="641">
        <f t="shared" si="3"/>
        <v>0</v>
      </c>
      <c r="G12" s="452">
        <f t="shared" si="4"/>
        <v>0</v>
      </c>
      <c r="H12" s="72">
        <f t="shared" si="5"/>
        <v>0</v>
      </c>
      <c r="I12" s="72">
        <f t="shared" si="6"/>
        <v>0</v>
      </c>
      <c r="J12" s="61">
        <f t="shared" si="16"/>
        <v>0</v>
      </c>
      <c r="K12" s="59">
        <f t="shared" si="7"/>
        <v>0</v>
      </c>
      <c r="L12" s="59">
        <f t="shared" si="8"/>
        <v>0</v>
      </c>
      <c r="M12" s="60">
        <f t="shared" si="9"/>
        <v>0</v>
      </c>
      <c r="N12" s="54">
        <f t="shared" si="17"/>
        <v>0</v>
      </c>
      <c r="O12" s="55">
        <f t="shared" si="10"/>
        <v>0</v>
      </c>
      <c r="P12" s="55">
        <f t="shared" si="11"/>
        <v>0</v>
      </c>
      <c r="Q12" s="56">
        <f t="shared" si="12"/>
        <v>0</v>
      </c>
      <c r="R12" s="247">
        <f t="shared" si="18"/>
        <v>0</v>
      </c>
      <c r="S12" s="24">
        <f t="shared" si="13"/>
        <v>0</v>
      </c>
      <c r="T12" s="25">
        <f t="shared" si="14"/>
        <v>0</v>
      </c>
      <c r="U12" s="53">
        <f t="shared" si="15"/>
        <v>0</v>
      </c>
      <c r="V12" s="10"/>
      <c r="X12" s="1"/>
    </row>
    <row r="13" spans="1:24" x14ac:dyDescent="0.2">
      <c r="A13" s="33">
        <v>2000</v>
      </c>
      <c r="B13" s="30">
        <v>0</v>
      </c>
      <c r="C13" s="660">
        <f t="shared" si="0"/>
        <v>0</v>
      </c>
      <c r="D13" s="642">
        <f t="shared" si="1"/>
        <v>0</v>
      </c>
      <c r="E13" s="63">
        <f t="shared" si="2"/>
        <v>0</v>
      </c>
      <c r="F13" s="641">
        <f t="shared" si="3"/>
        <v>0</v>
      </c>
      <c r="G13" s="452">
        <f t="shared" si="4"/>
        <v>0</v>
      </c>
      <c r="H13" s="72">
        <f t="shared" si="5"/>
        <v>0</v>
      </c>
      <c r="I13" s="72">
        <f t="shared" si="6"/>
        <v>0</v>
      </c>
      <c r="J13" s="61">
        <f t="shared" si="16"/>
        <v>0</v>
      </c>
      <c r="K13" s="59">
        <f t="shared" si="7"/>
        <v>0</v>
      </c>
      <c r="L13" s="59">
        <f t="shared" si="8"/>
        <v>0</v>
      </c>
      <c r="M13" s="60">
        <f t="shared" si="9"/>
        <v>0</v>
      </c>
      <c r="N13" s="54">
        <f t="shared" si="17"/>
        <v>0</v>
      </c>
      <c r="O13" s="55">
        <f t="shared" si="10"/>
        <v>0</v>
      </c>
      <c r="P13" s="55">
        <f t="shared" si="11"/>
        <v>0</v>
      </c>
      <c r="Q13" s="56">
        <f t="shared" si="12"/>
        <v>0</v>
      </c>
      <c r="R13" s="247">
        <f t="shared" si="18"/>
        <v>0</v>
      </c>
      <c r="S13" s="24">
        <f t="shared" si="13"/>
        <v>0</v>
      </c>
      <c r="T13" s="25">
        <f t="shared" si="14"/>
        <v>0</v>
      </c>
      <c r="U13" s="53">
        <f t="shared" si="15"/>
        <v>0</v>
      </c>
      <c r="V13" s="248"/>
      <c r="X13" s="1"/>
    </row>
    <row r="14" spans="1:24" x14ac:dyDescent="0.2">
      <c r="A14" s="33">
        <v>2001</v>
      </c>
      <c r="B14" s="30">
        <v>0</v>
      </c>
      <c r="C14" s="660">
        <f t="shared" si="0"/>
        <v>0</v>
      </c>
      <c r="D14" s="642">
        <f t="shared" si="1"/>
        <v>0</v>
      </c>
      <c r="E14" s="63">
        <f t="shared" si="2"/>
        <v>0</v>
      </c>
      <c r="F14" s="641">
        <f t="shared" si="3"/>
        <v>0</v>
      </c>
      <c r="G14" s="452">
        <f t="shared" si="4"/>
        <v>0</v>
      </c>
      <c r="H14" s="72">
        <f t="shared" si="5"/>
        <v>0</v>
      </c>
      <c r="I14" s="72">
        <f t="shared" si="6"/>
        <v>0</v>
      </c>
      <c r="J14" s="61">
        <f t="shared" si="16"/>
        <v>0</v>
      </c>
      <c r="K14" s="59">
        <f t="shared" si="7"/>
        <v>0</v>
      </c>
      <c r="L14" s="59">
        <f t="shared" si="8"/>
        <v>0</v>
      </c>
      <c r="M14" s="60">
        <f t="shared" si="9"/>
        <v>0</v>
      </c>
      <c r="N14" s="54">
        <f t="shared" si="17"/>
        <v>0</v>
      </c>
      <c r="O14" s="55">
        <f t="shared" si="10"/>
        <v>0</v>
      </c>
      <c r="P14" s="55">
        <f t="shared" si="11"/>
        <v>0</v>
      </c>
      <c r="Q14" s="56">
        <f t="shared" si="12"/>
        <v>0</v>
      </c>
      <c r="R14" s="247">
        <f t="shared" si="18"/>
        <v>0</v>
      </c>
      <c r="S14" s="24">
        <f t="shared" si="13"/>
        <v>0</v>
      </c>
      <c r="T14" s="25">
        <f t="shared" si="14"/>
        <v>0</v>
      </c>
      <c r="U14" s="53">
        <f t="shared" si="15"/>
        <v>0</v>
      </c>
      <c r="V14" s="248"/>
      <c r="X14" s="1"/>
    </row>
    <row r="15" spans="1:24" x14ac:dyDescent="0.2">
      <c r="A15" s="33">
        <v>2002</v>
      </c>
      <c r="B15" s="30">
        <v>0</v>
      </c>
      <c r="C15" s="660">
        <f t="shared" si="0"/>
        <v>0</v>
      </c>
      <c r="D15" s="642">
        <f t="shared" si="1"/>
        <v>0</v>
      </c>
      <c r="E15" s="63">
        <f t="shared" si="2"/>
        <v>0</v>
      </c>
      <c r="F15" s="641">
        <f t="shared" si="3"/>
        <v>0</v>
      </c>
      <c r="G15" s="452">
        <f t="shared" si="4"/>
        <v>0</v>
      </c>
      <c r="H15" s="72">
        <f t="shared" si="5"/>
        <v>0</v>
      </c>
      <c r="I15" s="72">
        <f t="shared" si="6"/>
        <v>0</v>
      </c>
      <c r="J15" s="61">
        <f t="shared" si="16"/>
        <v>0</v>
      </c>
      <c r="K15" s="59">
        <f t="shared" si="7"/>
        <v>0</v>
      </c>
      <c r="L15" s="59">
        <f t="shared" si="8"/>
        <v>0</v>
      </c>
      <c r="M15" s="60">
        <f t="shared" si="9"/>
        <v>0</v>
      </c>
      <c r="N15" s="54">
        <f t="shared" si="17"/>
        <v>0</v>
      </c>
      <c r="O15" s="55">
        <f t="shared" si="10"/>
        <v>0</v>
      </c>
      <c r="P15" s="55">
        <f t="shared" si="11"/>
        <v>0</v>
      </c>
      <c r="Q15" s="56">
        <f t="shared" si="12"/>
        <v>0</v>
      </c>
      <c r="R15" s="247">
        <f t="shared" si="18"/>
        <v>0</v>
      </c>
      <c r="S15" s="24">
        <f t="shared" si="13"/>
        <v>0</v>
      </c>
      <c r="T15" s="25">
        <f t="shared" si="14"/>
        <v>0</v>
      </c>
      <c r="U15" s="53">
        <f t="shared" si="15"/>
        <v>0</v>
      </c>
      <c r="V15" s="248"/>
      <c r="X15" s="1"/>
    </row>
    <row r="16" spans="1:24" x14ac:dyDescent="0.2">
      <c r="A16" s="33">
        <v>2003</v>
      </c>
      <c r="B16" s="30">
        <v>0</v>
      </c>
      <c r="C16" s="660">
        <f t="shared" si="0"/>
        <v>0</v>
      </c>
      <c r="D16" s="642">
        <f t="shared" si="1"/>
        <v>0</v>
      </c>
      <c r="E16" s="63">
        <f t="shared" si="2"/>
        <v>0</v>
      </c>
      <c r="F16" s="641">
        <f t="shared" si="3"/>
        <v>0</v>
      </c>
      <c r="G16" s="452">
        <f t="shared" si="4"/>
        <v>0</v>
      </c>
      <c r="H16" s="72">
        <f t="shared" si="5"/>
        <v>0</v>
      </c>
      <c r="I16" s="72">
        <f t="shared" si="6"/>
        <v>0</v>
      </c>
      <c r="J16" s="61">
        <f t="shared" si="16"/>
        <v>0</v>
      </c>
      <c r="K16" s="59">
        <f t="shared" si="7"/>
        <v>0</v>
      </c>
      <c r="L16" s="59">
        <f t="shared" si="8"/>
        <v>0</v>
      </c>
      <c r="M16" s="60">
        <f t="shared" si="9"/>
        <v>0</v>
      </c>
      <c r="N16" s="54">
        <f t="shared" si="17"/>
        <v>0</v>
      </c>
      <c r="O16" s="55">
        <f t="shared" si="10"/>
        <v>0</v>
      </c>
      <c r="P16" s="55">
        <f t="shared" si="11"/>
        <v>0</v>
      </c>
      <c r="Q16" s="56">
        <f t="shared" si="12"/>
        <v>0</v>
      </c>
      <c r="R16" s="247">
        <f t="shared" si="18"/>
        <v>0</v>
      </c>
      <c r="S16" s="24">
        <f t="shared" si="13"/>
        <v>0</v>
      </c>
      <c r="T16" s="25">
        <f t="shared" si="14"/>
        <v>0</v>
      </c>
      <c r="U16" s="53">
        <f t="shared" si="15"/>
        <v>0</v>
      </c>
      <c r="V16" s="248"/>
      <c r="X16" s="1"/>
    </row>
    <row r="17" spans="1:24" x14ac:dyDescent="0.2">
      <c r="A17" s="33">
        <f t="shared" ref="A17:A54" si="19">+A16+1</f>
        <v>2004</v>
      </c>
      <c r="B17" s="30">
        <v>0</v>
      </c>
      <c r="C17" s="660">
        <f t="shared" si="0"/>
        <v>0</v>
      </c>
      <c r="D17" s="642">
        <f t="shared" si="1"/>
        <v>0</v>
      </c>
      <c r="E17" s="63">
        <f t="shared" si="2"/>
        <v>0</v>
      </c>
      <c r="F17" s="641">
        <f t="shared" si="3"/>
        <v>0</v>
      </c>
      <c r="G17" s="452">
        <f t="shared" si="4"/>
        <v>0</v>
      </c>
      <c r="H17" s="72">
        <f t="shared" si="5"/>
        <v>0</v>
      </c>
      <c r="I17" s="72">
        <f t="shared" si="6"/>
        <v>0</v>
      </c>
      <c r="J17" s="61">
        <f t="shared" si="16"/>
        <v>0</v>
      </c>
      <c r="K17" s="59">
        <f t="shared" si="7"/>
        <v>0</v>
      </c>
      <c r="L17" s="59">
        <f t="shared" si="8"/>
        <v>0</v>
      </c>
      <c r="M17" s="60">
        <f t="shared" si="9"/>
        <v>0</v>
      </c>
      <c r="N17" s="54">
        <f t="shared" si="17"/>
        <v>0</v>
      </c>
      <c r="O17" s="55">
        <f t="shared" si="10"/>
        <v>0</v>
      </c>
      <c r="P17" s="55">
        <f t="shared" si="11"/>
        <v>0</v>
      </c>
      <c r="Q17" s="56">
        <f t="shared" si="12"/>
        <v>0</v>
      </c>
      <c r="R17" s="247">
        <f t="shared" si="18"/>
        <v>0</v>
      </c>
      <c r="S17" s="24">
        <f t="shared" si="13"/>
        <v>0</v>
      </c>
      <c r="T17" s="25">
        <f t="shared" si="14"/>
        <v>0</v>
      </c>
      <c r="U17" s="53">
        <f t="shared" si="15"/>
        <v>0</v>
      </c>
      <c r="V17" s="248"/>
      <c r="X17" s="1"/>
    </row>
    <row r="18" spans="1:24" x14ac:dyDescent="0.2">
      <c r="A18" s="33">
        <f t="shared" si="19"/>
        <v>2005</v>
      </c>
      <c r="B18" s="30">
        <v>0</v>
      </c>
      <c r="C18" s="660">
        <f t="shared" si="0"/>
        <v>0</v>
      </c>
      <c r="D18" s="642">
        <f t="shared" si="1"/>
        <v>0</v>
      </c>
      <c r="E18" s="63">
        <f t="shared" si="2"/>
        <v>0</v>
      </c>
      <c r="F18" s="641">
        <f t="shared" si="3"/>
        <v>0</v>
      </c>
      <c r="G18" s="452">
        <f t="shared" si="4"/>
        <v>0</v>
      </c>
      <c r="H18" s="72">
        <f t="shared" si="5"/>
        <v>0</v>
      </c>
      <c r="I18" s="72">
        <f t="shared" si="6"/>
        <v>0</v>
      </c>
      <c r="J18" s="61">
        <f t="shared" si="16"/>
        <v>0</v>
      </c>
      <c r="K18" s="59">
        <f t="shared" si="7"/>
        <v>0</v>
      </c>
      <c r="L18" s="59">
        <f t="shared" si="8"/>
        <v>0</v>
      </c>
      <c r="M18" s="60">
        <f t="shared" si="9"/>
        <v>0</v>
      </c>
      <c r="N18" s="54">
        <f t="shared" si="17"/>
        <v>0</v>
      </c>
      <c r="O18" s="55">
        <f t="shared" si="10"/>
        <v>0</v>
      </c>
      <c r="P18" s="55">
        <f t="shared" si="11"/>
        <v>0</v>
      </c>
      <c r="Q18" s="56">
        <f t="shared" si="12"/>
        <v>0</v>
      </c>
      <c r="R18" s="247">
        <f t="shared" si="18"/>
        <v>0</v>
      </c>
      <c r="S18" s="24">
        <f t="shared" si="13"/>
        <v>0</v>
      </c>
      <c r="T18" s="25">
        <f t="shared" si="14"/>
        <v>0</v>
      </c>
      <c r="U18" s="53">
        <f t="shared" si="15"/>
        <v>0</v>
      </c>
      <c r="V18" s="248"/>
      <c r="X18" s="1"/>
    </row>
    <row r="19" spans="1:24" x14ac:dyDescent="0.2">
      <c r="A19" s="33">
        <f t="shared" si="19"/>
        <v>2006</v>
      </c>
      <c r="B19" s="30">
        <v>0</v>
      </c>
      <c r="C19" s="660">
        <f t="shared" si="0"/>
        <v>0</v>
      </c>
      <c r="D19" s="642">
        <f t="shared" si="1"/>
        <v>0</v>
      </c>
      <c r="E19" s="63">
        <f t="shared" si="2"/>
        <v>0</v>
      </c>
      <c r="F19" s="641">
        <f t="shared" si="3"/>
        <v>0</v>
      </c>
      <c r="G19" s="452">
        <f t="shared" si="4"/>
        <v>0</v>
      </c>
      <c r="H19" s="72">
        <f t="shared" si="5"/>
        <v>0</v>
      </c>
      <c r="I19" s="72">
        <f t="shared" si="6"/>
        <v>0</v>
      </c>
      <c r="J19" s="61">
        <f t="shared" si="16"/>
        <v>0</v>
      </c>
      <c r="K19" s="59">
        <f t="shared" si="7"/>
        <v>0</v>
      </c>
      <c r="L19" s="59">
        <f t="shared" si="8"/>
        <v>0</v>
      </c>
      <c r="M19" s="60">
        <f t="shared" si="9"/>
        <v>0</v>
      </c>
      <c r="N19" s="54">
        <f t="shared" si="17"/>
        <v>0</v>
      </c>
      <c r="O19" s="55">
        <f t="shared" si="10"/>
        <v>0</v>
      </c>
      <c r="P19" s="55">
        <f t="shared" si="11"/>
        <v>0</v>
      </c>
      <c r="Q19" s="56">
        <f t="shared" si="12"/>
        <v>0</v>
      </c>
      <c r="R19" s="247">
        <f t="shared" si="18"/>
        <v>0</v>
      </c>
      <c r="S19" s="24">
        <f t="shared" si="13"/>
        <v>0</v>
      </c>
      <c r="T19" s="25">
        <f t="shared" si="14"/>
        <v>0</v>
      </c>
      <c r="U19" s="53">
        <f t="shared" si="15"/>
        <v>0</v>
      </c>
      <c r="V19" s="8"/>
      <c r="X19" s="1"/>
    </row>
    <row r="20" spans="1:24" x14ac:dyDescent="0.2">
      <c r="A20" s="33">
        <f t="shared" si="19"/>
        <v>2007</v>
      </c>
      <c r="B20" s="30">
        <v>0</v>
      </c>
      <c r="C20" s="660">
        <f t="shared" si="0"/>
        <v>0</v>
      </c>
      <c r="D20" s="642">
        <f>IF($B20=0,0,(G20*1000)/$B20)</f>
        <v>0</v>
      </c>
      <c r="E20" s="63">
        <f>IF($B20=0,0,(H20*1000)/$B20)</f>
        <v>0</v>
      </c>
      <c r="F20" s="641">
        <f>IF($B20=0,0,(I20*1000000)/$B20)</f>
        <v>0</v>
      </c>
      <c r="G20" s="452">
        <f t="shared" si="4"/>
        <v>0</v>
      </c>
      <c r="H20" s="72">
        <f t="shared" si="5"/>
        <v>0</v>
      </c>
      <c r="I20" s="72">
        <f t="shared" si="6"/>
        <v>0</v>
      </c>
      <c r="J20" s="61">
        <f t="shared" si="16"/>
        <v>0</v>
      </c>
      <c r="K20" s="59">
        <f t="shared" si="7"/>
        <v>0</v>
      </c>
      <c r="L20" s="59">
        <f t="shared" si="8"/>
        <v>0</v>
      </c>
      <c r="M20" s="60">
        <f t="shared" si="9"/>
        <v>0</v>
      </c>
      <c r="N20" s="54">
        <f t="shared" si="17"/>
        <v>0</v>
      </c>
      <c r="O20" s="55">
        <f t="shared" si="10"/>
        <v>0</v>
      </c>
      <c r="P20" s="55">
        <f t="shared" si="11"/>
        <v>0</v>
      </c>
      <c r="Q20" s="56">
        <f t="shared" si="12"/>
        <v>0</v>
      </c>
      <c r="R20" s="247">
        <f t="shared" si="18"/>
        <v>0</v>
      </c>
      <c r="S20" s="24">
        <f t="shared" si="13"/>
        <v>0</v>
      </c>
      <c r="T20" s="25">
        <f t="shared" si="14"/>
        <v>0</v>
      </c>
      <c r="U20" s="53">
        <f t="shared" si="15"/>
        <v>0</v>
      </c>
    </row>
    <row r="21" spans="1:24" x14ac:dyDescent="0.2">
      <c r="A21" s="33">
        <f t="shared" si="19"/>
        <v>2008</v>
      </c>
      <c r="B21" s="30">
        <v>0</v>
      </c>
      <c r="C21" s="660">
        <f t="shared" si="0"/>
        <v>0</v>
      </c>
      <c r="D21" s="642">
        <f>IF($B21=0,0,(G21*1000)/$B21)</f>
        <v>0</v>
      </c>
      <c r="E21" s="63">
        <f>IF($B21=0,0,(H21*1000)/$B21)</f>
        <v>0</v>
      </c>
      <c r="F21" s="641">
        <f>IF($B21=0,0,(I21*1000000)/$B21)</f>
        <v>0</v>
      </c>
      <c r="G21" s="452">
        <f t="shared" si="4"/>
        <v>0</v>
      </c>
      <c r="H21" s="72">
        <f t="shared" si="5"/>
        <v>0</v>
      </c>
      <c r="I21" s="72">
        <f t="shared" si="6"/>
        <v>0</v>
      </c>
      <c r="J21" s="61">
        <f t="shared" si="16"/>
        <v>0</v>
      </c>
      <c r="K21" s="59">
        <f t="shared" si="7"/>
        <v>0</v>
      </c>
      <c r="L21" s="59">
        <f t="shared" si="8"/>
        <v>0</v>
      </c>
      <c r="M21" s="60">
        <f t="shared" si="9"/>
        <v>0</v>
      </c>
      <c r="N21" s="54">
        <f t="shared" si="17"/>
        <v>0</v>
      </c>
      <c r="O21" s="55">
        <f t="shared" si="10"/>
        <v>0</v>
      </c>
      <c r="P21" s="55">
        <f t="shared" si="11"/>
        <v>0</v>
      </c>
      <c r="Q21" s="56">
        <f t="shared" si="12"/>
        <v>0</v>
      </c>
      <c r="R21" s="247">
        <f t="shared" si="18"/>
        <v>0</v>
      </c>
      <c r="S21" s="24">
        <f t="shared" si="13"/>
        <v>0</v>
      </c>
      <c r="T21" s="25">
        <f t="shared" si="14"/>
        <v>0</v>
      </c>
      <c r="U21" s="53">
        <f t="shared" si="15"/>
        <v>0</v>
      </c>
    </row>
    <row r="22" spans="1:24" x14ac:dyDescent="0.2">
      <c r="A22" s="33">
        <f t="shared" si="19"/>
        <v>2009</v>
      </c>
      <c r="B22" s="30">
        <v>0</v>
      </c>
      <c r="C22" s="660">
        <v>0</v>
      </c>
      <c r="D22" s="642">
        <v>0.94</v>
      </c>
      <c r="E22" s="63">
        <v>0.95</v>
      </c>
      <c r="F22" s="641">
        <v>8847</v>
      </c>
      <c r="G22" s="452">
        <f t="shared" si="4"/>
        <v>0</v>
      </c>
      <c r="H22" s="72">
        <f t="shared" si="5"/>
        <v>0</v>
      </c>
      <c r="I22" s="72">
        <f t="shared" si="6"/>
        <v>0</v>
      </c>
      <c r="J22" s="61">
        <f t="shared" si="16"/>
        <v>0</v>
      </c>
      <c r="K22" s="59">
        <f t="shared" si="7"/>
        <v>0.94</v>
      </c>
      <c r="L22" s="59">
        <f t="shared" si="8"/>
        <v>0</v>
      </c>
      <c r="M22" s="60">
        <f t="shared" si="9"/>
        <v>0</v>
      </c>
      <c r="N22" s="54">
        <f t="shared" si="17"/>
        <v>0</v>
      </c>
      <c r="O22" s="55">
        <f t="shared" si="10"/>
        <v>0.95</v>
      </c>
      <c r="P22" s="55">
        <f t="shared" si="11"/>
        <v>0</v>
      </c>
      <c r="Q22" s="56">
        <f t="shared" si="12"/>
        <v>0</v>
      </c>
      <c r="R22" s="247">
        <f t="shared" si="18"/>
        <v>0</v>
      </c>
      <c r="S22" s="24">
        <f t="shared" si="13"/>
        <v>8847</v>
      </c>
      <c r="T22" s="25">
        <f t="shared" si="14"/>
        <v>0</v>
      </c>
      <c r="U22" s="53">
        <f t="shared" si="15"/>
        <v>0</v>
      </c>
    </row>
    <row r="23" spans="1:24" x14ac:dyDescent="0.2">
      <c r="A23" s="33">
        <f t="shared" si="19"/>
        <v>2010</v>
      </c>
      <c r="B23" s="30">
        <v>0</v>
      </c>
      <c r="C23" s="661">
        <f t="shared" si="0"/>
        <v>0</v>
      </c>
      <c r="D23" s="662">
        <v>0.41</v>
      </c>
      <c r="E23" s="663">
        <v>0.13</v>
      </c>
      <c r="F23" s="617">
        <v>2872</v>
      </c>
      <c r="G23" s="452">
        <f t="shared" si="4"/>
        <v>0</v>
      </c>
      <c r="H23" s="72">
        <f t="shared" si="5"/>
        <v>0</v>
      </c>
      <c r="I23" s="72">
        <f t="shared" si="6"/>
        <v>0</v>
      </c>
      <c r="J23" s="61">
        <f t="shared" si="16"/>
        <v>0</v>
      </c>
      <c r="K23" s="59">
        <f t="shared" ref="K23:K27" si="20">+D23</f>
        <v>0.41</v>
      </c>
      <c r="L23" s="59">
        <f t="shared" ref="L23:L27" si="21">+J23*K23/1000</f>
        <v>0</v>
      </c>
      <c r="M23" s="60">
        <f t="shared" ref="M23:M27" si="22">+M22+L23</f>
        <v>0</v>
      </c>
      <c r="N23" s="54">
        <f t="shared" si="17"/>
        <v>0</v>
      </c>
      <c r="O23" s="597">
        <f t="shared" si="10"/>
        <v>0.13</v>
      </c>
      <c r="P23" s="597">
        <f t="shared" si="11"/>
        <v>0</v>
      </c>
      <c r="Q23" s="653">
        <f t="shared" si="12"/>
        <v>0</v>
      </c>
      <c r="R23" s="247">
        <f t="shared" si="18"/>
        <v>0</v>
      </c>
      <c r="S23" s="24">
        <f t="shared" si="13"/>
        <v>2872</v>
      </c>
      <c r="T23" s="25">
        <f t="shared" si="14"/>
        <v>0</v>
      </c>
      <c r="U23" s="654">
        <f t="shared" si="15"/>
        <v>0</v>
      </c>
    </row>
    <row r="24" spans="1:24" x14ac:dyDescent="0.2">
      <c r="A24" s="33">
        <f t="shared" si="19"/>
        <v>2011</v>
      </c>
      <c r="B24" s="30">
        <v>0</v>
      </c>
      <c r="C24" s="661">
        <f t="shared" si="0"/>
        <v>0</v>
      </c>
      <c r="D24" s="662">
        <v>0.41</v>
      </c>
      <c r="E24" s="663">
        <v>0.13</v>
      </c>
      <c r="F24" s="617">
        <v>2872</v>
      </c>
      <c r="G24" s="452">
        <f t="shared" ref="G24:G39" si="23">+$B24*D24/1000</f>
        <v>0</v>
      </c>
      <c r="H24" s="72">
        <f t="shared" ref="H24:H39" si="24">+$B24*E24/1000</f>
        <v>0</v>
      </c>
      <c r="I24" s="72">
        <f t="shared" ref="I24:I39" si="25">+$B24*F24/1000000</f>
        <v>0</v>
      </c>
      <c r="J24" s="61">
        <f t="shared" si="16"/>
        <v>0</v>
      </c>
      <c r="K24" s="59">
        <f t="shared" si="20"/>
        <v>0.41</v>
      </c>
      <c r="L24" s="59">
        <f t="shared" si="21"/>
        <v>0</v>
      </c>
      <c r="M24" s="60">
        <f t="shared" si="22"/>
        <v>0</v>
      </c>
      <c r="N24" s="54">
        <f t="shared" si="17"/>
        <v>0</v>
      </c>
      <c r="O24" s="597">
        <f t="shared" si="10"/>
        <v>0.13</v>
      </c>
      <c r="P24" s="597">
        <f t="shared" si="11"/>
        <v>0</v>
      </c>
      <c r="Q24" s="653">
        <f t="shared" si="12"/>
        <v>0</v>
      </c>
      <c r="R24" s="247">
        <f t="shared" si="18"/>
        <v>0</v>
      </c>
      <c r="S24" s="24">
        <f t="shared" si="13"/>
        <v>2872</v>
      </c>
      <c r="T24" s="25">
        <f t="shared" si="14"/>
        <v>0</v>
      </c>
      <c r="U24" s="654">
        <f t="shared" si="15"/>
        <v>0</v>
      </c>
    </row>
    <row r="25" spans="1:24" x14ac:dyDescent="0.2">
      <c r="A25" s="33">
        <f t="shared" si="19"/>
        <v>2012</v>
      </c>
      <c r="B25" s="30">
        <v>0</v>
      </c>
      <c r="C25" s="661">
        <f t="shared" si="0"/>
        <v>0</v>
      </c>
      <c r="D25" s="662">
        <v>0.41</v>
      </c>
      <c r="E25" s="663">
        <v>0.13</v>
      </c>
      <c r="F25" s="617">
        <v>2872</v>
      </c>
      <c r="G25" s="452">
        <f t="shared" si="23"/>
        <v>0</v>
      </c>
      <c r="H25" s="72">
        <f t="shared" si="24"/>
        <v>0</v>
      </c>
      <c r="I25" s="72">
        <f t="shared" si="25"/>
        <v>0</v>
      </c>
      <c r="J25" s="61">
        <f t="shared" si="16"/>
        <v>0</v>
      </c>
      <c r="K25" s="59">
        <f t="shared" si="20"/>
        <v>0.41</v>
      </c>
      <c r="L25" s="59">
        <f t="shared" si="21"/>
        <v>0</v>
      </c>
      <c r="M25" s="60">
        <f t="shared" si="22"/>
        <v>0</v>
      </c>
      <c r="N25" s="54">
        <f t="shared" si="17"/>
        <v>0</v>
      </c>
      <c r="O25" s="597">
        <f t="shared" si="10"/>
        <v>0.13</v>
      </c>
      <c r="P25" s="597">
        <f t="shared" si="11"/>
        <v>0</v>
      </c>
      <c r="Q25" s="653">
        <f t="shared" si="12"/>
        <v>0</v>
      </c>
      <c r="R25" s="247">
        <f t="shared" si="18"/>
        <v>0</v>
      </c>
      <c r="S25" s="24">
        <f t="shared" si="13"/>
        <v>2872</v>
      </c>
      <c r="T25" s="25">
        <f t="shared" si="14"/>
        <v>0</v>
      </c>
      <c r="U25" s="654">
        <f t="shared" si="15"/>
        <v>0</v>
      </c>
    </row>
    <row r="26" spans="1:24" s="831" customFormat="1" x14ac:dyDescent="0.2">
      <c r="A26" s="33">
        <f t="shared" si="19"/>
        <v>2013</v>
      </c>
      <c r="B26" s="30">
        <v>0</v>
      </c>
      <c r="C26" s="619">
        <f t="shared" si="0"/>
        <v>0</v>
      </c>
      <c r="D26" s="807">
        <f t="shared" ref="D26:D54" si="26">+D25</f>
        <v>0.41</v>
      </c>
      <c r="E26" s="808">
        <f t="shared" ref="E26:E54" si="27">+E25</f>
        <v>0.13</v>
      </c>
      <c r="F26" s="806">
        <f t="shared" ref="F26:F54" si="28">+F25</f>
        <v>2872</v>
      </c>
      <c r="G26" s="452">
        <f t="shared" si="23"/>
        <v>0</v>
      </c>
      <c r="H26" s="72">
        <f t="shared" si="24"/>
        <v>0</v>
      </c>
      <c r="I26" s="72">
        <f t="shared" si="25"/>
        <v>0</v>
      </c>
      <c r="J26" s="61">
        <f t="shared" si="16"/>
        <v>0</v>
      </c>
      <c r="K26" s="59">
        <f t="shared" si="20"/>
        <v>0.41</v>
      </c>
      <c r="L26" s="59">
        <f t="shared" si="21"/>
        <v>0</v>
      </c>
      <c r="M26" s="60">
        <f t="shared" si="22"/>
        <v>0</v>
      </c>
      <c r="N26" s="54">
        <f t="shared" si="17"/>
        <v>0</v>
      </c>
      <c r="O26" s="597">
        <f t="shared" si="10"/>
        <v>0.13</v>
      </c>
      <c r="P26" s="597">
        <f t="shared" si="11"/>
        <v>0</v>
      </c>
      <c r="Q26" s="653">
        <f t="shared" si="12"/>
        <v>0</v>
      </c>
      <c r="R26" s="247">
        <f t="shared" si="18"/>
        <v>0</v>
      </c>
      <c r="S26" s="24">
        <f t="shared" si="13"/>
        <v>2872</v>
      </c>
      <c r="T26" s="25">
        <f t="shared" si="14"/>
        <v>0</v>
      </c>
      <c r="U26" s="654">
        <f t="shared" si="15"/>
        <v>0</v>
      </c>
      <c r="V26" s="830"/>
    </row>
    <row r="27" spans="1:24" s="831" customFormat="1" x14ac:dyDescent="0.2">
      <c r="A27" s="33">
        <f t="shared" si="19"/>
        <v>2014</v>
      </c>
      <c r="B27" s="30">
        <v>0</v>
      </c>
      <c r="C27" s="619">
        <f t="shared" si="0"/>
        <v>0</v>
      </c>
      <c r="D27" s="807">
        <f t="shared" si="26"/>
        <v>0.41</v>
      </c>
      <c r="E27" s="808">
        <f t="shared" si="27"/>
        <v>0.13</v>
      </c>
      <c r="F27" s="806">
        <f t="shared" si="28"/>
        <v>2872</v>
      </c>
      <c r="G27" s="452">
        <f t="shared" si="23"/>
        <v>0</v>
      </c>
      <c r="H27" s="72">
        <f t="shared" si="24"/>
        <v>0</v>
      </c>
      <c r="I27" s="72">
        <f t="shared" si="25"/>
        <v>0</v>
      </c>
      <c r="J27" s="61">
        <f t="shared" si="16"/>
        <v>0</v>
      </c>
      <c r="K27" s="59">
        <f t="shared" si="20"/>
        <v>0.41</v>
      </c>
      <c r="L27" s="59">
        <f t="shared" si="21"/>
        <v>0</v>
      </c>
      <c r="M27" s="60">
        <f t="shared" si="22"/>
        <v>0</v>
      </c>
      <c r="N27" s="54">
        <f t="shared" si="17"/>
        <v>0</v>
      </c>
      <c r="O27" s="597">
        <f t="shared" si="10"/>
        <v>0.13</v>
      </c>
      <c r="P27" s="597">
        <f t="shared" si="11"/>
        <v>0</v>
      </c>
      <c r="Q27" s="653">
        <f t="shared" si="12"/>
        <v>0</v>
      </c>
      <c r="R27" s="247">
        <f t="shared" si="18"/>
        <v>0</v>
      </c>
      <c r="S27" s="24">
        <f t="shared" si="13"/>
        <v>2872</v>
      </c>
      <c r="T27" s="25">
        <f t="shared" si="14"/>
        <v>0</v>
      </c>
      <c r="U27" s="654">
        <f t="shared" si="15"/>
        <v>0</v>
      </c>
      <c r="V27" s="830"/>
    </row>
    <row r="28" spans="1:24" s="831" customFormat="1" x14ac:dyDescent="0.2">
      <c r="A28" s="33">
        <f t="shared" si="19"/>
        <v>2015</v>
      </c>
      <c r="B28" s="30">
        <v>0</v>
      </c>
      <c r="C28" s="619">
        <f t="shared" si="0"/>
        <v>0</v>
      </c>
      <c r="D28" s="807">
        <v>0.63100000000000001</v>
      </c>
      <c r="E28" s="808">
        <v>0.32900000000000001</v>
      </c>
      <c r="F28" s="806">
        <v>4735</v>
      </c>
      <c r="G28" s="452">
        <f t="shared" si="23"/>
        <v>0</v>
      </c>
      <c r="H28" s="72">
        <f t="shared" si="24"/>
        <v>0</v>
      </c>
      <c r="I28" s="72">
        <f t="shared" si="25"/>
        <v>0</v>
      </c>
      <c r="J28" s="61">
        <f t="shared" si="16"/>
        <v>0</v>
      </c>
      <c r="K28" s="59">
        <f t="shared" si="7"/>
        <v>0.63100000000000001</v>
      </c>
      <c r="L28" s="59">
        <f t="shared" si="8"/>
        <v>0</v>
      </c>
      <c r="M28" s="60">
        <f t="shared" si="9"/>
        <v>0</v>
      </c>
      <c r="N28" s="54">
        <f t="shared" si="17"/>
        <v>0</v>
      </c>
      <c r="O28" s="597">
        <f t="shared" si="10"/>
        <v>0.32900000000000001</v>
      </c>
      <c r="P28" s="597">
        <f t="shared" si="11"/>
        <v>0</v>
      </c>
      <c r="Q28" s="653">
        <f t="shared" si="12"/>
        <v>0</v>
      </c>
      <c r="R28" s="247">
        <f t="shared" si="18"/>
        <v>0</v>
      </c>
      <c r="S28" s="24">
        <f t="shared" si="13"/>
        <v>4735</v>
      </c>
      <c r="T28" s="25">
        <f t="shared" si="14"/>
        <v>0</v>
      </c>
      <c r="U28" s="654">
        <f t="shared" si="15"/>
        <v>0</v>
      </c>
      <c r="V28" s="830"/>
    </row>
    <row r="29" spans="1:24" ht="13.5" thickBot="1" x14ac:dyDescent="0.25">
      <c r="A29" s="701">
        <f t="shared" si="19"/>
        <v>2016</v>
      </c>
      <c r="B29" s="702">
        <v>0</v>
      </c>
      <c r="C29" s="703">
        <f t="shared" si="0"/>
        <v>0</v>
      </c>
      <c r="D29" s="835">
        <v>0.63100000000000001</v>
      </c>
      <c r="E29" s="836">
        <v>0.32900000000000001</v>
      </c>
      <c r="F29" s="705">
        <v>4735</v>
      </c>
      <c r="G29" s="706">
        <f t="shared" si="23"/>
        <v>0</v>
      </c>
      <c r="H29" s="707">
        <f t="shared" si="24"/>
        <v>0</v>
      </c>
      <c r="I29" s="707">
        <f t="shared" si="25"/>
        <v>0</v>
      </c>
      <c r="J29" s="708">
        <f t="shared" si="16"/>
        <v>0</v>
      </c>
      <c r="K29" s="59">
        <f t="shared" si="7"/>
        <v>0.63100000000000001</v>
      </c>
      <c r="L29" s="59">
        <f t="shared" si="8"/>
        <v>0</v>
      </c>
      <c r="M29" s="60">
        <f t="shared" si="9"/>
        <v>0</v>
      </c>
      <c r="N29" s="711">
        <f t="shared" si="17"/>
        <v>0</v>
      </c>
      <c r="O29" s="712">
        <f t="shared" si="10"/>
        <v>0.32900000000000001</v>
      </c>
      <c r="P29" s="712">
        <f t="shared" si="11"/>
        <v>0</v>
      </c>
      <c r="Q29" s="713">
        <f t="shared" si="12"/>
        <v>0</v>
      </c>
      <c r="R29" s="714">
        <f t="shared" si="18"/>
        <v>0</v>
      </c>
      <c r="S29" s="715">
        <f t="shared" si="13"/>
        <v>4735</v>
      </c>
      <c r="T29" s="716">
        <f t="shared" si="14"/>
        <v>0</v>
      </c>
      <c r="U29" s="717">
        <f t="shared" si="15"/>
        <v>0</v>
      </c>
    </row>
    <row r="30" spans="1:24" x14ac:dyDescent="0.2">
      <c r="A30" s="33">
        <f t="shared" si="19"/>
        <v>2017</v>
      </c>
      <c r="B30" s="787">
        <v>1</v>
      </c>
      <c r="C30" s="565">
        <f t="shared" si="0"/>
        <v>1</v>
      </c>
      <c r="D30" s="965">
        <f t="shared" si="26"/>
        <v>0.63100000000000001</v>
      </c>
      <c r="E30" s="966">
        <f t="shared" si="27"/>
        <v>0.32900000000000001</v>
      </c>
      <c r="F30" s="790">
        <f t="shared" si="28"/>
        <v>4735</v>
      </c>
      <c r="G30" s="473">
        <f t="shared" si="23"/>
        <v>6.3100000000000005E-4</v>
      </c>
      <c r="H30" s="474">
        <f t="shared" si="24"/>
        <v>3.2900000000000003E-4</v>
      </c>
      <c r="I30" s="474">
        <f t="shared" si="25"/>
        <v>4.7349999999999996E-3</v>
      </c>
      <c r="J30" s="61">
        <f t="shared" si="16"/>
        <v>0.5</v>
      </c>
      <c r="K30" s="967">
        <f t="shared" si="7"/>
        <v>0.63100000000000001</v>
      </c>
      <c r="L30" s="967">
        <f t="shared" si="8"/>
        <v>3.1550000000000003E-4</v>
      </c>
      <c r="M30" s="967">
        <f t="shared" si="9"/>
        <v>3.1550000000000003E-4</v>
      </c>
      <c r="N30" s="54">
        <f t="shared" si="17"/>
        <v>0</v>
      </c>
      <c r="O30" s="968">
        <f t="shared" si="10"/>
        <v>0.32900000000000001</v>
      </c>
      <c r="P30" s="968">
        <f t="shared" si="11"/>
        <v>0</v>
      </c>
      <c r="Q30" s="969">
        <f t="shared" si="12"/>
        <v>0</v>
      </c>
      <c r="R30" s="247">
        <f t="shared" si="18"/>
        <v>0.5</v>
      </c>
      <c r="S30" s="24">
        <f t="shared" si="13"/>
        <v>4735</v>
      </c>
      <c r="T30" s="970">
        <f t="shared" si="14"/>
        <v>2.3674999999999998E-3</v>
      </c>
      <c r="U30" s="971">
        <f t="shared" si="15"/>
        <v>2.3674999999999998E-3</v>
      </c>
    </row>
    <row r="31" spans="1:24" x14ac:dyDescent="0.2">
      <c r="A31" s="33">
        <f t="shared" si="19"/>
        <v>2018</v>
      </c>
      <c r="B31" s="787">
        <v>1</v>
      </c>
      <c r="C31" s="565">
        <f t="shared" si="0"/>
        <v>2</v>
      </c>
      <c r="D31" s="965">
        <f t="shared" si="26"/>
        <v>0.63100000000000001</v>
      </c>
      <c r="E31" s="966">
        <f t="shared" si="27"/>
        <v>0.32900000000000001</v>
      </c>
      <c r="F31" s="790">
        <f t="shared" si="28"/>
        <v>4735</v>
      </c>
      <c r="G31" s="473">
        <f t="shared" si="23"/>
        <v>6.3100000000000005E-4</v>
      </c>
      <c r="H31" s="474">
        <f t="shared" si="24"/>
        <v>3.2900000000000003E-4</v>
      </c>
      <c r="I31" s="474">
        <f t="shared" si="25"/>
        <v>4.7349999999999996E-3</v>
      </c>
      <c r="J31" s="61">
        <f t="shared" si="16"/>
        <v>1</v>
      </c>
      <c r="K31" s="967">
        <f t="shared" si="7"/>
        <v>0.63100000000000001</v>
      </c>
      <c r="L31" s="967">
        <f t="shared" si="8"/>
        <v>6.3100000000000005E-4</v>
      </c>
      <c r="M31" s="967">
        <f t="shared" si="9"/>
        <v>9.4650000000000008E-4</v>
      </c>
      <c r="N31" s="54">
        <f t="shared" si="17"/>
        <v>1</v>
      </c>
      <c r="O31" s="968">
        <f t="shared" si="10"/>
        <v>0.32900000000000001</v>
      </c>
      <c r="P31" s="968">
        <f t="shared" si="11"/>
        <v>3.2900000000000003E-4</v>
      </c>
      <c r="Q31" s="969">
        <f t="shared" si="12"/>
        <v>3.2900000000000003E-4</v>
      </c>
      <c r="R31" s="247">
        <f t="shared" si="18"/>
        <v>1</v>
      </c>
      <c r="S31" s="24">
        <f t="shared" si="13"/>
        <v>4735</v>
      </c>
      <c r="T31" s="970">
        <f t="shared" si="14"/>
        <v>4.7349999999999996E-3</v>
      </c>
      <c r="U31" s="971">
        <f t="shared" si="15"/>
        <v>7.1024999999999994E-3</v>
      </c>
    </row>
    <row r="32" spans="1:24" x14ac:dyDescent="0.2">
      <c r="A32" s="33">
        <f t="shared" si="19"/>
        <v>2019</v>
      </c>
      <c r="B32" s="787">
        <v>1</v>
      </c>
      <c r="C32" s="565">
        <f t="shared" si="0"/>
        <v>3</v>
      </c>
      <c r="D32" s="965">
        <f t="shared" si="26"/>
        <v>0.63100000000000001</v>
      </c>
      <c r="E32" s="966">
        <f t="shared" si="27"/>
        <v>0.32900000000000001</v>
      </c>
      <c r="F32" s="790">
        <f t="shared" si="28"/>
        <v>4735</v>
      </c>
      <c r="G32" s="473">
        <f t="shared" si="23"/>
        <v>6.3100000000000005E-4</v>
      </c>
      <c r="H32" s="474">
        <f t="shared" si="24"/>
        <v>3.2900000000000003E-4</v>
      </c>
      <c r="I32" s="474">
        <f t="shared" si="25"/>
        <v>4.7349999999999996E-3</v>
      </c>
      <c r="J32" s="61">
        <f t="shared" si="16"/>
        <v>1</v>
      </c>
      <c r="K32" s="967">
        <f t="shared" si="7"/>
        <v>0.63100000000000001</v>
      </c>
      <c r="L32" s="967">
        <f t="shared" si="8"/>
        <v>6.3100000000000005E-4</v>
      </c>
      <c r="M32" s="967">
        <f t="shared" si="9"/>
        <v>1.5775000000000001E-3</v>
      </c>
      <c r="N32" s="54">
        <f t="shared" si="17"/>
        <v>1</v>
      </c>
      <c r="O32" s="968">
        <f t="shared" si="10"/>
        <v>0.32900000000000001</v>
      </c>
      <c r="P32" s="968">
        <f t="shared" si="11"/>
        <v>3.2900000000000003E-4</v>
      </c>
      <c r="Q32" s="969">
        <f t="shared" si="12"/>
        <v>6.5800000000000006E-4</v>
      </c>
      <c r="R32" s="247">
        <f t="shared" si="18"/>
        <v>1</v>
      </c>
      <c r="S32" s="24">
        <f t="shared" si="13"/>
        <v>4735</v>
      </c>
      <c r="T32" s="970">
        <f t="shared" si="14"/>
        <v>4.7349999999999996E-3</v>
      </c>
      <c r="U32" s="971">
        <f t="shared" si="15"/>
        <v>1.1837499999999999E-2</v>
      </c>
    </row>
    <row r="33" spans="1:21" x14ac:dyDescent="0.2">
      <c r="A33" s="33">
        <f t="shared" si="19"/>
        <v>2020</v>
      </c>
      <c r="B33" s="787">
        <v>1</v>
      </c>
      <c r="C33" s="565">
        <f t="shared" si="0"/>
        <v>4</v>
      </c>
      <c r="D33" s="965">
        <f t="shared" si="26"/>
        <v>0.63100000000000001</v>
      </c>
      <c r="E33" s="966">
        <f t="shared" si="27"/>
        <v>0.32900000000000001</v>
      </c>
      <c r="F33" s="790">
        <f t="shared" si="28"/>
        <v>4735</v>
      </c>
      <c r="G33" s="473">
        <f t="shared" si="23"/>
        <v>6.3100000000000005E-4</v>
      </c>
      <c r="H33" s="474">
        <f t="shared" si="24"/>
        <v>3.2900000000000003E-4</v>
      </c>
      <c r="I33" s="474">
        <f t="shared" si="25"/>
        <v>4.7349999999999996E-3</v>
      </c>
      <c r="J33" s="61">
        <f t="shared" si="16"/>
        <v>1</v>
      </c>
      <c r="K33" s="967">
        <f t="shared" si="7"/>
        <v>0.63100000000000001</v>
      </c>
      <c r="L33" s="967">
        <f t="shared" si="8"/>
        <v>6.3100000000000005E-4</v>
      </c>
      <c r="M33" s="967">
        <f t="shared" si="9"/>
        <v>2.2085000000000004E-3</v>
      </c>
      <c r="N33" s="54">
        <f t="shared" si="17"/>
        <v>1</v>
      </c>
      <c r="O33" s="968">
        <f t="shared" si="10"/>
        <v>0.32900000000000001</v>
      </c>
      <c r="P33" s="968">
        <f t="shared" si="11"/>
        <v>3.2900000000000003E-4</v>
      </c>
      <c r="Q33" s="969">
        <f t="shared" si="12"/>
        <v>9.8700000000000003E-4</v>
      </c>
      <c r="R33" s="247">
        <f t="shared" si="18"/>
        <v>1</v>
      </c>
      <c r="S33" s="24">
        <f t="shared" si="13"/>
        <v>4735</v>
      </c>
      <c r="T33" s="970">
        <f t="shared" si="14"/>
        <v>4.7349999999999996E-3</v>
      </c>
      <c r="U33" s="971">
        <f t="shared" si="15"/>
        <v>1.6572499999999997E-2</v>
      </c>
    </row>
    <row r="34" spans="1:21" x14ac:dyDescent="0.2">
      <c r="A34" s="33">
        <f t="shared" si="19"/>
        <v>2021</v>
      </c>
      <c r="B34" s="787">
        <v>1</v>
      </c>
      <c r="C34" s="565">
        <f t="shared" si="0"/>
        <v>5</v>
      </c>
      <c r="D34" s="965">
        <f t="shared" si="26"/>
        <v>0.63100000000000001</v>
      </c>
      <c r="E34" s="966">
        <f t="shared" si="27"/>
        <v>0.32900000000000001</v>
      </c>
      <c r="F34" s="790">
        <f t="shared" si="28"/>
        <v>4735</v>
      </c>
      <c r="G34" s="473">
        <f t="shared" si="23"/>
        <v>6.3100000000000005E-4</v>
      </c>
      <c r="H34" s="474">
        <f t="shared" si="24"/>
        <v>3.2900000000000003E-4</v>
      </c>
      <c r="I34" s="474">
        <f t="shared" si="25"/>
        <v>4.7349999999999996E-3</v>
      </c>
      <c r="J34" s="61">
        <f t="shared" si="16"/>
        <v>1</v>
      </c>
      <c r="K34" s="967">
        <f t="shared" si="7"/>
        <v>0.63100000000000001</v>
      </c>
      <c r="L34" s="967">
        <f t="shared" si="8"/>
        <v>6.3100000000000005E-4</v>
      </c>
      <c r="M34" s="967">
        <f t="shared" si="9"/>
        <v>2.8395000000000004E-3</v>
      </c>
      <c r="N34" s="54">
        <f t="shared" si="17"/>
        <v>1</v>
      </c>
      <c r="O34" s="968">
        <f t="shared" si="10"/>
        <v>0.32900000000000001</v>
      </c>
      <c r="P34" s="968">
        <f t="shared" si="11"/>
        <v>3.2900000000000003E-4</v>
      </c>
      <c r="Q34" s="969">
        <f t="shared" si="12"/>
        <v>1.3160000000000001E-3</v>
      </c>
      <c r="R34" s="247">
        <f t="shared" si="18"/>
        <v>1</v>
      </c>
      <c r="S34" s="24">
        <f t="shared" si="13"/>
        <v>4735</v>
      </c>
      <c r="T34" s="970">
        <f t="shared" si="14"/>
        <v>4.7349999999999996E-3</v>
      </c>
      <c r="U34" s="971">
        <f t="shared" si="15"/>
        <v>2.1307499999999997E-2</v>
      </c>
    </row>
    <row r="35" spans="1:21" x14ac:dyDescent="0.2">
      <c r="A35" s="33">
        <f t="shared" si="19"/>
        <v>2022</v>
      </c>
      <c r="B35" s="787">
        <v>1</v>
      </c>
      <c r="C35" s="565">
        <f t="shared" si="0"/>
        <v>6</v>
      </c>
      <c r="D35" s="965">
        <f t="shared" si="26"/>
        <v>0.63100000000000001</v>
      </c>
      <c r="E35" s="966">
        <f t="shared" si="27"/>
        <v>0.32900000000000001</v>
      </c>
      <c r="F35" s="790">
        <f t="shared" si="28"/>
        <v>4735</v>
      </c>
      <c r="G35" s="473">
        <f t="shared" si="23"/>
        <v>6.3100000000000005E-4</v>
      </c>
      <c r="H35" s="474">
        <f t="shared" si="24"/>
        <v>3.2900000000000003E-4</v>
      </c>
      <c r="I35" s="474">
        <f t="shared" si="25"/>
        <v>4.7349999999999996E-3</v>
      </c>
      <c r="J35" s="61">
        <f t="shared" si="16"/>
        <v>1</v>
      </c>
      <c r="K35" s="967">
        <f t="shared" si="7"/>
        <v>0.63100000000000001</v>
      </c>
      <c r="L35" s="967">
        <f t="shared" si="8"/>
        <v>6.3100000000000005E-4</v>
      </c>
      <c r="M35" s="967">
        <f t="shared" si="9"/>
        <v>3.4705000000000005E-3</v>
      </c>
      <c r="N35" s="54">
        <f t="shared" si="17"/>
        <v>1</v>
      </c>
      <c r="O35" s="968">
        <f t="shared" si="10"/>
        <v>0.32900000000000001</v>
      </c>
      <c r="P35" s="968">
        <f t="shared" si="11"/>
        <v>3.2900000000000003E-4</v>
      </c>
      <c r="Q35" s="969">
        <f t="shared" si="12"/>
        <v>1.6450000000000002E-3</v>
      </c>
      <c r="R35" s="247">
        <f t="shared" si="18"/>
        <v>1</v>
      </c>
      <c r="S35" s="24">
        <f t="shared" si="13"/>
        <v>4735</v>
      </c>
      <c r="T35" s="970">
        <f t="shared" si="14"/>
        <v>4.7349999999999996E-3</v>
      </c>
      <c r="U35" s="971">
        <f t="shared" si="15"/>
        <v>2.6042499999999996E-2</v>
      </c>
    </row>
    <row r="36" spans="1:21" x14ac:dyDescent="0.2">
      <c r="A36" s="33">
        <f t="shared" si="19"/>
        <v>2023</v>
      </c>
      <c r="B36" s="787">
        <v>1</v>
      </c>
      <c r="C36" s="565">
        <f t="shared" si="0"/>
        <v>7</v>
      </c>
      <c r="D36" s="965">
        <f t="shared" si="26"/>
        <v>0.63100000000000001</v>
      </c>
      <c r="E36" s="966">
        <f t="shared" si="27"/>
        <v>0.32900000000000001</v>
      </c>
      <c r="F36" s="790">
        <f t="shared" si="28"/>
        <v>4735</v>
      </c>
      <c r="G36" s="473">
        <f t="shared" si="23"/>
        <v>6.3100000000000005E-4</v>
      </c>
      <c r="H36" s="474">
        <f t="shared" si="24"/>
        <v>3.2900000000000003E-4</v>
      </c>
      <c r="I36" s="474">
        <f t="shared" si="25"/>
        <v>4.7349999999999996E-3</v>
      </c>
      <c r="J36" s="61">
        <f t="shared" si="16"/>
        <v>1</v>
      </c>
      <c r="K36" s="967">
        <f t="shared" si="7"/>
        <v>0.63100000000000001</v>
      </c>
      <c r="L36" s="967">
        <f t="shared" si="8"/>
        <v>6.3100000000000005E-4</v>
      </c>
      <c r="M36" s="967">
        <f t="shared" si="9"/>
        <v>4.101500000000001E-3</v>
      </c>
      <c r="N36" s="54">
        <f t="shared" si="17"/>
        <v>1</v>
      </c>
      <c r="O36" s="968">
        <f t="shared" si="10"/>
        <v>0.32900000000000001</v>
      </c>
      <c r="P36" s="968">
        <f t="shared" si="11"/>
        <v>3.2900000000000003E-4</v>
      </c>
      <c r="Q36" s="969">
        <f t="shared" si="12"/>
        <v>1.9740000000000001E-3</v>
      </c>
      <c r="R36" s="247">
        <f t="shared" si="18"/>
        <v>1</v>
      </c>
      <c r="S36" s="24">
        <f t="shared" si="13"/>
        <v>4735</v>
      </c>
      <c r="T36" s="970">
        <f t="shared" si="14"/>
        <v>4.7349999999999996E-3</v>
      </c>
      <c r="U36" s="971">
        <f t="shared" si="15"/>
        <v>3.0777499999999996E-2</v>
      </c>
    </row>
    <row r="37" spans="1:21" x14ac:dyDescent="0.2">
      <c r="A37" s="33">
        <f t="shared" si="19"/>
        <v>2024</v>
      </c>
      <c r="B37" s="787">
        <v>1</v>
      </c>
      <c r="C37" s="565">
        <f t="shared" si="0"/>
        <v>8</v>
      </c>
      <c r="D37" s="965">
        <f t="shared" si="26"/>
        <v>0.63100000000000001</v>
      </c>
      <c r="E37" s="966">
        <f t="shared" si="27"/>
        <v>0.32900000000000001</v>
      </c>
      <c r="F37" s="790">
        <f t="shared" si="28"/>
        <v>4735</v>
      </c>
      <c r="G37" s="473">
        <f t="shared" si="23"/>
        <v>6.3100000000000005E-4</v>
      </c>
      <c r="H37" s="474">
        <f t="shared" si="24"/>
        <v>3.2900000000000003E-4</v>
      </c>
      <c r="I37" s="474">
        <f t="shared" si="25"/>
        <v>4.7349999999999996E-3</v>
      </c>
      <c r="J37" s="61">
        <f t="shared" si="16"/>
        <v>1</v>
      </c>
      <c r="K37" s="967">
        <f t="shared" si="7"/>
        <v>0.63100000000000001</v>
      </c>
      <c r="L37" s="967">
        <f t="shared" si="8"/>
        <v>6.3100000000000005E-4</v>
      </c>
      <c r="M37" s="967">
        <f t="shared" si="9"/>
        <v>4.7325000000000006E-3</v>
      </c>
      <c r="N37" s="54">
        <f t="shared" si="17"/>
        <v>1</v>
      </c>
      <c r="O37" s="968">
        <f t="shared" si="10"/>
        <v>0.32900000000000001</v>
      </c>
      <c r="P37" s="968">
        <f t="shared" si="11"/>
        <v>3.2900000000000003E-4</v>
      </c>
      <c r="Q37" s="969">
        <f t="shared" si="12"/>
        <v>2.3029999999999999E-3</v>
      </c>
      <c r="R37" s="247">
        <f t="shared" si="18"/>
        <v>1</v>
      </c>
      <c r="S37" s="24">
        <f t="shared" si="13"/>
        <v>4735</v>
      </c>
      <c r="T37" s="970">
        <f t="shared" si="14"/>
        <v>4.7349999999999996E-3</v>
      </c>
      <c r="U37" s="971">
        <f t="shared" si="15"/>
        <v>3.5512499999999995E-2</v>
      </c>
    </row>
    <row r="38" spans="1:21" x14ac:dyDescent="0.2">
      <c r="A38" s="33">
        <f t="shared" si="19"/>
        <v>2025</v>
      </c>
      <c r="B38" s="787">
        <v>1</v>
      </c>
      <c r="C38" s="565">
        <f t="shared" si="0"/>
        <v>9</v>
      </c>
      <c r="D38" s="965">
        <f t="shared" si="26"/>
        <v>0.63100000000000001</v>
      </c>
      <c r="E38" s="966">
        <f t="shared" si="27"/>
        <v>0.32900000000000001</v>
      </c>
      <c r="F38" s="790">
        <f t="shared" si="28"/>
        <v>4735</v>
      </c>
      <c r="G38" s="473">
        <f t="shared" si="23"/>
        <v>6.3100000000000005E-4</v>
      </c>
      <c r="H38" s="474">
        <f t="shared" si="24"/>
        <v>3.2900000000000003E-4</v>
      </c>
      <c r="I38" s="474">
        <f t="shared" si="25"/>
        <v>4.7349999999999996E-3</v>
      </c>
      <c r="J38" s="61">
        <f t="shared" si="16"/>
        <v>1</v>
      </c>
      <c r="K38" s="967">
        <f t="shared" si="7"/>
        <v>0.63100000000000001</v>
      </c>
      <c r="L38" s="967">
        <f t="shared" si="8"/>
        <v>6.3100000000000005E-4</v>
      </c>
      <c r="M38" s="967">
        <f t="shared" si="9"/>
        <v>5.3635000000000002E-3</v>
      </c>
      <c r="N38" s="54">
        <f t="shared" si="17"/>
        <v>1</v>
      </c>
      <c r="O38" s="968">
        <f t="shared" si="10"/>
        <v>0.32900000000000001</v>
      </c>
      <c r="P38" s="968">
        <f t="shared" si="11"/>
        <v>3.2900000000000003E-4</v>
      </c>
      <c r="Q38" s="969">
        <f t="shared" si="12"/>
        <v>2.6319999999999998E-3</v>
      </c>
      <c r="R38" s="247">
        <f t="shared" si="18"/>
        <v>1</v>
      </c>
      <c r="S38" s="24">
        <f t="shared" si="13"/>
        <v>4735</v>
      </c>
      <c r="T38" s="970">
        <f t="shared" si="14"/>
        <v>4.7349999999999996E-3</v>
      </c>
      <c r="U38" s="971">
        <f t="shared" si="15"/>
        <v>4.0247499999999992E-2</v>
      </c>
    </row>
    <row r="39" spans="1:21" x14ac:dyDescent="0.2">
      <c r="A39" s="33">
        <f t="shared" si="19"/>
        <v>2026</v>
      </c>
      <c r="B39" s="787">
        <v>1</v>
      </c>
      <c r="C39" s="565">
        <f t="shared" si="0"/>
        <v>10</v>
      </c>
      <c r="D39" s="965">
        <f t="shared" si="26"/>
        <v>0.63100000000000001</v>
      </c>
      <c r="E39" s="966">
        <f t="shared" si="27"/>
        <v>0.32900000000000001</v>
      </c>
      <c r="F39" s="790">
        <f t="shared" si="28"/>
        <v>4735</v>
      </c>
      <c r="G39" s="473">
        <f t="shared" si="23"/>
        <v>6.3100000000000005E-4</v>
      </c>
      <c r="H39" s="474">
        <f t="shared" si="24"/>
        <v>3.2900000000000003E-4</v>
      </c>
      <c r="I39" s="474">
        <f t="shared" si="25"/>
        <v>4.7349999999999996E-3</v>
      </c>
      <c r="J39" s="61">
        <f t="shared" si="16"/>
        <v>1</v>
      </c>
      <c r="K39" s="967">
        <f t="shared" si="7"/>
        <v>0.63100000000000001</v>
      </c>
      <c r="L39" s="967">
        <f t="shared" si="8"/>
        <v>6.3100000000000005E-4</v>
      </c>
      <c r="M39" s="967">
        <f t="shared" si="9"/>
        <v>5.9944999999999998E-3</v>
      </c>
      <c r="N39" s="54">
        <f t="shared" si="17"/>
        <v>1</v>
      </c>
      <c r="O39" s="968">
        <f t="shared" si="10"/>
        <v>0.32900000000000001</v>
      </c>
      <c r="P39" s="968">
        <f t="shared" si="11"/>
        <v>3.2900000000000003E-4</v>
      </c>
      <c r="Q39" s="969">
        <f t="shared" si="12"/>
        <v>2.9609999999999997E-3</v>
      </c>
      <c r="R39" s="247">
        <f>+(B39+B38)/2</f>
        <v>1</v>
      </c>
      <c r="S39" s="24">
        <f>+F39</f>
        <v>4735</v>
      </c>
      <c r="T39" s="970">
        <f>+R39*S39/1000000</f>
        <v>4.7349999999999996E-3</v>
      </c>
      <c r="U39" s="971">
        <f t="shared" si="15"/>
        <v>4.4982499999999995E-2</v>
      </c>
    </row>
    <row r="40" spans="1:21" x14ac:dyDescent="0.2">
      <c r="A40" s="33">
        <f>+A39+1</f>
        <v>2027</v>
      </c>
      <c r="B40" s="787">
        <v>1</v>
      </c>
      <c r="C40" s="565">
        <f>+C39+B40</f>
        <v>11</v>
      </c>
      <c r="D40" s="965">
        <f t="shared" si="26"/>
        <v>0.63100000000000001</v>
      </c>
      <c r="E40" s="966">
        <f t="shared" si="27"/>
        <v>0.32900000000000001</v>
      </c>
      <c r="F40" s="790">
        <f t="shared" si="28"/>
        <v>4735</v>
      </c>
      <c r="G40" s="473">
        <f t="shared" ref="G40:H40" si="29">+$B40*D40/1000</f>
        <v>6.3100000000000005E-4</v>
      </c>
      <c r="H40" s="474">
        <f t="shared" si="29"/>
        <v>3.2900000000000003E-4</v>
      </c>
      <c r="I40" s="474">
        <f>+$B40*F40/1000000</f>
        <v>4.7349999999999996E-3</v>
      </c>
      <c r="J40" s="61">
        <f>+(B40+B39)/2</f>
        <v>1</v>
      </c>
      <c r="K40" s="967">
        <f>+D40</f>
        <v>0.63100000000000001</v>
      </c>
      <c r="L40" s="967">
        <f>+J40*K40/1000</f>
        <v>6.3100000000000005E-4</v>
      </c>
      <c r="M40" s="967">
        <f>+M39+L40</f>
        <v>6.6254999999999994E-3</v>
      </c>
      <c r="N40" s="54">
        <f>+B39</f>
        <v>1</v>
      </c>
      <c r="O40" s="968">
        <f>+E40</f>
        <v>0.32900000000000001</v>
      </c>
      <c r="P40" s="968">
        <f>+N40*O40/1000</f>
        <v>3.2900000000000003E-4</v>
      </c>
      <c r="Q40" s="969">
        <f>+Q39+P40</f>
        <v>3.2899999999999995E-3</v>
      </c>
      <c r="R40" s="247">
        <f>+(B40+B39)/2</f>
        <v>1</v>
      </c>
      <c r="S40" s="24">
        <f>+F40</f>
        <v>4735</v>
      </c>
      <c r="T40" s="970">
        <f>+R40*S40/1000000</f>
        <v>4.7349999999999996E-3</v>
      </c>
      <c r="U40" s="971">
        <f>+U39+T40</f>
        <v>4.9717499999999998E-2</v>
      </c>
    </row>
    <row r="41" spans="1:21" x14ac:dyDescent="0.2">
      <c r="A41" s="33">
        <f t="shared" si="19"/>
        <v>2028</v>
      </c>
      <c r="B41" s="787">
        <v>1</v>
      </c>
      <c r="C41" s="565">
        <f t="shared" ref="C41:C47" si="30">+C40+B41</f>
        <v>12</v>
      </c>
      <c r="D41" s="965">
        <f t="shared" si="26"/>
        <v>0.63100000000000001</v>
      </c>
      <c r="E41" s="966">
        <f t="shared" si="27"/>
        <v>0.32900000000000001</v>
      </c>
      <c r="F41" s="790">
        <f t="shared" si="28"/>
        <v>4735</v>
      </c>
      <c r="G41" s="473">
        <f t="shared" ref="G41:G47" si="31">+$B41*D41/1000</f>
        <v>6.3100000000000005E-4</v>
      </c>
      <c r="H41" s="474">
        <f t="shared" ref="H41:H47" si="32">+$B41*E41/1000</f>
        <v>3.2900000000000003E-4</v>
      </c>
      <c r="I41" s="474">
        <f t="shared" ref="I41:I47" si="33">+$B41*F41/1000000</f>
        <v>4.7349999999999996E-3</v>
      </c>
      <c r="J41" s="61">
        <f t="shared" ref="J41:J47" si="34">+(B41+B40)/2</f>
        <v>1</v>
      </c>
      <c r="K41" s="967">
        <f t="shared" ref="K41:K47" si="35">+D41</f>
        <v>0.63100000000000001</v>
      </c>
      <c r="L41" s="967">
        <f t="shared" ref="L41:L47" si="36">+J41*K41/1000</f>
        <v>6.3100000000000005E-4</v>
      </c>
      <c r="M41" s="967">
        <f t="shared" ref="M41:M47" si="37">+M40+L41</f>
        <v>7.2564999999999991E-3</v>
      </c>
      <c r="N41" s="54">
        <f t="shared" ref="N41:N47" si="38">+B40</f>
        <v>1</v>
      </c>
      <c r="O41" s="968">
        <f t="shared" ref="O41:O47" si="39">+E41</f>
        <v>0.32900000000000001</v>
      </c>
      <c r="P41" s="968">
        <f t="shared" ref="P41:P47" si="40">+N41*O41/1000</f>
        <v>3.2900000000000003E-4</v>
      </c>
      <c r="Q41" s="969">
        <f t="shared" ref="Q41:Q47" si="41">+Q40+P41</f>
        <v>3.6189999999999994E-3</v>
      </c>
      <c r="R41" s="247">
        <f t="shared" ref="R41:R47" si="42">+(B41+B40)/2</f>
        <v>1</v>
      </c>
      <c r="S41" s="24">
        <f t="shared" ref="S41:S47" si="43">+F41</f>
        <v>4735</v>
      </c>
      <c r="T41" s="970">
        <f t="shared" ref="T41:T47" si="44">+R41*S41/1000000</f>
        <v>4.7349999999999996E-3</v>
      </c>
      <c r="U41" s="971">
        <f t="shared" ref="U41:U47" si="45">+U40+T41</f>
        <v>5.4452500000000001E-2</v>
      </c>
    </row>
    <row r="42" spans="1:21" x14ac:dyDescent="0.2">
      <c r="A42" s="33">
        <f t="shared" si="19"/>
        <v>2029</v>
      </c>
      <c r="B42" s="787">
        <v>1</v>
      </c>
      <c r="C42" s="565">
        <f t="shared" si="30"/>
        <v>13</v>
      </c>
      <c r="D42" s="965">
        <f t="shared" si="26"/>
        <v>0.63100000000000001</v>
      </c>
      <c r="E42" s="966">
        <f t="shared" si="27"/>
        <v>0.32900000000000001</v>
      </c>
      <c r="F42" s="790">
        <f t="shared" si="28"/>
        <v>4735</v>
      </c>
      <c r="G42" s="473">
        <f t="shared" si="31"/>
        <v>6.3100000000000005E-4</v>
      </c>
      <c r="H42" s="474">
        <f t="shared" si="32"/>
        <v>3.2900000000000003E-4</v>
      </c>
      <c r="I42" s="474">
        <f t="shared" si="33"/>
        <v>4.7349999999999996E-3</v>
      </c>
      <c r="J42" s="61">
        <f t="shared" si="34"/>
        <v>1</v>
      </c>
      <c r="K42" s="967">
        <f t="shared" si="35"/>
        <v>0.63100000000000001</v>
      </c>
      <c r="L42" s="967">
        <f t="shared" si="36"/>
        <v>6.3100000000000005E-4</v>
      </c>
      <c r="M42" s="967">
        <f t="shared" si="37"/>
        <v>7.8874999999999987E-3</v>
      </c>
      <c r="N42" s="54">
        <f t="shared" si="38"/>
        <v>1</v>
      </c>
      <c r="O42" s="968">
        <f t="shared" si="39"/>
        <v>0.32900000000000001</v>
      </c>
      <c r="P42" s="968">
        <f t="shared" si="40"/>
        <v>3.2900000000000003E-4</v>
      </c>
      <c r="Q42" s="969">
        <f t="shared" si="41"/>
        <v>3.9479999999999993E-3</v>
      </c>
      <c r="R42" s="247">
        <f t="shared" si="42"/>
        <v>1</v>
      </c>
      <c r="S42" s="24">
        <f t="shared" si="43"/>
        <v>4735</v>
      </c>
      <c r="T42" s="970">
        <f t="shared" si="44"/>
        <v>4.7349999999999996E-3</v>
      </c>
      <c r="U42" s="971">
        <f t="shared" si="45"/>
        <v>5.9187500000000004E-2</v>
      </c>
    </row>
    <row r="43" spans="1:21" x14ac:dyDescent="0.2">
      <c r="A43" s="33">
        <f t="shared" si="19"/>
        <v>2030</v>
      </c>
      <c r="B43" s="787">
        <v>1</v>
      </c>
      <c r="C43" s="565">
        <f t="shared" si="30"/>
        <v>14</v>
      </c>
      <c r="D43" s="965">
        <f t="shared" si="26"/>
        <v>0.63100000000000001</v>
      </c>
      <c r="E43" s="966">
        <f t="shared" si="27"/>
        <v>0.32900000000000001</v>
      </c>
      <c r="F43" s="790">
        <f t="shared" si="28"/>
        <v>4735</v>
      </c>
      <c r="G43" s="473">
        <f t="shared" si="31"/>
        <v>6.3100000000000005E-4</v>
      </c>
      <c r="H43" s="474">
        <f t="shared" si="32"/>
        <v>3.2900000000000003E-4</v>
      </c>
      <c r="I43" s="474">
        <f t="shared" si="33"/>
        <v>4.7349999999999996E-3</v>
      </c>
      <c r="J43" s="61">
        <f t="shared" si="34"/>
        <v>1</v>
      </c>
      <c r="K43" s="967">
        <f t="shared" si="35"/>
        <v>0.63100000000000001</v>
      </c>
      <c r="L43" s="967">
        <f t="shared" si="36"/>
        <v>6.3100000000000005E-4</v>
      </c>
      <c r="M43" s="967">
        <f t="shared" si="37"/>
        <v>8.5184999999999983E-3</v>
      </c>
      <c r="N43" s="54">
        <f t="shared" si="38"/>
        <v>1</v>
      </c>
      <c r="O43" s="968">
        <f t="shared" si="39"/>
        <v>0.32900000000000001</v>
      </c>
      <c r="P43" s="968">
        <f t="shared" si="40"/>
        <v>3.2900000000000003E-4</v>
      </c>
      <c r="Q43" s="969">
        <f t="shared" si="41"/>
        <v>4.2769999999999996E-3</v>
      </c>
      <c r="R43" s="247">
        <f t="shared" si="42"/>
        <v>1</v>
      </c>
      <c r="S43" s="24">
        <f t="shared" si="43"/>
        <v>4735</v>
      </c>
      <c r="T43" s="970">
        <f t="shared" si="44"/>
        <v>4.7349999999999996E-3</v>
      </c>
      <c r="U43" s="971">
        <f t="shared" si="45"/>
        <v>6.3922500000000007E-2</v>
      </c>
    </row>
    <row r="44" spans="1:21" x14ac:dyDescent="0.2">
      <c r="A44" s="33">
        <f t="shared" si="19"/>
        <v>2031</v>
      </c>
      <c r="B44" s="787">
        <v>1</v>
      </c>
      <c r="C44" s="565">
        <f t="shared" si="30"/>
        <v>15</v>
      </c>
      <c r="D44" s="965">
        <f t="shared" si="26"/>
        <v>0.63100000000000001</v>
      </c>
      <c r="E44" s="966">
        <f t="shared" si="27"/>
        <v>0.32900000000000001</v>
      </c>
      <c r="F44" s="790">
        <f t="shared" si="28"/>
        <v>4735</v>
      </c>
      <c r="G44" s="473">
        <f t="shared" si="31"/>
        <v>6.3100000000000005E-4</v>
      </c>
      <c r="H44" s="474">
        <f t="shared" si="32"/>
        <v>3.2900000000000003E-4</v>
      </c>
      <c r="I44" s="474">
        <f t="shared" si="33"/>
        <v>4.7349999999999996E-3</v>
      </c>
      <c r="J44" s="61">
        <f t="shared" si="34"/>
        <v>1</v>
      </c>
      <c r="K44" s="967">
        <f t="shared" si="35"/>
        <v>0.63100000000000001</v>
      </c>
      <c r="L44" s="967">
        <f t="shared" si="36"/>
        <v>6.3100000000000005E-4</v>
      </c>
      <c r="M44" s="967">
        <f t="shared" si="37"/>
        <v>9.1494999999999979E-3</v>
      </c>
      <c r="N44" s="54">
        <f t="shared" si="38"/>
        <v>1</v>
      </c>
      <c r="O44" s="968">
        <f t="shared" si="39"/>
        <v>0.32900000000000001</v>
      </c>
      <c r="P44" s="968">
        <f t="shared" si="40"/>
        <v>3.2900000000000003E-4</v>
      </c>
      <c r="Q44" s="969">
        <f t="shared" si="41"/>
        <v>4.6059999999999999E-3</v>
      </c>
      <c r="R44" s="247">
        <f t="shared" si="42"/>
        <v>1</v>
      </c>
      <c r="S44" s="24">
        <f t="shared" si="43"/>
        <v>4735</v>
      </c>
      <c r="T44" s="970">
        <f t="shared" si="44"/>
        <v>4.7349999999999996E-3</v>
      </c>
      <c r="U44" s="971">
        <f t="shared" si="45"/>
        <v>6.865750000000001E-2</v>
      </c>
    </row>
    <row r="45" spans="1:21" x14ac:dyDescent="0.2">
      <c r="A45" s="33">
        <f t="shared" si="19"/>
        <v>2032</v>
      </c>
      <c r="B45" s="787">
        <v>1</v>
      </c>
      <c r="C45" s="565">
        <f t="shared" si="30"/>
        <v>16</v>
      </c>
      <c r="D45" s="965">
        <f t="shared" si="26"/>
        <v>0.63100000000000001</v>
      </c>
      <c r="E45" s="966">
        <f t="shared" si="27"/>
        <v>0.32900000000000001</v>
      </c>
      <c r="F45" s="790">
        <f t="shared" si="28"/>
        <v>4735</v>
      </c>
      <c r="G45" s="473">
        <f t="shared" si="31"/>
        <v>6.3100000000000005E-4</v>
      </c>
      <c r="H45" s="474">
        <f t="shared" si="32"/>
        <v>3.2900000000000003E-4</v>
      </c>
      <c r="I45" s="474">
        <f t="shared" si="33"/>
        <v>4.7349999999999996E-3</v>
      </c>
      <c r="J45" s="61">
        <f t="shared" si="34"/>
        <v>1</v>
      </c>
      <c r="K45" s="967">
        <f t="shared" si="35"/>
        <v>0.63100000000000001</v>
      </c>
      <c r="L45" s="967">
        <f t="shared" si="36"/>
        <v>6.3100000000000005E-4</v>
      </c>
      <c r="M45" s="967">
        <f t="shared" si="37"/>
        <v>9.7804999999999975E-3</v>
      </c>
      <c r="N45" s="54">
        <f t="shared" si="38"/>
        <v>1</v>
      </c>
      <c r="O45" s="968">
        <f t="shared" si="39"/>
        <v>0.32900000000000001</v>
      </c>
      <c r="P45" s="968">
        <f t="shared" si="40"/>
        <v>3.2900000000000003E-4</v>
      </c>
      <c r="Q45" s="969">
        <f t="shared" si="41"/>
        <v>4.9350000000000002E-3</v>
      </c>
      <c r="R45" s="247">
        <f t="shared" si="42"/>
        <v>1</v>
      </c>
      <c r="S45" s="24">
        <f t="shared" si="43"/>
        <v>4735</v>
      </c>
      <c r="T45" s="970">
        <f t="shared" si="44"/>
        <v>4.7349999999999996E-3</v>
      </c>
      <c r="U45" s="971">
        <f t="shared" si="45"/>
        <v>7.3392500000000013E-2</v>
      </c>
    </row>
    <row r="46" spans="1:21" x14ac:dyDescent="0.2">
      <c r="A46" s="33">
        <f t="shared" si="19"/>
        <v>2033</v>
      </c>
      <c r="B46" s="787">
        <v>1</v>
      </c>
      <c r="C46" s="565">
        <f t="shared" si="30"/>
        <v>17</v>
      </c>
      <c r="D46" s="965">
        <f t="shared" si="26"/>
        <v>0.63100000000000001</v>
      </c>
      <c r="E46" s="966">
        <f t="shared" si="27"/>
        <v>0.32900000000000001</v>
      </c>
      <c r="F46" s="790">
        <f t="shared" si="28"/>
        <v>4735</v>
      </c>
      <c r="G46" s="473">
        <f t="shared" si="31"/>
        <v>6.3100000000000005E-4</v>
      </c>
      <c r="H46" s="474">
        <f t="shared" si="32"/>
        <v>3.2900000000000003E-4</v>
      </c>
      <c r="I46" s="474">
        <f t="shared" si="33"/>
        <v>4.7349999999999996E-3</v>
      </c>
      <c r="J46" s="61">
        <f t="shared" si="34"/>
        <v>1</v>
      </c>
      <c r="K46" s="967">
        <f t="shared" si="35"/>
        <v>0.63100000000000001</v>
      </c>
      <c r="L46" s="967">
        <f t="shared" si="36"/>
        <v>6.3100000000000005E-4</v>
      </c>
      <c r="M46" s="967">
        <f t="shared" si="37"/>
        <v>1.0411499999999997E-2</v>
      </c>
      <c r="N46" s="54">
        <f t="shared" si="38"/>
        <v>1</v>
      </c>
      <c r="O46" s="968">
        <f t="shared" si="39"/>
        <v>0.32900000000000001</v>
      </c>
      <c r="P46" s="968">
        <f t="shared" si="40"/>
        <v>3.2900000000000003E-4</v>
      </c>
      <c r="Q46" s="969">
        <f t="shared" si="41"/>
        <v>5.2640000000000004E-3</v>
      </c>
      <c r="R46" s="247">
        <f t="shared" si="42"/>
        <v>1</v>
      </c>
      <c r="S46" s="24">
        <f t="shared" si="43"/>
        <v>4735</v>
      </c>
      <c r="T46" s="970">
        <f t="shared" si="44"/>
        <v>4.7349999999999996E-3</v>
      </c>
      <c r="U46" s="971">
        <f t="shared" si="45"/>
        <v>7.8127500000000016E-2</v>
      </c>
    </row>
    <row r="47" spans="1:21" x14ac:dyDescent="0.2">
      <c r="A47" s="33">
        <f t="shared" si="19"/>
        <v>2034</v>
      </c>
      <c r="B47" s="787">
        <v>1</v>
      </c>
      <c r="C47" s="565">
        <f t="shared" si="30"/>
        <v>18</v>
      </c>
      <c r="D47" s="965">
        <f t="shared" si="26"/>
        <v>0.63100000000000001</v>
      </c>
      <c r="E47" s="966">
        <f t="shared" si="27"/>
        <v>0.32900000000000001</v>
      </c>
      <c r="F47" s="790">
        <f t="shared" si="28"/>
        <v>4735</v>
      </c>
      <c r="G47" s="473">
        <f t="shared" si="31"/>
        <v>6.3100000000000005E-4</v>
      </c>
      <c r="H47" s="474">
        <f t="shared" si="32"/>
        <v>3.2900000000000003E-4</v>
      </c>
      <c r="I47" s="474">
        <f t="shared" si="33"/>
        <v>4.7349999999999996E-3</v>
      </c>
      <c r="J47" s="61">
        <f t="shared" si="34"/>
        <v>1</v>
      </c>
      <c r="K47" s="967">
        <f t="shared" si="35"/>
        <v>0.63100000000000001</v>
      </c>
      <c r="L47" s="967">
        <f t="shared" si="36"/>
        <v>6.3100000000000005E-4</v>
      </c>
      <c r="M47" s="967">
        <f t="shared" si="37"/>
        <v>1.1042499999999997E-2</v>
      </c>
      <c r="N47" s="54">
        <f t="shared" si="38"/>
        <v>1</v>
      </c>
      <c r="O47" s="968">
        <f t="shared" si="39"/>
        <v>0.32900000000000001</v>
      </c>
      <c r="P47" s="968">
        <f t="shared" si="40"/>
        <v>3.2900000000000003E-4</v>
      </c>
      <c r="Q47" s="969">
        <f t="shared" si="41"/>
        <v>5.5930000000000007E-3</v>
      </c>
      <c r="R47" s="247">
        <f t="shared" si="42"/>
        <v>1</v>
      </c>
      <c r="S47" s="24">
        <f t="shared" si="43"/>
        <v>4735</v>
      </c>
      <c r="T47" s="970">
        <f t="shared" si="44"/>
        <v>4.7349999999999996E-3</v>
      </c>
      <c r="U47" s="971">
        <f t="shared" si="45"/>
        <v>8.2862500000000019E-2</v>
      </c>
    </row>
    <row r="48" spans="1:21" x14ac:dyDescent="0.2">
      <c r="A48" s="33">
        <f t="shared" si="19"/>
        <v>2035</v>
      </c>
      <c r="B48" s="787">
        <f>B47</f>
        <v>1</v>
      </c>
      <c r="C48" s="565">
        <f t="shared" ref="C48:C54" si="46">+C47+B48</f>
        <v>19</v>
      </c>
      <c r="D48" s="965">
        <f t="shared" si="26"/>
        <v>0.63100000000000001</v>
      </c>
      <c r="E48" s="966">
        <f t="shared" si="27"/>
        <v>0.32900000000000001</v>
      </c>
      <c r="F48" s="790">
        <f t="shared" si="28"/>
        <v>4735</v>
      </c>
      <c r="G48" s="473">
        <f t="shared" ref="G48:G54" si="47">+$B48*D48/1000</f>
        <v>6.3100000000000005E-4</v>
      </c>
      <c r="H48" s="474">
        <f t="shared" ref="H48:H54" si="48">+$B48*E48/1000</f>
        <v>3.2900000000000003E-4</v>
      </c>
      <c r="I48" s="474">
        <f t="shared" ref="I48:I54" si="49">+$B48*F48/1000000</f>
        <v>4.7349999999999996E-3</v>
      </c>
      <c r="J48" s="61">
        <f t="shared" ref="J48:J54" si="50">+(B48+B47)/2</f>
        <v>1</v>
      </c>
      <c r="K48" s="967">
        <f t="shared" ref="K48:K54" si="51">+D48</f>
        <v>0.63100000000000001</v>
      </c>
      <c r="L48" s="967">
        <f t="shared" ref="L48:L54" si="52">+J48*K48/1000</f>
        <v>6.3100000000000005E-4</v>
      </c>
      <c r="M48" s="967">
        <f t="shared" ref="M48:M54" si="53">+M47+L48</f>
        <v>1.1673499999999996E-2</v>
      </c>
      <c r="N48" s="54">
        <f t="shared" ref="N48:N54" si="54">+B47</f>
        <v>1</v>
      </c>
      <c r="O48" s="968">
        <f t="shared" ref="O48:O54" si="55">+E48</f>
        <v>0.32900000000000001</v>
      </c>
      <c r="P48" s="968">
        <f t="shared" ref="P48:P54" si="56">+N48*O48/1000</f>
        <v>3.2900000000000003E-4</v>
      </c>
      <c r="Q48" s="969">
        <f t="shared" ref="Q48:Q54" si="57">+Q47+P48</f>
        <v>5.922000000000001E-3</v>
      </c>
      <c r="R48" s="247">
        <f t="shared" ref="R48:R54" si="58">+(B48+B47)/2</f>
        <v>1</v>
      </c>
      <c r="S48" s="24">
        <f t="shared" ref="S48:S54" si="59">+F48</f>
        <v>4735</v>
      </c>
      <c r="T48" s="970">
        <f t="shared" ref="T48:T54" si="60">+R48*S48/1000000</f>
        <v>4.7349999999999996E-3</v>
      </c>
      <c r="U48" s="971">
        <f t="shared" ref="U48:U54" si="61">+U47+T48</f>
        <v>8.7597500000000023E-2</v>
      </c>
    </row>
    <row r="49" spans="1:21" x14ac:dyDescent="0.2">
      <c r="A49" s="33">
        <f t="shared" si="19"/>
        <v>2036</v>
      </c>
      <c r="B49" s="787">
        <f t="shared" ref="B49:B54" si="62">B48</f>
        <v>1</v>
      </c>
      <c r="C49" s="565">
        <f t="shared" si="46"/>
        <v>20</v>
      </c>
      <c r="D49" s="965">
        <f t="shared" si="26"/>
        <v>0.63100000000000001</v>
      </c>
      <c r="E49" s="966">
        <f t="shared" si="27"/>
        <v>0.32900000000000001</v>
      </c>
      <c r="F49" s="790">
        <f t="shared" si="28"/>
        <v>4735</v>
      </c>
      <c r="G49" s="473">
        <f t="shared" si="47"/>
        <v>6.3100000000000005E-4</v>
      </c>
      <c r="H49" s="474">
        <f t="shared" si="48"/>
        <v>3.2900000000000003E-4</v>
      </c>
      <c r="I49" s="474">
        <f t="shared" si="49"/>
        <v>4.7349999999999996E-3</v>
      </c>
      <c r="J49" s="61">
        <f t="shared" si="50"/>
        <v>1</v>
      </c>
      <c r="K49" s="967">
        <f t="shared" si="51"/>
        <v>0.63100000000000001</v>
      </c>
      <c r="L49" s="967">
        <f t="shared" si="52"/>
        <v>6.3100000000000005E-4</v>
      </c>
      <c r="M49" s="967">
        <f t="shared" si="53"/>
        <v>1.2304499999999996E-2</v>
      </c>
      <c r="N49" s="54">
        <f t="shared" si="54"/>
        <v>1</v>
      </c>
      <c r="O49" s="968">
        <f t="shared" si="55"/>
        <v>0.32900000000000001</v>
      </c>
      <c r="P49" s="968">
        <f t="shared" si="56"/>
        <v>3.2900000000000003E-4</v>
      </c>
      <c r="Q49" s="969">
        <f t="shared" si="57"/>
        <v>6.2510000000000013E-3</v>
      </c>
      <c r="R49" s="247">
        <f t="shared" si="58"/>
        <v>1</v>
      </c>
      <c r="S49" s="24">
        <f t="shared" si="59"/>
        <v>4735</v>
      </c>
      <c r="T49" s="970">
        <f t="shared" si="60"/>
        <v>4.7349999999999996E-3</v>
      </c>
      <c r="U49" s="971">
        <f t="shared" si="61"/>
        <v>9.2332500000000026E-2</v>
      </c>
    </row>
    <row r="50" spans="1:21" x14ac:dyDescent="0.2">
      <c r="A50" s="33">
        <f t="shared" si="19"/>
        <v>2037</v>
      </c>
      <c r="B50" s="787">
        <f t="shared" si="62"/>
        <v>1</v>
      </c>
      <c r="C50" s="565">
        <f t="shared" si="46"/>
        <v>21</v>
      </c>
      <c r="D50" s="965">
        <f t="shared" si="26"/>
        <v>0.63100000000000001</v>
      </c>
      <c r="E50" s="966">
        <f t="shared" si="27"/>
        <v>0.32900000000000001</v>
      </c>
      <c r="F50" s="790">
        <f t="shared" si="28"/>
        <v>4735</v>
      </c>
      <c r="G50" s="473">
        <f t="shared" si="47"/>
        <v>6.3100000000000005E-4</v>
      </c>
      <c r="H50" s="474">
        <f t="shared" si="48"/>
        <v>3.2900000000000003E-4</v>
      </c>
      <c r="I50" s="474">
        <f t="shared" si="49"/>
        <v>4.7349999999999996E-3</v>
      </c>
      <c r="J50" s="61">
        <f t="shared" si="50"/>
        <v>1</v>
      </c>
      <c r="K50" s="967">
        <f t="shared" si="51"/>
        <v>0.63100000000000001</v>
      </c>
      <c r="L50" s="967">
        <f t="shared" si="52"/>
        <v>6.3100000000000005E-4</v>
      </c>
      <c r="M50" s="967">
        <f t="shared" si="53"/>
        <v>1.2935499999999996E-2</v>
      </c>
      <c r="N50" s="54">
        <f t="shared" si="54"/>
        <v>1</v>
      </c>
      <c r="O50" s="968">
        <f t="shared" si="55"/>
        <v>0.32900000000000001</v>
      </c>
      <c r="P50" s="968">
        <f t="shared" si="56"/>
        <v>3.2900000000000003E-4</v>
      </c>
      <c r="Q50" s="969">
        <f t="shared" si="57"/>
        <v>6.5800000000000016E-3</v>
      </c>
      <c r="R50" s="247">
        <f t="shared" si="58"/>
        <v>1</v>
      </c>
      <c r="S50" s="24">
        <f t="shared" si="59"/>
        <v>4735</v>
      </c>
      <c r="T50" s="970">
        <f t="shared" si="60"/>
        <v>4.7349999999999996E-3</v>
      </c>
      <c r="U50" s="971">
        <f t="shared" si="61"/>
        <v>9.7067500000000029E-2</v>
      </c>
    </row>
    <row r="51" spans="1:21" x14ac:dyDescent="0.2">
      <c r="A51" s="33">
        <f t="shared" si="19"/>
        <v>2038</v>
      </c>
      <c r="B51" s="787">
        <f t="shared" si="62"/>
        <v>1</v>
      </c>
      <c r="C51" s="565">
        <f t="shared" si="46"/>
        <v>22</v>
      </c>
      <c r="D51" s="965">
        <f t="shared" si="26"/>
        <v>0.63100000000000001</v>
      </c>
      <c r="E51" s="966">
        <f t="shared" si="27"/>
        <v>0.32900000000000001</v>
      </c>
      <c r="F51" s="790">
        <f t="shared" si="28"/>
        <v>4735</v>
      </c>
      <c r="G51" s="473">
        <f t="shared" si="47"/>
        <v>6.3100000000000005E-4</v>
      </c>
      <c r="H51" s="474">
        <f t="shared" si="48"/>
        <v>3.2900000000000003E-4</v>
      </c>
      <c r="I51" s="474">
        <f t="shared" si="49"/>
        <v>4.7349999999999996E-3</v>
      </c>
      <c r="J51" s="61">
        <f t="shared" si="50"/>
        <v>1</v>
      </c>
      <c r="K51" s="967">
        <f t="shared" si="51"/>
        <v>0.63100000000000001</v>
      </c>
      <c r="L51" s="967">
        <f t="shared" si="52"/>
        <v>6.3100000000000005E-4</v>
      </c>
      <c r="M51" s="967">
        <f t="shared" si="53"/>
        <v>1.3566499999999995E-2</v>
      </c>
      <c r="N51" s="54">
        <f t="shared" si="54"/>
        <v>1</v>
      </c>
      <c r="O51" s="968">
        <f t="shared" si="55"/>
        <v>0.32900000000000001</v>
      </c>
      <c r="P51" s="968">
        <f t="shared" si="56"/>
        <v>3.2900000000000003E-4</v>
      </c>
      <c r="Q51" s="969">
        <f t="shared" si="57"/>
        <v>6.9090000000000019E-3</v>
      </c>
      <c r="R51" s="247">
        <f t="shared" si="58"/>
        <v>1</v>
      </c>
      <c r="S51" s="24">
        <f t="shared" si="59"/>
        <v>4735</v>
      </c>
      <c r="T51" s="970">
        <f t="shared" si="60"/>
        <v>4.7349999999999996E-3</v>
      </c>
      <c r="U51" s="971">
        <f t="shared" si="61"/>
        <v>0.10180250000000003</v>
      </c>
    </row>
    <row r="52" spans="1:21" x14ac:dyDescent="0.2">
      <c r="A52" s="33">
        <f t="shared" si="19"/>
        <v>2039</v>
      </c>
      <c r="B52" s="787">
        <f t="shared" si="62"/>
        <v>1</v>
      </c>
      <c r="C52" s="565">
        <f t="shared" si="46"/>
        <v>23</v>
      </c>
      <c r="D52" s="965">
        <f t="shared" si="26"/>
        <v>0.63100000000000001</v>
      </c>
      <c r="E52" s="966">
        <f t="shared" si="27"/>
        <v>0.32900000000000001</v>
      </c>
      <c r="F52" s="790">
        <f t="shared" si="28"/>
        <v>4735</v>
      </c>
      <c r="G52" s="473">
        <f t="shared" si="47"/>
        <v>6.3100000000000005E-4</v>
      </c>
      <c r="H52" s="474">
        <f t="shared" si="48"/>
        <v>3.2900000000000003E-4</v>
      </c>
      <c r="I52" s="474">
        <f t="shared" si="49"/>
        <v>4.7349999999999996E-3</v>
      </c>
      <c r="J52" s="61">
        <f t="shared" si="50"/>
        <v>1</v>
      </c>
      <c r="K52" s="967">
        <f t="shared" si="51"/>
        <v>0.63100000000000001</v>
      </c>
      <c r="L52" s="967">
        <f t="shared" si="52"/>
        <v>6.3100000000000005E-4</v>
      </c>
      <c r="M52" s="967">
        <f t="shared" si="53"/>
        <v>1.4197499999999995E-2</v>
      </c>
      <c r="N52" s="54">
        <f t="shared" si="54"/>
        <v>1</v>
      </c>
      <c r="O52" s="968">
        <f t="shared" si="55"/>
        <v>0.32900000000000001</v>
      </c>
      <c r="P52" s="968">
        <f t="shared" si="56"/>
        <v>3.2900000000000003E-4</v>
      </c>
      <c r="Q52" s="969">
        <f t="shared" si="57"/>
        <v>7.2380000000000022E-3</v>
      </c>
      <c r="R52" s="247">
        <f t="shared" si="58"/>
        <v>1</v>
      </c>
      <c r="S52" s="24">
        <f t="shared" si="59"/>
        <v>4735</v>
      </c>
      <c r="T52" s="970">
        <f t="shared" si="60"/>
        <v>4.7349999999999996E-3</v>
      </c>
      <c r="U52" s="971">
        <f t="shared" si="61"/>
        <v>0.10653750000000003</v>
      </c>
    </row>
    <row r="53" spans="1:21" x14ac:dyDescent="0.2">
      <c r="A53" s="33">
        <f t="shared" si="19"/>
        <v>2040</v>
      </c>
      <c r="B53" s="787">
        <f t="shared" si="62"/>
        <v>1</v>
      </c>
      <c r="C53" s="565">
        <f t="shared" si="46"/>
        <v>24</v>
      </c>
      <c r="D53" s="965">
        <f t="shared" si="26"/>
        <v>0.63100000000000001</v>
      </c>
      <c r="E53" s="966">
        <f t="shared" si="27"/>
        <v>0.32900000000000001</v>
      </c>
      <c r="F53" s="790">
        <f t="shared" si="28"/>
        <v>4735</v>
      </c>
      <c r="G53" s="473">
        <f t="shared" si="47"/>
        <v>6.3100000000000005E-4</v>
      </c>
      <c r="H53" s="474">
        <f t="shared" si="48"/>
        <v>3.2900000000000003E-4</v>
      </c>
      <c r="I53" s="474">
        <f t="shared" si="49"/>
        <v>4.7349999999999996E-3</v>
      </c>
      <c r="J53" s="61">
        <f t="shared" si="50"/>
        <v>1</v>
      </c>
      <c r="K53" s="967">
        <f t="shared" si="51"/>
        <v>0.63100000000000001</v>
      </c>
      <c r="L53" s="967">
        <f t="shared" si="52"/>
        <v>6.3100000000000005E-4</v>
      </c>
      <c r="M53" s="967">
        <f t="shared" si="53"/>
        <v>1.4828499999999994E-2</v>
      </c>
      <c r="N53" s="54">
        <f t="shared" si="54"/>
        <v>1</v>
      </c>
      <c r="O53" s="968">
        <f t="shared" si="55"/>
        <v>0.32900000000000001</v>
      </c>
      <c r="P53" s="968">
        <f t="shared" si="56"/>
        <v>3.2900000000000003E-4</v>
      </c>
      <c r="Q53" s="969">
        <f t="shared" si="57"/>
        <v>7.5670000000000025E-3</v>
      </c>
      <c r="R53" s="247">
        <f t="shared" si="58"/>
        <v>1</v>
      </c>
      <c r="S53" s="24">
        <f t="shared" si="59"/>
        <v>4735</v>
      </c>
      <c r="T53" s="970">
        <f t="shared" si="60"/>
        <v>4.7349999999999996E-3</v>
      </c>
      <c r="U53" s="971">
        <f t="shared" si="61"/>
        <v>0.11127250000000004</v>
      </c>
    </row>
    <row r="54" spans="1:21" x14ac:dyDescent="0.2">
      <c r="A54" s="33">
        <f t="shared" si="19"/>
        <v>2041</v>
      </c>
      <c r="B54" s="787">
        <f t="shared" si="62"/>
        <v>1</v>
      </c>
      <c r="C54" s="565">
        <f t="shared" si="46"/>
        <v>25</v>
      </c>
      <c r="D54" s="965">
        <f t="shared" si="26"/>
        <v>0.63100000000000001</v>
      </c>
      <c r="E54" s="966">
        <f t="shared" si="27"/>
        <v>0.32900000000000001</v>
      </c>
      <c r="F54" s="790">
        <f t="shared" si="28"/>
        <v>4735</v>
      </c>
      <c r="G54" s="473">
        <f t="shared" si="47"/>
        <v>6.3100000000000005E-4</v>
      </c>
      <c r="H54" s="474">
        <f t="shared" si="48"/>
        <v>3.2900000000000003E-4</v>
      </c>
      <c r="I54" s="474">
        <f t="shared" si="49"/>
        <v>4.7349999999999996E-3</v>
      </c>
      <c r="J54" s="61">
        <f t="shared" si="50"/>
        <v>1</v>
      </c>
      <c r="K54" s="967">
        <f t="shared" si="51"/>
        <v>0.63100000000000001</v>
      </c>
      <c r="L54" s="967">
        <f t="shared" si="52"/>
        <v>6.3100000000000005E-4</v>
      </c>
      <c r="M54" s="967">
        <f t="shared" si="53"/>
        <v>1.5459499999999994E-2</v>
      </c>
      <c r="N54" s="54">
        <f t="shared" si="54"/>
        <v>1</v>
      </c>
      <c r="O54" s="968">
        <f t="shared" si="55"/>
        <v>0.32900000000000001</v>
      </c>
      <c r="P54" s="968">
        <f t="shared" si="56"/>
        <v>3.2900000000000003E-4</v>
      </c>
      <c r="Q54" s="969">
        <f t="shared" si="57"/>
        <v>7.896000000000002E-3</v>
      </c>
      <c r="R54" s="247">
        <f t="shared" si="58"/>
        <v>1</v>
      </c>
      <c r="S54" s="24">
        <f t="shared" si="59"/>
        <v>4735</v>
      </c>
      <c r="T54" s="970">
        <f t="shared" si="60"/>
        <v>4.7349999999999996E-3</v>
      </c>
      <c r="U54" s="971">
        <f t="shared" si="61"/>
        <v>0.11600750000000004</v>
      </c>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R4:U4"/>
    <mergeCell ref="G3:I3"/>
    <mergeCell ref="B4:I4"/>
    <mergeCell ref="J4:M4"/>
    <mergeCell ref="N4:Q4"/>
  </mergeCells>
  <phoneticPr fontId="7" type="noConversion"/>
  <pageMargins left="0.75" right="0.75" top="1" bottom="1" header="0.5" footer="0.5"/>
  <pageSetup scale="43"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tabColor theme="7" tint="-0.249977111117893"/>
    <pageSetUpPr fitToPage="1"/>
  </sheetPr>
  <dimension ref="A1:X61"/>
  <sheetViews>
    <sheetView workbookViewId="0">
      <pane xSplit="1" ySplit="5" topLeftCell="B21" activePane="bottomRight" state="frozen"/>
      <selection activeCell="A3" sqref="A3:M4"/>
      <selection pane="topRight" activeCell="A3" sqref="A3:M4"/>
      <selection pane="bottomLeft" activeCell="A3" sqref="A3:M4"/>
      <selection pane="bottomRight" activeCell="B30" sqref="B30"/>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4"/>
      <c r="J1" s="4"/>
      <c r="K1" s="4"/>
      <c r="L1" s="4"/>
      <c r="M1" s="4"/>
      <c r="N1" s="4"/>
    </row>
    <row r="2" spans="1:24" ht="16.5" thickBot="1" x14ac:dyDescent="0.3">
      <c r="A2" s="5" t="s">
        <v>1</v>
      </c>
      <c r="B2" s="27" t="s">
        <v>277</v>
      </c>
      <c r="C2" s="27"/>
      <c r="D2" s="27"/>
      <c r="E2" s="182"/>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44"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32">
        <v>0</v>
      </c>
      <c r="D6" s="628"/>
      <c r="E6" s="15"/>
      <c r="F6" s="31"/>
      <c r="G6" s="208"/>
      <c r="H6" s="15"/>
      <c r="I6" s="31"/>
      <c r="J6" s="37"/>
      <c r="K6" s="59"/>
      <c r="L6" s="6"/>
      <c r="M6" s="46">
        <v>0</v>
      </c>
      <c r="N6" s="40"/>
      <c r="O6" s="55"/>
      <c r="P6" s="57"/>
      <c r="Q6" s="41">
        <v>0</v>
      </c>
      <c r="R6" s="43"/>
      <c r="S6" s="24"/>
      <c r="T6" s="21"/>
      <c r="U6" s="47">
        <v>0</v>
      </c>
      <c r="V6" s="3"/>
    </row>
    <row r="7" spans="1:24" s="1" customFormat="1" ht="15.75" customHeight="1" x14ac:dyDescent="0.2">
      <c r="A7" s="68" t="s">
        <v>63</v>
      </c>
      <c r="B7" s="30"/>
      <c r="C7" s="632">
        <f>0+C6</f>
        <v>0</v>
      </c>
      <c r="D7" s="628"/>
      <c r="E7" s="15"/>
      <c r="F7" s="31"/>
      <c r="G7" s="208"/>
      <c r="H7" s="15"/>
      <c r="I7" s="31"/>
      <c r="J7" s="37"/>
      <c r="K7" s="59"/>
      <c r="L7" s="6"/>
      <c r="M7" s="46">
        <f>+M6+0</f>
        <v>0</v>
      </c>
      <c r="N7" s="40"/>
      <c r="O7" s="55"/>
      <c r="P7" s="57"/>
      <c r="Q7" s="41">
        <f>+Q6+0</f>
        <v>0</v>
      </c>
      <c r="R7" s="43"/>
      <c r="S7" s="24"/>
      <c r="T7" s="21"/>
      <c r="U7" s="47">
        <f>+U6+0</f>
        <v>0</v>
      </c>
      <c r="V7" s="3"/>
    </row>
    <row r="8" spans="1:24" x14ac:dyDescent="0.2">
      <c r="A8" s="33">
        <v>1995</v>
      </c>
      <c r="B8" s="30">
        <v>0</v>
      </c>
      <c r="C8" s="565">
        <f t="shared" ref="C8:C39" si="0">+C7+B8</f>
        <v>0</v>
      </c>
      <c r="D8" s="30">
        <v>0</v>
      </c>
      <c r="E8" s="210">
        <v>0</v>
      </c>
      <c r="F8" s="617">
        <v>0</v>
      </c>
      <c r="G8" s="452">
        <f t="shared" ref="G8:G21" si="1">+$B8*D8/1000</f>
        <v>0</v>
      </c>
      <c r="H8" s="72">
        <f t="shared" ref="H8:H21" si="2">+$B8*E8/1000</f>
        <v>0</v>
      </c>
      <c r="I8" s="72">
        <f t="shared" ref="I8:I21" si="3">+$B8*F8/1000000</f>
        <v>0</v>
      </c>
      <c r="J8" s="52">
        <f>+(B8+0)/2</f>
        <v>0</v>
      </c>
      <c r="K8" s="59">
        <f t="shared" ref="K8:K39" si="4">+D8</f>
        <v>0</v>
      </c>
      <c r="L8" s="59">
        <f t="shared" ref="L8:L39" si="5">+J8*K8/1000</f>
        <v>0</v>
      </c>
      <c r="M8" s="60">
        <f t="shared" ref="M8:M39" si="6">+M7+L8</f>
        <v>0</v>
      </c>
      <c r="N8" s="51">
        <v>0</v>
      </c>
      <c r="O8" s="55">
        <f t="shared" ref="O8:O39" si="7">+E8</f>
        <v>0</v>
      </c>
      <c r="P8" s="55">
        <f t="shared" ref="P8:P39" si="8">+N8*O8/1000</f>
        <v>0</v>
      </c>
      <c r="Q8" s="56">
        <f t="shared" ref="Q8:Q39" si="9">+Q7+P8</f>
        <v>0</v>
      </c>
      <c r="R8" s="65">
        <f>+(B8+0)/2</f>
        <v>0</v>
      </c>
      <c r="S8" s="24">
        <f t="shared" ref="S8:S38" si="10">+F8</f>
        <v>0</v>
      </c>
      <c r="T8" s="25">
        <f t="shared" ref="T8:T38" si="11">+R8*S8/1000000</f>
        <v>0</v>
      </c>
      <c r="U8" s="53">
        <f t="shared" ref="U8:U39" si="12">+U7+T8</f>
        <v>0</v>
      </c>
      <c r="V8" s="649" t="e">
        <f>Q8*1000/N8</f>
        <v>#DIV/0!</v>
      </c>
      <c r="W8" s="648" t="e">
        <f>M8*1000/J8</f>
        <v>#DIV/0!</v>
      </c>
      <c r="X8" s="1"/>
    </row>
    <row r="9" spans="1:24" x14ac:dyDescent="0.2">
      <c r="A9" s="33">
        <v>1996</v>
      </c>
      <c r="B9" s="30">
        <v>0</v>
      </c>
      <c r="C9" s="565">
        <f t="shared" si="0"/>
        <v>0</v>
      </c>
      <c r="D9" s="30">
        <v>0</v>
      </c>
      <c r="E9" s="210">
        <v>0</v>
      </c>
      <c r="F9" s="617">
        <v>0</v>
      </c>
      <c r="G9" s="452">
        <f t="shared" si="1"/>
        <v>0</v>
      </c>
      <c r="H9" s="72">
        <f t="shared" si="2"/>
        <v>0</v>
      </c>
      <c r="I9" s="72">
        <f t="shared" si="3"/>
        <v>0</v>
      </c>
      <c r="J9" s="61">
        <f t="shared" ref="J9:J39" si="13">+(B9+B8)/2</f>
        <v>0</v>
      </c>
      <c r="K9" s="59">
        <f t="shared" si="4"/>
        <v>0</v>
      </c>
      <c r="L9" s="59">
        <f t="shared" si="5"/>
        <v>0</v>
      </c>
      <c r="M9" s="60">
        <f t="shared" si="6"/>
        <v>0</v>
      </c>
      <c r="N9" s="54">
        <f t="shared" ref="N9:N39" si="14">+B8</f>
        <v>0</v>
      </c>
      <c r="O9" s="55">
        <f t="shared" si="7"/>
        <v>0</v>
      </c>
      <c r="P9" s="55">
        <f t="shared" si="8"/>
        <v>0</v>
      </c>
      <c r="Q9" s="56">
        <f t="shared" si="9"/>
        <v>0</v>
      </c>
      <c r="R9" s="247">
        <f t="shared" ref="R9:R38" si="15">+(B9+B8)/2</f>
        <v>0</v>
      </c>
      <c r="S9" s="24">
        <f t="shared" si="10"/>
        <v>0</v>
      </c>
      <c r="T9" s="25">
        <f t="shared" si="11"/>
        <v>0</v>
      </c>
      <c r="U9" s="53">
        <f t="shared" si="12"/>
        <v>0</v>
      </c>
      <c r="V9" s="649" t="e">
        <f t="shared" ref="V9:V23" si="16">Q9*1000/N9</f>
        <v>#DIV/0!</v>
      </c>
      <c r="W9" s="648" t="e">
        <f t="shared" ref="W9:W23" si="17">M9*1000/J9</f>
        <v>#DIV/0!</v>
      </c>
      <c r="X9" s="1"/>
    </row>
    <row r="10" spans="1:24" x14ac:dyDescent="0.2">
      <c r="A10" s="33">
        <v>1997</v>
      </c>
      <c r="B10" s="30">
        <v>0</v>
      </c>
      <c r="C10" s="565">
        <f t="shared" si="0"/>
        <v>0</v>
      </c>
      <c r="D10" s="30">
        <v>0</v>
      </c>
      <c r="E10" s="210">
        <v>0</v>
      </c>
      <c r="F10" s="617">
        <v>0</v>
      </c>
      <c r="G10" s="452">
        <f t="shared" si="1"/>
        <v>0</v>
      </c>
      <c r="H10" s="72">
        <f t="shared" si="2"/>
        <v>0</v>
      </c>
      <c r="I10" s="72">
        <f t="shared" si="3"/>
        <v>0</v>
      </c>
      <c r="J10" s="61">
        <f t="shared" si="13"/>
        <v>0</v>
      </c>
      <c r="K10" s="59">
        <f t="shared" si="4"/>
        <v>0</v>
      </c>
      <c r="L10" s="59">
        <f t="shared" si="5"/>
        <v>0</v>
      </c>
      <c r="M10" s="60">
        <f t="shared" si="6"/>
        <v>0</v>
      </c>
      <c r="N10" s="54">
        <f t="shared" si="14"/>
        <v>0</v>
      </c>
      <c r="O10" s="55">
        <f t="shared" si="7"/>
        <v>0</v>
      </c>
      <c r="P10" s="55">
        <f t="shared" si="8"/>
        <v>0</v>
      </c>
      <c r="Q10" s="56">
        <f t="shared" si="9"/>
        <v>0</v>
      </c>
      <c r="R10" s="247">
        <f t="shared" si="15"/>
        <v>0</v>
      </c>
      <c r="S10" s="24">
        <f t="shared" si="10"/>
        <v>0</v>
      </c>
      <c r="T10" s="25">
        <f t="shared" si="11"/>
        <v>0</v>
      </c>
      <c r="U10" s="53">
        <f t="shared" si="12"/>
        <v>0</v>
      </c>
      <c r="V10" s="649" t="e">
        <f t="shared" si="16"/>
        <v>#DIV/0!</v>
      </c>
      <c r="W10" s="648" t="e">
        <f t="shared" si="17"/>
        <v>#DIV/0!</v>
      </c>
      <c r="X10" s="1"/>
    </row>
    <row r="11" spans="1:24" x14ac:dyDescent="0.2">
      <c r="A11" s="33">
        <v>1998</v>
      </c>
      <c r="B11" s="30">
        <v>0</v>
      </c>
      <c r="C11" s="565">
        <f t="shared" si="0"/>
        <v>0</v>
      </c>
      <c r="D11" s="30">
        <v>0</v>
      </c>
      <c r="E11" s="210">
        <v>0</v>
      </c>
      <c r="F11" s="617">
        <v>0</v>
      </c>
      <c r="G11" s="452">
        <f t="shared" si="1"/>
        <v>0</v>
      </c>
      <c r="H11" s="72">
        <f t="shared" si="2"/>
        <v>0</v>
      </c>
      <c r="I11" s="72">
        <f t="shared" si="3"/>
        <v>0</v>
      </c>
      <c r="J11" s="61">
        <f t="shared" si="13"/>
        <v>0</v>
      </c>
      <c r="K11" s="59">
        <f t="shared" si="4"/>
        <v>0</v>
      </c>
      <c r="L11" s="59">
        <f t="shared" si="5"/>
        <v>0</v>
      </c>
      <c r="M11" s="60">
        <f t="shared" si="6"/>
        <v>0</v>
      </c>
      <c r="N11" s="54">
        <f t="shared" si="14"/>
        <v>0</v>
      </c>
      <c r="O11" s="55">
        <f t="shared" si="7"/>
        <v>0</v>
      </c>
      <c r="P11" s="55">
        <f t="shared" si="8"/>
        <v>0</v>
      </c>
      <c r="Q11" s="56">
        <f t="shared" si="9"/>
        <v>0</v>
      </c>
      <c r="R11" s="247">
        <f t="shared" si="15"/>
        <v>0</v>
      </c>
      <c r="S11" s="24">
        <f t="shared" si="10"/>
        <v>0</v>
      </c>
      <c r="T11" s="25">
        <f t="shared" si="11"/>
        <v>0</v>
      </c>
      <c r="U11" s="53">
        <f t="shared" si="12"/>
        <v>0</v>
      </c>
      <c r="V11" s="649" t="e">
        <f t="shared" si="16"/>
        <v>#DIV/0!</v>
      </c>
      <c r="W11" s="648" t="e">
        <f t="shared" si="17"/>
        <v>#DIV/0!</v>
      </c>
      <c r="X11" s="1"/>
    </row>
    <row r="12" spans="1:24" x14ac:dyDescent="0.2">
      <c r="A12" s="33">
        <v>1999</v>
      </c>
      <c r="B12" s="30">
        <v>0</v>
      </c>
      <c r="C12" s="565">
        <f t="shared" si="0"/>
        <v>0</v>
      </c>
      <c r="D12" s="30">
        <v>0</v>
      </c>
      <c r="E12" s="210">
        <v>0</v>
      </c>
      <c r="F12" s="617">
        <v>0</v>
      </c>
      <c r="G12" s="452">
        <f t="shared" si="1"/>
        <v>0</v>
      </c>
      <c r="H12" s="72">
        <f t="shared" si="2"/>
        <v>0</v>
      </c>
      <c r="I12" s="72">
        <f t="shared" si="3"/>
        <v>0</v>
      </c>
      <c r="J12" s="61">
        <f t="shared" si="13"/>
        <v>0</v>
      </c>
      <c r="K12" s="59">
        <f t="shared" si="4"/>
        <v>0</v>
      </c>
      <c r="L12" s="59">
        <f t="shared" si="5"/>
        <v>0</v>
      </c>
      <c r="M12" s="60">
        <f t="shared" si="6"/>
        <v>0</v>
      </c>
      <c r="N12" s="54">
        <f t="shared" si="14"/>
        <v>0</v>
      </c>
      <c r="O12" s="55">
        <f t="shared" si="7"/>
        <v>0</v>
      </c>
      <c r="P12" s="55">
        <f t="shared" si="8"/>
        <v>0</v>
      </c>
      <c r="Q12" s="56">
        <f t="shared" si="9"/>
        <v>0</v>
      </c>
      <c r="R12" s="247">
        <f t="shared" si="15"/>
        <v>0</v>
      </c>
      <c r="S12" s="24">
        <f t="shared" si="10"/>
        <v>0</v>
      </c>
      <c r="T12" s="25">
        <f t="shared" si="11"/>
        <v>0</v>
      </c>
      <c r="U12" s="53">
        <f t="shared" si="12"/>
        <v>0</v>
      </c>
      <c r="V12" s="649" t="e">
        <f t="shared" si="16"/>
        <v>#DIV/0!</v>
      </c>
      <c r="W12" s="648" t="e">
        <f t="shared" si="17"/>
        <v>#DIV/0!</v>
      </c>
      <c r="X12" s="1"/>
    </row>
    <row r="13" spans="1:24" x14ac:dyDescent="0.2">
      <c r="A13" s="33">
        <v>2000</v>
      </c>
      <c r="B13" s="30">
        <v>0</v>
      </c>
      <c r="C13" s="565">
        <f t="shared" si="0"/>
        <v>0</v>
      </c>
      <c r="D13" s="30">
        <v>0</v>
      </c>
      <c r="E13" s="210">
        <v>0</v>
      </c>
      <c r="F13" s="617">
        <v>0</v>
      </c>
      <c r="G13" s="452">
        <f t="shared" si="1"/>
        <v>0</v>
      </c>
      <c r="H13" s="72">
        <f t="shared" si="2"/>
        <v>0</v>
      </c>
      <c r="I13" s="72">
        <f t="shared" si="3"/>
        <v>0</v>
      </c>
      <c r="J13" s="61">
        <f t="shared" si="13"/>
        <v>0</v>
      </c>
      <c r="K13" s="59">
        <f t="shared" si="4"/>
        <v>0</v>
      </c>
      <c r="L13" s="59">
        <f t="shared" si="5"/>
        <v>0</v>
      </c>
      <c r="M13" s="60">
        <f t="shared" si="6"/>
        <v>0</v>
      </c>
      <c r="N13" s="54">
        <f t="shared" si="14"/>
        <v>0</v>
      </c>
      <c r="O13" s="55">
        <f t="shared" si="7"/>
        <v>0</v>
      </c>
      <c r="P13" s="55">
        <f t="shared" si="8"/>
        <v>0</v>
      </c>
      <c r="Q13" s="56">
        <f t="shared" si="9"/>
        <v>0</v>
      </c>
      <c r="R13" s="247">
        <f t="shared" si="15"/>
        <v>0</v>
      </c>
      <c r="S13" s="24">
        <f t="shared" si="10"/>
        <v>0</v>
      </c>
      <c r="T13" s="25">
        <f t="shared" si="11"/>
        <v>0</v>
      </c>
      <c r="U13" s="53">
        <f t="shared" si="12"/>
        <v>0</v>
      </c>
      <c r="V13" s="649" t="e">
        <f t="shared" si="16"/>
        <v>#DIV/0!</v>
      </c>
      <c r="W13" s="648" t="e">
        <f t="shared" si="17"/>
        <v>#DIV/0!</v>
      </c>
      <c r="X13" s="1"/>
    </row>
    <row r="14" spans="1:24" x14ac:dyDescent="0.2">
      <c r="A14" s="33">
        <v>2001</v>
      </c>
      <c r="B14" s="30">
        <v>0</v>
      </c>
      <c r="C14" s="64">
        <f t="shared" si="0"/>
        <v>0</v>
      </c>
      <c r="D14" s="30">
        <v>0</v>
      </c>
      <c r="E14" s="210">
        <v>0</v>
      </c>
      <c r="F14" s="617">
        <v>0</v>
      </c>
      <c r="G14" s="452">
        <f t="shared" si="1"/>
        <v>0</v>
      </c>
      <c r="H14" s="72">
        <f t="shared" si="2"/>
        <v>0</v>
      </c>
      <c r="I14" s="72">
        <f t="shared" si="3"/>
        <v>0</v>
      </c>
      <c r="J14" s="61">
        <f t="shared" si="13"/>
        <v>0</v>
      </c>
      <c r="K14" s="59">
        <f t="shared" si="4"/>
        <v>0</v>
      </c>
      <c r="L14" s="59">
        <f t="shared" si="5"/>
        <v>0</v>
      </c>
      <c r="M14" s="60">
        <f t="shared" si="6"/>
        <v>0</v>
      </c>
      <c r="N14" s="54">
        <f t="shared" si="14"/>
        <v>0</v>
      </c>
      <c r="O14" s="55">
        <f t="shared" si="7"/>
        <v>0</v>
      </c>
      <c r="P14" s="55">
        <f t="shared" si="8"/>
        <v>0</v>
      </c>
      <c r="Q14" s="56">
        <f t="shared" si="9"/>
        <v>0</v>
      </c>
      <c r="R14" s="247">
        <f t="shared" si="15"/>
        <v>0</v>
      </c>
      <c r="S14" s="24">
        <f t="shared" si="10"/>
        <v>0</v>
      </c>
      <c r="T14" s="25">
        <f t="shared" si="11"/>
        <v>0</v>
      </c>
      <c r="U14" s="53">
        <f t="shared" si="12"/>
        <v>0</v>
      </c>
      <c r="V14" s="649" t="e">
        <f t="shared" si="16"/>
        <v>#DIV/0!</v>
      </c>
      <c r="W14" s="648" t="e">
        <f t="shared" si="17"/>
        <v>#DIV/0!</v>
      </c>
      <c r="X14" s="1"/>
    </row>
    <row r="15" spans="1:24" x14ac:dyDescent="0.2">
      <c r="A15" s="33">
        <v>2002</v>
      </c>
      <c r="B15" s="30">
        <v>0</v>
      </c>
      <c r="C15" s="64">
        <f t="shared" si="0"/>
        <v>0</v>
      </c>
      <c r="D15" s="30">
        <v>0</v>
      </c>
      <c r="E15" s="210">
        <v>0</v>
      </c>
      <c r="F15" s="617">
        <v>0</v>
      </c>
      <c r="G15" s="452">
        <f t="shared" si="1"/>
        <v>0</v>
      </c>
      <c r="H15" s="72">
        <f t="shared" si="2"/>
        <v>0</v>
      </c>
      <c r="I15" s="72">
        <f t="shared" si="3"/>
        <v>0</v>
      </c>
      <c r="J15" s="61">
        <f t="shared" si="13"/>
        <v>0</v>
      </c>
      <c r="K15" s="59">
        <f t="shared" si="4"/>
        <v>0</v>
      </c>
      <c r="L15" s="59">
        <f t="shared" si="5"/>
        <v>0</v>
      </c>
      <c r="M15" s="60">
        <f t="shared" si="6"/>
        <v>0</v>
      </c>
      <c r="N15" s="54">
        <f t="shared" si="14"/>
        <v>0</v>
      </c>
      <c r="O15" s="55">
        <f t="shared" si="7"/>
        <v>0</v>
      </c>
      <c r="P15" s="55">
        <f t="shared" si="8"/>
        <v>0</v>
      </c>
      <c r="Q15" s="56">
        <f t="shared" si="9"/>
        <v>0</v>
      </c>
      <c r="R15" s="247">
        <f t="shared" si="15"/>
        <v>0</v>
      </c>
      <c r="S15" s="24">
        <f t="shared" si="10"/>
        <v>0</v>
      </c>
      <c r="T15" s="25">
        <f t="shared" si="11"/>
        <v>0</v>
      </c>
      <c r="U15" s="53">
        <f t="shared" si="12"/>
        <v>0</v>
      </c>
      <c r="V15" s="649" t="e">
        <f t="shared" si="16"/>
        <v>#DIV/0!</v>
      </c>
      <c r="W15" s="648" t="e">
        <f t="shared" si="17"/>
        <v>#DIV/0!</v>
      </c>
      <c r="X15" s="1"/>
    </row>
    <row r="16" spans="1:24" x14ac:dyDescent="0.2">
      <c r="A16" s="33">
        <v>2003</v>
      </c>
      <c r="B16" s="30">
        <v>0</v>
      </c>
      <c r="C16" s="64">
        <f t="shared" si="0"/>
        <v>0</v>
      </c>
      <c r="D16" s="30">
        <v>0</v>
      </c>
      <c r="E16" s="210">
        <v>0</v>
      </c>
      <c r="F16" s="617">
        <v>0</v>
      </c>
      <c r="G16" s="452">
        <f t="shared" si="1"/>
        <v>0</v>
      </c>
      <c r="H16" s="72">
        <f t="shared" si="2"/>
        <v>0</v>
      </c>
      <c r="I16" s="72">
        <f t="shared" si="3"/>
        <v>0</v>
      </c>
      <c r="J16" s="61">
        <f t="shared" si="13"/>
        <v>0</v>
      </c>
      <c r="K16" s="59">
        <f t="shared" si="4"/>
        <v>0</v>
      </c>
      <c r="L16" s="59">
        <f t="shared" si="5"/>
        <v>0</v>
      </c>
      <c r="M16" s="60">
        <f t="shared" si="6"/>
        <v>0</v>
      </c>
      <c r="N16" s="54">
        <f t="shared" si="14"/>
        <v>0</v>
      </c>
      <c r="O16" s="55">
        <f t="shared" si="7"/>
        <v>0</v>
      </c>
      <c r="P16" s="55">
        <f t="shared" si="8"/>
        <v>0</v>
      </c>
      <c r="Q16" s="56">
        <f t="shared" si="9"/>
        <v>0</v>
      </c>
      <c r="R16" s="247">
        <f t="shared" si="15"/>
        <v>0</v>
      </c>
      <c r="S16" s="24">
        <f t="shared" si="10"/>
        <v>0</v>
      </c>
      <c r="T16" s="25">
        <f t="shared" si="11"/>
        <v>0</v>
      </c>
      <c r="U16" s="53">
        <f t="shared" si="12"/>
        <v>0</v>
      </c>
      <c r="V16" s="649" t="e">
        <f t="shared" si="16"/>
        <v>#DIV/0!</v>
      </c>
      <c r="W16" s="648" t="e">
        <f t="shared" si="17"/>
        <v>#DIV/0!</v>
      </c>
      <c r="X16" s="1"/>
    </row>
    <row r="17" spans="1:24" x14ac:dyDescent="0.2">
      <c r="A17" s="33">
        <f t="shared" ref="A17:A54" si="18">+A16+1</f>
        <v>2004</v>
      </c>
      <c r="B17" s="30">
        <v>0</v>
      </c>
      <c r="C17" s="64">
        <f t="shared" si="0"/>
        <v>0</v>
      </c>
      <c r="D17" s="30">
        <v>0</v>
      </c>
      <c r="E17" s="210">
        <v>0</v>
      </c>
      <c r="F17" s="617">
        <v>0</v>
      </c>
      <c r="G17" s="452">
        <f t="shared" si="1"/>
        <v>0</v>
      </c>
      <c r="H17" s="72">
        <f t="shared" si="2"/>
        <v>0</v>
      </c>
      <c r="I17" s="72">
        <f t="shared" si="3"/>
        <v>0</v>
      </c>
      <c r="J17" s="61">
        <f t="shared" si="13"/>
        <v>0</v>
      </c>
      <c r="K17" s="59">
        <f t="shared" si="4"/>
        <v>0</v>
      </c>
      <c r="L17" s="59">
        <f t="shared" si="5"/>
        <v>0</v>
      </c>
      <c r="M17" s="60">
        <f t="shared" si="6"/>
        <v>0</v>
      </c>
      <c r="N17" s="54">
        <f t="shared" si="14"/>
        <v>0</v>
      </c>
      <c r="O17" s="55">
        <f t="shared" si="7"/>
        <v>0</v>
      </c>
      <c r="P17" s="55">
        <f t="shared" si="8"/>
        <v>0</v>
      </c>
      <c r="Q17" s="56">
        <f t="shared" si="9"/>
        <v>0</v>
      </c>
      <c r="R17" s="247">
        <f t="shared" si="15"/>
        <v>0</v>
      </c>
      <c r="S17" s="24">
        <f t="shared" si="10"/>
        <v>0</v>
      </c>
      <c r="T17" s="25">
        <f t="shared" si="11"/>
        <v>0</v>
      </c>
      <c r="U17" s="53">
        <f t="shared" si="12"/>
        <v>0</v>
      </c>
      <c r="V17" s="649" t="e">
        <f t="shared" si="16"/>
        <v>#DIV/0!</v>
      </c>
      <c r="W17" s="648" t="e">
        <f t="shared" si="17"/>
        <v>#DIV/0!</v>
      </c>
      <c r="X17" s="1"/>
    </row>
    <row r="18" spans="1:24" x14ac:dyDescent="0.2">
      <c r="A18" s="33">
        <f t="shared" si="18"/>
        <v>2005</v>
      </c>
      <c r="B18" s="30">
        <v>0</v>
      </c>
      <c r="C18" s="64">
        <f t="shared" si="0"/>
        <v>0</v>
      </c>
      <c r="D18" s="30">
        <v>0</v>
      </c>
      <c r="E18" s="210">
        <v>0</v>
      </c>
      <c r="F18" s="617">
        <v>0</v>
      </c>
      <c r="G18" s="452">
        <f t="shared" si="1"/>
        <v>0</v>
      </c>
      <c r="H18" s="72">
        <f t="shared" si="2"/>
        <v>0</v>
      </c>
      <c r="I18" s="72">
        <f t="shared" si="3"/>
        <v>0</v>
      </c>
      <c r="J18" s="61">
        <f t="shared" si="13"/>
        <v>0</v>
      </c>
      <c r="K18" s="59">
        <f t="shared" si="4"/>
        <v>0</v>
      </c>
      <c r="L18" s="59">
        <f t="shared" si="5"/>
        <v>0</v>
      </c>
      <c r="M18" s="60">
        <f t="shared" si="6"/>
        <v>0</v>
      </c>
      <c r="N18" s="54">
        <f t="shared" si="14"/>
        <v>0</v>
      </c>
      <c r="O18" s="55">
        <f t="shared" si="7"/>
        <v>0</v>
      </c>
      <c r="P18" s="55">
        <f t="shared" si="8"/>
        <v>0</v>
      </c>
      <c r="Q18" s="56">
        <f t="shared" si="9"/>
        <v>0</v>
      </c>
      <c r="R18" s="247">
        <f t="shared" si="15"/>
        <v>0</v>
      </c>
      <c r="S18" s="24">
        <f t="shared" si="10"/>
        <v>0</v>
      </c>
      <c r="T18" s="25">
        <f t="shared" si="11"/>
        <v>0</v>
      </c>
      <c r="U18" s="53">
        <f t="shared" si="12"/>
        <v>0</v>
      </c>
      <c r="V18" s="649" t="e">
        <f t="shared" si="16"/>
        <v>#DIV/0!</v>
      </c>
      <c r="W18" s="648" t="e">
        <f t="shared" si="17"/>
        <v>#DIV/0!</v>
      </c>
      <c r="X18" s="1"/>
    </row>
    <row r="19" spans="1:24" x14ac:dyDescent="0.2">
      <c r="A19" s="33">
        <f t="shared" si="18"/>
        <v>2006</v>
      </c>
      <c r="B19" s="30">
        <v>0</v>
      </c>
      <c r="C19" s="187">
        <f t="shared" si="0"/>
        <v>0</v>
      </c>
      <c r="D19" s="30">
        <v>0</v>
      </c>
      <c r="E19" s="210">
        <v>0</v>
      </c>
      <c r="F19" s="617">
        <v>0</v>
      </c>
      <c r="G19" s="452">
        <f t="shared" si="1"/>
        <v>0</v>
      </c>
      <c r="H19" s="72">
        <f t="shared" si="2"/>
        <v>0</v>
      </c>
      <c r="I19" s="72">
        <f t="shared" si="3"/>
        <v>0</v>
      </c>
      <c r="J19" s="61">
        <f t="shared" si="13"/>
        <v>0</v>
      </c>
      <c r="K19" s="59">
        <f t="shared" si="4"/>
        <v>0</v>
      </c>
      <c r="L19" s="59">
        <f t="shared" si="5"/>
        <v>0</v>
      </c>
      <c r="M19" s="60">
        <f t="shared" si="6"/>
        <v>0</v>
      </c>
      <c r="N19" s="54">
        <f t="shared" si="14"/>
        <v>0</v>
      </c>
      <c r="O19" s="55">
        <f t="shared" si="7"/>
        <v>0</v>
      </c>
      <c r="P19" s="55">
        <f t="shared" si="8"/>
        <v>0</v>
      </c>
      <c r="Q19" s="56">
        <f t="shared" si="9"/>
        <v>0</v>
      </c>
      <c r="R19" s="247">
        <f t="shared" si="15"/>
        <v>0</v>
      </c>
      <c r="S19" s="24">
        <f t="shared" si="10"/>
        <v>0</v>
      </c>
      <c r="T19" s="25">
        <f t="shared" si="11"/>
        <v>0</v>
      </c>
      <c r="U19" s="53">
        <f t="shared" si="12"/>
        <v>0</v>
      </c>
      <c r="V19" s="649" t="e">
        <f t="shared" si="16"/>
        <v>#DIV/0!</v>
      </c>
      <c r="W19" s="648" t="e">
        <f t="shared" si="17"/>
        <v>#DIV/0!</v>
      </c>
      <c r="X19" s="1"/>
    </row>
    <row r="20" spans="1:24" x14ac:dyDescent="0.2">
      <c r="A20" s="33">
        <f t="shared" si="18"/>
        <v>2007</v>
      </c>
      <c r="B20" s="30">
        <v>170</v>
      </c>
      <c r="C20" s="187">
        <f t="shared" si="0"/>
        <v>170</v>
      </c>
      <c r="D20" s="662">
        <v>2.4</v>
      </c>
      <c r="E20" s="663">
        <v>3.1</v>
      </c>
      <c r="F20" s="617">
        <v>1071</v>
      </c>
      <c r="G20" s="452">
        <f t="shared" si="1"/>
        <v>0.40799999999999997</v>
      </c>
      <c r="H20" s="72">
        <f t="shared" si="2"/>
        <v>0.52700000000000002</v>
      </c>
      <c r="I20" s="72">
        <f t="shared" si="3"/>
        <v>0.18207000000000001</v>
      </c>
      <c r="J20" s="61">
        <f t="shared" si="13"/>
        <v>85</v>
      </c>
      <c r="K20" s="59">
        <f t="shared" si="4"/>
        <v>2.4</v>
      </c>
      <c r="L20" s="59">
        <f t="shared" si="5"/>
        <v>0.20399999999999999</v>
      </c>
      <c r="M20" s="60">
        <f>+M19+L20</f>
        <v>0.20399999999999999</v>
      </c>
      <c r="N20" s="54">
        <f t="shared" si="14"/>
        <v>0</v>
      </c>
      <c r="O20" s="55">
        <f t="shared" si="7"/>
        <v>3.1</v>
      </c>
      <c r="P20" s="55">
        <f t="shared" si="8"/>
        <v>0</v>
      </c>
      <c r="Q20" s="56">
        <f t="shared" si="9"/>
        <v>0</v>
      </c>
      <c r="R20" s="247">
        <f t="shared" si="15"/>
        <v>85</v>
      </c>
      <c r="S20" s="24">
        <f t="shared" si="10"/>
        <v>1071</v>
      </c>
      <c r="T20" s="25">
        <f t="shared" si="11"/>
        <v>9.1035000000000005E-2</v>
      </c>
      <c r="U20" s="53">
        <f t="shared" si="12"/>
        <v>9.1035000000000005E-2</v>
      </c>
      <c r="V20" s="649" t="e">
        <f t="shared" si="16"/>
        <v>#DIV/0!</v>
      </c>
      <c r="W20" s="167">
        <f t="shared" si="17"/>
        <v>2.4</v>
      </c>
    </row>
    <row r="21" spans="1:24" x14ac:dyDescent="0.2">
      <c r="A21" s="33">
        <f t="shared" si="18"/>
        <v>2008</v>
      </c>
      <c r="B21" s="30">
        <v>-13</v>
      </c>
      <c r="C21" s="187">
        <f t="shared" si="0"/>
        <v>157</v>
      </c>
      <c r="D21" s="662">
        <v>2.4</v>
      </c>
      <c r="E21" s="663">
        <v>3.1</v>
      </c>
      <c r="F21" s="617">
        <v>1071</v>
      </c>
      <c r="G21" s="452">
        <f t="shared" si="1"/>
        <v>-3.1199999999999999E-2</v>
      </c>
      <c r="H21" s="72">
        <f t="shared" si="2"/>
        <v>-4.0300000000000002E-2</v>
      </c>
      <c r="I21" s="72">
        <f t="shared" si="3"/>
        <v>-1.3923E-2</v>
      </c>
      <c r="J21" s="61">
        <f t="shared" si="13"/>
        <v>78.5</v>
      </c>
      <c r="K21" s="59">
        <f t="shared" si="4"/>
        <v>2.4</v>
      </c>
      <c r="L21" s="59">
        <f t="shared" si="5"/>
        <v>0.18840000000000001</v>
      </c>
      <c r="M21" s="60">
        <f t="shared" si="6"/>
        <v>0.39239999999999997</v>
      </c>
      <c r="N21" s="54">
        <f t="shared" si="14"/>
        <v>170</v>
      </c>
      <c r="O21" s="55">
        <f t="shared" si="7"/>
        <v>3.1</v>
      </c>
      <c r="P21" s="55">
        <f t="shared" si="8"/>
        <v>0.52700000000000002</v>
      </c>
      <c r="Q21" s="56">
        <f t="shared" si="9"/>
        <v>0.52700000000000002</v>
      </c>
      <c r="R21" s="247">
        <f t="shared" si="15"/>
        <v>78.5</v>
      </c>
      <c r="S21" s="24">
        <f t="shared" si="10"/>
        <v>1071</v>
      </c>
      <c r="T21" s="25">
        <f t="shared" si="11"/>
        <v>8.4073499999999995E-2</v>
      </c>
      <c r="U21" s="53">
        <f t="shared" si="12"/>
        <v>0.1751085</v>
      </c>
      <c r="V21" s="649">
        <f t="shared" si="16"/>
        <v>3.1</v>
      </c>
      <c r="W21" s="167">
        <f t="shared" si="17"/>
        <v>4.9987261146496813</v>
      </c>
    </row>
    <row r="22" spans="1:24" x14ac:dyDescent="0.2">
      <c r="A22" s="33">
        <f t="shared" si="18"/>
        <v>2009</v>
      </c>
      <c r="B22" s="30">
        <v>517</v>
      </c>
      <c r="C22" s="187">
        <f t="shared" si="0"/>
        <v>674</v>
      </c>
      <c r="D22" s="662">
        <v>2.0960000000000001</v>
      </c>
      <c r="E22" s="663">
        <v>2.7250000000000001</v>
      </c>
      <c r="F22" s="617">
        <v>1071</v>
      </c>
      <c r="G22" s="452">
        <f t="shared" ref="G22:G39" si="19">+$B22*D22/1000</f>
        <v>1.0836320000000002</v>
      </c>
      <c r="H22" s="72">
        <f t="shared" ref="H22:H39" si="20">+$B22*E22/1000</f>
        <v>1.408825</v>
      </c>
      <c r="I22" s="72">
        <f t="shared" ref="I22:I39" si="21">+$B22*F22/1000000</f>
        <v>0.55370699999999995</v>
      </c>
      <c r="J22" s="61">
        <f>+(B22+B21)/2</f>
        <v>252</v>
      </c>
      <c r="K22" s="59">
        <f t="shared" si="4"/>
        <v>2.0960000000000001</v>
      </c>
      <c r="L22" s="59">
        <f>+J22*K22/1000</f>
        <v>0.52819199999999999</v>
      </c>
      <c r="M22" s="567">
        <f t="shared" si="6"/>
        <v>0.92059199999999997</v>
      </c>
      <c r="N22" s="54">
        <f t="shared" si="14"/>
        <v>-13</v>
      </c>
      <c r="O22" s="55">
        <f>+E22</f>
        <v>2.7250000000000001</v>
      </c>
      <c r="P22" s="55">
        <f t="shared" si="8"/>
        <v>-3.5425000000000005E-2</v>
      </c>
      <c r="Q22" s="267">
        <f t="shared" si="9"/>
        <v>0.49157500000000004</v>
      </c>
      <c r="R22" s="247">
        <f t="shared" si="15"/>
        <v>252</v>
      </c>
      <c r="S22" s="24">
        <f t="shared" si="10"/>
        <v>1071</v>
      </c>
      <c r="T22" s="25">
        <f t="shared" si="11"/>
        <v>0.26989200000000002</v>
      </c>
      <c r="U22" s="53">
        <f t="shared" si="12"/>
        <v>0.44500050000000002</v>
      </c>
      <c r="V22" s="649">
        <f t="shared" si="16"/>
        <v>-37.813461538461539</v>
      </c>
      <c r="W22" s="167">
        <f t="shared" si="17"/>
        <v>3.653142857142857</v>
      </c>
    </row>
    <row r="23" spans="1:24" x14ac:dyDescent="0.2">
      <c r="A23" s="33">
        <f t="shared" si="18"/>
        <v>2010</v>
      </c>
      <c r="B23" s="30">
        <v>674</v>
      </c>
      <c r="C23" s="187">
        <f t="shared" si="0"/>
        <v>1348</v>
      </c>
      <c r="D23" s="662">
        <v>2.0960000000000001</v>
      </c>
      <c r="E23" s="663">
        <v>2.7250000000000001</v>
      </c>
      <c r="F23" s="617">
        <v>1071</v>
      </c>
      <c r="G23" s="452">
        <f t="shared" si="19"/>
        <v>1.412704</v>
      </c>
      <c r="H23" s="72">
        <f t="shared" si="20"/>
        <v>1.8366500000000001</v>
      </c>
      <c r="I23" s="72">
        <f t="shared" si="21"/>
        <v>0.721854</v>
      </c>
      <c r="J23" s="61">
        <f t="shared" si="13"/>
        <v>595.5</v>
      </c>
      <c r="K23" s="59">
        <f t="shared" si="4"/>
        <v>2.0960000000000001</v>
      </c>
      <c r="L23" s="59">
        <f t="shared" si="5"/>
        <v>1.2481680000000002</v>
      </c>
      <c r="M23" s="60">
        <f t="shared" si="6"/>
        <v>2.1687600000000002</v>
      </c>
      <c r="N23" s="54">
        <f t="shared" si="14"/>
        <v>517</v>
      </c>
      <c r="O23" s="55">
        <f t="shared" si="7"/>
        <v>2.7250000000000001</v>
      </c>
      <c r="P23" s="55">
        <f t="shared" si="8"/>
        <v>1.408825</v>
      </c>
      <c r="Q23" s="56">
        <f t="shared" si="9"/>
        <v>1.9004000000000001</v>
      </c>
      <c r="R23" s="247">
        <f t="shared" si="15"/>
        <v>595.5</v>
      </c>
      <c r="S23" s="24">
        <f t="shared" si="10"/>
        <v>1071</v>
      </c>
      <c r="T23" s="25">
        <f t="shared" si="11"/>
        <v>0.63778049999999997</v>
      </c>
      <c r="U23" s="53">
        <f t="shared" si="12"/>
        <v>1.082781</v>
      </c>
      <c r="V23" s="649">
        <f t="shared" si="16"/>
        <v>3.6758220502901358</v>
      </c>
      <c r="W23" s="167">
        <f t="shared" si="17"/>
        <v>3.6419143576826198</v>
      </c>
    </row>
    <row r="24" spans="1:24" x14ac:dyDescent="0.2">
      <c r="A24" s="33">
        <f t="shared" si="18"/>
        <v>2011</v>
      </c>
      <c r="B24" s="30">
        <v>489</v>
      </c>
      <c r="C24" s="187">
        <f t="shared" si="0"/>
        <v>1837</v>
      </c>
      <c r="D24" s="662">
        <v>2</v>
      </c>
      <c r="E24" s="663">
        <v>3.1</v>
      </c>
      <c r="F24" s="617">
        <v>1154</v>
      </c>
      <c r="G24" s="452">
        <f t="shared" si="19"/>
        <v>0.97799999999999998</v>
      </c>
      <c r="H24" s="72">
        <f t="shared" si="20"/>
        <v>1.5159</v>
      </c>
      <c r="I24" s="72">
        <f t="shared" si="21"/>
        <v>0.56430599999999997</v>
      </c>
      <c r="J24" s="61">
        <f t="shared" si="13"/>
        <v>581.5</v>
      </c>
      <c r="K24" s="59">
        <f t="shared" si="4"/>
        <v>2</v>
      </c>
      <c r="L24" s="59">
        <f t="shared" si="5"/>
        <v>1.163</v>
      </c>
      <c r="M24" s="60">
        <f t="shared" si="6"/>
        <v>3.3317600000000001</v>
      </c>
      <c r="N24" s="141">
        <f t="shared" si="14"/>
        <v>674</v>
      </c>
      <c r="O24" s="55">
        <f t="shared" si="7"/>
        <v>3.1</v>
      </c>
      <c r="P24" s="55">
        <f t="shared" si="8"/>
        <v>2.0893999999999999</v>
      </c>
      <c r="Q24" s="56">
        <f t="shared" si="9"/>
        <v>3.9897999999999998</v>
      </c>
      <c r="R24" s="247">
        <f t="shared" si="15"/>
        <v>581.5</v>
      </c>
      <c r="S24" s="24">
        <f t="shared" si="10"/>
        <v>1154</v>
      </c>
      <c r="T24" s="25">
        <f t="shared" si="11"/>
        <v>0.67105099999999995</v>
      </c>
      <c r="U24" s="53">
        <f t="shared" si="12"/>
        <v>1.7538320000000001</v>
      </c>
    </row>
    <row r="25" spans="1:24" x14ac:dyDescent="0.2">
      <c r="A25" s="33">
        <f t="shared" si="18"/>
        <v>2012</v>
      </c>
      <c r="B25" s="30">
        <v>109</v>
      </c>
      <c r="C25" s="187">
        <v>1946</v>
      </c>
      <c r="D25" s="662">
        <v>2</v>
      </c>
      <c r="E25" s="663">
        <v>3.1</v>
      </c>
      <c r="F25" s="617">
        <v>1154</v>
      </c>
      <c r="G25" s="452">
        <f t="shared" si="19"/>
        <v>0.218</v>
      </c>
      <c r="H25" s="72">
        <f t="shared" si="20"/>
        <v>0.33790000000000003</v>
      </c>
      <c r="I25" s="72">
        <f t="shared" si="21"/>
        <v>0.12578600000000001</v>
      </c>
      <c r="J25" s="61">
        <f t="shared" si="13"/>
        <v>299</v>
      </c>
      <c r="K25" s="59">
        <f t="shared" si="4"/>
        <v>2</v>
      </c>
      <c r="L25" s="59">
        <f t="shared" si="5"/>
        <v>0.59799999999999998</v>
      </c>
      <c r="M25" s="60">
        <f t="shared" si="6"/>
        <v>3.9297599999999999</v>
      </c>
      <c r="N25" s="141">
        <f t="shared" si="14"/>
        <v>489</v>
      </c>
      <c r="O25" s="55">
        <f t="shared" si="7"/>
        <v>3.1</v>
      </c>
      <c r="P25" s="55">
        <f t="shared" si="8"/>
        <v>1.5159</v>
      </c>
      <c r="Q25" s="56">
        <f t="shared" si="9"/>
        <v>5.5057</v>
      </c>
      <c r="R25" s="247">
        <f t="shared" si="15"/>
        <v>299</v>
      </c>
      <c r="S25" s="24">
        <f t="shared" si="10"/>
        <v>1154</v>
      </c>
      <c r="T25" s="25">
        <f t="shared" si="11"/>
        <v>0.34504600000000002</v>
      </c>
      <c r="U25" s="53">
        <f t="shared" si="12"/>
        <v>2.098878</v>
      </c>
    </row>
    <row r="26" spans="1:24" s="831" customFormat="1" x14ac:dyDescent="0.2">
      <c r="A26" s="33">
        <f t="shared" si="18"/>
        <v>2013</v>
      </c>
      <c r="B26" s="30">
        <v>243</v>
      </c>
      <c r="C26" s="187">
        <f t="shared" si="0"/>
        <v>2189</v>
      </c>
      <c r="D26" s="807">
        <v>2.4</v>
      </c>
      <c r="E26" s="808">
        <f t="shared" ref="E26:E54" si="22">+E25</f>
        <v>3.1</v>
      </c>
      <c r="F26" s="806">
        <v>1071</v>
      </c>
      <c r="G26" s="452">
        <f t="shared" si="19"/>
        <v>0.58319999999999994</v>
      </c>
      <c r="H26" s="72">
        <f t="shared" si="20"/>
        <v>0.75330000000000008</v>
      </c>
      <c r="I26" s="72">
        <f t="shared" si="21"/>
        <v>0.26025300000000001</v>
      </c>
      <c r="J26" s="61">
        <f t="shared" si="13"/>
        <v>176</v>
      </c>
      <c r="K26" s="59">
        <f t="shared" si="4"/>
        <v>2.4</v>
      </c>
      <c r="L26" s="59">
        <f t="shared" si="5"/>
        <v>0.4224</v>
      </c>
      <c r="M26" s="60">
        <f t="shared" si="6"/>
        <v>4.3521599999999996</v>
      </c>
      <c r="N26" s="54">
        <f t="shared" si="14"/>
        <v>109</v>
      </c>
      <c r="O26" s="55">
        <f t="shared" si="7"/>
        <v>3.1</v>
      </c>
      <c r="P26" s="55">
        <f t="shared" si="8"/>
        <v>0.33790000000000003</v>
      </c>
      <c r="Q26" s="56">
        <f t="shared" si="9"/>
        <v>5.8436000000000003</v>
      </c>
      <c r="R26" s="247">
        <f t="shared" si="15"/>
        <v>176</v>
      </c>
      <c r="S26" s="24">
        <f t="shared" si="10"/>
        <v>1071</v>
      </c>
      <c r="T26" s="25">
        <f t="shared" si="11"/>
        <v>0.188496</v>
      </c>
      <c r="U26" s="53">
        <f t="shared" si="12"/>
        <v>2.2873739999999998</v>
      </c>
      <c r="V26" s="830"/>
    </row>
    <row r="27" spans="1:24" s="831" customFormat="1" x14ac:dyDescent="0.2">
      <c r="A27" s="33">
        <f t="shared" si="18"/>
        <v>2014</v>
      </c>
      <c r="B27" s="30">
        <v>1007</v>
      </c>
      <c r="C27" s="187">
        <f t="shared" si="0"/>
        <v>3196</v>
      </c>
      <c r="D27" s="807">
        <v>2.0099999999999998</v>
      </c>
      <c r="E27" s="808">
        <v>3.13</v>
      </c>
      <c r="F27" s="806">
        <v>242</v>
      </c>
      <c r="G27" s="452">
        <f t="shared" si="19"/>
        <v>2.0240699999999996</v>
      </c>
      <c r="H27" s="72">
        <f t="shared" si="20"/>
        <v>3.15191</v>
      </c>
      <c r="I27" s="72">
        <f t="shared" si="21"/>
        <v>0.24369399999999999</v>
      </c>
      <c r="J27" s="61">
        <f t="shared" si="13"/>
        <v>625</v>
      </c>
      <c r="K27" s="59">
        <f t="shared" si="4"/>
        <v>2.0099999999999998</v>
      </c>
      <c r="L27" s="59">
        <f t="shared" si="5"/>
        <v>1.2562499999999999</v>
      </c>
      <c r="M27" s="60">
        <f t="shared" si="6"/>
        <v>5.6084099999999992</v>
      </c>
      <c r="N27" s="54">
        <f t="shared" si="14"/>
        <v>243</v>
      </c>
      <c r="O27" s="55">
        <f t="shared" si="7"/>
        <v>3.13</v>
      </c>
      <c r="P27" s="55">
        <f t="shared" si="8"/>
        <v>0.76058999999999988</v>
      </c>
      <c r="Q27" s="56">
        <f t="shared" si="9"/>
        <v>6.60419</v>
      </c>
      <c r="R27" s="247">
        <f t="shared" si="15"/>
        <v>625</v>
      </c>
      <c r="S27" s="24">
        <f t="shared" si="10"/>
        <v>242</v>
      </c>
      <c r="T27" s="25">
        <f t="shared" si="11"/>
        <v>0.15125</v>
      </c>
      <c r="U27" s="53">
        <f t="shared" si="12"/>
        <v>2.4386239999999999</v>
      </c>
      <c r="V27" s="830"/>
    </row>
    <row r="28" spans="1:24" s="831" customFormat="1" x14ac:dyDescent="0.2">
      <c r="A28" s="33">
        <f t="shared" si="18"/>
        <v>2015</v>
      </c>
      <c r="B28" s="30">
        <v>1088</v>
      </c>
      <c r="C28" s="187">
        <f t="shared" si="0"/>
        <v>4284</v>
      </c>
      <c r="D28" s="807">
        <f>D61</f>
        <v>2.0015533088235293</v>
      </c>
      <c r="E28" s="808">
        <f t="shared" ref="E28:F28" si="23">E61</f>
        <v>3.1044025735294118</v>
      </c>
      <c r="F28" s="806">
        <f t="shared" si="23"/>
        <v>1035.8088235294117</v>
      </c>
      <c r="G28" s="452">
        <f t="shared" si="19"/>
        <v>2.1776900000000001</v>
      </c>
      <c r="H28" s="72">
        <f t="shared" si="20"/>
        <v>3.3775900000000001</v>
      </c>
      <c r="I28" s="72">
        <f t="shared" si="21"/>
        <v>1.12696</v>
      </c>
      <c r="J28" s="61">
        <f t="shared" si="13"/>
        <v>1047.5</v>
      </c>
      <c r="K28" s="59">
        <f t="shared" si="4"/>
        <v>2.0015533088235293</v>
      </c>
      <c r="L28" s="59">
        <f t="shared" si="5"/>
        <v>2.096627090992647</v>
      </c>
      <c r="M28" s="60">
        <f t="shared" si="6"/>
        <v>7.7050370909926462</v>
      </c>
      <c r="N28" s="54">
        <f t="shared" si="14"/>
        <v>1007</v>
      </c>
      <c r="O28" s="55">
        <f t="shared" si="7"/>
        <v>3.1044025735294118</v>
      </c>
      <c r="P28" s="55">
        <f t="shared" si="8"/>
        <v>3.1261333915441178</v>
      </c>
      <c r="Q28" s="56">
        <f t="shared" si="9"/>
        <v>9.7303233915441183</v>
      </c>
      <c r="R28" s="247">
        <f t="shared" si="15"/>
        <v>1047.5</v>
      </c>
      <c r="S28" s="24">
        <f t="shared" si="10"/>
        <v>1035.8088235294117</v>
      </c>
      <c r="T28" s="25">
        <f t="shared" si="11"/>
        <v>1.0850097426470589</v>
      </c>
      <c r="U28" s="53">
        <f t="shared" si="12"/>
        <v>3.5236337426470588</v>
      </c>
      <c r="V28" s="830"/>
    </row>
    <row r="29" spans="1:24" ht="13.5" thickBot="1" x14ac:dyDescent="0.25">
      <c r="A29" s="701">
        <f t="shared" si="18"/>
        <v>2016</v>
      </c>
      <c r="B29" s="702">
        <v>910</v>
      </c>
      <c r="C29" s="895">
        <f t="shared" si="0"/>
        <v>5194</v>
      </c>
      <c r="D29" s="835">
        <v>2.012</v>
      </c>
      <c r="E29" s="835">
        <v>3.1339999999999999</v>
      </c>
      <c r="F29" s="702">
        <v>242</v>
      </c>
      <c r="G29" s="706">
        <f t="shared" si="19"/>
        <v>1.8309200000000001</v>
      </c>
      <c r="H29" s="707">
        <f t="shared" si="20"/>
        <v>2.8519399999999999</v>
      </c>
      <c r="I29" s="707">
        <f t="shared" si="21"/>
        <v>0.22022</v>
      </c>
      <c r="J29" s="708">
        <f t="shared" si="13"/>
        <v>999</v>
      </c>
      <c r="K29" s="896">
        <f t="shared" si="4"/>
        <v>2.012</v>
      </c>
      <c r="L29" s="896">
        <f t="shared" si="5"/>
        <v>2.0099879999999999</v>
      </c>
      <c r="M29" s="897">
        <f t="shared" si="6"/>
        <v>9.715025090992647</v>
      </c>
      <c r="N29" s="711">
        <f t="shared" si="14"/>
        <v>1088</v>
      </c>
      <c r="O29" s="898">
        <f t="shared" si="7"/>
        <v>3.1339999999999999</v>
      </c>
      <c r="P29" s="898">
        <f t="shared" si="8"/>
        <v>3.4097919999999999</v>
      </c>
      <c r="Q29" s="899">
        <f t="shared" si="9"/>
        <v>13.140115391544118</v>
      </c>
      <c r="R29" s="714">
        <f t="shared" si="15"/>
        <v>999</v>
      </c>
      <c r="S29" s="715">
        <f t="shared" si="10"/>
        <v>242</v>
      </c>
      <c r="T29" s="716">
        <f t="shared" si="11"/>
        <v>0.241758</v>
      </c>
      <c r="U29" s="900">
        <f t="shared" si="12"/>
        <v>3.7653917426470587</v>
      </c>
    </row>
    <row r="30" spans="1:24" x14ac:dyDescent="0.2">
      <c r="A30" s="33">
        <f t="shared" si="18"/>
        <v>2017</v>
      </c>
      <c r="B30" s="796">
        <v>1000</v>
      </c>
      <c r="C30" s="64">
        <f t="shared" si="0"/>
        <v>6194</v>
      </c>
      <c r="D30" s="965">
        <f t="shared" ref="D30:D54" si="24">+D29</f>
        <v>2.012</v>
      </c>
      <c r="E30" s="966">
        <f t="shared" si="22"/>
        <v>3.1339999999999999</v>
      </c>
      <c r="F30" s="790">
        <f t="shared" ref="F30:F54" si="25">+F29</f>
        <v>242</v>
      </c>
      <c r="G30" s="473">
        <f t="shared" si="19"/>
        <v>2.012</v>
      </c>
      <c r="H30" s="474">
        <f t="shared" si="20"/>
        <v>3.1339999999999999</v>
      </c>
      <c r="I30" s="474">
        <f t="shared" si="21"/>
        <v>0.24199999999999999</v>
      </c>
      <c r="J30" s="61">
        <f t="shared" si="13"/>
        <v>955</v>
      </c>
      <c r="K30" s="967">
        <f t="shared" si="4"/>
        <v>2.012</v>
      </c>
      <c r="L30" s="967">
        <f t="shared" si="5"/>
        <v>1.9214599999999999</v>
      </c>
      <c r="M30" s="967">
        <f t="shared" si="6"/>
        <v>11.636485090992647</v>
      </c>
      <c r="N30" s="54">
        <f t="shared" si="14"/>
        <v>910</v>
      </c>
      <c r="O30" s="968">
        <f t="shared" si="7"/>
        <v>3.1339999999999999</v>
      </c>
      <c r="P30" s="968">
        <f t="shared" si="8"/>
        <v>2.8519399999999999</v>
      </c>
      <c r="Q30" s="969">
        <f t="shared" si="9"/>
        <v>15.992055391544117</v>
      </c>
      <c r="R30" s="247">
        <f t="shared" si="15"/>
        <v>955</v>
      </c>
      <c r="S30" s="24">
        <f t="shared" si="10"/>
        <v>242</v>
      </c>
      <c r="T30" s="970">
        <f t="shared" si="11"/>
        <v>0.23111000000000001</v>
      </c>
      <c r="U30" s="971">
        <f t="shared" si="12"/>
        <v>3.9965017426470588</v>
      </c>
    </row>
    <row r="31" spans="1:24" x14ac:dyDescent="0.2">
      <c r="A31" s="33">
        <f t="shared" si="18"/>
        <v>2018</v>
      </c>
      <c r="B31" s="796">
        <v>1000</v>
      </c>
      <c r="C31" s="64">
        <f t="shared" si="0"/>
        <v>7194</v>
      </c>
      <c r="D31" s="965">
        <f t="shared" si="24"/>
        <v>2.012</v>
      </c>
      <c r="E31" s="966">
        <f t="shared" si="22"/>
        <v>3.1339999999999999</v>
      </c>
      <c r="F31" s="790">
        <f t="shared" si="25"/>
        <v>242</v>
      </c>
      <c r="G31" s="473">
        <f t="shared" si="19"/>
        <v>2.012</v>
      </c>
      <c r="H31" s="474">
        <f t="shared" si="20"/>
        <v>3.1339999999999999</v>
      </c>
      <c r="I31" s="474">
        <f t="shared" si="21"/>
        <v>0.24199999999999999</v>
      </c>
      <c r="J31" s="61">
        <f t="shared" si="13"/>
        <v>1000</v>
      </c>
      <c r="K31" s="967">
        <f t="shared" si="4"/>
        <v>2.012</v>
      </c>
      <c r="L31" s="967">
        <f t="shared" si="5"/>
        <v>2.012</v>
      </c>
      <c r="M31" s="967">
        <f t="shared" si="6"/>
        <v>13.648485090992647</v>
      </c>
      <c r="N31" s="54">
        <f t="shared" si="14"/>
        <v>1000</v>
      </c>
      <c r="O31" s="968">
        <f t="shared" si="7"/>
        <v>3.1339999999999999</v>
      </c>
      <c r="P31" s="968">
        <f t="shared" si="8"/>
        <v>3.1339999999999999</v>
      </c>
      <c r="Q31" s="969">
        <f t="shared" si="9"/>
        <v>19.126055391544117</v>
      </c>
      <c r="R31" s="247">
        <f t="shared" si="15"/>
        <v>1000</v>
      </c>
      <c r="S31" s="24">
        <f t="shared" si="10"/>
        <v>242</v>
      </c>
      <c r="T31" s="970">
        <f t="shared" si="11"/>
        <v>0.24199999999999999</v>
      </c>
      <c r="U31" s="971">
        <f t="shared" si="12"/>
        <v>4.2385017426470588</v>
      </c>
    </row>
    <row r="32" spans="1:24" x14ac:dyDescent="0.2">
      <c r="A32" s="33">
        <f t="shared" si="18"/>
        <v>2019</v>
      </c>
      <c r="B32" s="796">
        <v>1250</v>
      </c>
      <c r="C32" s="64">
        <f t="shared" si="0"/>
        <v>8444</v>
      </c>
      <c r="D32" s="965">
        <f t="shared" si="24"/>
        <v>2.012</v>
      </c>
      <c r="E32" s="966">
        <f t="shared" si="22"/>
        <v>3.1339999999999999</v>
      </c>
      <c r="F32" s="790">
        <f t="shared" si="25"/>
        <v>242</v>
      </c>
      <c r="G32" s="473">
        <f t="shared" si="19"/>
        <v>2.5150000000000001</v>
      </c>
      <c r="H32" s="474">
        <f t="shared" si="20"/>
        <v>3.9175</v>
      </c>
      <c r="I32" s="474">
        <f t="shared" si="21"/>
        <v>0.30249999999999999</v>
      </c>
      <c r="J32" s="61">
        <f t="shared" si="13"/>
        <v>1125</v>
      </c>
      <c r="K32" s="967">
        <f t="shared" si="4"/>
        <v>2.012</v>
      </c>
      <c r="L32" s="967">
        <f t="shared" si="5"/>
        <v>2.2635000000000001</v>
      </c>
      <c r="M32" s="967">
        <f t="shared" si="6"/>
        <v>15.911985090992648</v>
      </c>
      <c r="N32" s="54">
        <f t="shared" si="14"/>
        <v>1000</v>
      </c>
      <c r="O32" s="968">
        <f t="shared" si="7"/>
        <v>3.1339999999999999</v>
      </c>
      <c r="P32" s="968">
        <f t="shared" si="8"/>
        <v>3.1339999999999999</v>
      </c>
      <c r="Q32" s="969">
        <f t="shared" si="9"/>
        <v>22.260055391544117</v>
      </c>
      <c r="R32" s="247">
        <f t="shared" si="15"/>
        <v>1125</v>
      </c>
      <c r="S32" s="24">
        <f t="shared" si="10"/>
        <v>242</v>
      </c>
      <c r="T32" s="970">
        <f t="shared" si="11"/>
        <v>0.27224999999999999</v>
      </c>
      <c r="U32" s="971">
        <f t="shared" si="12"/>
        <v>4.5107517426470585</v>
      </c>
    </row>
    <row r="33" spans="1:21" x14ac:dyDescent="0.2">
      <c r="A33" s="33">
        <f t="shared" si="18"/>
        <v>2020</v>
      </c>
      <c r="B33" s="797">
        <v>1250</v>
      </c>
      <c r="C33" s="64">
        <f t="shared" si="0"/>
        <v>9694</v>
      </c>
      <c r="D33" s="965">
        <f t="shared" si="24"/>
        <v>2.012</v>
      </c>
      <c r="E33" s="966">
        <f t="shared" si="22"/>
        <v>3.1339999999999999</v>
      </c>
      <c r="F33" s="790">
        <f t="shared" si="25"/>
        <v>242</v>
      </c>
      <c r="G33" s="473">
        <f t="shared" si="19"/>
        <v>2.5150000000000001</v>
      </c>
      <c r="H33" s="474">
        <f t="shared" si="20"/>
        <v>3.9175</v>
      </c>
      <c r="I33" s="474">
        <f t="shared" si="21"/>
        <v>0.30249999999999999</v>
      </c>
      <c r="J33" s="61">
        <f t="shared" si="13"/>
        <v>1250</v>
      </c>
      <c r="K33" s="967">
        <f t="shared" si="4"/>
        <v>2.012</v>
      </c>
      <c r="L33" s="967">
        <f t="shared" si="5"/>
        <v>2.5150000000000001</v>
      </c>
      <c r="M33" s="967">
        <f t="shared" si="6"/>
        <v>18.426985090992648</v>
      </c>
      <c r="N33" s="54">
        <f t="shared" si="14"/>
        <v>1250</v>
      </c>
      <c r="O33" s="968">
        <f t="shared" si="7"/>
        <v>3.1339999999999999</v>
      </c>
      <c r="P33" s="968">
        <f t="shared" si="8"/>
        <v>3.9175</v>
      </c>
      <c r="Q33" s="969">
        <f t="shared" si="9"/>
        <v>26.177555391544118</v>
      </c>
      <c r="R33" s="247">
        <f t="shared" si="15"/>
        <v>1250</v>
      </c>
      <c r="S33" s="24">
        <f t="shared" si="10"/>
        <v>242</v>
      </c>
      <c r="T33" s="970">
        <f t="shared" si="11"/>
        <v>0.30249999999999999</v>
      </c>
      <c r="U33" s="971">
        <f t="shared" si="12"/>
        <v>4.8132517426470587</v>
      </c>
    </row>
    <row r="34" spans="1:21" x14ac:dyDescent="0.2">
      <c r="A34" s="33">
        <f t="shared" si="18"/>
        <v>2021</v>
      </c>
      <c r="B34" s="797">
        <f t="shared" ref="B34:B47" si="26">B33</f>
        <v>1250</v>
      </c>
      <c r="C34" s="64">
        <f t="shared" si="0"/>
        <v>10944</v>
      </c>
      <c r="D34" s="965">
        <f t="shared" si="24"/>
        <v>2.012</v>
      </c>
      <c r="E34" s="966">
        <f t="shared" si="22"/>
        <v>3.1339999999999999</v>
      </c>
      <c r="F34" s="790">
        <f t="shared" si="25"/>
        <v>242</v>
      </c>
      <c r="G34" s="473">
        <f t="shared" si="19"/>
        <v>2.5150000000000001</v>
      </c>
      <c r="H34" s="474">
        <f t="shared" si="20"/>
        <v>3.9175</v>
      </c>
      <c r="I34" s="474">
        <f t="shared" si="21"/>
        <v>0.30249999999999999</v>
      </c>
      <c r="J34" s="61">
        <f t="shared" si="13"/>
        <v>1250</v>
      </c>
      <c r="K34" s="967">
        <f t="shared" si="4"/>
        <v>2.012</v>
      </c>
      <c r="L34" s="967">
        <f t="shared" si="5"/>
        <v>2.5150000000000001</v>
      </c>
      <c r="M34" s="967">
        <f t="shared" si="6"/>
        <v>20.941985090992649</v>
      </c>
      <c r="N34" s="54">
        <f t="shared" si="14"/>
        <v>1250</v>
      </c>
      <c r="O34" s="968">
        <f t="shared" si="7"/>
        <v>3.1339999999999999</v>
      </c>
      <c r="P34" s="968">
        <f t="shared" si="8"/>
        <v>3.9175</v>
      </c>
      <c r="Q34" s="969">
        <f t="shared" si="9"/>
        <v>30.095055391544118</v>
      </c>
      <c r="R34" s="247">
        <f t="shared" si="15"/>
        <v>1250</v>
      </c>
      <c r="S34" s="24">
        <f t="shared" si="10"/>
        <v>242</v>
      </c>
      <c r="T34" s="970">
        <f t="shared" si="11"/>
        <v>0.30249999999999999</v>
      </c>
      <c r="U34" s="971">
        <f t="shared" si="12"/>
        <v>5.1157517426470589</v>
      </c>
    </row>
    <row r="35" spans="1:21" x14ac:dyDescent="0.2">
      <c r="A35" s="33">
        <f t="shared" si="18"/>
        <v>2022</v>
      </c>
      <c r="B35" s="798">
        <f t="shared" si="26"/>
        <v>1250</v>
      </c>
      <c r="C35" s="64">
        <f t="shared" si="0"/>
        <v>12194</v>
      </c>
      <c r="D35" s="965">
        <f t="shared" si="24"/>
        <v>2.012</v>
      </c>
      <c r="E35" s="966">
        <f t="shared" si="22"/>
        <v>3.1339999999999999</v>
      </c>
      <c r="F35" s="790">
        <f t="shared" si="25"/>
        <v>242</v>
      </c>
      <c r="G35" s="473">
        <f t="shared" si="19"/>
        <v>2.5150000000000001</v>
      </c>
      <c r="H35" s="474">
        <f t="shared" si="20"/>
        <v>3.9175</v>
      </c>
      <c r="I35" s="474">
        <f t="shared" si="21"/>
        <v>0.30249999999999999</v>
      </c>
      <c r="J35" s="61">
        <f t="shared" si="13"/>
        <v>1250</v>
      </c>
      <c r="K35" s="967">
        <f t="shared" si="4"/>
        <v>2.012</v>
      </c>
      <c r="L35" s="967">
        <f t="shared" si="5"/>
        <v>2.5150000000000001</v>
      </c>
      <c r="M35" s="967">
        <f t="shared" si="6"/>
        <v>23.456985090992649</v>
      </c>
      <c r="N35" s="54">
        <f t="shared" si="14"/>
        <v>1250</v>
      </c>
      <c r="O35" s="968">
        <f t="shared" si="7"/>
        <v>3.1339999999999999</v>
      </c>
      <c r="P35" s="968">
        <f t="shared" si="8"/>
        <v>3.9175</v>
      </c>
      <c r="Q35" s="969">
        <f t="shared" si="9"/>
        <v>34.012555391544119</v>
      </c>
      <c r="R35" s="247">
        <f t="shared" si="15"/>
        <v>1250</v>
      </c>
      <c r="S35" s="24">
        <f t="shared" si="10"/>
        <v>242</v>
      </c>
      <c r="T35" s="970">
        <f t="shared" si="11"/>
        <v>0.30249999999999999</v>
      </c>
      <c r="U35" s="971">
        <f t="shared" si="12"/>
        <v>5.4182517426470591</v>
      </c>
    </row>
    <row r="36" spans="1:21" x14ac:dyDescent="0.2">
      <c r="A36" s="33">
        <f t="shared" si="18"/>
        <v>2023</v>
      </c>
      <c r="B36" s="798">
        <f t="shared" si="26"/>
        <v>1250</v>
      </c>
      <c r="C36" s="64">
        <f t="shared" si="0"/>
        <v>13444</v>
      </c>
      <c r="D36" s="965">
        <f t="shared" si="24"/>
        <v>2.012</v>
      </c>
      <c r="E36" s="966">
        <f t="shared" si="22"/>
        <v>3.1339999999999999</v>
      </c>
      <c r="F36" s="790">
        <f t="shared" si="25"/>
        <v>242</v>
      </c>
      <c r="G36" s="473">
        <f t="shared" si="19"/>
        <v>2.5150000000000001</v>
      </c>
      <c r="H36" s="474">
        <f t="shared" si="20"/>
        <v>3.9175</v>
      </c>
      <c r="I36" s="474">
        <f t="shared" si="21"/>
        <v>0.30249999999999999</v>
      </c>
      <c r="J36" s="61">
        <f t="shared" si="13"/>
        <v>1250</v>
      </c>
      <c r="K36" s="967">
        <f t="shared" si="4"/>
        <v>2.012</v>
      </c>
      <c r="L36" s="967">
        <f t="shared" si="5"/>
        <v>2.5150000000000001</v>
      </c>
      <c r="M36" s="967">
        <f t="shared" si="6"/>
        <v>25.97198509099265</v>
      </c>
      <c r="N36" s="54">
        <f t="shared" si="14"/>
        <v>1250</v>
      </c>
      <c r="O36" s="968">
        <f t="shared" si="7"/>
        <v>3.1339999999999999</v>
      </c>
      <c r="P36" s="968">
        <f t="shared" si="8"/>
        <v>3.9175</v>
      </c>
      <c r="Q36" s="969">
        <f t="shared" si="9"/>
        <v>37.930055391544116</v>
      </c>
      <c r="R36" s="247">
        <f t="shared" si="15"/>
        <v>1250</v>
      </c>
      <c r="S36" s="24">
        <f t="shared" si="10"/>
        <v>242</v>
      </c>
      <c r="T36" s="970">
        <f t="shared" si="11"/>
        <v>0.30249999999999999</v>
      </c>
      <c r="U36" s="971">
        <f t="shared" si="12"/>
        <v>5.7207517426470593</v>
      </c>
    </row>
    <row r="37" spans="1:21" x14ac:dyDescent="0.2">
      <c r="A37" s="33">
        <f t="shared" si="18"/>
        <v>2024</v>
      </c>
      <c r="B37" s="798">
        <f t="shared" si="26"/>
        <v>1250</v>
      </c>
      <c r="C37" s="64">
        <f t="shared" si="0"/>
        <v>14694</v>
      </c>
      <c r="D37" s="965">
        <f t="shared" si="24"/>
        <v>2.012</v>
      </c>
      <c r="E37" s="966">
        <f t="shared" si="22"/>
        <v>3.1339999999999999</v>
      </c>
      <c r="F37" s="790">
        <f t="shared" si="25"/>
        <v>242</v>
      </c>
      <c r="G37" s="473">
        <f t="shared" si="19"/>
        <v>2.5150000000000001</v>
      </c>
      <c r="H37" s="474">
        <f t="shared" si="20"/>
        <v>3.9175</v>
      </c>
      <c r="I37" s="474">
        <f t="shared" si="21"/>
        <v>0.30249999999999999</v>
      </c>
      <c r="J37" s="61">
        <f t="shared" si="13"/>
        <v>1250</v>
      </c>
      <c r="K37" s="967">
        <f t="shared" si="4"/>
        <v>2.012</v>
      </c>
      <c r="L37" s="967">
        <f t="shared" si="5"/>
        <v>2.5150000000000001</v>
      </c>
      <c r="M37" s="967">
        <f t="shared" si="6"/>
        <v>28.486985090992651</v>
      </c>
      <c r="N37" s="54">
        <f t="shared" si="14"/>
        <v>1250</v>
      </c>
      <c r="O37" s="968">
        <f t="shared" si="7"/>
        <v>3.1339999999999999</v>
      </c>
      <c r="P37" s="968">
        <f t="shared" si="8"/>
        <v>3.9175</v>
      </c>
      <c r="Q37" s="969">
        <f t="shared" si="9"/>
        <v>41.847555391544113</v>
      </c>
      <c r="R37" s="247">
        <f t="shared" si="15"/>
        <v>1250</v>
      </c>
      <c r="S37" s="24">
        <f t="shared" si="10"/>
        <v>242</v>
      </c>
      <c r="T37" s="970">
        <f t="shared" si="11"/>
        <v>0.30249999999999999</v>
      </c>
      <c r="U37" s="971">
        <f t="shared" si="12"/>
        <v>6.0232517426470595</v>
      </c>
    </row>
    <row r="38" spans="1:21" x14ac:dyDescent="0.2">
      <c r="A38" s="33">
        <f t="shared" si="18"/>
        <v>2025</v>
      </c>
      <c r="B38" s="798">
        <f t="shared" si="26"/>
        <v>1250</v>
      </c>
      <c r="C38" s="64">
        <f t="shared" si="0"/>
        <v>15944</v>
      </c>
      <c r="D38" s="965">
        <f t="shared" si="24"/>
        <v>2.012</v>
      </c>
      <c r="E38" s="966">
        <f t="shared" si="22"/>
        <v>3.1339999999999999</v>
      </c>
      <c r="F38" s="790">
        <f t="shared" si="25"/>
        <v>242</v>
      </c>
      <c r="G38" s="473">
        <f t="shared" si="19"/>
        <v>2.5150000000000001</v>
      </c>
      <c r="H38" s="474">
        <f t="shared" si="20"/>
        <v>3.9175</v>
      </c>
      <c r="I38" s="474">
        <f t="shared" si="21"/>
        <v>0.30249999999999999</v>
      </c>
      <c r="J38" s="61">
        <f t="shared" si="13"/>
        <v>1250</v>
      </c>
      <c r="K38" s="967">
        <f t="shared" si="4"/>
        <v>2.012</v>
      </c>
      <c r="L38" s="967">
        <f t="shared" si="5"/>
        <v>2.5150000000000001</v>
      </c>
      <c r="M38" s="967">
        <f t="shared" si="6"/>
        <v>31.001985090992651</v>
      </c>
      <c r="N38" s="54">
        <f t="shared" si="14"/>
        <v>1250</v>
      </c>
      <c r="O38" s="968">
        <f t="shared" si="7"/>
        <v>3.1339999999999999</v>
      </c>
      <c r="P38" s="968">
        <f t="shared" si="8"/>
        <v>3.9175</v>
      </c>
      <c r="Q38" s="969">
        <f t="shared" si="9"/>
        <v>45.765055391544109</v>
      </c>
      <c r="R38" s="247">
        <f t="shared" si="15"/>
        <v>1250</v>
      </c>
      <c r="S38" s="24">
        <f t="shared" si="10"/>
        <v>242</v>
      </c>
      <c r="T38" s="970">
        <f t="shared" si="11"/>
        <v>0.30249999999999999</v>
      </c>
      <c r="U38" s="971">
        <f t="shared" si="12"/>
        <v>6.3257517426470597</v>
      </c>
    </row>
    <row r="39" spans="1:21" x14ac:dyDescent="0.2">
      <c r="A39" s="33">
        <f t="shared" si="18"/>
        <v>2026</v>
      </c>
      <c r="B39" s="798">
        <f t="shared" si="26"/>
        <v>1250</v>
      </c>
      <c r="C39" s="64">
        <f t="shared" si="0"/>
        <v>17194</v>
      </c>
      <c r="D39" s="965">
        <f t="shared" si="24"/>
        <v>2.012</v>
      </c>
      <c r="E39" s="966">
        <f t="shared" si="22"/>
        <v>3.1339999999999999</v>
      </c>
      <c r="F39" s="790">
        <f t="shared" si="25"/>
        <v>242</v>
      </c>
      <c r="G39" s="473">
        <f t="shared" si="19"/>
        <v>2.5150000000000001</v>
      </c>
      <c r="H39" s="474">
        <f t="shared" si="20"/>
        <v>3.9175</v>
      </c>
      <c r="I39" s="474">
        <f t="shared" si="21"/>
        <v>0.30249999999999999</v>
      </c>
      <c r="J39" s="61">
        <f t="shared" si="13"/>
        <v>1250</v>
      </c>
      <c r="K39" s="967">
        <f t="shared" si="4"/>
        <v>2.012</v>
      </c>
      <c r="L39" s="967">
        <f t="shared" si="5"/>
        <v>2.5150000000000001</v>
      </c>
      <c r="M39" s="967">
        <f t="shared" si="6"/>
        <v>33.516985090992648</v>
      </c>
      <c r="N39" s="54">
        <f t="shared" si="14"/>
        <v>1250</v>
      </c>
      <c r="O39" s="968">
        <f t="shared" si="7"/>
        <v>3.1339999999999999</v>
      </c>
      <c r="P39" s="968">
        <f t="shared" si="8"/>
        <v>3.9175</v>
      </c>
      <c r="Q39" s="969">
        <f t="shared" si="9"/>
        <v>49.682555391544106</v>
      </c>
      <c r="R39" s="247">
        <f>+(B39+B38)/2</f>
        <v>1250</v>
      </c>
      <c r="S39" s="24">
        <f>+F39</f>
        <v>242</v>
      </c>
      <c r="T39" s="970">
        <f>+R39*S39/1000000</f>
        <v>0.30249999999999999</v>
      </c>
      <c r="U39" s="971">
        <f t="shared" si="12"/>
        <v>6.62825174264706</v>
      </c>
    </row>
    <row r="40" spans="1:21" x14ac:dyDescent="0.2">
      <c r="A40" s="33">
        <f>+A39+1</f>
        <v>2027</v>
      </c>
      <c r="B40" s="798">
        <f t="shared" si="26"/>
        <v>1250</v>
      </c>
      <c r="C40" s="64">
        <f>+C39+B40</f>
        <v>18444</v>
      </c>
      <c r="D40" s="965">
        <f t="shared" si="24"/>
        <v>2.012</v>
      </c>
      <c r="E40" s="966">
        <f t="shared" si="22"/>
        <v>3.1339999999999999</v>
      </c>
      <c r="F40" s="790">
        <f t="shared" si="25"/>
        <v>242</v>
      </c>
      <c r="G40" s="473">
        <f t="shared" ref="G40:H42" si="27">+$B40*D40/1000</f>
        <v>2.5150000000000001</v>
      </c>
      <c r="H40" s="474">
        <f t="shared" si="27"/>
        <v>3.9175</v>
      </c>
      <c r="I40" s="474">
        <f>+$B40*F40/1000000</f>
        <v>0.30249999999999999</v>
      </c>
      <c r="J40" s="61">
        <f>+(B40+B39)/2</f>
        <v>1250</v>
      </c>
      <c r="K40" s="967">
        <f>+D40</f>
        <v>2.012</v>
      </c>
      <c r="L40" s="967">
        <f>+J40*K40/1000</f>
        <v>2.5150000000000001</v>
      </c>
      <c r="M40" s="967">
        <f>+M39+L40</f>
        <v>36.031985090992649</v>
      </c>
      <c r="N40" s="54">
        <f>+B39</f>
        <v>1250</v>
      </c>
      <c r="O40" s="968">
        <f>+E40</f>
        <v>3.1339999999999999</v>
      </c>
      <c r="P40" s="968">
        <f>+N40*O40/1000</f>
        <v>3.9175</v>
      </c>
      <c r="Q40" s="969">
        <f>+Q39+P40</f>
        <v>53.600055391544103</v>
      </c>
      <c r="R40" s="247">
        <f>+(B40+B39)/2</f>
        <v>1250</v>
      </c>
      <c r="S40" s="24">
        <f>+F40</f>
        <v>242</v>
      </c>
      <c r="T40" s="970">
        <f>+R40*S40/1000000</f>
        <v>0.30249999999999999</v>
      </c>
      <c r="U40" s="971">
        <f>+U39+T40</f>
        <v>6.9307517426470602</v>
      </c>
    </row>
    <row r="41" spans="1:21" x14ac:dyDescent="0.2">
      <c r="A41" s="33">
        <f t="shared" si="18"/>
        <v>2028</v>
      </c>
      <c r="B41" s="798">
        <f t="shared" si="26"/>
        <v>1250</v>
      </c>
      <c r="C41" s="64">
        <f>+C40+B41</f>
        <v>19694</v>
      </c>
      <c r="D41" s="965">
        <f>+D40</f>
        <v>2.012</v>
      </c>
      <c r="E41" s="966">
        <f>+E40</f>
        <v>3.1339999999999999</v>
      </c>
      <c r="F41" s="790">
        <f>+F40</f>
        <v>242</v>
      </c>
      <c r="G41" s="473">
        <f t="shared" si="27"/>
        <v>2.5150000000000001</v>
      </c>
      <c r="H41" s="474">
        <f t="shared" si="27"/>
        <v>3.9175</v>
      </c>
      <c r="I41" s="474">
        <f>+$B41*F41/1000000</f>
        <v>0.30249999999999999</v>
      </c>
      <c r="J41" s="61">
        <f>+(B41+B40)/2</f>
        <v>1250</v>
      </c>
      <c r="K41" s="967">
        <f>+D41</f>
        <v>2.012</v>
      </c>
      <c r="L41" s="967">
        <f>+J41*K41/1000</f>
        <v>2.5150000000000001</v>
      </c>
      <c r="M41" s="967">
        <f>+M40+L41</f>
        <v>38.546985090992649</v>
      </c>
      <c r="N41" s="54">
        <f>+B40</f>
        <v>1250</v>
      </c>
      <c r="O41" s="968">
        <f>+E41</f>
        <v>3.1339999999999999</v>
      </c>
      <c r="P41" s="968">
        <f>+N41*O41/1000</f>
        <v>3.9175</v>
      </c>
      <c r="Q41" s="969">
        <f>+Q40+P41</f>
        <v>57.5175553915441</v>
      </c>
      <c r="R41" s="247">
        <f>+(B41+B40)/2</f>
        <v>1250</v>
      </c>
      <c r="S41" s="24">
        <f>+F41</f>
        <v>242</v>
      </c>
      <c r="T41" s="970">
        <f>+R41*S41/1000000</f>
        <v>0.30249999999999999</v>
      </c>
      <c r="U41" s="971">
        <f>+U40+T41</f>
        <v>7.2332517426470604</v>
      </c>
    </row>
    <row r="42" spans="1:21" x14ac:dyDescent="0.2">
      <c r="A42" s="33">
        <f t="shared" si="18"/>
        <v>2029</v>
      </c>
      <c r="B42" s="798">
        <f t="shared" si="26"/>
        <v>1250</v>
      </c>
      <c r="C42" s="64">
        <f>+C41+B42</f>
        <v>20944</v>
      </c>
      <c r="D42" s="965">
        <f t="shared" si="24"/>
        <v>2.012</v>
      </c>
      <c r="E42" s="966">
        <f t="shared" si="22"/>
        <v>3.1339999999999999</v>
      </c>
      <c r="F42" s="790">
        <f t="shared" si="25"/>
        <v>242</v>
      </c>
      <c r="G42" s="473">
        <f t="shared" si="27"/>
        <v>2.5150000000000001</v>
      </c>
      <c r="H42" s="474">
        <f t="shared" si="27"/>
        <v>3.9175</v>
      </c>
      <c r="I42" s="474">
        <f>+$B42*F42/1000000</f>
        <v>0.30249999999999999</v>
      </c>
      <c r="J42" s="61">
        <f>+(B42+B41)/2</f>
        <v>1250</v>
      </c>
      <c r="K42" s="967">
        <f>+D42</f>
        <v>2.012</v>
      </c>
      <c r="L42" s="967">
        <f>+J42*K42/1000</f>
        <v>2.5150000000000001</v>
      </c>
      <c r="M42" s="967">
        <f>+M41+L42</f>
        <v>41.06198509099265</v>
      </c>
      <c r="N42" s="54">
        <f>+B41</f>
        <v>1250</v>
      </c>
      <c r="O42" s="968">
        <f>+E42</f>
        <v>3.1339999999999999</v>
      </c>
      <c r="P42" s="968">
        <f>+N42*O42/1000</f>
        <v>3.9175</v>
      </c>
      <c r="Q42" s="969">
        <f>+Q41+P42</f>
        <v>61.435055391544097</v>
      </c>
      <c r="R42" s="247">
        <f>+(B42+B41)/2</f>
        <v>1250</v>
      </c>
      <c r="S42" s="24">
        <f>+F42</f>
        <v>242</v>
      </c>
      <c r="T42" s="970">
        <f>+R42*S42/1000000</f>
        <v>0.30249999999999999</v>
      </c>
      <c r="U42" s="971">
        <f>+U41+T42</f>
        <v>7.5357517426470606</v>
      </c>
    </row>
    <row r="43" spans="1:21" x14ac:dyDescent="0.2">
      <c r="A43" s="33">
        <f t="shared" si="18"/>
        <v>2030</v>
      </c>
      <c r="B43" s="798">
        <f t="shared" si="26"/>
        <v>1250</v>
      </c>
      <c r="C43" s="64">
        <f t="shared" ref="C43:C47" si="28">+C42+B43</f>
        <v>22194</v>
      </c>
      <c r="D43" s="965">
        <f t="shared" si="24"/>
        <v>2.012</v>
      </c>
      <c r="E43" s="966">
        <f t="shared" si="22"/>
        <v>3.1339999999999999</v>
      </c>
      <c r="F43" s="790">
        <f t="shared" si="25"/>
        <v>242</v>
      </c>
      <c r="G43" s="473">
        <f t="shared" ref="G43:G47" si="29">+$B43*D43/1000</f>
        <v>2.5150000000000001</v>
      </c>
      <c r="H43" s="474">
        <f t="shared" ref="H43:H47" si="30">+$B43*E43/1000</f>
        <v>3.9175</v>
      </c>
      <c r="I43" s="474">
        <f t="shared" ref="I43:I47" si="31">+$B43*F43/1000000</f>
        <v>0.30249999999999999</v>
      </c>
      <c r="J43" s="61">
        <f t="shared" ref="J43:J47" si="32">+(B43+B42)/2</f>
        <v>1250</v>
      </c>
      <c r="K43" s="967">
        <f t="shared" ref="K43:K47" si="33">+D43</f>
        <v>2.012</v>
      </c>
      <c r="L43" s="967">
        <f t="shared" ref="L43:L47" si="34">+J43*K43/1000</f>
        <v>2.5150000000000001</v>
      </c>
      <c r="M43" s="967">
        <f t="shared" ref="M43:M47" si="35">+M42+L43</f>
        <v>43.57698509099265</v>
      </c>
      <c r="N43" s="54">
        <f t="shared" ref="N43:N47" si="36">+B42</f>
        <v>1250</v>
      </c>
      <c r="O43" s="968">
        <f t="shared" ref="O43:O47" si="37">+E43</f>
        <v>3.1339999999999999</v>
      </c>
      <c r="P43" s="968">
        <f t="shared" ref="P43:P47" si="38">+N43*O43/1000</f>
        <v>3.9175</v>
      </c>
      <c r="Q43" s="969">
        <f t="shared" ref="Q43:Q47" si="39">+Q42+P43</f>
        <v>65.352555391544101</v>
      </c>
      <c r="R43" s="247">
        <f t="shared" ref="R43:R47" si="40">+(B43+B42)/2</f>
        <v>1250</v>
      </c>
      <c r="S43" s="24">
        <f t="shared" ref="S43:S47" si="41">+F43</f>
        <v>242</v>
      </c>
      <c r="T43" s="970">
        <f t="shared" ref="T43:T47" si="42">+R43*S43/1000000</f>
        <v>0.30249999999999999</v>
      </c>
      <c r="U43" s="971">
        <f t="shared" ref="U43:U47" si="43">+U42+T43</f>
        <v>7.8382517426470608</v>
      </c>
    </row>
    <row r="44" spans="1:21" x14ac:dyDescent="0.2">
      <c r="A44" s="33">
        <f t="shared" si="18"/>
        <v>2031</v>
      </c>
      <c r="B44" s="798">
        <f t="shared" si="26"/>
        <v>1250</v>
      </c>
      <c r="C44" s="64">
        <f t="shared" si="28"/>
        <v>23444</v>
      </c>
      <c r="D44" s="965">
        <f t="shared" si="24"/>
        <v>2.012</v>
      </c>
      <c r="E44" s="966">
        <f t="shared" si="22"/>
        <v>3.1339999999999999</v>
      </c>
      <c r="F44" s="790">
        <f t="shared" si="25"/>
        <v>242</v>
      </c>
      <c r="G44" s="473">
        <f t="shared" si="29"/>
        <v>2.5150000000000001</v>
      </c>
      <c r="H44" s="474">
        <f t="shared" si="30"/>
        <v>3.9175</v>
      </c>
      <c r="I44" s="474">
        <f t="shared" si="31"/>
        <v>0.30249999999999999</v>
      </c>
      <c r="J44" s="61">
        <f t="shared" si="32"/>
        <v>1250</v>
      </c>
      <c r="K44" s="967">
        <f t="shared" si="33"/>
        <v>2.012</v>
      </c>
      <c r="L44" s="967">
        <f t="shared" si="34"/>
        <v>2.5150000000000001</v>
      </c>
      <c r="M44" s="967">
        <f t="shared" si="35"/>
        <v>46.091985090992651</v>
      </c>
      <c r="N44" s="54">
        <f t="shared" si="36"/>
        <v>1250</v>
      </c>
      <c r="O44" s="968">
        <f t="shared" si="37"/>
        <v>3.1339999999999999</v>
      </c>
      <c r="P44" s="968">
        <f t="shared" si="38"/>
        <v>3.9175</v>
      </c>
      <c r="Q44" s="969">
        <f t="shared" si="39"/>
        <v>69.270055391544105</v>
      </c>
      <c r="R44" s="247">
        <f t="shared" si="40"/>
        <v>1250</v>
      </c>
      <c r="S44" s="24">
        <f t="shared" si="41"/>
        <v>242</v>
      </c>
      <c r="T44" s="970">
        <f t="shared" si="42"/>
        <v>0.30249999999999999</v>
      </c>
      <c r="U44" s="971">
        <f t="shared" si="43"/>
        <v>8.1407517426470601</v>
      </c>
    </row>
    <row r="45" spans="1:21" x14ac:dyDescent="0.2">
      <c r="A45" s="33">
        <f t="shared" si="18"/>
        <v>2032</v>
      </c>
      <c r="B45" s="798">
        <f t="shared" si="26"/>
        <v>1250</v>
      </c>
      <c r="C45" s="64">
        <f t="shared" si="28"/>
        <v>24694</v>
      </c>
      <c r="D45" s="965">
        <f t="shared" si="24"/>
        <v>2.012</v>
      </c>
      <c r="E45" s="966">
        <f t="shared" si="22"/>
        <v>3.1339999999999999</v>
      </c>
      <c r="F45" s="790">
        <f t="shared" si="25"/>
        <v>242</v>
      </c>
      <c r="G45" s="473">
        <f t="shared" si="29"/>
        <v>2.5150000000000001</v>
      </c>
      <c r="H45" s="474">
        <f t="shared" si="30"/>
        <v>3.9175</v>
      </c>
      <c r="I45" s="474">
        <f t="shared" si="31"/>
        <v>0.30249999999999999</v>
      </c>
      <c r="J45" s="61">
        <f t="shared" si="32"/>
        <v>1250</v>
      </c>
      <c r="K45" s="967">
        <f t="shared" si="33"/>
        <v>2.012</v>
      </c>
      <c r="L45" s="967">
        <f t="shared" si="34"/>
        <v>2.5150000000000001</v>
      </c>
      <c r="M45" s="967">
        <f t="shared" si="35"/>
        <v>48.606985090992652</v>
      </c>
      <c r="N45" s="54">
        <f t="shared" si="36"/>
        <v>1250</v>
      </c>
      <c r="O45" s="968">
        <f t="shared" si="37"/>
        <v>3.1339999999999999</v>
      </c>
      <c r="P45" s="968">
        <f t="shared" si="38"/>
        <v>3.9175</v>
      </c>
      <c r="Q45" s="969">
        <f t="shared" si="39"/>
        <v>73.187555391544109</v>
      </c>
      <c r="R45" s="247">
        <f t="shared" si="40"/>
        <v>1250</v>
      </c>
      <c r="S45" s="24">
        <f t="shared" si="41"/>
        <v>242</v>
      </c>
      <c r="T45" s="970">
        <f t="shared" si="42"/>
        <v>0.30249999999999999</v>
      </c>
      <c r="U45" s="971">
        <f t="shared" si="43"/>
        <v>8.4432517426470604</v>
      </c>
    </row>
    <row r="46" spans="1:21" x14ac:dyDescent="0.2">
      <c r="A46" s="33">
        <f t="shared" si="18"/>
        <v>2033</v>
      </c>
      <c r="B46" s="798">
        <f t="shared" si="26"/>
        <v>1250</v>
      </c>
      <c r="C46" s="64">
        <f t="shared" si="28"/>
        <v>25944</v>
      </c>
      <c r="D46" s="965">
        <f t="shared" si="24"/>
        <v>2.012</v>
      </c>
      <c r="E46" s="966">
        <f t="shared" si="22"/>
        <v>3.1339999999999999</v>
      </c>
      <c r="F46" s="790">
        <f t="shared" si="25"/>
        <v>242</v>
      </c>
      <c r="G46" s="473">
        <f t="shared" si="29"/>
        <v>2.5150000000000001</v>
      </c>
      <c r="H46" s="474">
        <f t="shared" si="30"/>
        <v>3.9175</v>
      </c>
      <c r="I46" s="474">
        <f t="shared" si="31"/>
        <v>0.30249999999999999</v>
      </c>
      <c r="J46" s="61">
        <f t="shared" si="32"/>
        <v>1250</v>
      </c>
      <c r="K46" s="967">
        <f t="shared" si="33"/>
        <v>2.012</v>
      </c>
      <c r="L46" s="967">
        <f t="shared" si="34"/>
        <v>2.5150000000000001</v>
      </c>
      <c r="M46" s="967">
        <f t="shared" si="35"/>
        <v>51.121985090992652</v>
      </c>
      <c r="N46" s="54">
        <f t="shared" si="36"/>
        <v>1250</v>
      </c>
      <c r="O46" s="968">
        <f t="shared" si="37"/>
        <v>3.1339999999999999</v>
      </c>
      <c r="P46" s="968">
        <f t="shared" si="38"/>
        <v>3.9175</v>
      </c>
      <c r="Q46" s="969">
        <f t="shared" si="39"/>
        <v>77.105055391544113</v>
      </c>
      <c r="R46" s="247">
        <f t="shared" si="40"/>
        <v>1250</v>
      </c>
      <c r="S46" s="24">
        <f t="shared" si="41"/>
        <v>242</v>
      </c>
      <c r="T46" s="970">
        <f t="shared" si="42"/>
        <v>0.30249999999999999</v>
      </c>
      <c r="U46" s="971">
        <f t="shared" si="43"/>
        <v>8.7457517426470606</v>
      </c>
    </row>
    <row r="47" spans="1:21" x14ac:dyDescent="0.2">
      <c r="A47" s="33">
        <f t="shared" si="18"/>
        <v>2034</v>
      </c>
      <c r="B47" s="798">
        <f t="shared" si="26"/>
        <v>1250</v>
      </c>
      <c r="C47" s="64">
        <f t="shared" si="28"/>
        <v>27194</v>
      </c>
      <c r="D47" s="965">
        <f t="shared" si="24"/>
        <v>2.012</v>
      </c>
      <c r="E47" s="966">
        <f t="shared" si="22"/>
        <v>3.1339999999999999</v>
      </c>
      <c r="F47" s="790">
        <f t="shared" si="25"/>
        <v>242</v>
      </c>
      <c r="G47" s="473">
        <f t="shared" si="29"/>
        <v>2.5150000000000001</v>
      </c>
      <c r="H47" s="474">
        <f t="shared" si="30"/>
        <v>3.9175</v>
      </c>
      <c r="I47" s="474">
        <f t="shared" si="31"/>
        <v>0.30249999999999999</v>
      </c>
      <c r="J47" s="61">
        <f t="shared" si="32"/>
        <v>1250</v>
      </c>
      <c r="K47" s="967">
        <f t="shared" si="33"/>
        <v>2.012</v>
      </c>
      <c r="L47" s="967">
        <f t="shared" si="34"/>
        <v>2.5150000000000001</v>
      </c>
      <c r="M47" s="967">
        <f t="shared" si="35"/>
        <v>53.636985090992653</v>
      </c>
      <c r="N47" s="54">
        <f t="shared" si="36"/>
        <v>1250</v>
      </c>
      <c r="O47" s="968">
        <f t="shared" si="37"/>
        <v>3.1339999999999999</v>
      </c>
      <c r="P47" s="968">
        <f t="shared" si="38"/>
        <v>3.9175</v>
      </c>
      <c r="Q47" s="969">
        <f t="shared" si="39"/>
        <v>81.022555391544117</v>
      </c>
      <c r="R47" s="247">
        <f t="shared" si="40"/>
        <v>1250</v>
      </c>
      <c r="S47" s="24">
        <f t="shared" si="41"/>
        <v>242</v>
      </c>
      <c r="T47" s="970">
        <f t="shared" si="42"/>
        <v>0.30249999999999999</v>
      </c>
      <c r="U47" s="971">
        <f t="shared" si="43"/>
        <v>9.0482517426470608</v>
      </c>
    </row>
    <row r="48" spans="1:21" x14ac:dyDescent="0.2">
      <c r="A48" s="33">
        <f t="shared" si="18"/>
        <v>2035</v>
      </c>
      <c r="B48" s="798">
        <f>B47</f>
        <v>1250</v>
      </c>
      <c r="C48" s="64">
        <f t="shared" ref="C48:C54" si="44">+C47+B48</f>
        <v>28444</v>
      </c>
      <c r="D48" s="965">
        <f t="shared" si="24"/>
        <v>2.012</v>
      </c>
      <c r="E48" s="966">
        <f t="shared" si="22"/>
        <v>3.1339999999999999</v>
      </c>
      <c r="F48" s="790">
        <f t="shared" si="25"/>
        <v>242</v>
      </c>
      <c r="G48" s="473">
        <f t="shared" ref="G48:G54" si="45">+$B48*D48/1000</f>
        <v>2.5150000000000001</v>
      </c>
      <c r="H48" s="474">
        <f t="shared" ref="H48:H54" si="46">+$B48*E48/1000</f>
        <v>3.9175</v>
      </c>
      <c r="I48" s="474">
        <f t="shared" ref="I48:I54" si="47">+$B48*F48/1000000</f>
        <v>0.30249999999999999</v>
      </c>
      <c r="J48" s="61">
        <f t="shared" ref="J48:J54" si="48">+(B48+B47)/2</f>
        <v>1250</v>
      </c>
      <c r="K48" s="967">
        <f t="shared" ref="K48:K54" si="49">+D48</f>
        <v>2.012</v>
      </c>
      <c r="L48" s="967">
        <f t="shared" ref="L48:L54" si="50">+J48*K48/1000</f>
        <v>2.5150000000000001</v>
      </c>
      <c r="M48" s="967">
        <f t="shared" ref="M48:M54" si="51">+M47+L48</f>
        <v>56.151985090992653</v>
      </c>
      <c r="N48" s="54">
        <f t="shared" ref="N48:N54" si="52">+B47</f>
        <v>1250</v>
      </c>
      <c r="O48" s="968">
        <f t="shared" ref="O48:O54" si="53">+E48</f>
        <v>3.1339999999999999</v>
      </c>
      <c r="P48" s="968">
        <f t="shared" ref="P48:P54" si="54">+N48*O48/1000</f>
        <v>3.9175</v>
      </c>
      <c r="Q48" s="969">
        <f t="shared" ref="Q48:Q54" si="55">+Q47+P48</f>
        <v>84.940055391544121</v>
      </c>
      <c r="R48" s="247">
        <f t="shared" ref="R48:R54" si="56">+(B48+B47)/2</f>
        <v>1250</v>
      </c>
      <c r="S48" s="24">
        <f t="shared" ref="S48:S54" si="57">+F48</f>
        <v>242</v>
      </c>
      <c r="T48" s="970">
        <f t="shared" ref="T48:T54" si="58">+R48*S48/1000000</f>
        <v>0.30249999999999999</v>
      </c>
      <c r="U48" s="971">
        <f t="shared" ref="U48:U54" si="59">+U47+T48</f>
        <v>9.350751742647061</v>
      </c>
    </row>
    <row r="49" spans="1:21" x14ac:dyDescent="0.2">
      <c r="A49" s="33">
        <f t="shared" si="18"/>
        <v>2036</v>
      </c>
      <c r="B49" s="798">
        <f t="shared" ref="B49:B54" si="60">B48</f>
        <v>1250</v>
      </c>
      <c r="C49" s="64">
        <f t="shared" si="44"/>
        <v>29694</v>
      </c>
      <c r="D49" s="965">
        <f t="shared" si="24"/>
        <v>2.012</v>
      </c>
      <c r="E49" s="966">
        <f t="shared" si="22"/>
        <v>3.1339999999999999</v>
      </c>
      <c r="F49" s="790">
        <f t="shared" si="25"/>
        <v>242</v>
      </c>
      <c r="G49" s="473">
        <f t="shared" si="45"/>
        <v>2.5150000000000001</v>
      </c>
      <c r="H49" s="474">
        <f t="shared" si="46"/>
        <v>3.9175</v>
      </c>
      <c r="I49" s="474">
        <f t="shared" si="47"/>
        <v>0.30249999999999999</v>
      </c>
      <c r="J49" s="61">
        <f t="shared" si="48"/>
        <v>1250</v>
      </c>
      <c r="K49" s="967">
        <f t="shared" si="49"/>
        <v>2.012</v>
      </c>
      <c r="L49" s="967">
        <f t="shared" si="50"/>
        <v>2.5150000000000001</v>
      </c>
      <c r="M49" s="967">
        <f t="shared" si="51"/>
        <v>58.666985090992654</v>
      </c>
      <c r="N49" s="54">
        <f t="shared" si="52"/>
        <v>1250</v>
      </c>
      <c r="O49" s="968">
        <f t="shared" si="53"/>
        <v>3.1339999999999999</v>
      </c>
      <c r="P49" s="968">
        <f t="shared" si="54"/>
        <v>3.9175</v>
      </c>
      <c r="Q49" s="969">
        <f t="shared" si="55"/>
        <v>88.857555391544125</v>
      </c>
      <c r="R49" s="247">
        <f t="shared" si="56"/>
        <v>1250</v>
      </c>
      <c r="S49" s="24">
        <f t="shared" si="57"/>
        <v>242</v>
      </c>
      <c r="T49" s="970">
        <f t="shared" si="58"/>
        <v>0.30249999999999999</v>
      </c>
      <c r="U49" s="971">
        <f t="shared" si="59"/>
        <v>9.6532517426470612</v>
      </c>
    </row>
    <row r="50" spans="1:21" x14ac:dyDescent="0.2">
      <c r="A50" s="33">
        <f t="shared" si="18"/>
        <v>2037</v>
      </c>
      <c r="B50" s="798">
        <f t="shared" si="60"/>
        <v>1250</v>
      </c>
      <c r="C50" s="64">
        <f t="shared" si="44"/>
        <v>30944</v>
      </c>
      <c r="D50" s="965">
        <f t="shared" si="24"/>
        <v>2.012</v>
      </c>
      <c r="E50" s="966">
        <f t="shared" si="22"/>
        <v>3.1339999999999999</v>
      </c>
      <c r="F50" s="790">
        <f t="shared" si="25"/>
        <v>242</v>
      </c>
      <c r="G50" s="473">
        <f t="shared" si="45"/>
        <v>2.5150000000000001</v>
      </c>
      <c r="H50" s="474">
        <f t="shared" si="46"/>
        <v>3.9175</v>
      </c>
      <c r="I50" s="474">
        <f t="shared" si="47"/>
        <v>0.30249999999999999</v>
      </c>
      <c r="J50" s="61">
        <f t="shared" si="48"/>
        <v>1250</v>
      </c>
      <c r="K50" s="967">
        <f t="shared" si="49"/>
        <v>2.012</v>
      </c>
      <c r="L50" s="967">
        <f t="shared" si="50"/>
        <v>2.5150000000000001</v>
      </c>
      <c r="M50" s="967">
        <f t="shared" si="51"/>
        <v>61.181985090992654</v>
      </c>
      <c r="N50" s="54">
        <f t="shared" si="52"/>
        <v>1250</v>
      </c>
      <c r="O50" s="968">
        <f t="shared" si="53"/>
        <v>3.1339999999999999</v>
      </c>
      <c r="P50" s="968">
        <f t="shared" si="54"/>
        <v>3.9175</v>
      </c>
      <c r="Q50" s="969">
        <f t="shared" si="55"/>
        <v>92.775055391544129</v>
      </c>
      <c r="R50" s="247">
        <f t="shared" si="56"/>
        <v>1250</v>
      </c>
      <c r="S50" s="24">
        <f t="shared" si="57"/>
        <v>242</v>
      </c>
      <c r="T50" s="970">
        <f t="shared" si="58"/>
        <v>0.30249999999999999</v>
      </c>
      <c r="U50" s="971">
        <f t="shared" si="59"/>
        <v>9.9557517426470614</v>
      </c>
    </row>
    <row r="51" spans="1:21" x14ac:dyDescent="0.2">
      <c r="A51" s="33">
        <f t="shared" si="18"/>
        <v>2038</v>
      </c>
      <c r="B51" s="798">
        <f t="shared" si="60"/>
        <v>1250</v>
      </c>
      <c r="C51" s="64">
        <f t="shared" si="44"/>
        <v>32194</v>
      </c>
      <c r="D51" s="965">
        <f t="shared" si="24"/>
        <v>2.012</v>
      </c>
      <c r="E51" s="966">
        <f t="shared" si="22"/>
        <v>3.1339999999999999</v>
      </c>
      <c r="F51" s="790">
        <f t="shared" si="25"/>
        <v>242</v>
      </c>
      <c r="G51" s="473">
        <f t="shared" si="45"/>
        <v>2.5150000000000001</v>
      </c>
      <c r="H51" s="474">
        <f t="shared" si="46"/>
        <v>3.9175</v>
      </c>
      <c r="I51" s="474">
        <f t="shared" si="47"/>
        <v>0.30249999999999999</v>
      </c>
      <c r="J51" s="61">
        <f t="shared" si="48"/>
        <v>1250</v>
      </c>
      <c r="K51" s="967">
        <f t="shared" si="49"/>
        <v>2.012</v>
      </c>
      <c r="L51" s="967">
        <f t="shared" si="50"/>
        <v>2.5150000000000001</v>
      </c>
      <c r="M51" s="967">
        <f t="shared" si="51"/>
        <v>63.696985090992655</v>
      </c>
      <c r="N51" s="54">
        <f t="shared" si="52"/>
        <v>1250</v>
      </c>
      <c r="O51" s="968">
        <f t="shared" si="53"/>
        <v>3.1339999999999999</v>
      </c>
      <c r="P51" s="968">
        <f t="shared" si="54"/>
        <v>3.9175</v>
      </c>
      <c r="Q51" s="969">
        <f t="shared" si="55"/>
        <v>96.692555391544133</v>
      </c>
      <c r="R51" s="247">
        <f t="shared" si="56"/>
        <v>1250</v>
      </c>
      <c r="S51" s="24">
        <f t="shared" si="57"/>
        <v>242</v>
      </c>
      <c r="T51" s="970">
        <f t="shared" si="58"/>
        <v>0.30249999999999999</v>
      </c>
      <c r="U51" s="971">
        <f t="shared" si="59"/>
        <v>10.258251742647062</v>
      </c>
    </row>
    <row r="52" spans="1:21" x14ac:dyDescent="0.2">
      <c r="A52" s="33">
        <f t="shared" si="18"/>
        <v>2039</v>
      </c>
      <c r="B52" s="798">
        <f t="shared" si="60"/>
        <v>1250</v>
      </c>
      <c r="C52" s="64">
        <f t="shared" si="44"/>
        <v>33444</v>
      </c>
      <c r="D52" s="965">
        <f t="shared" si="24"/>
        <v>2.012</v>
      </c>
      <c r="E52" s="966">
        <f t="shared" si="22"/>
        <v>3.1339999999999999</v>
      </c>
      <c r="F52" s="790">
        <f t="shared" si="25"/>
        <v>242</v>
      </c>
      <c r="G52" s="473">
        <f t="shared" si="45"/>
        <v>2.5150000000000001</v>
      </c>
      <c r="H52" s="474">
        <f t="shared" si="46"/>
        <v>3.9175</v>
      </c>
      <c r="I52" s="474">
        <f t="shared" si="47"/>
        <v>0.30249999999999999</v>
      </c>
      <c r="J52" s="61">
        <f t="shared" si="48"/>
        <v>1250</v>
      </c>
      <c r="K52" s="967">
        <f t="shared" si="49"/>
        <v>2.012</v>
      </c>
      <c r="L52" s="967">
        <f t="shared" si="50"/>
        <v>2.5150000000000001</v>
      </c>
      <c r="M52" s="967">
        <f t="shared" si="51"/>
        <v>66.211985090992656</v>
      </c>
      <c r="N52" s="54">
        <f t="shared" si="52"/>
        <v>1250</v>
      </c>
      <c r="O52" s="968">
        <f t="shared" si="53"/>
        <v>3.1339999999999999</v>
      </c>
      <c r="P52" s="968">
        <f t="shared" si="54"/>
        <v>3.9175</v>
      </c>
      <c r="Q52" s="969">
        <f t="shared" si="55"/>
        <v>100.61005539154414</v>
      </c>
      <c r="R52" s="247">
        <f t="shared" si="56"/>
        <v>1250</v>
      </c>
      <c r="S52" s="24">
        <f t="shared" si="57"/>
        <v>242</v>
      </c>
      <c r="T52" s="970">
        <f t="shared" si="58"/>
        <v>0.30249999999999999</v>
      </c>
      <c r="U52" s="971">
        <f t="shared" si="59"/>
        <v>10.560751742647062</v>
      </c>
    </row>
    <row r="53" spans="1:21" x14ac:dyDescent="0.2">
      <c r="A53" s="33">
        <f t="shared" si="18"/>
        <v>2040</v>
      </c>
      <c r="B53" s="798">
        <f t="shared" si="60"/>
        <v>1250</v>
      </c>
      <c r="C53" s="64">
        <f t="shared" si="44"/>
        <v>34694</v>
      </c>
      <c r="D53" s="965">
        <f t="shared" si="24"/>
        <v>2.012</v>
      </c>
      <c r="E53" s="966">
        <f t="shared" si="22"/>
        <v>3.1339999999999999</v>
      </c>
      <c r="F53" s="790">
        <f t="shared" si="25"/>
        <v>242</v>
      </c>
      <c r="G53" s="473">
        <f t="shared" si="45"/>
        <v>2.5150000000000001</v>
      </c>
      <c r="H53" s="474">
        <f t="shared" si="46"/>
        <v>3.9175</v>
      </c>
      <c r="I53" s="474">
        <f t="shared" si="47"/>
        <v>0.30249999999999999</v>
      </c>
      <c r="J53" s="61">
        <f t="shared" si="48"/>
        <v>1250</v>
      </c>
      <c r="K53" s="967">
        <f t="shared" si="49"/>
        <v>2.012</v>
      </c>
      <c r="L53" s="967">
        <f t="shared" si="50"/>
        <v>2.5150000000000001</v>
      </c>
      <c r="M53" s="967">
        <f t="shared" si="51"/>
        <v>68.726985090992656</v>
      </c>
      <c r="N53" s="54">
        <f t="shared" si="52"/>
        <v>1250</v>
      </c>
      <c r="O53" s="968">
        <f t="shared" si="53"/>
        <v>3.1339999999999999</v>
      </c>
      <c r="P53" s="968">
        <f t="shared" si="54"/>
        <v>3.9175</v>
      </c>
      <c r="Q53" s="969">
        <f t="shared" si="55"/>
        <v>104.52755539154414</v>
      </c>
      <c r="R53" s="247">
        <f t="shared" si="56"/>
        <v>1250</v>
      </c>
      <c r="S53" s="24">
        <f t="shared" si="57"/>
        <v>242</v>
      </c>
      <c r="T53" s="970">
        <f t="shared" si="58"/>
        <v>0.30249999999999999</v>
      </c>
      <c r="U53" s="971">
        <f t="shared" si="59"/>
        <v>10.863251742647062</v>
      </c>
    </row>
    <row r="54" spans="1:21" x14ac:dyDescent="0.2">
      <c r="A54" s="33">
        <f t="shared" si="18"/>
        <v>2041</v>
      </c>
      <c r="B54" s="798">
        <f t="shared" si="60"/>
        <v>1250</v>
      </c>
      <c r="C54" s="64">
        <f t="shared" si="44"/>
        <v>35944</v>
      </c>
      <c r="D54" s="965">
        <f t="shared" si="24"/>
        <v>2.012</v>
      </c>
      <c r="E54" s="966">
        <f t="shared" si="22"/>
        <v>3.1339999999999999</v>
      </c>
      <c r="F54" s="790">
        <f t="shared" si="25"/>
        <v>242</v>
      </c>
      <c r="G54" s="473">
        <f t="shared" si="45"/>
        <v>2.5150000000000001</v>
      </c>
      <c r="H54" s="474">
        <f t="shared" si="46"/>
        <v>3.9175</v>
      </c>
      <c r="I54" s="474">
        <f t="shared" si="47"/>
        <v>0.30249999999999999</v>
      </c>
      <c r="J54" s="61">
        <f t="shared" si="48"/>
        <v>1250</v>
      </c>
      <c r="K54" s="967">
        <f t="shared" si="49"/>
        <v>2.012</v>
      </c>
      <c r="L54" s="967">
        <f t="shared" si="50"/>
        <v>2.5150000000000001</v>
      </c>
      <c r="M54" s="967">
        <f t="shared" si="51"/>
        <v>71.241985090992657</v>
      </c>
      <c r="N54" s="54">
        <f t="shared" si="52"/>
        <v>1250</v>
      </c>
      <c r="O54" s="968">
        <f t="shared" si="53"/>
        <v>3.1339999999999999</v>
      </c>
      <c r="P54" s="968">
        <f t="shared" si="54"/>
        <v>3.9175</v>
      </c>
      <c r="Q54" s="969">
        <f t="shared" si="55"/>
        <v>108.44505539154414</v>
      </c>
      <c r="R54" s="247">
        <f t="shared" si="56"/>
        <v>1250</v>
      </c>
      <c r="S54" s="24">
        <f t="shared" si="57"/>
        <v>242</v>
      </c>
      <c r="T54" s="970">
        <f t="shared" si="58"/>
        <v>0.30249999999999999</v>
      </c>
      <c r="U54" s="971">
        <f t="shared" si="59"/>
        <v>11.165751742647062</v>
      </c>
    </row>
    <row r="56" spans="1:21" x14ac:dyDescent="0.2">
      <c r="A56" s="69" t="s">
        <v>38</v>
      </c>
      <c r="M56" s="262">
        <f>+(M39/C39)*1000</f>
        <v>1.9493419268926746</v>
      </c>
      <c r="N56" s="262"/>
      <c r="O56" s="262"/>
      <c r="P56" s="262"/>
      <c r="Q56" s="262">
        <f>+(Q39/C39)*1000</f>
        <v>2.8895286374051476</v>
      </c>
    </row>
    <row r="57" spans="1:21" x14ac:dyDescent="0.2">
      <c r="A57" s="69" t="s">
        <v>39</v>
      </c>
    </row>
    <row r="58" spans="1:21" x14ac:dyDescent="0.2">
      <c r="A58" s="86" t="s">
        <v>57</v>
      </c>
    </row>
    <row r="59" spans="1:21" x14ac:dyDescent="0.2">
      <c r="A59" s="86" t="s">
        <v>58</v>
      </c>
    </row>
    <row r="60" spans="1:21" x14ac:dyDescent="0.2">
      <c r="B60" s="956" t="s">
        <v>386</v>
      </c>
    </row>
    <row r="61" spans="1:21" x14ac:dyDescent="0.2">
      <c r="A61" s="13"/>
      <c r="B61">
        <v>2015</v>
      </c>
      <c r="D61">
        <f>2177.69/B28</f>
        <v>2.0015533088235293</v>
      </c>
      <c r="E61">
        <f>3377.59/B28</f>
        <v>3.1044025735294118</v>
      </c>
      <c r="F61">
        <f>1126960/B28</f>
        <v>1035.8088235294117</v>
      </c>
    </row>
  </sheetData>
  <mergeCells count="5">
    <mergeCell ref="R4:U4"/>
    <mergeCell ref="G3:I3"/>
    <mergeCell ref="B4:I4"/>
    <mergeCell ref="J4:M4"/>
    <mergeCell ref="N4:Q4"/>
  </mergeCells>
  <phoneticPr fontId="7" type="noConversion"/>
  <pageMargins left="0.75" right="0.75" top="1" bottom="1" header="0.5" footer="0.5"/>
  <pageSetup scale="5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theme="7" tint="-0.249977111117893"/>
    <pageSetUpPr fitToPage="1"/>
  </sheetPr>
  <dimension ref="A1:AC61"/>
  <sheetViews>
    <sheetView workbookViewId="0">
      <pane xSplit="1" ySplit="5" topLeftCell="B24" activePane="bottomRight" state="frozen"/>
      <selection activeCell="B31" sqref="B31"/>
      <selection pane="topRight" activeCell="B31" sqref="B31"/>
      <selection pane="bottomLeft" activeCell="B31" sqref="B31"/>
      <selection pane="bottomRight" activeCell="D29" sqref="D29"/>
    </sheetView>
  </sheetViews>
  <sheetFormatPr defaultRowHeight="12.75" x14ac:dyDescent="0.2"/>
  <cols>
    <col min="1" max="1" width="12.28515625" customWidth="1"/>
    <col min="2" max="2" width="14.5703125" customWidth="1"/>
    <col min="3" max="4" width="10.28515625" customWidth="1"/>
    <col min="5" max="5" width="11" customWidth="1"/>
    <col min="6" max="6" width="11.28515625" customWidth="1"/>
    <col min="7" max="7" width="10.5703125" customWidth="1"/>
    <col min="8" max="9" width="10.7109375" customWidth="1"/>
    <col min="10" max="11" width="11.42578125" customWidth="1"/>
    <col min="12" max="12" width="12.28515625" customWidth="1"/>
    <col min="13" max="13" width="10.42578125" customWidth="1"/>
    <col min="14" max="15" width="11" style="2" customWidth="1"/>
    <col min="16" max="16" width="11.7109375" style="2" customWidth="1"/>
    <col min="17" max="17" width="10.42578125" customWidth="1"/>
    <col min="18" max="18" width="9.5703125" customWidth="1"/>
    <col min="19" max="21" width="10.28515625" customWidth="1"/>
    <col min="22" max="22" width="11.28515625" customWidth="1"/>
    <col min="23" max="23" width="11.42578125" customWidth="1"/>
    <col min="24" max="24" width="10" customWidth="1"/>
    <col min="25" max="26" width="10.28515625" customWidth="1"/>
    <col min="28" max="28" width="9.28515625" bestFit="1" customWidth="1"/>
    <col min="29" max="29" width="10.28515625" bestFit="1" customWidth="1"/>
    <col min="30" max="30" width="9.28515625" bestFit="1" customWidth="1"/>
  </cols>
  <sheetData>
    <row r="1" spans="1:29" ht="15.75" x14ac:dyDescent="0.25">
      <c r="A1" s="4" t="str">
        <f>'RES Audit Alt'!A1</f>
        <v>Conservation Savings @ Meter</v>
      </c>
      <c r="B1" s="4"/>
      <c r="C1" s="4"/>
      <c r="D1" s="4"/>
      <c r="E1" s="4"/>
      <c r="F1" s="4"/>
      <c r="G1" s="249"/>
      <c r="H1" s="249"/>
      <c r="I1" s="249"/>
      <c r="J1" s="249"/>
      <c r="K1" s="4"/>
      <c r="L1" s="4"/>
      <c r="M1" s="4"/>
      <c r="N1" s="4"/>
      <c r="O1" s="4"/>
      <c r="P1" s="4"/>
      <c r="Q1" s="4"/>
      <c r="AA1" s="2"/>
    </row>
    <row r="2" spans="1:29" ht="16.5" thickBot="1" x14ac:dyDescent="0.3">
      <c r="A2" s="5" t="str">
        <f>'RES Audit Alt'!A2</f>
        <v>PROGRAM:</v>
      </c>
      <c r="B2" s="27" t="s">
        <v>163</v>
      </c>
      <c r="C2" s="23"/>
      <c r="D2" s="27"/>
      <c r="E2" s="27"/>
      <c r="F2" s="4"/>
      <c r="G2" s="4"/>
      <c r="K2" s="4"/>
      <c r="L2" s="4"/>
      <c r="M2" s="4"/>
      <c r="N2" s="4"/>
      <c r="O2" s="778" t="s">
        <v>311</v>
      </c>
      <c r="P2" s="769"/>
      <c r="Q2" s="4"/>
      <c r="U2" s="778" t="str">
        <f>O2</f>
        <v>update history when time.</v>
      </c>
      <c r="V2" s="769"/>
      <c r="AA2" s="2"/>
    </row>
    <row r="3" spans="1:29" ht="16.5" thickBot="1" x14ac:dyDescent="0.3">
      <c r="A3" s="4"/>
      <c r="B3" s="128" t="s">
        <v>69</v>
      </c>
      <c r="C3" s="4"/>
      <c r="D3" s="4"/>
      <c r="E3" s="4"/>
      <c r="F3" s="4"/>
      <c r="G3" s="4"/>
      <c r="H3" s="1463" t="s">
        <v>72</v>
      </c>
      <c r="I3" s="1464"/>
      <c r="J3" s="1465"/>
      <c r="K3" s="4"/>
      <c r="L3" s="4"/>
      <c r="M3" s="4"/>
      <c r="N3" s="4"/>
      <c r="O3" s="4"/>
      <c r="P3" s="4"/>
      <c r="Q3" s="4"/>
      <c r="AA3" s="2"/>
    </row>
    <row r="4" spans="1:29" ht="16.5" thickBot="1" x14ac:dyDescent="0.3">
      <c r="A4" s="26"/>
      <c r="B4" s="1472" t="s">
        <v>26</v>
      </c>
      <c r="C4" s="1472"/>
      <c r="D4" s="1472"/>
      <c r="E4" s="1472"/>
      <c r="F4" s="1472"/>
      <c r="G4" s="1472"/>
      <c r="H4" s="1472"/>
      <c r="I4" s="1472"/>
      <c r="J4" s="1473"/>
      <c r="K4" s="1474" t="s">
        <v>27</v>
      </c>
      <c r="L4" s="1475"/>
      <c r="M4" s="1475"/>
      <c r="N4" s="1475"/>
      <c r="O4" s="952"/>
      <c r="P4" s="953"/>
      <c r="Q4" s="1475" t="s">
        <v>78</v>
      </c>
      <c r="R4" s="1475"/>
      <c r="S4" s="1475"/>
      <c r="T4" s="1476"/>
      <c r="U4" s="213"/>
      <c r="V4" s="213"/>
      <c r="W4" s="1466" t="s">
        <v>28</v>
      </c>
      <c r="X4" s="1467"/>
      <c r="Y4" s="1467"/>
      <c r="Z4" s="1468"/>
      <c r="AA4" s="2"/>
    </row>
    <row r="5" spans="1:29" s="19" customFormat="1" ht="55.5" customHeight="1" x14ac:dyDescent="0.2">
      <c r="A5" s="32" t="s">
        <v>0</v>
      </c>
      <c r="B5" s="125" t="s">
        <v>70</v>
      </c>
      <c r="C5" s="123" t="s">
        <v>66</v>
      </c>
      <c r="D5" s="124" t="s">
        <v>68</v>
      </c>
      <c r="E5" s="22" t="s">
        <v>21</v>
      </c>
      <c r="F5" s="17" t="s">
        <v>23</v>
      </c>
      <c r="G5" s="18" t="s">
        <v>24</v>
      </c>
      <c r="H5" s="22" t="s">
        <v>17</v>
      </c>
      <c r="I5" s="17" t="s">
        <v>18</v>
      </c>
      <c r="J5" s="29" t="s">
        <v>19</v>
      </c>
      <c r="K5" s="946" t="s">
        <v>75</v>
      </c>
      <c r="L5" s="947" t="s">
        <v>10</v>
      </c>
      <c r="M5" s="947" t="s">
        <v>12</v>
      </c>
      <c r="N5" s="948" t="s">
        <v>97</v>
      </c>
      <c r="O5" s="947" t="s">
        <v>96</v>
      </c>
      <c r="P5" s="949" t="s">
        <v>99</v>
      </c>
      <c r="Q5" s="950" t="s">
        <v>76</v>
      </c>
      <c r="R5" s="951" t="s">
        <v>11</v>
      </c>
      <c r="S5" s="951" t="s">
        <v>14</v>
      </c>
      <c r="T5" s="951" t="s">
        <v>101</v>
      </c>
      <c r="U5" s="241" t="s">
        <v>100</v>
      </c>
      <c r="V5" s="17" t="s">
        <v>99</v>
      </c>
      <c r="W5" s="42" t="s">
        <v>77</v>
      </c>
      <c r="X5" s="230" t="s">
        <v>25</v>
      </c>
      <c r="Y5" s="18" t="s">
        <v>16</v>
      </c>
      <c r="Z5" s="29" t="s">
        <v>15</v>
      </c>
      <c r="AA5" s="20"/>
    </row>
    <row r="6" spans="1:29" s="19" customFormat="1" ht="15" customHeight="1" x14ac:dyDescent="0.2">
      <c r="A6" s="68" t="s">
        <v>37</v>
      </c>
      <c r="B6" s="126"/>
      <c r="C6" s="30"/>
      <c r="D6" s="412">
        <v>4</v>
      </c>
      <c r="E6" s="380"/>
      <c r="F6" s="380"/>
      <c r="G6" s="31"/>
      <c r="H6" s="208"/>
      <c r="I6" s="15"/>
      <c r="J6" s="31"/>
      <c r="K6" s="37"/>
      <c r="L6" s="59">
        <f>+N6/D6*1000</f>
        <v>57.5</v>
      </c>
      <c r="M6" s="6"/>
      <c r="N6" s="216">
        <v>0.23</v>
      </c>
      <c r="O6" s="767"/>
      <c r="P6" s="768"/>
      <c r="Q6" s="220"/>
      <c r="R6" s="55">
        <f>+T6/D6*1000</f>
        <v>57.5</v>
      </c>
      <c r="S6" s="57"/>
      <c r="T6" s="41">
        <v>0.23</v>
      </c>
      <c r="U6" s="770"/>
      <c r="V6" s="767"/>
      <c r="W6" s="21"/>
      <c r="X6" s="233">
        <f>+Z6/D6*1000</f>
        <v>0</v>
      </c>
      <c r="Y6" s="21"/>
      <c r="Z6" s="47">
        <v>0</v>
      </c>
      <c r="AA6" s="3"/>
    </row>
    <row r="7" spans="1:29" s="1" customFormat="1" ht="15.75" customHeight="1" x14ac:dyDescent="0.2">
      <c r="A7" s="68" t="s">
        <v>63</v>
      </c>
      <c r="B7" s="127"/>
      <c r="C7" s="30"/>
      <c r="D7" s="412">
        <f>D6+2</f>
        <v>6</v>
      </c>
      <c r="E7" s="381"/>
      <c r="F7" s="381"/>
      <c r="G7" s="31"/>
      <c r="H7" s="208"/>
      <c r="I7" s="15"/>
      <c r="J7" s="31"/>
      <c r="K7" s="61">
        <f>+(D7+D6)/2</f>
        <v>5</v>
      </c>
      <c r="L7" s="59">
        <f t="shared" ref="L7" si="0">+N7/D7*1000</f>
        <v>83.333333333333329</v>
      </c>
      <c r="M7" s="6"/>
      <c r="N7" s="216">
        <v>0.5</v>
      </c>
      <c r="O7" s="767"/>
      <c r="P7" s="768"/>
      <c r="Q7" s="222">
        <f t="shared" ref="Q7:Q17" si="1">+D6</f>
        <v>4</v>
      </c>
      <c r="R7" s="58">
        <f>+(T7-T6)/($D7-$D6)*1000</f>
        <v>230.00000000000003</v>
      </c>
      <c r="S7" s="55"/>
      <c r="T7" s="41">
        <f>T6+0.46</f>
        <v>0.69000000000000006</v>
      </c>
      <c r="U7" s="770"/>
      <c r="V7" s="767"/>
      <c r="W7" s="236">
        <f>K7</f>
        <v>5</v>
      </c>
      <c r="X7" s="233">
        <f>+(Z7-Z6)/($D7-$D6)*1000</f>
        <v>0</v>
      </c>
      <c r="Y7" s="21"/>
      <c r="Z7" s="47">
        <v>0</v>
      </c>
      <c r="AA7" s="3"/>
      <c r="AB7" s="581" t="s">
        <v>197</v>
      </c>
      <c r="AC7" s="581" t="s">
        <v>198</v>
      </c>
    </row>
    <row r="8" spans="1:29" x14ac:dyDescent="0.2">
      <c r="A8" s="33">
        <v>1995</v>
      </c>
      <c r="B8" s="127">
        <v>0</v>
      </c>
      <c r="C8" s="30">
        <v>0</v>
      </c>
      <c r="D8" s="412">
        <f>D7+C8</f>
        <v>6</v>
      </c>
      <c r="E8" s="209">
        <v>288.39999999999998</v>
      </c>
      <c r="F8" s="209">
        <v>114.3</v>
      </c>
      <c r="G8" s="617">
        <v>0</v>
      </c>
      <c r="H8" s="452">
        <f t="shared" ref="H8:H25" si="2">+$B8*E8/1000</f>
        <v>0</v>
      </c>
      <c r="I8" s="72">
        <f t="shared" ref="I8:I25" si="3">+$B8*F8/1000</f>
        <v>0</v>
      </c>
      <c r="J8" s="72">
        <f t="shared" ref="J8:J25" si="4">+$B8*G8/1000000</f>
        <v>0</v>
      </c>
      <c r="K8" s="61">
        <f>+(D8+D7)/2</f>
        <v>6</v>
      </c>
      <c r="L8" s="59">
        <f t="shared" ref="L8:L28" si="5">IF(K8=0,0,(N8*1000)/K8)</f>
        <v>450</v>
      </c>
      <c r="M8" s="59">
        <f>+N8-N7</f>
        <v>2.2000000000000002</v>
      </c>
      <c r="N8" s="216">
        <v>2.7</v>
      </c>
      <c r="O8" s="767"/>
      <c r="P8" s="768"/>
      <c r="Q8" s="222">
        <f t="shared" si="1"/>
        <v>6</v>
      </c>
      <c r="R8" s="191">
        <f t="shared" ref="R8:R28" si="6">IF(Q8=0,0,(T8*1000)/Q8)</f>
        <v>450</v>
      </c>
      <c r="S8" s="55">
        <f>+T8-T7</f>
        <v>2.0100000000000002</v>
      </c>
      <c r="T8" s="41">
        <v>2.7</v>
      </c>
      <c r="U8" s="770"/>
      <c r="V8" s="767"/>
      <c r="W8" s="236">
        <f>K8</f>
        <v>6</v>
      </c>
      <c r="X8" s="233">
        <f>+G8</f>
        <v>0</v>
      </c>
      <c r="Y8" s="25">
        <f>+Z8-Z7</f>
        <v>0</v>
      </c>
      <c r="Z8" s="53">
        <f t="shared" ref="Z8:Z40" si="7">+W8*X8/1000000</f>
        <v>0</v>
      </c>
      <c r="AA8" s="9"/>
      <c r="AB8" s="582">
        <f>+N8+'COM LM (cyc)'!N8</f>
        <v>2.7</v>
      </c>
      <c r="AC8" s="580">
        <f>+T8+'COM LM (cyc)'!T8</f>
        <v>2.7</v>
      </c>
    </row>
    <row r="9" spans="1:29" x14ac:dyDescent="0.2">
      <c r="A9" s="33">
        <v>1996</v>
      </c>
      <c r="B9" s="127">
        <v>0</v>
      </c>
      <c r="C9" s="30">
        <v>-2</v>
      </c>
      <c r="D9" s="412">
        <f t="shared" ref="D9:D37" si="8">D8+C9</f>
        <v>4</v>
      </c>
      <c r="E9" s="209">
        <v>144.4</v>
      </c>
      <c r="F9" s="209">
        <v>107.6</v>
      </c>
      <c r="G9" s="617">
        <v>0</v>
      </c>
      <c r="H9" s="452">
        <f t="shared" si="2"/>
        <v>0</v>
      </c>
      <c r="I9" s="72">
        <f t="shared" si="3"/>
        <v>0</v>
      </c>
      <c r="J9" s="72">
        <f t="shared" si="4"/>
        <v>0</v>
      </c>
      <c r="K9" s="61">
        <f t="shared" ref="K9:K42" si="9">+(D9+D8)/2</f>
        <v>5</v>
      </c>
      <c r="L9" s="59">
        <f t="shared" si="5"/>
        <v>540</v>
      </c>
      <c r="M9" s="59">
        <f t="shared" ref="M9:M17" si="10">+N9-N8</f>
        <v>0</v>
      </c>
      <c r="N9" s="216">
        <v>2.7</v>
      </c>
      <c r="O9" s="767"/>
      <c r="P9" s="768"/>
      <c r="Q9" s="222">
        <f t="shared" si="1"/>
        <v>6</v>
      </c>
      <c r="R9" s="191">
        <f t="shared" si="6"/>
        <v>450</v>
      </c>
      <c r="S9" s="55">
        <f t="shared" ref="S9:S17" si="11">+T9-T8</f>
        <v>0</v>
      </c>
      <c r="T9" s="41">
        <v>2.7</v>
      </c>
      <c r="U9" s="770"/>
      <c r="V9" s="767"/>
      <c r="W9" s="236">
        <f t="shared" ref="W9:W37" si="12">K9</f>
        <v>5</v>
      </c>
      <c r="X9" s="233">
        <f t="shared" ref="X9:X37" si="13">+G9</f>
        <v>0</v>
      </c>
      <c r="Y9" s="25">
        <f t="shared" ref="Y9:Y37" si="14">+Z9-Z8</f>
        <v>0</v>
      </c>
      <c r="Z9" s="53">
        <f t="shared" si="7"/>
        <v>0</v>
      </c>
      <c r="AA9" s="10"/>
      <c r="AB9" s="582">
        <f>+N9+'COM LM (cyc)'!N9</f>
        <v>2.7</v>
      </c>
      <c r="AC9" s="580">
        <f>+T9+'COM LM (cyc)'!T9</f>
        <v>2.7</v>
      </c>
    </row>
    <row r="10" spans="1:29" x14ac:dyDescent="0.2">
      <c r="A10" s="33">
        <v>1997</v>
      </c>
      <c r="B10" s="127">
        <v>0</v>
      </c>
      <c r="C10" s="30">
        <v>0</v>
      </c>
      <c r="D10" s="412">
        <f t="shared" si="8"/>
        <v>4</v>
      </c>
      <c r="E10" s="209">
        <v>144.4</v>
      </c>
      <c r="F10" s="209">
        <v>107.6</v>
      </c>
      <c r="G10" s="617">
        <v>0</v>
      </c>
      <c r="H10" s="452">
        <f t="shared" si="2"/>
        <v>0</v>
      </c>
      <c r="I10" s="72">
        <f t="shared" si="3"/>
        <v>0</v>
      </c>
      <c r="J10" s="72">
        <f t="shared" si="4"/>
        <v>0</v>
      </c>
      <c r="K10" s="61">
        <f t="shared" si="9"/>
        <v>4</v>
      </c>
      <c r="L10" s="59">
        <f t="shared" si="5"/>
        <v>675</v>
      </c>
      <c r="M10" s="59">
        <f t="shared" si="10"/>
        <v>0</v>
      </c>
      <c r="N10" s="216">
        <v>2.7</v>
      </c>
      <c r="O10" s="767"/>
      <c r="P10" s="768"/>
      <c r="Q10" s="222">
        <f t="shared" si="1"/>
        <v>4</v>
      </c>
      <c r="R10" s="191">
        <f t="shared" si="6"/>
        <v>675</v>
      </c>
      <c r="S10" s="55">
        <f t="shared" si="11"/>
        <v>0</v>
      </c>
      <c r="T10" s="41">
        <v>2.7</v>
      </c>
      <c r="U10" s="770"/>
      <c r="V10" s="767"/>
      <c r="W10" s="236">
        <f t="shared" si="12"/>
        <v>4</v>
      </c>
      <c r="X10" s="233">
        <f t="shared" si="13"/>
        <v>0</v>
      </c>
      <c r="Y10" s="25">
        <f t="shared" si="14"/>
        <v>0</v>
      </c>
      <c r="Z10" s="53">
        <f t="shared" si="7"/>
        <v>0</v>
      </c>
      <c r="AA10" s="10"/>
      <c r="AB10" s="582">
        <f>+N10+'COM LM (cyc)'!N10</f>
        <v>2.7</v>
      </c>
      <c r="AC10" s="580">
        <f>+T10+'COM LM (cyc)'!T10</f>
        <v>2.7</v>
      </c>
    </row>
    <row r="11" spans="1:29" x14ac:dyDescent="0.2">
      <c r="A11" s="33">
        <v>1998</v>
      </c>
      <c r="B11" s="127">
        <v>0</v>
      </c>
      <c r="C11" s="30">
        <v>0</v>
      </c>
      <c r="D11" s="412">
        <f t="shared" si="8"/>
        <v>4</v>
      </c>
      <c r="E11" s="209">
        <v>149.07</v>
      </c>
      <c r="F11" s="209">
        <v>54.95</v>
      </c>
      <c r="G11" s="617">
        <v>0</v>
      </c>
      <c r="H11" s="452">
        <f t="shared" si="2"/>
        <v>0</v>
      </c>
      <c r="I11" s="72">
        <f t="shared" si="3"/>
        <v>0</v>
      </c>
      <c r="J11" s="72">
        <f t="shared" si="4"/>
        <v>0</v>
      </c>
      <c r="K11" s="61">
        <f t="shared" si="9"/>
        <v>4</v>
      </c>
      <c r="L11" s="59">
        <f t="shared" si="5"/>
        <v>675</v>
      </c>
      <c r="M11" s="59">
        <f t="shared" si="10"/>
        <v>0</v>
      </c>
      <c r="N11" s="216">
        <v>2.7</v>
      </c>
      <c r="O11" s="767"/>
      <c r="P11" s="768"/>
      <c r="Q11" s="222">
        <f t="shared" si="1"/>
        <v>4</v>
      </c>
      <c r="R11" s="191">
        <f t="shared" si="6"/>
        <v>675</v>
      </c>
      <c r="S11" s="55">
        <f t="shared" si="11"/>
        <v>0</v>
      </c>
      <c r="T11" s="41">
        <v>2.7</v>
      </c>
      <c r="U11" s="770"/>
      <c r="V11" s="767"/>
      <c r="W11" s="236">
        <f t="shared" si="12"/>
        <v>4</v>
      </c>
      <c r="X11" s="233">
        <f t="shared" si="13"/>
        <v>0</v>
      </c>
      <c r="Y11" s="25">
        <f t="shared" si="14"/>
        <v>0</v>
      </c>
      <c r="Z11" s="53">
        <f t="shared" si="7"/>
        <v>0</v>
      </c>
      <c r="AA11" s="10"/>
      <c r="AB11" s="582">
        <f>+N11+'COM LM (cyc)'!N11</f>
        <v>2.7</v>
      </c>
      <c r="AC11" s="580">
        <f>+T11+'COM LM (cyc)'!T11</f>
        <v>2.7</v>
      </c>
    </row>
    <row r="12" spans="1:29" x14ac:dyDescent="0.2">
      <c r="A12" s="33">
        <v>1999</v>
      </c>
      <c r="B12" s="127">
        <v>0</v>
      </c>
      <c r="C12" s="30">
        <v>-1</v>
      </c>
      <c r="D12" s="412">
        <f t="shared" si="8"/>
        <v>3</v>
      </c>
      <c r="E12" s="209">
        <v>149.07</v>
      </c>
      <c r="F12" s="209">
        <v>54.95</v>
      </c>
      <c r="G12" s="617">
        <v>0</v>
      </c>
      <c r="H12" s="452">
        <f t="shared" si="2"/>
        <v>0</v>
      </c>
      <c r="I12" s="72">
        <f t="shared" si="3"/>
        <v>0</v>
      </c>
      <c r="J12" s="72">
        <f t="shared" si="4"/>
        <v>0</v>
      </c>
      <c r="K12" s="61">
        <f t="shared" si="9"/>
        <v>3.5</v>
      </c>
      <c r="L12" s="59">
        <f t="shared" si="5"/>
        <v>57.142857142857146</v>
      </c>
      <c r="M12" s="59">
        <f t="shared" si="10"/>
        <v>-2.5</v>
      </c>
      <c r="N12" s="216">
        <v>0.2</v>
      </c>
      <c r="O12" s="767"/>
      <c r="P12" s="768"/>
      <c r="Q12" s="222">
        <f t="shared" si="1"/>
        <v>4</v>
      </c>
      <c r="R12" s="191">
        <f t="shared" si="6"/>
        <v>54.95</v>
      </c>
      <c r="S12" s="202">
        <f t="shared" si="11"/>
        <v>-2.4802</v>
      </c>
      <c r="T12" s="41">
        <v>0.21980000000000002</v>
      </c>
      <c r="U12" s="771"/>
      <c r="V12" s="772"/>
      <c r="W12" s="236">
        <f t="shared" si="12"/>
        <v>3.5</v>
      </c>
      <c r="X12" s="233">
        <f t="shared" si="13"/>
        <v>0</v>
      </c>
      <c r="Y12" s="25">
        <f t="shared" si="14"/>
        <v>0</v>
      </c>
      <c r="Z12" s="53">
        <f t="shared" si="7"/>
        <v>0</v>
      </c>
      <c r="AA12" s="10"/>
      <c r="AB12" s="582">
        <f>+N12+'COM LM (cyc)'!N12</f>
        <v>0.4</v>
      </c>
      <c r="AC12" s="580">
        <f>+T12+'COM LM (cyc)'!T12</f>
        <v>0.21980000000000002</v>
      </c>
    </row>
    <row r="13" spans="1:29" x14ac:dyDescent="0.2">
      <c r="A13" s="33">
        <v>2000</v>
      </c>
      <c r="B13" s="127">
        <v>0</v>
      </c>
      <c r="C13" s="30">
        <v>-1</v>
      </c>
      <c r="D13" s="412">
        <f t="shared" si="8"/>
        <v>2</v>
      </c>
      <c r="E13" s="209">
        <v>149.07</v>
      </c>
      <c r="F13" s="209">
        <v>54.95</v>
      </c>
      <c r="G13" s="617">
        <v>0</v>
      </c>
      <c r="H13" s="452">
        <f t="shared" si="2"/>
        <v>0</v>
      </c>
      <c r="I13" s="72">
        <f t="shared" si="3"/>
        <v>0</v>
      </c>
      <c r="J13" s="72">
        <f t="shared" si="4"/>
        <v>0</v>
      </c>
      <c r="K13" s="61">
        <f t="shared" si="9"/>
        <v>2.5</v>
      </c>
      <c r="L13" s="59">
        <f t="shared" si="5"/>
        <v>80</v>
      </c>
      <c r="M13" s="59">
        <f t="shared" si="10"/>
        <v>0</v>
      </c>
      <c r="N13" s="216">
        <v>0.2</v>
      </c>
      <c r="O13" s="767"/>
      <c r="P13" s="768"/>
      <c r="Q13" s="222">
        <f t="shared" si="1"/>
        <v>3</v>
      </c>
      <c r="R13" s="191">
        <f t="shared" si="6"/>
        <v>56.666666666666664</v>
      </c>
      <c r="S13" s="55">
        <f t="shared" si="11"/>
        <v>-4.9800000000000011E-2</v>
      </c>
      <c r="T13" s="41">
        <v>0.17</v>
      </c>
      <c r="U13" s="770"/>
      <c r="V13" s="767"/>
      <c r="W13" s="236">
        <f t="shared" si="12"/>
        <v>2.5</v>
      </c>
      <c r="X13" s="233">
        <f t="shared" si="13"/>
        <v>0</v>
      </c>
      <c r="Y13" s="25">
        <f t="shared" si="14"/>
        <v>0</v>
      </c>
      <c r="Z13" s="53">
        <f t="shared" si="7"/>
        <v>0</v>
      </c>
      <c r="AA13" s="9"/>
      <c r="AB13" s="582">
        <f>+N13+'COM LM (cyc)'!N13</f>
        <v>0.30000000000000004</v>
      </c>
      <c r="AC13" s="580">
        <f>+T13+'COM LM (cyc)'!T13</f>
        <v>0.17</v>
      </c>
    </row>
    <row r="14" spans="1:29" x14ac:dyDescent="0.2">
      <c r="A14" s="33">
        <v>2001</v>
      </c>
      <c r="B14" s="127">
        <v>0</v>
      </c>
      <c r="C14" s="30">
        <v>0</v>
      </c>
      <c r="D14" s="412">
        <f t="shared" si="8"/>
        <v>2</v>
      </c>
      <c r="E14" s="209">
        <v>105.5</v>
      </c>
      <c r="F14" s="209">
        <v>105.5</v>
      </c>
      <c r="G14" s="617">
        <v>0</v>
      </c>
      <c r="H14" s="452">
        <f t="shared" si="2"/>
        <v>0</v>
      </c>
      <c r="I14" s="72">
        <f t="shared" si="3"/>
        <v>0</v>
      </c>
      <c r="J14" s="72">
        <f t="shared" si="4"/>
        <v>0</v>
      </c>
      <c r="K14" s="61">
        <f t="shared" si="9"/>
        <v>2</v>
      </c>
      <c r="L14" s="59">
        <f t="shared" si="5"/>
        <v>57.5</v>
      </c>
      <c r="M14" s="59">
        <f t="shared" si="10"/>
        <v>-8.5000000000000006E-2</v>
      </c>
      <c r="N14" s="216">
        <v>0.115</v>
      </c>
      <c r="O14" s="767"/>
      <c r="P14" s="768"/>
      <c r="Q14" s="222">
        <f t="shared" si="1"/>
        <v>2</v>
      </c>
      <c r="R14" s="191">
        <f t="shared" si="6"/>
        <v>85</v>
      </c>
      <c r="S14" s="55">
        <f t="shared" si="11"/>
        <v>0</v>
      </c>
      <c r="T14" s="41">
        <v>0.17</v>
      </c>
      <c r="U14" s="770"/>
      <c r="V14" s="767"/>
      <c r="W14" s="236">
        <f t="shared" si="12"/>
        <v>2</v>
      </c>
      <c r="X14" s="233">
        <f t="shared" si="13"/>
        <v>0</v>
      </c>
      <c r="Y14" s="25">
        <f t="shared" si="14"/>
        <v>0</v>
      </c>
      <c r="Z14" s="53">
        <f t="shared" si="7"/>
        <v>0</v>
      </c>
      <c r="AA14" s="9"/>
      <c r="AB14" s="582">
        <f>+N14+'COM LM (cyc)'!N14</f>
        <v>0.2</v>
      </c>
      <c r="AC14" s="580">
        <f>+T14+'COM LM (cyc)'!T14</f>
        <v>0.17</v>
      </c>
    </row>
    <row r="15" spans="1:29" x14ac:dyDescent="0.2">
      <c r="A15" s="33">
        <v>2002</v>
      </c>
      <c r="B15" s="127">
        <v>0</v>
      </c>
      <c r="C15" s="30">
        <v>-1</v>
      </c>
      <c r="D15" s="412">
        <f t="shared" si="8"/>
        <v>1</v>
      </c>
      <c r="E15" s="209">
        <v>149.07</v>
      </c>
      <c r="F15" s="209">
        <v>54.95</v>
      </c>
      <c r="G15" s="617">
        <v>0</v>
      </c>
      <c r="H15" s="452">
        <f t="shared" si="2"/>
        <v>0</v>
      </c>
      <c r="I15" s="72">
        <f t="shared" si="3"/>
        <v>0</v>
      </c>
      <c r="J15" s="72">
        <f t="shared" si="4"/>
        <v>0</v>
      </c>
      <c r="K15" s="61">
        <f t="shared" si="9"/>
        <v>1.5</v>
      </c>
      <c r="L15" s="59">
        <f t="shared" si="5"/>
        <v>100</v>
      </c>
      <c r="M15" s="59">
        <f t="shared" si="10"/>
        <v>3.4999999999999989E-2</v>
      </c>
      <c r="N15" s="216">
        <v>0.15</v>
      </c>
      <c r="O15" s="767"/>
      <c r="P15" s="768"/>
      <c r="Q15" s="222">
        <f t="shared" si="1"/>
        <v>2</v>
      </c>
      <c r="R15" s="191">
        <f t="shared" si="6"/>
        <v>113</v>
      </c>
      <c r="S15" s="55">
        <f t="shared" si="11"/>
        <v>5.5999999999999994E-2</v>
      </c>
      <c r="T15" s="41">
        <v>0.22600000000000001</v>
      </c>
      <c r="U15" s="770"/>
      <c r="V15" s="767"/>
      <c r="W15" s="236">
        <f t="shared" si="12"/>
        <v>1.5</v>
      </c>
      <c r="X15" s="233">
        <f t="shared" si="13"/>
        <v>0</v>
      </c>
      <c r="Y15" s="25">
        <f t="shared" si="14"/>
        <v>0</v>
      </c>
      <c r="Z15" s="53">
        <f t="shared" si="7"/>
        <v>0</v>
      </c>
      <c r="AA15" s="9"/>
      <c r="AB15" s="582">
        <f>+N15+'COM LM (cyc)'!N15</f>
        <v>0.3</v>
      </c>
      <c r="AC15" s="580">
        <f>+T15+'COM LM (cyc)'!T15</f>
        <v>0.22600000000000001</v>
      </c>
    </row>
    <row r="16" spans="1:29" x14ac:dyDescent="0.2">
      <c r="A16" s="33">
        <v>2003</v>
      </c>
      <c r="B16" s="127">
        <v>0</v>
      </c>
      <c r="C16" s="30">
        <v>0</v>
      </c>
      <c r="D16" s="412">
        <f t="shared" si="8"/>
        <v>1</v>
      </c>
      <c r="E16" s="209">
        <v>164</v>
      </c>
      <c r="F16" s="209">
        <v>141</v>
      </c>
      <c r="G16" s="617">
        <v>0</v>
      </c>
      <c r="H16" s="452">
        <f t="shared" si="2"/>
        <v>0</v>
      </c>
      <c r="I16" s="72">
        <f t="shared" si="3"/>
        <v>0</v>
      </c>
      <c r="J16" s="72">
        <f t="shared" si="4"/>
        <v>0</v>
      </c>
      <c r="K16" s="61">
        <f t="shared" si="9"/>
        <v>1</v>
      </c>
      <c r="L16" s="59">
        <f t="shared" si="5"/>
        <v>110</v>
      </c>
      <c r="M16" s="59">
        <f t="shared" si="10"/>
        <v>-3.9999999999999994E-2</v>
      </c>
      <c r="N16" s="216">
        <v>0.11</v>
      </c>
      <c r="O16" s="767"/>
      <c r="P16" s="768"/>
      <c r="Q16" s="222">
        <f t="shared" si="1"/>
        <v>1</v>
      </c>
      <c r="R16" s="191">
        <f t="shared" si="6"/>
        <v>200</v>
      </c>
      <c r="S16" s="55">
        <f t="shared" si="11"/>
        <v>-2.5999999999999995E-2</v>
      </c>
      <c r="T16" s="41">
        <v>0.2</v>
      </c>
      <c r="U16" s="770"/>
      <c r="V16" s="767"/>
      <c r="W16" s="236">
        <f t="shared" si="12"/>
        <v>1</v>
      </c>
      <c r="X16" s="233">
        <f t="shared" si="13"/>
        <v>0</v>
      </c>
      <c r="Y16" s="25">
        <f t="shared" si="14"/>
        <v>0</v>
      </c>
      <c r="Z16" s="53">
        <f t="shared" si="7"/>
        <v>0</v>
      </c>
      <c r="AA16" s="9"/>
      <c r="AB16" s="582">
        <f>+N16+'COM LM (cyc)'!N16</f>
        <v>0.3</v>
      </c>
      <c r="AC16" s="580">
        <f>+T16+'COM LM (cyc)'!T16</f>
        <v>0.2</v>
      </c>
    </row>
    <row r="17" spans="1:29" x14ac:dyDescent="0.2">
      <c r="A17" s="33">
        <v>2004</v>
      </c>
      <c r="B17" s="127">
        <v>0</v>
      </c>
      <c r="C17" s="30">
        <v>0</v>
      </c>
      <c r="D17" s="412">
        <f t="shared" si="8"/>
        <v>1</v>
      </c>
      <c r="E17" s="411">
        <v>164</v>
      </c>
      <c r="F17" s="209">
        <v>141</v>
      </c>
      <c r="G17" s="617">
        <v>0</v>
      </c>
      <c r="H17" s="452">
        <f t="shared" si="2"/>
        <v>0</v>
      </c>
      <c r="I17" s="72">
        <f t="shared" si="3"/>
        <v>0</v>
      </c>
      <c r="J17" s="72">
        <f t="shared" si="4"/>
        <v>0</v>
      </c>
      <c r="K17" s="61">
        <f t="shared" si="9"/>
        <v>1</v>
      </c>
      <c r="L17" s="59">
        <f t="shared" si="5"/>
        <v>115</v>
      </c>
      <c r="M17" s="59">
        <f t="shared" si="10"/>
        <v>5.0000000000000044E-3</v>
      </c>
      <c r="N17" s="216">
        <v>0.115</v>
      </c>
      <c r="O17" s="767"/>
      <c r="P17" s="768"/>
      <c r="Q17" s="222">
        <f t="shared" si="1"/>
        <v>1</v>
      </c>
      <c r="R17" s="191">
        <f t="shared" si="6"/>
        <v>200</v>
      </c>
      <c r="S17" s="55">
        <f t="shared" si="11"/>
        <v>0</v>
      </c>
      <c r="T17" s="41">
        <v>0.2</v>
      </c>
      <c r="U17" s="770"/>
      <c r="V17" s="767"/>
      <c r="W17" s="236">
        <f t="shared" si="12"/>
        <v>1</v>
      </c>
      <c r="X17" s="233">
        <f t="shared" si="13"/>
        <v>0</v>
      </c>
      <c r="Y17" s="25">
        <f t="shared" si="14"/>
        <v>0</v>
      </c>
      <c r="Z17" s="53">
        <f t="shared" si="7"/>
        <v>0</v>
      </c>
      <c r="AA17" s="9"/>
      <c r="AB17" s="582">
        <f>+N17+'COM LM (cyc)'!N17</f>
        <v>0.3</v>
      </c>
      <c r="AC17" s="580">
        <f>+T17+'COM LM (cyc)'!T17</f>
        <v>0.2</v>
      </c>
    </row>
    <row r="18" spans="1:29" x14ac:dyDescent="0.2">
      <c r="A18" s="33">
        <f>+A17+1</f>
        <v>2005</v>
      </c>
      <c r="B18" s="127">
        <v>0</v>
      </c>
      <c r="C18" s="30">
        <v>-1</v>
      </c>
      <c r="D18" s="412">
        <f t="shared" si="8"/>
        <v>0</v>
      </c>
      <c r="E18" s="209">
        <v>0</v>
      </c>
      <c r="F18" s="209">
        <v>0</v>
      </c>
      <c r="G18" s="618">
        <v>0</v>
      </c>
      <c r="H18" s="452">
        <f t="shared" si="2"/>
        <v>0</v>
      </c>
      <c r="I18" s="72">
        <f t="shared" si="3"/>
        <v>0</v>
      </c>
      <c r="J18" s="72">
        <f t="shared" si="4"/>
        <v>0</v>
      </c>
      <c r="K18" s="61">
        <f t="shared" si="9"/>
        <v>0.5</v>
      </c>
      <c r="L18" s="59">
        <f t="shared" si="5"/>
        <v>1000</v>
      </c>
      <c r="M18" s="59">
        <f t="shared" ref="M18:M37" si="15">+N18-N17</f>
        <v>0.38500000000000001</v>
      </c>
      <c r="N18" s="216">
        <v>0.5</v>
      </c>
      <c r="O18" s="226">
        <v>0</v>
      </c>
      <c r="P18" s="424">
        <v>91</v>
      </c>
      <c r="Q18" s="222">
        <f t="shared" ref="Q18:Q37" si="16">+D17</f>
        <v>1</v>
      </c>
      <c r="R18" s="191">
        <f t="shared" si="6"/>
        <v>100</v>
      </c>
      <c r="S18" s="55">
        <f t="shared" ref="S18:S37" si="17">+T18-T17</f>
        <v>-0.1</v>
      </c>
      <c r="T18" s="41">
        <v>0.1</v>
      </c>
      <c r="U18" s="228">
        <v>0</v>
      </c>
      <c r="V18" s="373">
        <v>33</v>
      </c>
      <c r="W18" s="236">
        <f t="shared" si="12"/>
        <v>0.5</v>
      </c>
      <c r="X18" s="233">
        <f t="shared" si="13"/>
        <v>0</v>
      </c>
      <c r="Y18" s="25">
        <f t="shared" si="14"/>
        <v>0</v>
      </c>
      <c r="Z18" s="53">
        <f t="shared" si="7"/>
        <v>0</v>
      </c>
      <c r="AA18" s="9"/>
      <c r="AB18" s="582">
        <f>+N18+'COM LM (cyc)'!N18</f>
        <v>0.8</v>
      </c>
      <c r="AC18" s="580">
        <f>+T18+'COM LM (cyc)'!T18</f>
        <v>0.1</v>
      </c>
    </row>
    <row r="19" spans="1:29" x14ac:dyDescent="0.2">
      <c r="A19" s="33">
        <f t="shared" ref="A19:A38" si="18">+A18+1</f>
        <v>2006</v>
      </c>
      <c r="B19" s="127">
        <v>0</v>
      </c>
      <c r="C19" s="30">
        <v>0</v>
      </c>
      <c r="D19" s="412">
        <f t="shared" si="8"/>
        <v>0</v>
      </c>
      <c r="E19" s="209">
        <v>0</v>
      </c>
      <c r="F19" s="209">
        <v>0</v>
      </c>
      <c r="G19" s="618">
        <v>0</v>
      </c>
      <c r="H19" s="452">
        <f t="shared" si="2"/>
        <v>0</v>
      </c>
      <c r="I19" s="72">
        <f t="shared" si="3"/>
        <v>0</v>
      </c>
      <c r="J19" s="72">
        <f t="shared" si="4"/>
        <v>0</v>
      </c>
      <c r="K19" s="61">
        <f t="shared" si="9"/>
        <v>0</v>
      </c>
      <c r="L19" s="59">
        <f t="shared" si="5"/>
        <v>0</v>
      </c>
      <c r="M19" s="59">
        <f t="shared" si="15"/>
        <v>-0.5</v>
      </c>
      <c r="N19" s="216">
        <v>0</v>
      </c>
      <c r="O19" s="226">
        <v>0</v>
      </c>
      <c r="P19" s="593">
        <v>92</v>
      </c>
      <c r="Q19" s="222">
        <f t="shared" si="16"/>
        <v>0</v>
      </c>
      <c r="R19" s="191">
        <f t="shared" si="6"/>
        <v>0</v>
      </c>
      <c r="S19" s="55">
        <f>+T19-T18</f>
        <v>-0.1</v>
      </c>
      <c r="T19" s="41">
        <v>0</v>
      </c>
      <c r="U19" s="294">
        <v>0</v>
      </c>
      <c r="V19" s="373">
        <v>40</v>
      </c>
      <c r="W19" s="236">
        <f t="shared" si="12"/>
        <v>0</v>
      </c>
      <c r="X19" s="233">
        <f t="shared" si="13"/>
        <v>0</v>
      </c>
      <c r="Y19" s="25">
        <f t="shared" si="14"/>
        <v>0</v>
      </c>
      <c r="Z19" s="53">
        <f t="shared" si="7"/>
        <v>0</v>
      </c>
      <c r="AA19" s="8"/>
      <c r="AB19" s="582">
        <f>+N19+'COM LM (cyc)'!N19</f>
        <v>0.53795000000000004</v>
      </c>
      <c r="AC19" s="580">
        <f>+T19+'COM LM (cyc)'!T19</f>
        <v>0</v>
      </c>
    </row>
    <row r="20" spans="1:29" x14ac:dyDescent="0.2">
      <c r="A20" s="33">
        <f t="shared" si="18"/>
        <v>2007</v>
      </c>
      <c r="B20" s="127">
        <v>0</v>
      </c>
      <c r="C20" s="30">
        <v>0</v>
      </c>
      <c r="D20" s="412">
        <f t="shared" si="8"/>
        <v>0</v>
      </c>
      <c r="E20" s="209">
        <v>0</v>
      </c>
      <c r="F20" s="209">
        <v>0</v>
      </c>
      <c r="G20" s="625">
        <v>0</v>
      </c>
      <c r="H20" s="626">
        <f t="shared" si="2"/>
        <v>0</v>
      </c>
      <c r="I20" s="72">
        <f t="shared" si="3"/>
        <v>0</v>
      </c>
      <c r="J20" s="72">
        <f t="shared" si="4"/>
        <v>0</v>
      </c>
      <c r="K20" s="61">
        <f t="shared" si="9"/>
        <v>0</v>
      </c>
      <c r="L20" s="59">
        <f t="shared" si="5"/>
        <v>0</v>
      </c>
      <c r="M20" s="59">
        <f t="shared" si="15"/>
        <v>0</v>
      </c>
      <c r="N20" s="226">
        <v>0</v>
      </c>
      <c r="O20" s="226">
        <v>0</v>
      </c>
      <c r="P20" s="593">
        <v>94</v>
      </c>
      <c r="Q20" s="222">
        <f t="shared" si="16"/>
        <v>0</v>
      </c>
      <c r="R20" s="191">
        <f t="shared" si="6"/>
        <v>0</v>
      </c>
      <c r="S20" s="55">
        <f t="shared" si="17"/>
        <v>0</v>
      </c>
      <c r="T20" s="41">
        <v>0</v>
      </c>
      <c r="U20" s="294">
        <v>0</v>
      </c>
      <c r="V20" s="373">
        <v>41</v>
      </c>
      <c r="W20" s="236">
        <f t="shared" si="12"/>
        <v>0</v>
      </c>
      <c r="X20" s="233">
        <f t="shared" si="13"/>
        <v>0</v>
      </c>
      <c r="Y20" s="25">
        <f t="shared" si="14"/>
        <v>0</v>
      </c>
      <c r="Z20" s="53">
        <f t="shared" si="7"/>
        <v>0</v>
      </c>
      <c r="AA20" s="2"/>
      <c r="AB20" s="582">
        <f>+N20+'COM LM (cyc)'!N20</f>
        <v>0.41990000000000005</v>
      </c>
      <c r="AC20" s="580">
        <f>+T20+'COM LM (cyc)'!T20</f>
        <v>0</v>
      </c>
    </row>
    <row r="21" spans="1:29" x14ac:dyDescent="0.2">
      <c r="A21" s="33">
        <f t="shared" si="18"/>
        <v>2008</v>
      </c>
      <c r="B21" s="127">
        <v>0</v>
      </c>
      <c r="C21" s="30">
        <v>0</v>
      </c>
      <c r="D21" s="412">
        <f t="shared" si="8"/>
        <v>0</v>
      </c>
      <c r="E21" s="209">
        <v>0</v>
      </c>
      <c r="F21" s="209">
        <v>0</v>
      </c>
      <c r="G21" s="625">
        <v>0</v>
      </c>
      <c r="H21" s="626">
        <f t="shared" si="2"/>
        <v>0</v>
      </c>
      <c r="I21" s="72">
        <f t="shared" si="3"/>
        <v>0</v>
      </c>
      <c r="J21" s="72">
        <f t="shared" si="4"/>
        <v>0</v>
      </c>
      <c r="K21" s="61">
        <f t="shared" si="9"/>
        <v>0</v>
      </c>
      <c r="L21" s="59">
        <f t="shared" si="5"/>
        <v>0</v>
      </c>
      <c r="M21" s="59">
        <f t="shared" si="15"/>
        <v>0</v>
      </c>
      <c r="N21" s="226">
        <v>0</v>
      </c>
      <c r="O21" s="226">
        <v>0</v>
      </c>
      <c r="P21" s="593">
        <v>96</v>
      </c>
      <c r="Q21" s="222">
        <f t="shared" si="16"/>
        <v>0</v>
      </c>
      <c r="R21" s="191">
        <f t="shared" si="6"/>
        <v>0</v>
      </c>
      <c r="S21" s="55">
        <f t="shared" si="17"/>
        <v>0</v>
      </c>
      <c r="T21" s="41">
        <v>0</v>
      </c>
      <c r="U21" s="294">
        <v>0</v>
      </c>
      <c r="V21" s="373">
        <v>30</v>
      </c>
      <c r="W21" s="236">
        <f t="shared" si="12"/>
        <v>0</v>
      </c>
      <c r="X21" s="233">
        <f t="shared" si="13"/>
        <v>0</v>
      </c>
      <c r="Y21" s="25">
        <f t="shared" si="14"/>
        <v>0</v>
      </c>
      <c r="Z21" s="53">
        <f t="shared" si="7"/>
        <v>0</v>
      </c>
      <c r="AA21" s="2"/>
      <c r="AB21" s="582">
        <f>+N21+'COM LM (cyc)'!N21</f>
        <v>0.41990000000000005</v>
      </c>
      <c r="AC21" s="580">
        <f>+T21+'COM LM (cyc)'!T21</f>
        <v>0</v>
      </c>
    </row>
    <row r="22" spans="1:29" x14ac:dyDescent="0.2">
      <c r="A22" s="33">
        <f t="shared" si="18"/>
        <v>2009</v>
      </c>
      <c r="B22" s="568">
        <v>0</v>
      </c>
      <c r="C22" s="30">
        <v>0</v>
      </c>
      <c r="D22" s="412">
        <f t="shared" si="8"/>
        <v>0</v>
      </c>
      <c r="E22" s="209">
        <v>141</v>
      </c>
      <c r="F22" s="209">
        <v>164</v>
      </c>
      <c r="G22" s="625">
        <v>0</v>
      </c>
      <c r="H22" s="626">
        <f t="shared" si="2"/>
        <v>0</v>
      </c>
      <c r="I22" s="72">
        <f t="shared" si="3"/>
        <v>0</v>
      </c>
      <c r="J22" s="72">
        <f t="shared" si="4"/>
        <v>0</v>
      </c>
      <c r="K22" s="61">
        <f t="shared" si="9"/>
        <v>0</v>
      </c>
      <c r="L22" s="59">
        <f t="shared" si="5"/>
        <v>0</v>
      </c>
      <c r="M22" s="59">
        <f t="shared" si="15"/>
        <v>0</v>
      </c>
      <c r="N22" s="226">
        <v>0</v>
      </c>
      <c r="O22" s="226">
        <v>0</v>
      </c>
      <c r="P22" s="593">
        <v>93</v>
      </c>
      <c r="Q22" s="222">
        <f t="shared" si="16"/>
        <v>0</v>
      </c>
      <c r="R22" s="191">
        <f t="shared" si="6"/>
        <v>0</v>
      </c>
      <c r="S22" s="55">
        <f t="shared" si="17"/>
        <v>0</v>
      </c>
      <c r="T22" s="41">
        <v>0</v>
      </c>
      <c r="U22" s="294">
        <v>0</v>
      </c>
      <c r="V22" s="373">
        <v>35</v>
      </c>
      <c r="W22" s="236">
        <f t="shared" si="12"/>
        <v>0</v>
      </c>
      <c r="X22" s="233">
        <f t="shared" si="13"/>
        <v>0</v>
      </c>
      <c r="Y22" s="25">
        <f t="shared" si="14"/>
        <v>0</v>
      </c>
      <c r="Z22" s="53">
        <f t="shared" si="7"/>
        <v>0</v>
      </c>
      <c r="AA22" s="2"/>
      <c r="AB22" s="582">
        <f>+N22+'COM LM (cyc)'!N22</f>
        <v>0.20200000000000001</v>
      </c>
      <c r="AC22" s="580">
        <f>+T22+'COM LM (cyc)'!T22</f>
        <v>0</v>
      </c>
    </row>
    <row r="23" spans="1:29" x14ac:dyDescent="0.2">
      <c r="A23" s="194">
        <f t="shared" si="18"/>
        <v>2010</v>
      </c>
      <c r="B23" s="568">
        <v>0</v>
      </c>
      <c r="C23" s="30">
        <v>0</v>
      </c>
      <c r="D23" s="412">
        <f t="shared" si="8"/>
        <v>0</v>
      </c>
      <c r="E23" s="209">
        <v>92</v>
      </c>
      <c r="F23" s="209">
        <v>60</v>
      </c>
      <c r="G23" s="625">
        <v>0</v>
      </c>
      <c r="H23" s="626">
        <f t="shared" si="2"/>
        <v>0</v>
      </c>
      <c r="I23" s="72">
        <f t="shared" si="3"/>
        <v>0</v>
      </c>
      <c r="J23" s="72">
        <f t="shared" si="4"/>
        <v>0</v>
      </c>
      <c r="K23" s="61">
        <f t="shared" si="9"/>
        <v>0</v>
      </c>
      <c r="L23" s="59">
        <f t="shared" si="5"/>
        <v>0</v>
      </c>
      <c r="M23" s="59">
        <f t="shared" si="15"/>
        <v>0</v>
      </c>
      <c r="N23" s="226">
        <v>0</v>
      </c>
      <c r="O23" s="226">
        <v>0</v>
      </c>
      <c r="P23" s="593">
        <v>93</v>
      </c>
      <c r="Q23" s="597">
        <f t="shared" si="16"/>
        <v>0</v>
      </c>
      <c r="R23" s="191">
        <f t="shared" si="6"/>
        <v>0</v>
      </c>
      <c r="S23" s="55">
        <f t="shared" si="17"/>
        <v>0</v>
      </c>
      <c r="T23" s="41">
        <v>0</v>
      </c>
      <c r="U23" s="294">
        <v>0</v>
      </c>
      <c r="V23" s="373">
        <v>32</v>
      </c>
      <c r="W23" s="236">
        <f t="shared" si="12"/>
        <v>0</v>
      </c>
      <c r="X23" s="233">
        <f t="shared" si="13"/>
        <v>0</v>
      </c>
      <c r="Y23" s="25">
        <f t="shared" si="14"/>
        <v>0</v>
      </c>
      <c r="Z23" s="53">
        <f t="shared" si="7"/>
        <v>0</v>
      </c>
      <c r="AA23" s="2"/>
    </row>
    <row r="24" spans="1:29" x14ac:dyDescent="0.2">
      <c r="A24" s="33">
        <f t="shared" si="18"/>
        <v>2011</v>
      </c>
      <c r="B24" s="568">
        <v>0</v>
      </c>
      <c r="C24" s="30">
        <v>0</v>
      </c>
      <c r="D24" s="412">
        <f t="shared" si="8"/>
        <v>0</v>
      </c>
      <c r="E24" s="209">
        <v>92</v>
      </c>
      <c r="F24" s="209">
        <v>60</v>
      </c>
      <c r="G24" s="625">
        <v>0</v>
      </c>
      <c r="H24" s="626">
        <f t="shared" si="2"/>
        <v>0</v>
      </c>
      <c r="I24" s="72">
        <f t="shared" si="3"/>
        <v>0</v>
      </c>
      <c r="J24" s="72">
        <f t="shared" si="4"/>
        <v>0</v>
      </c>
      <c r="K24" s="61">
        <f t="shared" si="9"/>
        <v>0</v>
      </c>
      <c r="L24" s="59">
        <f t="shared" si="5"/>
        <v>0</v>
      </c>
      <c r="M24" s="59">
        <f t="shared" si="15"/>
        <v>0</v>
      </c>
      <c r="N24" s="226">
        <v>0</v>
      </c>
      <c r="O24" s="226">
        <v>0</v>
      </c>
      <c r="P24" s="593">
        <v>92</v>
      </c>
      <c r="Q24" s="597">
        <f t="shared" si="16"/>
        <v>0</v>
      </c>
      <c r="R24" s="191">
        <f t="shared" si="6"/>
        <v>0</v>
      </c>
      <c r="S24" s="55">
        <f t="shared" si="17"/>
        <v>0</v>
      </c>
      <c r="T24" s="41">
        <v>0</v>
      </c>
      <c r="U24" s="294">
        <v>0</v>
      </c>
      <c r="V24" s="373">
        <v>36</v>
      </c>
      <c r="W24" s="236">
        <f t="shared" si="12"/>
        <v>0</v>
      </c>
      <c r="X24" s="233">
        <f t="shared" si="13"/>
        <v>0</v>
      </c>
      <c r="Y24" s="25">
        <f t="shared" si="14"/>
        <v>0</v>
      </c>
      <c r="Z24" s="53">
        <f t="shared" si="7"/>
        <v>0</v>
      </c>
      <c r="AA24" s="2"/>
    </row>
    <row r="25" spans="1:29" x14ac:dyDescent="0.2">
      <c r="A25" s="33">
        <f t="shared" si="18"/>
        <v>2012</v>
      </c>
      <c r="B25" s="568">
        <v>0</v>
      </c>
      <c r="C25" s="30">
        <v>0</v>
      </c>
      <c r="D25" s="412">
        <f t="shared" si="8"/>
        <v>0</v>
      </c>
      <c r="E25" s="209">
        <v>92</v>
      </c>
      <c r="F25" s="209">
        <v>60</v>
      </c>
      <c r="G25" s="625">
        <v>0</v>
      </c>
      <c r="H25" s="626">
        <f t="shared" si="2"/>
        <v>0</v>
      </c>
      <c r="I25" s="72">
        <f t="shared" si="3"/>
        <v>0</v>
      </c>
      <c r="J25" s="72">
        <f t="shared" si="4"/>
        <v>0</v>
      </c>
      <c r="K25" s="61">
        <f t="shared" si="9"/>
        <v>0</v>
      </c>
      <c r="L25" s="59">
        <f t="shared" si="5"/>
        <v>0</v>
      </c>
      <c r="M25" s="59">
        <f t="shared" si="15"/>
        <v>0</v>
      </c>
      <c r="N25" s="226">
        <v>0</v>
      </c>
      <c r="O25" s="226">
        <v>0</v>
      </c>
      <c r="P25" s="593">
        <v>92</v>
      </c>
      <c r="Q25" s="597">
        <f t="shared" si="16"/>
        <v>0</v>
      </c>
      <c r="R25" s="191">
        <f t="shared" si="6"/>
        <v>0</v>
      </c>
      <c r="S25" s="55">
        <f t="shared" si="17"/>
        <v>0</v>
      </c>
      <c r="T25" s="41">
        <v>0</v>
      </c>
      <c r="U25" s="294">
        <v>0</v>
      </c>
      <c r="V25" s="373">
        <v>36</v>
      </c>
      <c r="W25" s="236">
        <f t="shared" si="12"/>
        <v>0</v>
      </c>
      <c r="X25" s="233">
        <f t="shared" si="13"/>
        <v>0</v>
      </c>
      <c r="Y25" s="25">
        <f t="shared" si="14"/>
        <v>0</v>
      </c>
      <c r="Z25" s="53">
        <f t="shared" si="7"/>
        <v>0</v>
      </c>
      <c r="AA25" s="2"/>
    </row>
    <row r="26" spans="1:29" s="831" customFormat="1" x14ac:dyDescent="0.2">
      <c r="A26" s="33">
        <f t="shared" si="18"/>
        <v>2013</v>
      </c>
      <c r="B26" s="568">
        <v>0</v>
      </c>
      <c r="C26" s="30">
        <v>0</v>
      </c>
      <c r="D26" s="412">
        <f t="shared" si="8"/>
        <v>0</v>
      </c>
      <c r="E26" s="209">
        <f t="shared" ref="E26:E54" si="19">+E25</f>
        <v>92</v>
      </c>
      <c r="F26" s="209">
        <f t="shared" ref="F26:F54" si="20">+F25</f>
        <v>60</v>
      </c>
      <c r="G26" s="625">
        <v>0</v>
      </c>
      <c r="H26" s="626">
        <f>+$B26*E26/1000</f>
        <v>0</v>
      </c>
      <c r="I26" s="72">
        <f>+$B26*F26/1000</f>
        <v>0</v>
      </c>
      <c r="J26" s="630">
        <f>+$B26*G26/1000000</f>
        <v>0</v>
      </c>
      <c r="K26" s="61">
        <f>+(D26+D25)/2</f>
        <v>0</v>
      </c>
      <c r="L26" s="59">
        <f t="shared" si="5"/>
        <v>0</v>
      </c>
      <c r="M26" s="59">
        <f>+N26-N25</f>
        <v>0</v>
      </c>
      <c r="N26" s="226">
        <f>+K26*L26/1000</f>
        <v>0</v>
      </c>
      <c r="O26" s="226">
        <v>0</v>
      </c>
      <c r="P26" s="593">
        <v>90</v>
      </c>
      <c r="Q26" s="597">
        <f t="shared" si="16"/>
        <v>0</v>
      </c>
      <c r="R26" s="191">
        <f t="shared" si="6"/>
        <v>0</v>
      </c>
      <c r="S26" s="55">
        <f t="shared" si="17"/>
        <v>0</v>
      </c>
      <c r="T26" s="41">
        <f t="shared" ref="T26:T37" si="21">+Q26*R26/1000</f>
        <v>0</v>
      </c>
      <c r="U26" s="294">
        <v>0</v>
      </c>
      <c r="V26" s="373">
        <v>40</v>
      </c>
      <c r="W26" s="236">
        <f t="shared" si="12"/>
        <v>0</v>
      </c>
      <c r="X26" s="233">
        <f t="shared" si="13"/>
        <v>0</v>
      </c>
      <c r="Y26" s="25">
        <f t="shared" si="14"/>
        <v>0</v>
      </c>
      <c r="Z26" s="53">
        <f t="shared" si="7"/>
        <v>0</v>
      </c>
      <c r="AA26" s="830"/>
    </row>
    <row r="27" spans="1:29" s="831" customFormat="1" x14ac:dyDescent="0.2">
      <c r="A27" s="33">
        <f t="shared" si="18"/>
        <v>2014</v>
      </c>
      <c r="B27" s="568">
        <v>0</v>
      </c>
      <c r="C27" s="30">
        <v>0</v>
      </c>
      <c r="D27" s="412">
        <f t="shared" si="8"/>
        <v>0</v>
      </c>
      <c r="E27" s="209">
        <f t="shared" si="19"/>
        <v>92</v>
      </c>
      <c r="F27" s="209">
        <f t="shared" si="20"/>
        <v>60</v>
      </c>
      <c r="G27" s="625">
        <v>0</v>
      </c>
      <c r="H27" s="626">
        <f t="shared" ref="H27:H42" si="22">+$B27*E27/1000</f>
        <v>0</v>
      </c>
      <c r="I27" s="72">
        <f t="shared" ref="I27:I42" si="23">+$B27*F27/1000</f>
        <v>0</v>
      </c>
      <c r="J27" s="630">
        <f t="shared" ref="J27:J37" si="24">+$C27*G27/1000000</f>
        <v>0</v>
      </c>
      <c r="K27" s="61">
        <f t="shared" si="9"/>
        <v>0</v>
      </c>
      <c r="L27" s="59">
        <f t="shared" si="5"/>
        <v>0</v>
      </c>
      <c r="M27" s="59">
        <f t="shared" si="15"/>
        <v>0</v>
      </c>
      <c r="N27" s="226">
        <f t="shared" ref="N27:N37" si="25">+K27*L27/1000</f>
        <v>0</v>
      </c>
      <c r="O27" s="226">
        <v>0</v>
      </c>
      <c r="P27" s="593">
        <f>'RES Prime Time'!P27</f>
        <v>92</v>
      </c>
      <c r="Q27" s="597">
        <f t="shared" si="16"/>
        <v>0</v>
      </c>
      <c r="R27" s="191">
        <f t="shared" si="6"/>
        <v>0</v>
      </c>
      <c r="S27" s="55">
        <f t="shared" si="17"/>
        <v>0</v>
      </c>
      <c r="T27" s="41">
        <f t="shared" si="21"/>
        <v>0</v>
      </c>
      <c r="U27" s="294">
        <v>0</v>
      </c>
      <c r="V27" s="373">
        <f>'RES Prime Time'!V27</f>
        <v>40</v>
      </c>
      <c r="W27" s="236">
        <f t="shared" si="12"/>
        <v>0</v>
      </c>
      <c r="X27" s="233">
        <f t="shared" si="13"/>
        <v>0</v>
      </c>
      <c r="Y27" s="25">
        <f t="shared" si="14"/>
        <v>0</v>
      </c>
      <c r="Z27" s="53">
        <f t="shared" si="7"/>
        <v>0</v>
      </c>
      <c r="AA27" s="830"/>
    </row>
    <row r="28" spans="1:29" s="831" customFormat="1" x14ac:dyDescent="0.2">
      <c r="A28" s="33">
        <f t="shared" si="18"/>
        <v>2015</v>
      </c>
      <c r="B28" s="568">
        <v>0</v>
      </c>
      <c r="C28" s="30">
        <v>0</v>
      </c>
      <c r="D28" s="412">
        <f t="shared" si="8"/>
        <v>0</v>
      </c>
      <c r="E28" s="209">
        <f t="shared" si="19"/>
        <v>92</v>
      </c>
      <c r="F28" s="209">
        <f t="shared" si="20"/>
        <v>60</v>
      </c>
      <c r="G28" s="625">
        <v>0</v>
      </c>
      <c r="H28" s="626">
        <f t="shared" si="22"/>
        <v>0</v>
      </c>
      <c r="I28" s="72">
        <f t="shared" si="23"/>
        <v>0</v>
      </c>
      <c r="J28" s="630">
        <f t="shared" si="24"/>
        <v>0</v>
      </c>
      <c r="K28" s="61">
        <f t="shared" si="9"/>
        <v>0</v>
      </c>
      <c r="L28" s="59">
        <f t="shared" si="5"/>
        <v>0</v>
      </c>
      <c r="M28" s="59">
        <f t="shared" si="15"/>
        <v>0</v>
      </c>
      <c r="N28" s="226">
        <f t="shared" si="25"/>
        <v>0</v>
      </c>
      <c r="O28" s="226">
        <v>0</v>
      </c>
      <c r="P28" s="593">
        <v>92</v>
      </c>
      <c r="Q28" s="597">
        <f t="shared" si="16"/>
        <v>0</v>
      </c>
      <c r="R28" s="191">
        <f t="shared" si="6"/>
        <v>0</v>
      </c>
      <c r="S28" s="55">
        <f t="shared" si="17"/>
        <v>0</v>
      </c>
      <c r="T28" s="41">
        <f t="shared" si="21"/>
        <v>0</v>
      </c>
      <c r="U28" s="294">
        <v>0</v>
      </c>
      <c r="V28" s="373">
        <v>36</v>
      </c>
      <c r="W28" s="236">
        <f t="shared" si="12"/>
        <v>0</v>
      </c>
      <c r="X28" s="233">
        <f t="shared" si="13"/>
        <v>0</v>
      </c>
      <c r="Y28" s="25">
        <f t="shared" si="14"/>
        <v>0</v>
      </c>
      <c r="Z28" s="53">
        <f t="shared" si="7"/>
        <v>0</v>
      </c>
      <c r="AA28" s="830"/>
    </row>
    <row r="29" spans="1:29" ht="13.5" thickBot="1" x14ac:dyDescent="0.25">
      <c r="A29" s="701">
        <f t="shared" si="18"/>
        <v>2016</v>
      </c>
      <c r="B29" s="911">
        <v>0</v>
      </c>
      <c r="C29" s="702">
        <v>0</v>
      </c>
      <c r="D29" s="921">
        <f t="shared" si="8"/>
        <v>0</v>
      </c>
      <c r="E29" s="903">
        <f>E28</f>
        <v>92</v>
      </c>
      <c r="F29" s="903">
        <f>F28</f>
        <v>60</v>
      </c>
      <c r="G29" s="922">
        <v>0</v>
      </c>
      <c r="H29" s="823">
        <f t="shared" si="22"/>
        <v>0</v>
      </c>
      <c r="I29" s="707">
        <f t="shared" si="23"/>
        <v>0</v>
      </c>
      <c r="J29" s="824">
        <f t="shared" si="24"/>
        <v>0</v>
      </c>
      <c r="K29" s="708">
        <f t="shared" si="9"/>
        <v>0</v>
      </c>
      <c r="L29" s="150">
        <f t="shared" ref="L29:L37" si="26">+E29</f>
        <v>92</v>
      </c>
      <c r="M29" s="896">
        <f t="shared" si="15"/>
        <v>0</v>
      </c>
      <c r="N29" s="906">
        <f t="shared" si="25"/>
        <v>0</v>
      </c>
      <c r="O29" s="941"/>
      <c r="P29" s="915"/>
      <c r="Q29" s="712">
        <f t="shared" si="16"/>
        <v>0</v>
      </c>
      <c r="R29" s="1244">
        <f t="shared" ref="R29:R37" si="27">+F29</f>
        <v>60</v>
      </c>
      <c r="S29" s="898">
        <f t="shared" si="17"/>
        <v>0</v>
      </c>
      <c r="T29" s="918">
        <f t="shared" si="21"/>
        <v>0</v>
      </c>
      <c r="U29" s="954"/>
      <c r="V29" s="908"/>
      <c r="W29" s="920">
        <f t="shared" si="12"/>
        <v>0</v>
      </c>
      <c r="X29" s="923">
        <f t="shared" si="13"/>
        <v>0</v>
      </c>
      <c r="Y29" s="716">
        <f t="shared" si="14"/>
        <v>0</v>
      </c>
      <c r="Z29" s="900">
        <f t="shared" si="7"/>
        <v>0</v>
      </c>
      <c r="AA29" s="2"/>
    </row>
    <row r="30" spans="1:29" x14ac:dyDescent="0.2">
      <c r="A30" s="33">
        <f t="shared" si="18"/>
        <v>2017</v>
      </c>
      <c r="B30" s="288">
        <v>0</v>
      </c>
      <c r="C30" s="251">
        <v>1</v>
      </c>
      <c r="D30" s="48">
        <f t="shared" si="8"/>
        <v>1</v>
      </c>
      <c r="E30" s="250">
        <f t="shared" si="19"/>
        <v>92</v>
      </c>
      <c r="F30" s="250">
        <f t="shared" si="20"/>
        <v>60</v>
      </c>
      <c r="G30" s="620">
        <v>0</v>
      </c>
      <c r="H30" s="452">
        <f t="shared" si="22"/>
        <v>0</v>
      </c>
      <c r="I30" s="72">
        <f t="shared" si="23"/>
        <v>0</v>
      </c>
      <c r="J30" s="72">
        <f t="shared" si="24"/>
        <v>0</v>
      </c>
      <c r="K30" s="61">
        <f t="shared" si="9"/>
        <v>0.5</v>
      </c>
      <c r="L30" s="139">
        <f t="shared" si="26"/>
        <v>92</v>
      </c>
      <c r="M30" s="139">
        <f t="shared" si="15"/>
        <v>4.5999999999999999E-2</v>
      </c>
      <c r="N30" s="185">
        <f t="shared" si="25"/>
        <v>4.5999999999999999E-2</v>
      </c>
      <c r="O30" s="139"/>
      <c r="P30" s="240"/>
      <c r="Q30" s="222">
        <f t="shared" si="16"/>
        <v>0</v>
      </c>
      <c r="R30" s="142">
        <f t="shared" si="27"/>
        <v>60</v>
      </c>
      <c r="S30" s="142">
        <f t="shared" si="17"/>
        <v>0</v>
      </c>
      <c r="T30" s="143">
        <f t="shared" si="21"/>
        <v>0</v>
      </c>
      <c r="U30" s="232"/>
      <c r="V30" s="142"/>
      <c r="W30" s="236">
        <f t="shared" si="12"/>
        <v>0.5</v>
      </c>
      <c r="X30" s="233">
        <f t="shared" si="13"/>
        <v>0</v>
      </c>
      <c r="Y30" s="25">
        <f t="shared" si="14"/>
        <v>0</v>
      </c>
      <c r="Z30" s="53">
        <f t="shared" si="7"/>
        <v>0</v>
      </c>
      <c r="AA30" s="2"/>
    </row>
    <row r="31" spans="1:29" x14ac:dyDescent="0.2">
      <c r="A31" s="33">
        <f t="shared" si="18"/>
        <v>2018</v>
      </c>
      <c r="B31" s="568">
        <v>0</v>
      </c>
      <c r="C31" s="603">
        <v>1</v>
      </c>
      <c r="D31" s="48">
        <f t="shared" si="8"/>
        <v>2</v>
      </c>
      <c r="E31" s="602">
        <f t="shared" si="19"/>
        <v>92</v>
      </c>
      <c r="F31" s="602">
        <f t="shared" si="20"/>
        <v>60</v>
      </c>
      <c r="G31" s="620">
        <v>0</v>
      </c>
      <c r="H31" s="452">
        <f t="shared" si="22"/>
        <v>0</v>
      </c>
      <c r="I31" s="72">
        <f t="shared" si="23"/>
        <v>0</v>
      </c>
      <c r="J31" s="72">
        <f t="shared" si="24"/>
        <v>0</v>
      </c>
      <c r="K31" s="61">
        <f t="shared" si="9"/>
        <v>1.5</v>
      </c>
      <c r="L31" s="139">
        <f t="shared" si="26"/>
        <v>92</v>
      </c>
      <c r="M31" s="139">
        <f t="shared" si="15"/>
        <v>9.2000000000000012E-2</v>
      </c>
      <c r="N31" s="185">
        <f t="shared" si="25"/>
        <v>0.13800000000000001</v>
      </c>
      <c r="O31" s="139"/>
      <c r="P31" s="240"/>
      <c r="Q31" s="222">
        <f t="shared" si="16"/>
        <v>1</v>
      </c>
      <c r="R31" s="142">
        <f t="shared" si="27"/>
        <v>60</v>
      </c>
      <c r="S31" s="142">
        <f t="shared" si="17"/>
        <v>0.06</v>
      </c>
      <c r="T31" s="143">
        <f t="shared" si="21"/>
        <v>0.06</v>
      </c>
      <c r="U31" s="232"/>
      <c r="V31" s="142"/>
      <c r="W31" s="236">
        <f t="shared" si="12"/>
        <v>1.5</v>
      </c>
      <c r="X31" s="233">
        <f t="shared" si="13"/>
        <v>0</v>
      </c>
      <c r="Y31" s="25">
        <f t="shared" si="14"/>
        <v>0</v>
      </c>
      <c r="Z31" s="53">
        <f t="shared" si="7"/>
        <v>0</v>
      </c>
      <c r="AA31" s="2"/>
    </row>
    <row r="32" spans="1:29" x14ac:dyDescent="0.2">
      <c r="A32" s="33">
        <f t="shared" si="18"/>
        <v>2019</v>
      </c>
      <c r="B32" s="568">
        <v>0</v>
      </c>
      <c r="C32" s="601">
        <v>1</v>
      </c>
      <c r="D32" s="48">
        <f t="shared" si="8"/>
        <v>3</v>
      </c>
      <c r="E32" s="602">
        <f t="shared" si="19"/>
        <v>92</v>
      </c>
      <c r="F32" s="602">
        <f t="shared" si="20"/>
        <v>60</v>
      </c>
      <c r="G32" s="620">
        <v>0</v>
      </c>
      <c r="H32" s="452">
        <f t="shared" si="22"/>
        <v>0</v>
      </c>
      <c r="I32" s="72">
        <f t="shared" si="23"/>
        <v>0</v>
      </c>
      <c r="J32" s="72">
        <f t="shared" si="24"/>
        <v>0</v>
      </c>
      <c r="K32" s="61">
        <f t="shared" si="9"/>
        <v>2.5</v>
      </c>
      <c r="L32" s="139">
        <f t="shared" si="26"/>
        <v>92</v>
      </c>
      <c r="M32" s="139">
        <f t="shared" si="15"/>
        <v>9.1999999999999998E-2</v>
      </c>
      <c r="N32" s="185">
        <f t="shared" si="25"/>
        <v>0.23</v>
      </c>
      <c r="O32" s="139"/>
      <c r="P32" s="240"/>
      <c r="Q32" s="222">
        <f t="shared" si="16"/>
        <v>2</v>
      </c>
      <c r="R32" s="142">
        <f t="shared" si="27"/>
        <v>60</v>
      </c>
      <c r="S32" s="142">
        <f t="shared" si="17"/>
        <v>0.06</v>
      </c>
      <c r="T32" s="143">
        <f t="shared" si="21"/>
        <v>0.12</v>
      </c>
      <c r="U32" s="232"/>
      <c r="V32" s="142"/>
      <c r="W32" s="236">
        <f t="shared" si="12"/>
        <v>2.5</v>
      </c>
      <c r="X32" s="233">
        <f t="shared" si="13"/>
        <v>0</v>
      </c>
      <c r="Y32" s="25">
        <f t="shared" si="14"/>
        <v>0</v>
      </c>
      <c r="Z32" s="53">
        <f t="shared" si="7"/>
        <v>0</v>
      </c>
      <c r="AA32" s="2"/>
    </row>
    <row r="33" spans="1:27" x14ac:dyDescent="0.2">
      <c r="A33" s="33">
        <f t="shared" si="18"/>
        <v>2020</v>
      </c>
      <c r="B33" s="568">
        <v>0</v>
      </c>
      <c r="C33" s="603">
        <f>C32</f>
        <v>1</v>
      </c>
      <c r="D33" s="48">
        <f t="shared" si="8"/>
        <v>4</v>
      </c>
      <c r="E33" s="602">
        <f t="shared" si="19"/>
        <v>92</v>
      </c>
      <c r="F33" s="602">
        <f t="shared" si="20"/>
        <v>60</v>
      </c>
      <c r="G33" s="620">
        <v>0</v>
      </c>
      <c r="H33" s="452">
        <f t="shared" si="22"/>
        <v>0</v>
      </c>
      <c r="I33" s="72">
        <f t="shared" si="23"/>
        <v>0</v>
      </c>
      <c r="J33" s="72">
        <f t="shared" si="24"/>
        <v>0</v>
      </c>
      <c r="K33" s="61">
        <f t="shared" si="9"/>
        <v>3.5</v>
      </c>
      <c r="L33" s="139">
        <f t="shared" si="26"/>
        <v>92</v>
      </c>
      <c r="M33" s="139">
        <f t="shared" si="15"/>
        <v>9.1999999999999998E-2</v>
      </c>
      <c r="N33" s="185">
        <f t="shared" si="25"/>
        <v>0.32200000000000001</v>
      </c>
      <c r="O33" s="139"/>
      <c r="P33" s="240"/>
      <c r="Q33" s="222">
        <f t="shared" si="16"/>
        <v>3</v>
      </c>
      <c r="R33" s="142">
        <f t="shared" si="27"/>
        <v>60</v>
      </c>
      <c r="S33" s="142">
        <f t="shared" si="17"/>
        <v>0.06</v>
      </c>
      <c r="T33" s="143">
        <f t="shared" si="21"/>
        <v>0.18</v>
      </c>
      <c r="U33" s="232"/>
      <c r="V33" s="142"/>
      <c r="W33" s="236">
        <f t="shared" si="12"/>
        <v>3.5</v>
      </c>
      <c r="X33" s="233">
        <f t="shared" si="13"/>
        <v>0</v>
      </c>
      <c r="Y33" s="25">
        <f t="shared" si="14"/>
        <v>0</v>
      </c>
      <c r="Z33" s="53">
        <f t="shared" si="7"/>
        <v>0</v>
      </c>
      <c r="AA33" s="2"/>
    </row>
    <row r="34" spans="1:27" x14ac:dyDescent="0.2">
      <c r="A34" s="33">
        <f t="shared" si="18"/>
        <v>2021</v>
      </c>
      <c r="B34" s="568">
        <v>0</v>
      </c>
      <c r="C34" s="603">
        <f t="shared" ref="C34:C47" si="28">C33</f>
        <v>1</v>
      </c>
      <c r="D34" s="48">
        <f t="shared" si="8"/>
        <v>5</v>
      </c>
      <c r="E34" s="602">
        <f t="shared" si="19"/>
        <v>92</v>
      </c>
      <c r="F34" s="602">
        <f t="shared" si="20"/>
        <v>60</v>
      </c>
      <c r="G34" s="620">
        <v>0</v>
      </c>
      <c r="H34" s="452">
        <f t="shared" si="22"/>
        <v>0</v>
      </c>
      <c r="I34" s="72">
        <f t="shared" si="23"/>
        <v>0</v>
      </c>
      <c r="J34" s="72">
        <f t="shared" si="24"/>
        <v>0</v>
      </c>
      <c r="K34" s="61">
        <f t="shared" si="9"/>
        <v>4.5</v>
      </c>
      <c r="L34" s="139">
        <f t="shared" si="26"/>
        <v>92</v>
      </c>
      <c r="M34" s="139">
        <f t="shared" si="15"/>
        <v>9.1999999999999971E-2</v>
      </c>
      <c r="N34" s="185">
        <f t="shared" si="25"/>
        <v>0.41399999999999998</v>
      </c>
      <c r="O34" s="139"/>
      <c r="P34" s="240"/>
      <c r="Q34" s="222">
        <f t="shared" si="16"/>
        <v>4</v>
      </c>
      <c r="R34" s="142">
        <f t="shared" si="27"/>
        <v>60</v>
      </c>
      <c r="S34" s="142">
        <f t="shared" si="17"/>
        <v>0.06</v>
      </c>
      <c r="T34" s="143">
        <f t="shared" si="21"/>
        <v>0.24</v>
      </c>
      <c r="U34" s="232"/>
      <c r="V34" s="142"/>
      <c r="W34" s="236">
        <f t="shared" si="12"/>
        <v>4.5</v>
      </c>
      <c r="X34" s="233">
        <f t="shared" si="13"/>
        <v>0</v>
      </c>
      <c r="Y34" s="25">
        <f t="shared" si="14"/>
        <v>0</v>
      </c>
      <c r="Z34" s="53">
        <f t="shared" si="7"/>
        <v>0</v>
      </c>
      <c r="AA34" s="2"/>
    </row>
    <row r="35" spans="1:27" x14ac:dyDescent="0.2">
      <c r="A35" s="33">
        <f t="shared" si="18"/>
        <v>2022</v>
      </c>
      <c r="B35" s="288">
        <v>0</v>
      </c>
      <c r="C35" s="251">
        <f t="shared" si="28"/>
        <v>1</v>
      </c>
      <c r="D35" s="48">
        <f t="shared" si="8"/>
        <v>6</v>
      </c>
      <c r="E35" s="250">
        <f t="shared" si="19"/>
        <v>92</v>
      </c>
      <c r="F35" s="250">
        <f t="shared" si="20"/>
        <v>60</v>
      </c>
      <c r="G35" s="620">
        <v>0</v>
      </c>
      <c r="H35" s="452">
        <f t="shared" si="22"/>
        <v>0</v>
      </c>
      <c r="I35" s="72">
        <f t="shared" si="23"/>
        <v>0</v>
      </c>
      <c r="J35" s="72">
        <f t="shared" si="24"/>
        <v>0</v>
      </c>
      <c r="K35" s="61">
        <f t="shared" si="9"/>
        <v>5.5</v>
      </c>
      <c r="L35" s="139">
        <f t="shared" si="26"/>
        <v>92</v>
      </c>
      <c r="M35" s="139">
        <f t="shared" si="15"/>
        <v>9.2000000000000026E-2</v>
      </c>
      <c r="N35" s="185">
        <f t="shared" si="25"/>
        <v>0.50600000000000001</v>
      </c>
      <c r="O35" s="139"/>
      <c r="P35" s="240"/>
      <c r="Q35" s="222">
        <f t="shared" si="16"/>
        <v>5</v>
      </c>
      <c r="R35" s="142">
        <f t="shared" si="27"/>
        <v>60</v>
      </c>
      <c r="S35" s="142">
        <f t="shared" si="17"/>
        <v>0.06</v>
      </c>
      <c r="T35" s="143">
        <f t="shared" si="21"/>
        <v>0.3</v>
      </c>
      <c r="U35" s="232"/>
      <c r="V35" s="142"/>
      <c r="W35" s="236">
        <f t="shared" si="12"/>
        <v>5.5</v>
      </c>
      <c r="X35" s="233">
        <f t="shared" si="13"/>
        <v>0</v>
      </c>
      <c r="Y35" s="25">
        <f t="shared" si="14"/>
        <v>0</v>
      </c>
      <c r="Z35" s="53">
        <f t="shared" si="7"/>
        <v>0</v>
      </c>
      <c r="AA35" s="2"/>
    </row>
    <row r="36" spans="1:27" x14ac:dyDescent="0.2">
      <c r="A36" s="33">
        <f t="shared" si="18"/>
        <v>2023</v>
      </c>
      <c r="B36" s="288">
        <v>0</v>
      </c>
      <c r="C36" s="251">
        <f t="shared" si="28"/>
        <v>1</v>
      </c>
      <c r="D36" s="48">
        <f t="shared" si="8"/>
        <v>7</v>
      </c>
      <c r="E36" s="250">
        <f t="shared" si="19"/>
        <v>92</v>
      </c>
      <c r="F36" s="250">
        <f t="shared" si="20"/>
        <v>60</v>
      </c>
      <c r="G36" s="620">
        <v>0</v>
      </c>
      <c r="H36" s="452">
        <f t="shared" si="22"/>
        <v>0</v>
      </c>
      <c r="I36" s="72">
        <f t="shared" si="23"/>
        <v>0</v>
      </c>
      <c r="J36" s="72">
        <f t="shared" si="24"/>
        <v>0</v>
      </c>
      <c r="K36" s="61">
        <f t="shared" si="9"/>
        <v>6.5</v>
      </c>
      <c r="L36" s="139">
        <f t="shared" si="26"/>
        <v>92</v>
      </c>
      <c r="M36" s="139">
        <f t="shared" si="15"/>
        <v>9.1999999999999971E-2</v>
      </c>
      <c r="N36" s="185">
        <f t="shared" si="25"/>
        <v>0.59799999999999998</v>
      </c>
      <c r="O36" s="139"/>
      <c r="P36" s="240"/>
      <c r="Q36" s="222">
        <f t="shared" si="16"/>
        <v>6</v>
      </c>
      <c r="R36" s="142">
        <f t="shared" si="27"/>
        <v>60</v>
      </c>
      <c r="S36" s="142">
        <f t="shared" si="17"/>
        <v>0.06</v>
      </c>
      <c r="T36" s="143">
        <f t="shared" si="21"/>
        <v>0.36</v>
      </c>
      <c r="U36" s="232"/>
      <c r="V36" s="142"/>
      <c r="W36" s="236">
        <f t="shared" si="12"/>
        <v>6.5</v>
      </c>
      <c r="X36" s="233">
        <f t="shared" si="13"/>
        <v>0</v>
      </c>
      <c r="Y36" s="25">
        <f t="shared" si="14"/>
        <v>0</v>
      </c>
      <c r="Z36" s="53">
        <f t="shared" si="7"/>
        <v>0</v>
      </c>
      <c r="AA36" s="2"/>
    </row>
    <row r="37" spans="1:27" x14ac:dyDescent="0.2">
      <c r="A37" s="11">
        <f t="shared" si="18"/>
        <v>2024</v>
      </c>
      <c r="B37" s="288">
        <v>0</v>
      </c>
      <c r="C37" s="251">
        <f t="shared" si="28"/>
        <v>1</v>
      </c>
      <c r="D37" s="48">
        <f t="shared" si="8"/>
        <v>8</v>
      </c>
      <c r="E37" s="250">
        <f t="shared" si="19"/>
        <v>92</v>
      </c>
      <c r="F37" s="250">
        <f t="shared" si="20"/>
        <v>60</v>
      </c>
      <c r="G37" s="620">
        <v>0</v>
      </c>
      <c r="H37" s="452">
        <f t="shared" si="22"/>
        <v>0</v>
      </c>
      <c r="I37" s="72">
        <f t="shared" si="23"/>
        <v>0</v>
      </c>
      <c r="J37" s="72">
        <f t="shared" si="24"/>
        <v>0</v>
      </c>
      <c r="K37" s="61">
        <f t="shared" si="9"/>
        <v>7.5</v>
      </c>
      <c r="L37" s="139">
        <f t="shared" si="26"/>
        <v>92</v>
      </c>
      <c r="M37" s="139">
        <f t="shared" si="15"/>
        <v>9.1999999999999971E-2</v>
      </c>
      <c r="N37" s="185">
        <f t="shared" si="25"/>
        <v>0.69</v>
      </c>
      <c r="O37" s="139"/>
      <c r="P37" s="240"/>
      <c r="Q37" s="222">
        <f t="shared" si="16"/>
        <v>7</v>
      </c>
      <c r="R37" s="142">
        <f t="shared" si="27"/>
        <v>60</v>
      </c>
      <c r="S37" s="142">
        <f t="shared" si="17"/>
        <v>0.06</v>
      </c>
      <c r="T37" s="143">
        <f t="shared" si="21"/>
        <v>0.42</v>
      </c>
      <c r="U37" s="232"/>
      <c r="V37" s="142"/>
      <c r="W37" s="236">
        <f t="shared" si="12"/>
        <v>7.5</v>
      </c>
      <c r="X37" s="233">
        <f t="shared" si="13"/>
        <v>0</v>
      </c>
      <c r="Y37" s="25">
        <f t="shared" si="14"/>
        <v>0</v>
      </c>
      <c r="Z37" s="53">
        <f t="shared" si="7"/>
        <v>0</v>
      </c>
      <c r="AA37" s="2"/>
    </row>
    <row r="38" spans="1:27" x14ac:dyDescent="0.2">
      <c r="A38" s="11">
        <f t="shared" si="18"/>
        <v>2025</v>
      </c>
      <c r="B38" s="288">
        <v>0</v>
      </c>
      <c r="C38" s="251">
        <f t="shared" si="28"/>
        <v>1</v>
      </c>
      <c r="D38" s="48">
        <f t="shared" ref="D38:D42" si="29">D37+C38</f>
        <v>9</v>
      </c>
      <c r="E38" s="250">
        <f t="shared" si="19"/>
        <v>92</v>
      </c>
      <c r="F38" s="250">
        <f t="shared" si="20"/>
        <v>60</v>
      </c>
      <c r="G38" s="620">
        <v>0</v>
      </c>
      <c r="H38" s="452">
        <f t="shared" si="22"/>
        <v>0</v>
      </c>
      <c r="I38" s="72">
        <f t="shared" si="23"/>
        <v>0</v>
      </c>
      <c r="J38" s="72">
        <f t="shared" ref="J38:J42" si="30">+$C38*G38/1000000</f>
        <v>0</v>
      </c>
      <c r="K38" s="61">
        <f t="shared" si="9"/>
        <v>8.5</v>
      </c>
      <c r="L38" s="139">
        <f t="shared" ref="L38:L42" si="31">+E38</f>
        <v>92</v>
      </c>
      <c r="M38" s="139">
        <f t="shared" ref="M38:M42" si="32">+N38-N37</f>
        <v>9.2000000000000082E-2</v>
      </c>
      <c r="N38" s="185">
        <f t="shared" ref="N38:N42" si="33">+K38*L38/1000</f>
        <v>0.78200000000000003</v>
      </c>
      <c r="O38" s="139"/>
      <c r="P38" s="240"/>
      <c r="Q38" s="222">
        <f t="shared" ref="Q38:Q42" si="34">+D37</f>
        <v>8</v>
      </c>
      <c r="R38" s="142">
        <f t="shared" ref="R38:R42" si="35">+F38</f>
        <v>60</v>
      </c>
      <c r="S38" s="142">
        <f t="shared" ref="S38:S42" si="36">+T38-T37</f>
        <v>0.06</v>
      </c>
      <c r="T38" s="143">
        <f t="shared" ref="T38:T42" si="37">+Q38*R38/1000</f>
        <v>0.48</v>
      </c>
      <c r="U38" s="232"/>
      <c r="V38" s="142"/>
      <c r="W38" s="236">
        <f t="shared" ref="W38:W42" si="38">K38</f>
        <v>8.5</v>
      </c>
      <c r="X38" s="233">
        <f t="shared" ref="X38:X42" si="39">+G38</f>
        <v>0</v>
      </c>
      <c r="Y38" s="25">
        <f t="shared" ref="Y38:Y42" si="40">+Z38-Z37</f>
        <v>0</v>
      </c>
      <c r="Z38" s="53">
        <f t="shared" si="7"/>
        <v>0</v>
      </c>
      <c r="AA38" s="2"/>
    </row>
    <row r="39" spans="1:27" x14ac:dyDescent="0.2">
      <c r="A39" s="11">
        <f>+A38+1</f>
        <v>2026</v>
      </c>
      <c r="B39" s="288">
        <v>0</v>
      </c>
      <c r="C39" s="251">
        <f t="shared" si="28"/>
        <v>1</v>
      </c>
      <c r="D39" s="48">
        <f t="shared" si="29"/>
        <v>10</v>
      </c>
      <c r="E39" s="250">
        <f t="shared" si="19"/>
        <v>92</v>
      </c>
      <c r="F39" s="250">
        <f t="shared" si="20"/>
        <v>60</v>
      </c>
      <c r="G39" s="620">
        <v>0</v>
      </c>
      <c r="H39" s="452">
        <f t="shared" si="22"/>
        <v>0</v>
      </c>
      <c r="I39" s="72">
        <f t="shared" si="23"/>
        <v>0</v>
      </c>
      <c r="J39" s="72">
        <f t="shared" si="30"/>
        <v>0</v>
      </c>
      <c r="K39" s="61">
        <f t="shared" si="9"/>
        <v>9.5</v>
      </c>
      <c r="L39" s="139">
        <f t="shared" si="31"/>
        <v>92</v>
      </c>
      <c r="M39" s="139">
        <f t="shared" si="32"/>
        <v>9.1999999999999971E-2</v>
      </c>
      <c r="N39" s="185">
        <f t="shared" si="33"/>
        <v>0.874</v>
      </c>
      <c r="O39" s="139"/>
      <c r="P39" s="240"/>
      <c r="Q39" s="222">
        <f t="shared" si="34"/>
        <v>9</v>
      </c>
      <c r="R39" s="142">
        <f t="shared" si="35"/>
        <v>60</v>
      </c>
      <c r="S39" s="142">
        <f t="shared" si="36"/>
        <v>6.0000000000000053E-2</v>
      </c>
      <c r="T39" s="143">
        <f t="shared" si="37"/>
        <v>0.54</v>
      </c>
      <c r="U39" s="232"/>
      <c r="V39" s="142"/>
      <c r="W39" s="236">
        <f t="shared" si="38"/>
        <v>9.5</v>
      </c>
      <c r="X39" s="233">
        <f t="shared" si="39"/>
        <v>0</v>
      </c>
      <c r="Y39" s="25">
        <f t="shared" si="40"/>
        <v>0</v>
      </c>
      <c r="Z39" s="53">
        <f t="shared" si="7"/>
        <v>0</v>
      </c>
      <c r="AA39" s="2"/>
    </row>
    <row r="40" spans="1:27" x14ac:dyDescent="0.2">
      <c r="A40" s="11">
        <f>+A39+1</f>
        <v>2027</v>
      </c>
      <c r="B40" s="288">
        <v>0</v>
      </c>
      <c r="C40" s="251">
        <f t="shared" si="28"/>
        <v>1</v>
      </c>
      <c r="D40" s="48">
        <f t="shared" si="29"/>
        <v>11</v>
      </c>
      <c r="E40" s="250">
        <f t="shared" si="19"/>
        <v>92</v>
      </c>
      <c r="F40" s="250">
        <f t="shared" si="20"/>
        <v>60</v>
      </c>
      <c r="G40" s="620">
        <v>0</v>
      </c>
      <c r="H40" s="452">
        <f t="shared" si="22"/>
        <v>0</v>
      </c>
      <c r="I40" s="72">
        <f t="shared" si="23"/>
        <v>0</v>
      </c>
      <c r="J40" s="72">
        <f t="shared" si="30"/>
        <v>0</v>
      </c>
      <c r="K40" s="61">
        <f t="shared" si="9"/>
        <v>10.5</v>
      </c>
      <c r="L40" s="139">
        <f t="shared" si="31"/>
        <v>92</v>
      </c>
      <c r="M40" s="139">
        <f t="shared" si="32"/>
        <v>9.1999999999999971E-2</v>
      </c>
      <c r="N40" s="185">
        <f t="shared" si="33"/>
        <v>0.96599999999999997</v>
      </c>
      <c r="O40" s="139"/>
      <c r="P40" s="240"/>
      <c r="Q40" s="222">
        <f t="shared" si="34"/>
        <v>10</v>
      </c>
      <c r="R40" s="142">
        <f t="shared" si="35"/>
        <v>60</v>
      </c>
      <c r="S40" s="142">
        <f t="shared" si="36"/>
        <v>5.9999999999999942E-2</v>
      </c>
      <c r="T40" s="143">
        <f t="shared" si="37"/>
        <v>0.6</v>
      </c>
      <c r="U40" s="232"/>
      <c r="V40" s="142"/>
      <c r="W40" s="236">
        <f t="shared" si="38"/>
        <v>10.5</v>
      </c>
      <c r="X40" s="233">
        <f t="shared" si="39"/>
        <v>0</v>
      </c>
      <c r="Y40" s="25">
        <f t="shared" si="40"/>
        <v>0</v>
      </c>
      <c r="Z40" s="53">
        <f t="shared" si="7"/>
        <v>0</v>
      </c>
      <c r="AA40" s="2"/>
    </row>
    <row r="41" spans="1:27" x14ac:dyDescent="0.2">
      <c r="A41" s="11">
        <f t="shared" ref="A41:A54" si="41">+A40+1</f>
        <v>2028</v>
      </c>
      <c r="B41" s="288">
        <v>0</v>
      </c>
      <c r="C41" s="251">
        <f t="shared" si="28"/>
        <v>1</v>
      </c>
      <c r="D41" s="48">
        <f t="shared" si="29"/>
        <v>12</v>
      </c>
      <c r="E41" s="250">
        <f>+E40</f>
        <v>92</v>
      </c>
      <c r="F41" s="250">
        <f>+F40</f>
        <v>60</v>
      </c>
      <c r="G41" s="620">
        <v>0</v>
      </c>
      <c r="H41" s="452">
        <f t="shared" si="22"/>
        <v>0</v>
      </c>
      <c r="I41" s="72">
        <f t="shared" si="23"/>
        <v>0</v>
      </c>
      <c r="J41" s="72">
        <f t="shared" si="30"/>
        <v>0</v>
      </c>
      <c r="K41" s="61">
        <f t="shared" si="9"/>
        <v>11.5</v>
      </c>
      <c r="L41" s="139">
        <f t="shared" si="31"/>
        <v>92</v>
      </c>
      <c r="M41" s="139">
        <f t="shared" si="32"/>
        <v>9.2000000000000082E-2</v>
      </c>
      <c r="N41" s="185">
        <f t="shared" si="33"/>
        <v>1.0580000000000001</v>
      </c>
      <c r="O41" s="139"/>
      <c r="P41" s="240"/>
      <c r="Q41" s="222">
        <f t="shared" si="34"/>
        <v>11</v>
      </c>
      <c r="R41" s="142">
        <f t="shared" si="35"/>
        <v>60</v>
      </c>
      <c r="S41" s="142">
        <f t="shared" si="36"/>
        <v>6.0000000000000053E-2</v>
      </c>
      <c r="T41" s="143">
        <f t="shared" si="37"/>
        <v>0.66</v>
      </c>
      <c r="U41" s="232"/>
      <c r="V41" s="142"/>
      <c r="W41" s="236">
        <f t="shared" si="38"/>
        <v>11.5</v>
      </c>
      <c r="X41" s="233">
        <f t="shared" si="39"/>
        <v>0</v>
      </c>
      <c r="Y41" s="25">
        <f t="shared" si="40"/>
        <v>0</v>
      </c>
      <c r="Z41" s="53">
        <f>+W41*X41/1000000</f>
        <v>0</v>
      </c>
      <c r="AA41" s="2"/>
    </row>
    <row r="42" spans="1:27" x14ac:dyDescent="0.2">
      <c r="A42" s="11">
        <f t="shared" si="41"/>
        <v>2029</v>
      </c>
      <c r="B42" s="288">
        <v>0</v>
      </c>
      <c r="C42" s="251">
        <f t="shared" si="28"/>
        <v>1</v>
      </c>
      <c r="D42" s="48">
        <f t="shared" si="29"/>
        <v>13</v>
      </c>
      <c r="E42" s="250">
        <f t="shared" si="19"/>
        <v>92</v>
      </c>
      <c r="F42" s="250">
        <f t="shared" si="20"/>
        <v>60</v>
      </c>
      <c r="G42" s="620">
        <v>0</v>
      </c>
      <c r="H42" s="452">
        <f t="shared" si="22"/>
        <v>0</v>
      </c>
      <c r="I42" s="72">
        <f t="shared" si="23"/>
        <v>0</v>
      </c>
      <c r="J42" s="72">
        <f t="shared" si="30"/>
        <v>0</v>
      </c>
      <c r="K42" s="61">
        <f t="shared" si="9"/>
        <v>12.5</v>
      </c>
      <c r="L42" s="139">
        <f t="shared" si="31"/>
        <v>92</v>
      </c>
      <c r="M42" s="139">
        <f t="shared" si="32"/>
        <v>9.199999999999986E-2</v>
      </c>
      <c r="N42" s="185">
        <f t="shared" si="33"/>
        <v>1.1499999999999999</v>
      </c>
      <c r="O42" s="139"/>
      <c r="P42" s="240"/>
      <c r="Q42" s="222">
        <f t="shared" si="34"/>
        <v>12</v>
      </c>
      <c r="R42" s="142">
        <f t="shared" si="35"/>
        <v>60</v>
      </c>
      <c r="S42" s="142">
        <f t="shared" si="36"/>
        <v>5.9999999999999942E-2</v>
      </c>
      <c r="T42" s="143">
        <f t="shared" si="37"/>
        <v>0.72</v>
      </c>
      <c r="U42" s="232"/>
      <c r="V42" s="142"/>
      <c r="W42" s="236">
        <f t="shared" si="38"/>
        <v>12.5</v>
      </c>
      <c r="X42" s="233">
        <f t="shared" si="39"/>
        <v>0</v>
      </c>
      <c r="Y42" s="25">
        <f t="shared" si="40"/>
        <v>0</v>
      </c>
      <c r="Z42" s="53">
        <f>+W42*X42/1000000</f>
        <v>0</v>
      </c>
      <c r="AA42" s="2"/>
    </row>
    <row r="43" spans="1:27" x14ac:dyDescent="0.2">
      <c r="A43" s="11">
        <f t="shared" si="41"/>
        <v>2030</v>
      </c>
      <c r="B43" s="288">
        <v>0</v>
      </c>
      <c r="C43" s="251">
        <f t="shared" si="28"/>
        <v>1</v>
      </c>
      <c r="D43" s="48">
        <f t="shared" ref="D43:D47" si="42">D42+C43</f>
        <v>14</v>
      </c>
      <c r="E43" s="250">
        <f t="shared" si="19"/>
        <v>92</v>
      </c>
      <c r="F43" s="250">
        <f t="shared" si="20"/>
        <v>60</v>
      </c>
      <c r="G43" s="620">
        <v>0</v>
      </c>
      <c r="H43" s="452">
        <f t="shared" ref="H43:H47" si="43">+$B43*E43/1000</f>
        <v>0</v>
      </c>
      <c r="I43" s="72">
        <f t="shared" ref="I43:I47" si="44">+$B43*F43/1000</f>
        <v>0</v>
      </c>
      <c r="J43" s="72">
        <f t="shared" ref="J43:J47" si="45">+$C43*G43/1000000</f>
        <v>0</v>
      </c>
      <c r="K43" s="61">
        <f t="shared" ref="K43:K47" si="46">+(D43+D42)/2</f>
        <v>13.5</v>
      </c>
      <c r="L43" s="139">
        <f t="shared" ref="L43:L47" si="47">+E43</f>
        <v>92</v>
      </c>
      <c r="M43" s="139">
        <f t="shared" ref="M43:M47" si="48">+N43-N42</f>
        <v>9.2000000000000082E-2</v>
      </c>
      <c r="N43" s="185">
        <f t="shared" ref="N43:N47" si="49">+K43*L43/1000</f>
        <v>1.242</v>
      </c>
      <c r="O43" s="139"/>
      <c r="P43" s="240"/>
      <c r="Q43" s="222">
        <f t="shared" ref="Q43:Q47" si="50">+D42</f>
        <v>13</v>
      </c>
      <c r="R43" s="142">
        <f t="shared" ref="R43:R47" si="51">+F43</f>
        <v>60</v>
      </c>
      <c r="S43" s="142">
        <f t="shared" ref="S43:S47" si="52">+T43-T42</f>
        <v>6.0000000000000053E-2</v>
      </c>
      <c r="T43" s="143">
        <f t="shared" ref="T43:T47" si="53">+Q43*R43/1000</f>
        <v>0.78</v>
      </c>
      <c r="U43" s="232"/>
      <c r="V43" s="142"/>
      <c r="W43" s="236">
        <f t="shared" ref="W43:W47" si="54">K43</f>
        <v>13.5</v>
      </c>
      <c r="X43" s="233">
        <f t="shared" ref="X43:X47" si="55">+G43</f>
        <v>0</v>
      </c>
      <c r="Y43" s="25">
        <f t="shared" ref="Y43:Y47" si="56">+Z43-Z42</f>
        <v>0</v>
      </c>
      <c r="Z43" s="53">
        <f t="shared" ref="Z43:Z47" si="57">+W43*X43/1000000</f>
        <v>0</v>
      </c>
      <c r="AA43" s="2"/>
    </row>
    <row r="44" spans="1:27" x14ac:dyDescent="0.2">
      <c r="A44" s="11">
        <f t="shared" si="41"/>
        <v>2031</v>
      </c>
      <c r="B44" s="288">
        <v>0</v>
      </c>
      <c r="C44" s="251">
        <f t="shared" si="28"/>
        <v>1</v>
      </c>
      <c r="D44" s="48">
        <f t="shared" si="42"/>
        <v>15</v>
      </c>
      <c r="E44" s="250">
        <f t="shared" si="19"/>
        <v>92</v>
      </c>
      <c r="F44" s="250">
        <f t="shared" si="20"/>
        <v>60</v>
      </c>
      <c r="G44" s="620">
        <v>0</v>
      </c>
      <c r="H44" s="452">
        <f t="shared" si="43"/>
        <v>0</v>
      </c>
      <c r="I44" s="72">
        <f t="shared" si="44"/>
        <v>0</v>
      </c>
      <c r="J44" s="72">
        <f t="shared" si="45"/>
        <v>0</v>
      </c>
      <c r="K44" s="61">
        <f t="shared" si="46"/>
        <v>14.5</v>
      </c>
      <c r="L44" s="139">
        <f t="shared" si="47"/>
        <v>92</v>
      </c>
      <c r="M44" s="139">
        <f t="shared" si="48"/>
        <v>9.2000000000000082E-2</v>
      </c>
      <c r="N44" s="185">
        <f t="shared" si="49"/>
        <v>1.3340000000000001</v>
      </c>
      <c r="O44" s="139"/>
      <c r="P44" s="240"/>
      <c r="Q44" s="222">
        <f t="shared" si="50"/>
        <v>14</v>
      </c>
      <c r="R44" s="142">
        <f t="shared" si="51"/>
        <v>60</v>
      </c>
      <c r="S44" s="142">
        <f t="shared" si="52"/>
        <v>5.9999999999999942E-2</v>
      </c>
      <c r="T44" s="143">
        <f t="shared" si="53"/>
        <v>0.84</v>
      </c>
      <c r="U44" s="232"/>
      <c r="V44" s="142"/>
      <c r="W44" s="236">
        <f t="shared" si="54"/>
        <v>14.5</v>
      </c>
      <c r="X44" s="233">
        <f t="shared" si="55"/>
        <v>0</v>
      </c>
      <c r="Y44" s="25">
        <f t="shared" si="56"/>
        <v>0</v>
      </c>
      <c r="Z44" s="53">
        <f t="shared" si="57"/>
        <v>0</v>
      </c>
      <c r="AA44" s="2"/>
    </row>
    <row r="45" spans="1:27" x14ac:dyDescent="0.2">
      <c r="A45" s="11">
        <f t="shared" si="41"/>
        <v>2032</v>
      </c>
      <c r="B45" s="288">
        <v>0</v>
      </c>
      <c r="C45" s="251">
        <f t="shared" si="28"/>
        <v>1</v>
      </c>
      <c r="D45" s="48">
        <f t="shared" si="42"/>
        <v>16</v>
      </c>
      <c r="E45" s="250">
        <f t="shared" si="19"/>
        <v>92</v>
      </c>
      <c r="F45" s="250">
        <f t="shared" si="20"/>
        <v>60</v>
      </c>
      <c r="G45" s="620">
        <v>0</v>
      </c>
      <c r="H45" s="452">
        <f t="shared" si="43"/>
        <v>0</v>
      </c>
      <c r="I45" s="72">
        <f t="shared" si="44"/>
        <v>0</v>
      </c>
      <c r="J45" s="72">
        <f t="shared" si="45"/>
        <v>0</v>
      </c>
      <c r="K45" s="61">
        <f t="shared" si="46"/>
        <v>15.5</v>
      </c>
      <c r="L45" s="139">
        <f t="shared" si="47"/>
        <v>92</v>
      </c>
      <c r="M45" s="139">
        <f t="shared" si="48"/>
        <v>9.199999999999986E-2</v>
      </c>
      <c r="N45" s="185">
        <f t="shared" si="49"/>
        <v>1.4259999999999999</v>
      </c>
      <c r="O45" s="139"/>
      <c r="P45" s="240"/>
      <c r="Q45" s="222">
        <f t="shared" si="50"/>
        <v>15</v>
      </c>
      <c r="R45" s="142">
        <f t="shared" si="51"/>
        <v>60</v>
      </c>
      <c r="S45" s="142">
        <f t="shared" si="52"/>
        <v>6.0000000000000053E-2</v>
      </c>
      <c r="T45" s="143">
        <f t="shared" si="53"/>
        <v>0.9</v>
      </c>
      <c r="U45" s="232"/>
      <c r="V45" s="142"/>
      <c r="W45" s="236">
        <f t="shared" si="54"/>
        <v>15.5</v>
      </c>
      <c r="X45" s="233">
        <f t="shared" si="55"/>
        <v>0</v>
      </c>
      <c r="Y45" s="25">
        <f t="shared" si="56"/>
        <v>0</v>
      </c>
      <c r="Z45" s="53">
        <f t="shared" si="57"/>
        <v>0</v>
      </c>
      <c r="AA45" s="2"/>
    </row>
    <row r="46" spans="1:27" x14ac:dyDescent="0.2">
      <c r="A46" s="11">
        <f t="shared" si="41"/>
        <v>2033</v>
      </c>
      <c r="B46" s="288">
        <v>0</v>
      </c>
      <c r="C46" s="251">
        <f t="shared" si="28"/>
        <v>1</v>
      </c>
      <c r="D46" s="48">
        <f t="shared" si="42"/>
        <v>17</v>
      </c>
      <c r="E46" s="250">
        <f t="shared" si="19"/>
        <v>92</v>
      </c>
      <c r="F46" s="250">
        <f t="shared" si="20"/>
        <v>60</v>
      </c>
      <c r="G46" s="620">
        <v>0</v>
      </c>
      <c r="H46" s="452">
        <f t="shared" si="43"/>
        <v>0</v>
      </c>
      <c r="I46" s="72">
        <f t="shared" si="44"/>
        <v>0</v>
      </c>
      <c r="J46" s="72">
        <f t="shared" si="45"/>
        <v>0</v>
      </c>
      <c r="K46" s="61">
        <f t="shared" si="46"/>
        <v>16.5</v>
      </c>
      <c r="L46" s="139">
        <f t="shared" si="47"/>
        <v>92</v>
      </c>
      <c r="M46" s="139">
        <f t="shared" si="48"/>
        <v>9.2000000000000082E-2</v>
      </c>
      <c r="N46" s="185">
        <f t="shared" si="49"/>
        <v>1.518</v>
      </c>
      <c r="O46" s="139"/>
      <c r="P46" s="240"/>
      <c r="Q46" s="222">
        <f t="shared" si="50"/>
        <v>16</v>
      </c>
      <c r="R46" s="142">
        <f t="shared" si="51"/>
        <v>60</v>
      </c>
      <c r="S46" s="142">
        <f t="shared" si="52"/>
        <v>5.9999999999999942E-2</v>
      </c>
      <c r="T46" s="143">
        <f t="shared" si="53"/>
        <v>0.96</v>
      </c>
      <c r="U46" s="232"/>
      <c r="V46" s="142"/>
      <c r="W46" s="236">
        <f t="shared" si="54"/>
        <v>16.5</v>
      </c>
      <c r="X46" s="233">
        <f t="shared" si="55"/>
        <v>0</v>
      </c>
      <c r="Y46" s="25">
        <f t="shared" si="56"/>
        <v>0</v>
      </c>
      <c r="Z46" s="53">
        <f t="shared" si="57"/>
        <v>0</v>
      </c>
      <c r="AA46" s="2"/>
    </row>
    <row r="47" spans="1:27" x14ac:dyDescent="0.2">
      <c r="A47" s="11">
        <f t="shared" si="41"/>
        <v>2034</v>
      </c>
      <c r="B47" s="288">
        <v>0</v>
      </c>
      <c r="C47" s="251">
        <f t="shared" si="28"/>
        <v>1</v>
      </c>
      <c r="D47" s="48">
        <f t="shared" si="42"/>
        <v>18</v>
      </c>
      <c r="E47" s="250">
        <f t="shared" si="19"/>
        <v>92</v>
      </c>
      <c r="F47" s="250">
        <f t="shared" si="20"/>
        <v>60</v>
      </c>
      <c r="G47" s="620">
        <v>0</v>
      </c>
      <c r="H47" s="452">
        <f t="shared" si="43"/>
        <v>0</v>
      </c>
      <c r="I47" s="72">
        <f t="shared" si="44"/>
        <v>0</v>
      </c>
      <c r="J47" s="72">
        <f t="shared" si="45"/>
        <v>0</v>
      </c>
      <c r="K47" s="61">
        <f t="shared" si="46"/>
        <v>17.5</v>
      </c>
      <c r="L47" s="139">
        <f t="shared" si="47"/>
        <v>92</v>
      </c>
      <c r="M47" s="139">
        <f t="shared" si="48"/>
        <v>9.2000000000000082E-2</v>
      </c>
      <c r="N47" s="185">
        <f t="shared" si="49"/>
        <v>1.61</v>
      </c>
      <c r="O47" s="139"/>
      <c r="P47" s="240"/>
      <c r="Q47" s="222">
        <f t="shared" si="50"/>
        <v>17</v>
      </c>
      <c r="R47" s="142">
        <f t="shared" si="51"/>
        <v>60</v>
      </c>
      <c r="S47" s="142">
        <f t="shared" si="52"/>
        <v>6.0000000000000053E-2</v>
      </c>
      <c r="T47" s="143">
        <f t="shared" si="53"/>
        <v>1.02</v>
      </c>
      <c r="U47" s="232"/>
      <c r="V47" s="142"/>
      <c r="W47" s="236">
        <f t="shared" si="54"/>
        <v>17.5</v>
      </c>
      <c r="X47" s="233">
        <f t="shared" si="55"/>
        <v>0</v>
      </c>
      <c r="Y47" s="25">
        <f t="shared" si="56"/>
        <v>0</v>
      </c>
      <c r="Z47" s="53">
        <f t="shared" si="57"/>
        <v>0</v>
      </c>
      <c r="AA47" s="2"/>
    </row>
    <row r="48" spans="1:27" x14ac:dyDescent="0.2">
      <c r="A48" s="11">
        <f t="shared" si="41"/>
        <v>2035</v>
      </c>
      <c r="B48" s="288">
        <f>B47</f>
        <v>0</v>
      </c>
      <c r="C48" s="251">
        <f t="shared" ref="C48" si="58">C47</f>
        <v>1</v>
      </c>
      <c r="D48" s="48">
        <f t="shared" ref="D48:D54" si="59">D47+C48</f>
        <v>19</v>
      </c>
      <c r="E48" s="250">
        <f t="shared" si="19"/>
        <v>92</v>
      </c>
      <c r="F48" s="250">
        <f t="shared" si="20"/>
        <v>60</v>
      </c>
      <c r="G48" s="620">
        <v>0</v>
      </c>
      <c r="H48" s="452">
        <f t="shared" ref="H48:H54" si="60">+$B48*E48/1000</f>
        <v>0</v>
      </c>
      <c r="I48" s="72">
        <f t="shared" ref="I48:I54" si="61">+$B48*F48/1000</f>
        <v>0</v>
      </c>
      <c r="J48" s="72">
        <f t="shared" ref="J48:J54" si="62">+$C48*G48/1000000</f>
        <v>0</v>
      </c>
      <c r="K48" s="61">
        <f t="shared" ref="K48:K54" si="63">+(D48+D47)/2</f>
        <v>18.5</v>
      </c>
      <c r="L48" s="139">
        <f t="shared" ref="L48:L54" si="64">+E48</f>
        <v>92</v>
      </c>
      <c r="M48" s="139">
        <f t="shared" ref="M48:M54" si="65">+N48-N47</f>
        <v>9.199999999999986E-2</v>
      </c>
      <c r="N48" s="185">
        <f t="shared" ref="N48:N54" si="66">+K48*L48/1000</f>
        <v>1.702</v>
      </c>
      <c r="O48" s="139"/>
      <c r="P48" s="240"/>
      <c r="Q48" s="222">
        <f t="shared" ref="Q48:Q54" si="67">+D47</f>
        <v>18</v>
      </c>
      <c r="R48" s="142">
        <f t="shared" ref="R48:R54" si="68">+F48</f>
        <v>60</v>
      </c>
      <c r="S48" s="142">
        <f t="shared" ref="S48:S54" si="69">+T48-T47</f>
        <v>6.0000000000000053E-2</v>
      </c>
      <c r="T48" s="143">
        <f t="shared" ref="T48:T54" si="70">+Q48*R48/1000</f>
        <v>1.08</v>
      </c>
      <c r="U48" s="232"/>
      <c r="V48" s="142"/>
      <c r="W48" s="236">
        <f t="shared" ref="W48:W54" si="71">K48</f>
        <v>18.5</v>
      </c>
      <c r="X48" s="233">
        <f t="shared" ref="X48:X54" si="72">+G48</f>
        <v>0</v>
      </c>
      <c r="Y48" s="25">
        <f t="shared" ref="Y48:Y54" si="73">+Z48-Z47</f>
        <v>0</v>
      </c>
      <c r="Z48" s="53">
        <f t="shared" ref="Z48:Z54" si="74">+W48*X48/1000000</f>
        <v>0</v>
      </c>
      <c r="AA48" s="2"/>
    </row>
    <row r="49" spans="1:27" x14ac:dyDescent="0.2">
      <c r="A49" s="11">
        <f t="shared" si="41"/>
        <v>2036</v>
      </c>
      <c r="B49" s="288">
        <f t="shared" ref="B49:B54" si="75">B48</f>
        <v>0</v>
      </c>
      <c r="C49" s="251">
        <f t="shared" ref="C49" si="76">C48</f>
        <v>1</v>
      </c>
      <c r="D49" s="48">
        <f t="shared" si="59"/>
        <v>20</v>
      </c>
      <c r="E49" s="250">
        <f t="shared" si="19"/>
        <v>92</v>
      </c>
      <c r="F49" s="250">
        <f t="shared" si="20"/>
        <v>60</v>
      </c>
      <c r="G49" s="620">
        <v>0</v>
      </c>
      <c r="H49" s="452">
        <f t="shared" si="60"/>
        <v>0</v>
      </c>
      <c r="I49" s="72">
        <f t="shared" si="61"/>
        <v>0</v>
      </c>
      <c r="J49" s="72">
        <f t="shared" si="62"/>
        <v>0</v>
      </c>
      <c r="K49" s="61">
        <f t="shared" si="63"/>
        <v>19.5</v>
      </c>
      <c r="L49" s="139">
        <f t="shared" si="64"/>
        <v>92</v>
      </c>
      <c r="M49" s="139">
        <f t="shared" si="65"/>
        <v>9.2000000000000082E-2</v>
      </c>
      <c r="N49" s="185">
        <f t="shared" si="66"/>
        <v>1.794</v>
      </c>
      <c r="O49" s="139"/>
      <c r="P49" s="240"/>
      <c r="Q49" s="222">
        <f t="shared" si="67"/>
        <v>19</v>
      </c>
      <c r="R49" s="142">
        <f t="shared" si="68"/>
        <v>60</v>
      </c>
      <c r="S49" s="142">
        <f t="shared" si="69"/>
        <v>5.9999999999999831E-2</v>
      </c>
      <c r="T49" s="143">
        <f t="shared" si="70"/>
        <v>1.1399999999999999</v>
      </c>
      <c r="U49" s="232"/>
      <c r="V49" s="142"/>
      <c r="W49" s="236">
        <f t="shared" si="71"/>
        <v>19.5</v>
      </c>
      <c r="X49" s="233">
        <f t="shared" si="72"/>
        <v>0</v>
      </c>
      <c r="Y49" s="25">
        <f t="shared" si="73"/>
        <v>0</v>
      </c>
      <c r="Z49" s="53">
        <f t="shared" si="74"/>
        <v>0</v>
      </c>
      <c r="AA49" s="2"/>
    </row>
    <row r="50" spans="1:27" x14ac:dyDescent="0.2">
      <c r="A50" s="11">
        <f t="shared" si="41"/>
        <v>2037</v>
      </c>
      <c r="B50" s="288">
        <f t="shared" si="75"/>
        <v>0</v>
      </c>
      <c r="C50" s="251">
        <f t="shared" ref="C50" si="77">C49</f>
        <v>1</v>
      </c>
      <c r="D50" s="48">
        <f t="shared" si="59"/>
        <v>21</v>
      </c>
      <c r="E50" s="250">
        <f t="shared" si="19"/>
        <v>92</v>
      </c>
      <c r="F50" s="250">
        <f t="shared" si="20"/>
        <v>60</v>
      </c>
      <c r="G50" s="620">
        <v>0</v>
      </c>
      <c r="H50" s="452">
        <f t="shared" si="60"/>
        <v>0</v>
      </c>
      <c r="I50" s="72">
        <f t="shared" si="61"/>
        <v>0</v>
      </c>
      <c r="J50" s="72">
        <f t="shared" si="62"/>
        <v>0</v>
      </c>
      <c r="K50" s="61">
        <f t="shared" si="63"/>
        <v>20.5</v>
      </c>
      <c r="L50" s="139">
        <f t="shared" si="64"/>
        <v>92</v>
      </c>
      <c r="M50" s="139">
        <f t="shared" si="65"/>
        <v>9.199999999999986E-2</v>
      </c>
      <c r="N50" s="185">
        <f t="shared" si="66"/>
        <v>1.8859999999999999</v>
      </c>
      <c r="O50" s="139"/>
      <c r="P50" s="240"/>
      <c r="Q50" s="222">
        <f t="shared" si="67"/>
        <v>20</v>
      </c>
      <c r="R50" s="142">
        <f t="shared" si="68"/>
        <v>60</v>
      </c>
      <c r="S50" s="142">
        <f t="shared" si="69"/>
        <v>6.0000000000000053E-2</v>
      </c>
      <c r="T50" s="143">
        <f t="shared" si="70"/>
        <v>1.2</v>
      </c>
      <c r="U50" s="232"/>
      <c r="V50" s="142"/>
      <c r="W50" s="236">
        <f t="shared" si="71"/>
        <v>20.5</v>
      </c>
      <c r="X50" s="233">
        <f t="shared" si="72"/>
        <v>0</v>
      </c>
      <c r="Y50" s="25">
        <f t="shared" si="73"/>
        <v>0</v>
      </c>
      <c r="Z50" s="53">
        <f t="shared" si="74"/>
        <v>0</v>
      </c>
      <c r="AA50" s="2"/>
    </row>
    <row r="51" spans="1:27" x14ac:dyDescent="0.2">
      <c r="A51" s="11">
        <f t="shared" si="41"/>
        <v>2038</v>
      </c>
      <c r="B51" s="288">
        <f t="shared" si="75"/>
        <v>0</v>
      </c>
      <c r="C51" s="251">
        <f t="shared" ref="C51" si="78">C50</f>
        <v>1</v>
      </c>
      <c r="D51" s="48">
        <f t="shared" si="59"/>
        <v>22</v>
      </c>
      <c r="E51" s="250">
        <f t="shared" si="19"/>
        <v>92</v>
      </c>
      <c r="F51" s="250">
        <f t="shared" si="20"/>
        <v>60</v>
      </c>
      <c r="G51" s="620">
        <v>0</v>
      </c>
      <c r="H51" s="452">
        <f t="shared" si="60"/>
        <v>0</v>
      </c>
      <c r="I51" s="72">
        <f t="shared" si="61"/>
        <v>0</v>
      </c>
      <c r="J51" s="72">
        <f t="shared" si="62"/>
        <v>0</v>
      </c>
      <c r="K51" s="61">
        <f t="shared" si="63"/>
        <v>21.5</v>
      </c>
      <c r="L51" s="139">
        <f t="shared" si="64"/>
        <v>92</v>
      </c>
      <c r="M51" s="139">
        <f t="shared" si="65"/>
        <v>9.2000000000000082E-2</v>
      </c>
      <c r="N51" s="185">
        <f t="shared" si="66"/>
        <v>1.978</v>
      </c>
      <c r="O51" s="139"/>
      <c r="P51" s="240"/>
      <c r="Q51" s="222">
        <f t="shared" si="67"/>
        <v>21</v>
      </c>
      <c r="R51" s="142">
        <f t="shared" si="68"/>
        <v>60</v>
      </c>
      <c r="S51" s="142">
        <f t="shared" si="69"/>
        <v>6.0000000000000053E-2</v>
      </c>
      <c r="T51" s="143">
        <f t="shared" si="70"/>
        <v>1.26</v>
      </c>
      <c r="U51" s="232"/>
      <c r="V51" s="142"/>
      <c r="W51" s="236">
        <f t="shared" si="71"/>
        <v>21.5</v>
      </c>
      <c r="X51" s="233">
        <f t="shared" si="72"/>
        <v>0</v>
      </c>
      <c r="Y51" s="25">
        <f t="shared" si="73"/>
        <v>0</v>
      </c>
      <c r="Z51" s="53">
        <f t="shared" si="74"/>
        <v>0</v>
      </c>
      <c r="AA51" s="2"/>
    </row>
    <row r="52" spans="1:27" x14ac:dyDescent="0.2">
      <c r="A52" s="11">
        <f t="shared" si="41"/>
        <v>2039</v>
      </c>
      <c r="B52" s="288">
        <f t="shared" si="75"/>
        <v>0</v>
      </c>
      <c r="C52" s="251">
        <f t="shared" ref="C52" si="79">C51</f>
        <v>1</v>
      </c>
      <c r="D52" s="48">
        <f t="shared" si="59"/>
        <v>23</v>
      </c>
      <c r="E52" s="250">
        <f t="shared" si="19"/>
        <v>92</v>
      </c>
      <c r="F52" s="250">
        <f t="shared" si="20"/>
        <v>60</v>
      </c>
      <c r="G52" s="620">
        <v>0</v>
      </c>
      <c r="H52" s="452">
        <f t="shared" si="60"/>
        <v>0</v>
      </c>
      <c r="I52" s="72">
        <f t="shared" si="61"/>
        <v>0</v>
      </c>
      <c r="J52" s="72">
        <f t="shared" si="62"/>
        <v>0</v>
      </c>
      <c r="K52" s="61">
        <f t="shared" si="63"/>
        <v>22.5</v>
      </c>
      <c r="L52" s="139">
        <f t="shared" si="64"/>
        <v>92</v>
      </c>
      <c r="M52" s="139">
        <f t="shared" si="65"/>
        <v>9.199999999999986E-2</v>
      </c>
      <c r="N52" s="185">
        <f t="shared" si="66"/>
        <v>2.0699999999999998</v>
      </c>
      <c r="O52" s="139"/>
      <c r="P52" s="240"/>
      <c r="Q52" s="222">
        <f t="shared" si="67"/>
        <v>22</v>
      </c>
      <c r="R52" s="142">
        <f t="shared" si="68"/>
        <v>60</v>
      </c>
      <c r="S52" s="142">
        <f t="shared" si="69"/>
        <v>6.0000000000000053E-2</v>
      </c>
      <c r="T52" s="143">
        <f t="shared" si="70"/>
        <v>1.32</v>
      </c>
      <c r="U52" s="232"/>
      <c r="V52" s="142"/>
      <c r="W52" s="236">
        <f t="shared" si="71"/>
        <v>22.5</v>
      </c>
      <c r="X52" s="233">
        <f t="shared" si="72"/>
        <v>0</v>
      </c>
      <c r="Y52" s="25">
        <f t="shared" si="73"/>
        <v>0</v>
      </c>
      <c r="Z52" s="53">
        <f t="shared" si="74"/>
        <v>0</v>
      </c>
      <c r="AA52" s="2"/>
    </row>
    <row r="53" spans="1:27" x14ac:dyDescent="0.2">
      <c r="A53" s="11">
        <f t="shared" si="41"/>
        <v>2040</v>
      </c>
      <c r="B53" s="288">
        <f t="shared" si="75"/>
        <v>0</v>
      </c>
      <c r="C53" s="251">
        <f t="shared" ref="C53" si="80">C52</f>
        <v>1</v>
      </c>
      <c r="D53" s="48">
        <f t="shared" si="59"/>
        <v>24</v>
      </c>
      <c r="E53" s="250">
        <f t="shared" si="19"/>
        <v>92</v>
      </c>
      <c r="F53" s="250">
        <f t="shared" si="20"/>
        <v>60</v>
      </c>
      <c r="G53" s="620">
        <v>0</v>
      </c>
      <c r="H53" s="452">
        <f t="shared" si="60"/>
        <v>0</v>
      </c>
      <c r="I53" s="72">
        <f t="shared" si="61"/>
        <v>0</v>
      </c>
      <c r="J53" s="72">
        <f t="shared" si="62"/>
        <v>0</v>
      </c>
      <c r="K53" s="61">
        <f t="shared" si="63"/>
        <v>23.5</v>
      </c>
      <c r="L53" s="139">
        <f t="shared" si="64"/>
        <v>92</v>
      </c>
      <c r="M53" s="139">
        <f t="shared" si="65"/>
        <v>9.2000000000000082E-2</v>
      </c>
      <c r="N53" s="185">
        <f t="shared" si="66"/>
        <v>2.1619999999999999</v>
      </c>
      <c r="O53" s="139"/>
      <c r="P53" s="240"/>
      <c r="Q53" s="222">
        <f t="shared" si="67"/>
        <v>23</v>
      </c>
      <c r="R53" s="142">
        <f t="shared" si="68"/>
        <v>60</v>
      </c>
      <c r="S53" s="142">
        <f t="shared" si="69"/>
        <v>5.9999999999999831E-2</v>
      </c>
      <c r="T53" s="143">
        <f t="shared" si="70"/>
        <v>1.38</v>
      </c>
      <c r="U53" s="232"/>
      <c r="V53" s="142"/>
      <c r="W53" s="236">
        <f t="shared" si="71"/>
        <v>23.5</v>
      </c>
      <c r="X53" s="233">
        <f t="shared" si="72"/>
        <v>0</v>
      </c>
      <c r="Y53" s="25">
        <f t="shared" si="73"/>
        <v>0</v>
      </c>
      <c r="Z53" s="53">
        <f t="shared" si="74"/>
        <v>0</v>
      </c>
      <c r="AA53" s="2"/>
    </row>
    <row r="54" spans="1:27" x14ac:dyDescent="0.2">
      <c r="A54" s="11">
        <f t="shared" si="41"/>
        <v>2041</v>
      </c>
      <c r="B54" s="288">
        <f t="shared" si="75"/>
        <v>0</v>
      </c>
      <c r="C54" s="251">
        <f t="shared" ref="C54" si="81">C53</f>
        <v>1</v>
      </c>
      <c r="D54" s="48">
        <f t="shared" si="59"/>
        <v>25</v>
      </c>
      <c r="E54" s="250">
        <f t="shared" si="19"/>
        <v>92</v>
      </c>
      <c r="F54" s="250">
        <f t="shared" si="20"/>
        <v>60</v>
      </c>
      <c r="G54" s="620">
        <v>0</v>
      </c>
      <c r="H54" s="452">
        <f t="shared" si="60"/>
        <v>0</v>
      </c>
      <c r="I54" s="72">
        <f t="shared" si="61"/>
        <v>0</v>
      </c>
      <c r="J54" s="72">
        <f t="shared" si="62"/>
        <v>0</v>
      </c>
      <c r="K54" s="61">
        <f t="shared" si="63"/>
        <v>24.5</v>
      </c>
      <c r="L54" s="139">
        <f t="shared" si="64"/>
        <v>92</v>
      </c>
      <c r="M54" s="139">
        <f t="shared" si="65"/>
        <v>9.2000000000000082E-2</v>
      </c>
      <c r="N54" s="185">
        <f t="shared" si="66"/>
        <v>2.254</v>
      </c>
      <c r="O54" s="139"/>
      <c r="P54" s="240"/>
      <c r="Q54" s="222">
        <f t="shared" si="67"/>
        <v>24</v>
      </c>
      <c r="R54" s="142">
        <f t="shared" si="68"/>
        <v>60</v>
      </c>
      <c r="S54" s="142">
        <f t="shared" si="69"/>
        <v>6.0000000000000053E-2</v>
      </c>
      <c r="T54" s="143">
        <f t="shared" si="70"/>
        <v>1.44</v>
      </c>
      <c r="U54" s="232"/>
      <c r="V54" s="142"/>
      <c r="W54" s="236">
        <f t="shared" si="71"/>
        <v>24.5</v>
      </c>
      <c r="X54" s="233">
        <f t="shared" si="72"/>
        <v>0</v>
      </c>
      <c r="Y54" s="25">
        <f t="shared" si="73"/>
        <v>0</v>
      </c>
      <c r="Z54" s="53">
        <f t="shared" si="74"/>
        <v>0</v>
      </c>
      <c r="AA54" s="2"/>
    </row>
    <row r="56" spans="1:27" x14ac:dyDescent="0.2">
      <c r="A56" s="69" t="s">
        <v>38</v>
      </c>
      <c r="B56" s="69"/>
    </row>
    <row r="57" spans="1:27" x14ac:dyDescent="0.2">
      <c r="A57" s="69" t="s">
        <v>39</v>
      </c>
      <c r="B57" s="69"/>
    </row>
    <row r="58" spans="1:27" x14ac:dyDescent="0.2">
      <c r="A58" s="69" t="s">
        <v>67</v>
      </c>
      <c r="B58" s="69"/>
    </row>
    <row r="59" spans="1:27" x14ac:dyDescent="0.2">
      <c r="A59" s="86" t="s">
        <v>57</v>
      </c>
      <c r="B59" s="86"/>
      <c r="N59"/>
      <c r="O59"/>
      <c r="P59"/>
      <c r="AA59" s="2"/>
    </row>
    <row r="60" spans="1:27" x14ac:dyDescent="0.2">
      <c r="A60" s="86" t="s">
        <v>58</v>
      </c>
      <c r="B60" s="86"/>
      <c r="N60"/>
      <c r="O60"/>
      <c r="P60"/>
      <c r="AA60" s="2"/>
    </row>
    <row r="61" spans="1:27" x14ac:dyDescent="0.2">
      <c r="A61" s="45" t="s">
        <v>92</v>
      </c>
    </row>
  </sheetData>
  <mergeCells count="5">
    <mergeCell ref="W4:Z4"/>
    <mergeCell ref="H3:J3"/>
    <mergeCell ref="B4:J4"/>
    <mergeCell ref="K4:N4"/>
    <mergeCell ref="Q4:T4"/>
  </mergeCells>
  <phoneticPr fontId="7" type="noConversion"/>
  <pageMargins left="0.24" right="0.22" top="1" bottom="1" header="0.5" footer="0.5"/>
  <pageSetup scale="46"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theme="7" tint="-0.249977111117893"/>
    <pageSetUpPr fitToPage="1"/>
  </sheetPr>
  <dimension ref="A1:AC88"/>
  <sheetViews>
    <sheetView zoomScale="82" zoomScaleNormal="82" workbookViewId="0">
      <pane xSplit="1" ySplit="5" topLeftCell="B20" activePane="bottomRight" state="frozen"/>
      <selection activeCell="B31" sqref="B31"/>
      <selection pane="topRight" activeCell="B31" sqref="B31"/>
      <selection pane="bottomLeft" activeCell="B31" sqref="B31"/>
      <selection pane="bottomRight" activeCell="D29" sqref="D29"/>
    </sheetView>
  </sheetViews>
  <sheetFormatPr defaultRowHeight="12.75" x14ac:dyDescent="0.2"/>
  <cols>
    <col min="1" max="1" width="12.28515625" customWidth="1"/>
    <col min="2" max="2" width="14.5703125" customWidth="1"/>
    <col min="3" max="3" width="12.5703125" customWidth="1"/>
    <col min="4" max="4" width="13.42578125" customWidth="1"/>
    <col min="5" max="5" width="11" customWidth="1"/>
    <col min="6" max="6" width="11.28515625" customWidth="1"/>
    <col min="7" max="7" width="10.5703125" customWidth="1"/>
    <col min="8" max="9" width="10.7109375" customWidth="1"/>
    <col min="10" max="10" width="11.42578125" customWidth="1"/>
    <col min="11" max="11" width="11.7109375" customWidth="1"/>
    <col min="12" max="12" width="12.28515625" customWidth="1"/>
    <col min="13" max="13" width="10.42578125" customWidth="1"/>
    <col min="14" max="14" width="11" style="2" customWidth="1"/>
    <col min="15" max="15" width="12" style="2" customWidth="1"/>
    <col min="16" max="16" width="13.28515625" style="2" customWidth="1"/>
    <col min="17" max="17" width="12" customWidth="1"/>
    <col min="18" max="18" width="9.5703125" customWidth="1"/>
    <col min="19" max="19" width="10.28515625" customWidth="1"/>
    <col min="20" max="20" width="11" customWidth="1"/>
    <col min="21" max="21" width="10.28515625" customWidth="1"/>
    <col min="22" max="22" width="12.42578125" customWidth="1"/>
    <col min="23" max="23" width="11.42578125" customWidth="1"/>
    <col min="24" max="24" width="10" customWidth="1"/>
    <col min="25" max="26" width="10.28515625" customWidth="1"/>
    <col min="28" max="28" width="9.28515625" bestFit="1" customWidth="1"/>
    <col min="29" max="29" width="10.28515625" bestFit="1" customWidth="1"/>
    <col min="30" max="30" width="9.28515625" bestFit="1" customWidth="1"/>
  </cols>
  <sheetData>
    <row r="1" spans="1:29" ht="15.75" x14ac:dyDescent="0.25">
      <c r="A1" s="4" t="str">
        <f>'RES Audit Alt'!A1</f>
        <v>Conservation Savings @ Meter</v>
      </c>
      <c r="B1" s="4"/>
      <c r="C1" s="4"/>
      <c r="D1" s="4"/>
      <c r="E1" s="4"/>
      <c r="F1" s="249"/>
      <c r="G1" s="249"/>
      <c r="H1" s="249"/>
      <c r="I1" s="249"/>
      <c r="J1" s="4"/>
      <c r="K1" s="4"/>
      <c r="L1" s="4"/>
      <c r="M1" s="4"/>
      <c r="N1" s="4"/>
      <c r="O1" s="4"/>
      <c r="P1" s="4"/>
      <c r="Q1" s="4"/>
      <c r="AA1" s="2"/>
    </row>
    <row r="2" spans="1:29" ht="16.5" thickBot="1" x14ac:dyDescent="0.3">
      <c r="A2" s="5" t="str">
        <f>'RES Audit Alt'!A2</f>
        <v>PROGRAM:</v>
      </c>
      <c r="B2" s="27" t="s">
        <v>71</v>
      </c>
      <c r="C2" s="23"/>
      <c r="D2" s="27"/>
      <c r="E2" s="27"/>
      <c r="F2" s="4"/>
      <c r="G2" s="4"/>
      <c r="K2" s="4"/>
      <c r="L2" s="4"/>
      <c r="M2" s="4"/>
      <c r="N2" s="178"/>
      <c r="O2" s="4"/>
      <c r="P2" s="4"/>
      <c r="Q2" s="4"/>
      <c r="T2" s="178"/>
      <c r="AA2" s="2"/>
    </row>
    <row r="3" spans="1:29" ht="16.5" thickBot="1" x14ac:dyDescent="0.3">
      <c r="A3" s="4"/>
      <c r="B3" s="128" t="s">
        <v>69</v>
      </c>
      <c r="C3" s="4"/>
      <c r="D3" s="4"/>
      <c r="E3" s="4"/>
      <c r="F3" s="4"/>
      <c r="G3" s="4"/>
      <c r="H3" s="1463" t="s">
        <v>93</v>
      </c>
      <c r="I3" s="1464"/>
      <c r="J3" s="1465"/>
      <c r="K3" s="4"/>
      <c r="L3" s="4"/>
      <c r="M3" s="4"/>
      <c r="N3" s="4"/>
      <c r="O3" s="4"/>
      <c r="P3" s="4"/>
      <c r="Q3" s="4"/>
      <c r="AA3" s="2"/>
    </row>
    <row r="4" spans="1:29" ht="16.5" thickBot="1" x14ac:dyDescent="0.3">
      <c r="A4" s="26"/>
      <c r="B4" s="1472" t="s">
        <v>26</v>
      </c>
      <c r="C4" s="1472"/>
      <c r="D4" s="1472"/>
      <c r="E4" s="1472"/>
      <c r="F4" s="1472"/>
      <c r="G4" s="1472"/>
      <c r="H4" s="1472"/>
      <c r="I4" s="1472"/>
      <c r="J4" s="1473"/>
      <c r="K4" s="1466" t="s">
        <v>27</v>
      </c>
      <c r="L4" s="1467"/>
      <c r="M4" s="1467"/>
      <c r="N4" s="1467"/>
      <c r="O4" s="777"/>
      <c r="P4" s="733"/>
      <c r="Q4" s="1467" t="s">
        <v>78</v>
      </c>
      <c r="R4" s="1467"/>
      <c r="S4" s="1467"/>
      <c r="T4" s="1468"/>
      <c r="U4" s="213"/>
      <c r="V4" s="213"/>
      <c r="W4" s="1466" t="s">
        <v>28</v>
      </c>
      <c r="X4" s="1467"/>
      <c r="Y4" s="1467"/>
      <c r="Z4" s="1468"/>
      <c r="AA4" s="2"/>
    </row>
    <row r="5" spans="1:29" s="19" customFormat="1" ht="66.75" customHeight="1" x14ac:dyDescent="0.2">
      <c r="A5" s="32" t="s">
        <v>0</v>
      </c>
      <c r="B5" s="125" t="s">
        <v>70</v>
      </c>
      <c r="C5" s="123" t="s">
        <v>66</v>
      </c>
      <c r="D5" s="631" t="s">
        <v>68</v>
      </c>
      <c r="E5" s="627" t="s">
        <v>21</v>
      </c>
      <c r="F5" s="17" t="s">
        <v>23</v>
      </c>
      <c r="G5" s="29" t="s">
        <v>24</v>
      </c>
      <c r="H5" s="627" t="s">
        <v>17</v>
      </c>
      <c r="I5" s="17" t="s">
        <v>18</v>
      </c>
      <c r="J5" s="29" t="s">
        <v>19</v>
      </c>
      <c r="K5" s="163" t="s">
        <v>75</v>
      </c>
      <c r="L5" s="16" t="s">
        <v>10</v>
      </c>
      <c r="M5" s="16" t="s">
        <v>12</v>
      </c>
      <c r="N5" s="215" t="s">
        <v>97</v>
      </c>
      <c r="O5" s="16" t="s">
        <v>96</v>
      </c>
      <c r="P5" s="237" t="s">
        <v>99</v>
      </c>
      <c r="Q5" s="219" t="s">
        <v>76</v>
      </c>
      <c r="R5" s="17" t="s">
        <v>11</v>
      </c>
      <c r="S5" s="17" t="s">
        <v>14</v>
      </c>
      <c r="T5" s="39" t="s">
        <v>101</v>
      </c>
      <c r="U5" s="241" t="s">
        <v>100</v>
      </c>
      <c r="V5" s="17" t="s">
        <v>99</v>
      </c>
      <c r="W5" s="42" t="s">
        <v>77</v>
      </c>
      <c r="X5" s="230" t="s">
        <v>25</v>
      </c>
      <c r="Y5" s="18" t="s">
        <v>16</v>
      </c>
      <c r="Z5" s="29" t="s">
        <v>15</v>
      </c>
      <c r="AA5" s="20"/>
    </row>
    <row r="6" spans="1:29" s="19" customFormat="1" ht="15" customHeight="1" x14ac:dyDescent="0.2">
      <c r="A6" s="68" t="s">
        <v>37</v>
      </c>
      <c r="B6" s="126"/>
      <c r="C6" s="48"/>
      <c r="D6" s="632">
        <v>67</v>
      </c>
      <c r="E6" s="628"/>
      <c r="F6" s="15"/>
      <c r="G6" s="31"/>
      <c r="H6" s="628"/>
      <c r="I6" s="15"/>
      <c r="J6" s="31"/>
      <c r="K6" s="37"/>
      <c r="L6" s="59">
        <f>+N6/D6*1000</f>
        <v>20</v>
      </c>
      <c r="M6" s="6"/>
      <c r="N6" s="216">
        <v>1.34</v>
      </c>
      <c r="O6" s="226"/>
      <c r="P6" s="238"/>
      <c r="Q6" s="220"/>
      <c r="R6" s="55">
        <f>+T6/D6*1000</f>
        <v>0</v>
      </c>
      <c r="S6" s="57"/>
      <c r="T6" s="41">
        <v>0</v>
      </c>
      <c r="U6" s="228"/>
      <c r="V6" s="235"/>
      <c r="W6" s="21"/>
      <c r="X6" s="24">
        <f>+Z6/D6*1000</f>
        <v>0</v>
      </c>
      <c r="Y6" s="21"/>
      <c r="Z6" s="47">
        <v>0</v>
      </c>
      <c r="AA6" s="3"/>
    </row>
    <row r="7" spans="1:29" s="1" customFormat="1" ht="15.75" customHeight="1" x14ac:dyDescent="0.2">
      <c r="A7" s="68" t="s">
        <v>63</v>
      </c>
      <c r="B7" s="127"/>
      <c r="C7" s="30"/>
      <c r="D7" s="632">
        <f>D6-29</f>
        <v>38</v>
      </c>
      <c r="E7" s="628"/>
      <c r="F7" s="15"/>
      <c r="G7" s="31"/>
      <c r="H7" s="628"/>
      <c r="I7" s="15"/>
      <c r="J7" s="31"/>
      <c r="K7" s="61">
        <f>(D7+D6)/2</f>
        <v>52.5</v>
      </c>
      <c r="L7" s="59">
        <f t="shared" ref="L7:L28" si="0">IF(K7=0,0,(N7*1000)/K7)</f>
        <v>0</v>
      </c>
      <c r="M7" s="6"/>
      <c r="N7" s="216">
        <v>0</v>
      </c>
      <c r="O7" s="226"/>
      <c r="P7" s="238"/>
      <c r="Q7" s="224">
        <f>+D6</f>
        <v>67</v>
      </c>
      <c r="R7" s="58">
        <f>+(T7-T6)/($D7-$D6)*1000</f>
        <v>0</v>
      </c>
      <c r="S7" s="55">
        <f>+T7-T6</f>
        <v>0</v>
      </c>
      <c r="T7" s="41">
        <v>0</v>
      </c>
      <c r="U7" s="228"/>
      <c r="V7" s="235"/>
      <c r="W7" s="21"/>
      <c r="X7" s="24">
        <f>+(Z7-Z6)/($D7-$D6)*1000</f>
        <v>0</v>
      </c>
      <c r="Y7" s="21"/>
      <c r="Z7" s="47">
        <v>0</v>
      </c>
      <c r="AA7" s="3"/>
    </row>
    <row r="8" spans="1:29" x14ac:dyDescent="0.2">
      <c r="A8" s="33">
        <v>1995</v>
      </c>
      <c r="B8" s="127">
        <v>0</v>
      </c>
      <c r="C8" s="30">
        <v>0</v>
      </c>
      <c r="D8" s="565">
        <f>D7+C8</f>
        <v>38</v>
      </c>
      <c r="E8" s="635">
        <v>5.89</v>
      </c>
      <c r="F8" s="209">
        <v>0</v>
      </c>
      <c r="G8" s="617">
        <v>0</v>
      </c>
      <c r="H8" s="629">
        <f>+$B8*E8/1000</f>
        <v>0</v>
      </c>
      <c r="I8" s="72">
        <f t="shared" ref="I8:I42" si="1">+$B8*F8/1000</f>
        <v>0</v>
      </c>
      <c r="J8" s="630">
        <f t="shared" ref="J8:J42" si="2">+$B8*G8/1000000</f>
        <v>0</v>
      </c>
      <c r="K8" s="61">
        <f t="shared" ref="K8:K42" si="3">(D8+D7)/2</f>
        <v>38</v>
      </c>
      <c r="L8" s="59">
        <f t="shared" si="0"/>
        <v>0</v>
      </c>
      <c r="M8" s="59">
        <f>+N8-N7</f>
        <v>0</v>
      </c>
      <c r="N8" s="216">
        <v>0</v>
      </c>
      <c r="O8" s="226"/>
      <c r="P8" s="238"/>
      <c r="Q8" s="639">
        <f>+D7</f>
        <v>38</v>
      </c>
      <c r="R8" s="58">
        <f>+I8</f>
        <v>0</v>
      </c>
      <c r="S8" s="55">
        <f>+T8-T7</f>
        <v>0</v>
      </c>
      <c r="T8" s="41">
        <v>0</v>
      </c>
      <c r="U8" s="228"/>
      <c r="V8" s="373">
        <v>29</v>
      </c>
      <c r="W8" s="236">
        <f>K8</f>
        <v>38</v>
      </c>
      <c r="X8" s="24">
        <f>+G8</f>
        <v>0</v>
      </c>
      <c r="Y8" s="25">
        <f>+Z8-Z7</f>
        <v>0</v>
      </c>
      <c r="Z8" s="53">
        <f t="shared" ref="Z8:Z40" si="4">+W8*X8/1000000</f>
        <v>0</v>
      </c>
      <c r="AA8" s="9"/>
      <c r="AC8" s="1"/>
    </row>
    <row r="9" spans="1:29" x14ac:dyDescent="0.2">
      <c r="A9" s="33">
        <v>1996</v>
      </c>
      <c r="B9" s="127">
        <v>1</v>
      </c>
      <c r="C9" s="30">
        <v>-3</v>
      </c>
      <c r="D9" s="565">
        <f t="shared" ref="D9:D37" si="5">D8+C9</f>
        <v>35</v>
      </c>
      <c r="E9" s="635">
        <v>6.1</v>
      </c>
      <c r="F9" s="209">
        <v>0</v>
      </c>
      <c r="G9" s="617">
        <v>0</v>
      </c>
      <c r="H9" s="629">
        <f>+$B9*E9/1000</f>
        <v>6.0999999999999995E-3</v>
      </c>
      <c r="I9" s="72">
        <f t="shared" si="1"/>
        <v>0</v>
      </c>
      <c r="J9" s="630">
        <f t="shared" si="2"/>
        <v>0</v>
      </c>
      <c r="K9" s="61">
        <f t="shared" si="3"/>
        <v>36.5</v>
      </c>
      <c r="L9" s="59">
        <f t="shared" si="0"/>
        <v>0</v>
      </c>
      <c r="M9" s="59">
        <f t="shared" ref="M9:M37" si="6">+N9-N8</f>
        <v>0</v>
      </c>
      <c r="N9" s="216">
        <v>0</v>
      </c>
      <c r="O9" s="226"/>
      <c r="P9" s="238"/>
      <c r="Q9" s="639">
        <f t="shared" ref="Q9:Q25" si="7">+D8</f>
        <v>38</v>
      </c>
      <c r="R9" s="58">
        <f t="shared" ref="R9:R37" si="8">+I9</f>
        <v>0</v>
      </c>
      <c r="S9" s="55">
        <f t="shared" ref="S9:S37" si="9">+T9-T8</f>
        <v>0</v>
      </c>
      <c r="T9" s="41">
        <v>0</v>
      </c>
      <c r="U9" s="228"/>
      <c r="V9" s="373">
        <v>26</v>
      </c>
      <c r="W9" s="236">
        <f>K9</f>
        <v>36.5</v>
      </c>
      <c r="X9" s="24">
        <f t="shared" ref="X9:X37" si="10">+G9</f>
        <v>0</v>
      </c>
      <c r="Y9" s="25">
        <f t="shared" ref="Y9:Y37" si="11">+Z9-Z8</f>
        <v>0</v>
      </c>
      <c r="Z9" s="53">
        <f t="shared" si="4"/>
        <v>0</v>
      </c>
      <c r="AA9" s="10"/>
      <c r="AC9" s="1"/>
    </row>
    <row r="10" spans="1:29" x14ac:dyDescent="0.2">
      <c r="A10" s="33">
        <v>1997</v>
      </c>
      <c r="B10" s="127">
        <v>1</v>
      </c>
      <c r="C10" s="30">
        <v>-10</v>
      </c>
      <c r="D10" s="565">
        <f t="shared" si="5"/>
        <v>25</v>
      </c>
      <c r="E10" s="635">
        <v>9</v>
      </c>
      <c r="F10" s="209">
        <v>0</v>
      </c>
      <c r="G10" s="617">
        <v>0</v>
      </c>
      <c r="H10" s="629">
        <f>+$B10*E10/1000</f>
        <v>8.9999999999999993E-3</v>
      </c>
      <c r="I10" s="72">
        <f t="shared" si="1"/>
        <v>0</v>
      </c>
      <c r="J10" s="630">
        <f t="shared" si="2"/>
        <v>0</v>
      </c>
      <c r="K10" s="61">
        <f t="shared" si="3"/>
        <v>30</v>
      </c>
      <c r="L10" s="59">
        <f t="shared" si="0"/>
        <v>0</v>
      </c>
      <c r="M10" s="59">
        <f t="shared" si="6"/>
        <v>0</v>
      </c>
      <c r="N10" s="216">
        <v>0</v>
      </c>
      <c r="O10" s="226"/>
      <c r="P10" s="238"/>
      <c r="Q10" s="639">
        <f t="shared" si="7"/>
        <v>35</v>
      </c>
      <c r="R10" s="58">
        <f t="shared" si="8"/>
        <v>0</v>
      </c>
      <c r="S10" s="55">
        <f t="shared" si="9"/>
        <v>0</v>
      </c>
      <c r="T10" s="41">
        <v>0</v>
      </c>
      <c r="U10" s="228"/>
      <c r="V10" s="373">
        <v>44</v>
      </c>
      <c r="W10" s="236">
        <f t="shared" ref="W10:W37" si="12">K10</f>
        <v>30</v>
      </c>
      <c r="X10" s="24">
        <f t="shared" si="10"/>
        <v>0</v>
      </c>
      <c r="Y10" s="25">
        <f t="shared" si="11"/>
        <v>0</v>
      </c>
      <c r="Z10" s="53">
        <f t="shared" si="4"/>
        <v>0</v>
      </c>
      <c r="AA10" s="10"/>
      <c r="AC10" s="1"/>
    </row>
    <row r="11" spans="1:29" x14ac:dyDescent="0.2">
      <c r="A11" s="33">
        <v>1998</v>
      </c>
      <c r="B11" s="127">
        <v>0</v>
      </c>
      <c r="C11" s="30">
        <v>-3</v>
      </c>
      <c r="D11" s="565">
        <f t="shared" si="5"/>
        <v>22</v>
      </c>
      <c r="E11" s="635">
        <v>28.5</v>
      </c>
      <c r="F11" s="209">
        <v>0</v>
      </c>
      <c r="G11" s="617">
        <v>0</v>
      </c>
      <c r="H11" s="629">
        <f t="shared" ref="H11:H42" si="13">+$B11*E11/1000</f>
        <v>0</v>
      </c>
      <c r="I11" s="72">
        <f t="shared" si="1"/>
        <v>0</v>
      </c>
      <c r="J11" s="630">
        <f t="shared" si="2"/>
        <v>0</v>
      </c>
      <c r="K11" s="61">
        <f t="shared" si="3"/>
        <v>23.5</v>
      </c>
      <c r="L11" s="59">
        <f t="shared" si="0"/>
        <v>0</v>
      </c>
      <c r="M11" s="59">
        <f t="shared" si="6"/>
        <v>0</v>
      </c>
      <c r="N11" s="216">
        <v>0</v>
      </c>
      <c r="O11" s="226"/>
      <c r="P11" s="238"/>
      <c r="Q11" s="639">
        <f t="shared" si="7"/>
        <v>25</v>
      </c>
      <c r="R11" s="58">
        <f t="shared" si="8"/>
        <v>0</v>
      </c>
      <c r="S11" s="55">
        <f t="shared" si="9"/>
        <v>0</v>
      </c>
      <c r="T11" s="41">
        <v>0</v>
      </c>
      <c r="U11" s="228"/>
      <c r="V11" s="373">
        <v>44</v>
      </c>
      <c r="W11" s="236">
        <f t="shared" si="12"/>
        <v>23.5</v>
      </c>
      <c r="X11" s="24">
        <f t="shared" si="10"/>
        <v>0</v>
      </c>
      <c r="Y11" s="25">
        <f t="shared" si="11"/>
        <v>0</v>
      </c>
      <c r="Z11" s="53">
        <f t="shared" si="4"/>
        <v>0</v>
      </c>
      <c r="AA11" s="10"/>
      <c r="AC11" s="1"/>
    </row>
    <row r="12" spans="1:29" x14ac:dyDescent="0.2">
      <c r="A12" s="33">
        <v>1999</v>
      </c>
      <c r="B12" s="127">
        <v>0</v>
      </c>
      <c r="C12" s="30">
        <v>-6</v>
      </c>
      <c r="D12" s="565">
        <f t="shared" si="5"/>
        <v>16</v>
      </c>
      <c r="E12" s="635">
        <v>28.5</v>
      </c>
      <c r="F12" s="209">
        <v>0</v>
      </c>
      <c r="G12" s="617">
        <v>0</v>
      </c>
      <c r="H12" s="629">
        <f t="shared" si="13"/>
        <v>0</v>
      </c>
      <c r="I12" s="72">
        <f t="shared" si="1"/>
        <v>0</v>
      </c>
      <c r="J12" s="630">
        <f t="shared" si="2"/>
        <v>0</v>
      </c>
      <c r="K12" s="61">
        <f t="shared" si="3"/>
        <v>19</v>
      </c>
      <c r="L12" s="59">
        <f t="shared" si="0"/>
        <v>10.526315789473685</v>
      </c>
      <c r="M12" s="59">
        <f t="shared" si="6"/>
        <v>0.2</v>
      </c>
      <c r="N12" s="216">
        <v>0.2</v>
      </c>
      <c r="O12" s="226"/>
      <c r="P12" s="238"/>
      <c r="Q12" s="639">
        <f t="shared" si="7"/>
        <v>22</v>
      </c>
      <c r="R12" s="58">
        <f t="shared" si="8"/>
        <v>0</v>
      </c>
      <c r="S12" s="55">
        <f t="shared" si="9"/>
        <v>0</v>
      </c>
      <c r="T12" s="41">
        <v>0</v>
      </c>
      <c r="U12" s="228"/>
      <c r="V12" s="373">
        <v>32</v>
      </c>
      <c r="W12" s="236">
        <f t="shared" si="12"/>
        <v>19</v>
      </c>
      <c r="X12" s="24">
        <f t="shared" si="10"/>
        <v>0</v>
      </c>
      <c r="Y12" s="25">
        <f t="shared" si="11"/>
        <v>0</v>
      </c>
      <c r="Z12" s="53">
        <f t="shared" si="4"/>
        <v>0</v>
      </c>
      <c r="AA12" s="10"/>
      <c r="AC12" s="1"/>
    </row>
    <row r="13" spans="1:29" x14ac:dyDescent="0.2">
      <c r="A13" s="33">
        <v>2000</v>
      </c>
      <c r="B13" s="127">
        <v>0</v>
      </c>
      <c r="C13" s="30">
        <v>-3</v>
      </c>
      <c r="D13" s="565">
        <f t="shared" si="5"/>
        <v>13</v>
      </c>
      <c r="E13" s="635">
        <v>28.5</v>
      </c>
      <c r="F13" s="209">
        <v>0</v>
      </c>
      <c r="G13" s="617">
        <v>0</v>
      </c>
      <c r="H13" s="629">
        <f t="shared" si="13"/>
        <v>0</v>
      </c>
      <c r="I13" s="72">
        <f t="shared" si="1"/>
        <v>0</v>
      </c>
      <c r="J13" s="630">
        <f t="shared" si="2"/>
        <v>0</v>
      </c>
      <c r="K13" s="61">
        <f t="shared" si="3"/>
        <v>14.5</v>
      </c>
      <c r="L13" s="59">
        <f t="shared" si="0"/>
        <v>6.8965517241379306</v>
      </c>
      <c r="M13" s="59">
        <f t="shared" si="6"/>
        <v>-0.1</v>
      </c>
      <c r="N13" s="216">
        <v>0.1</v>
      </c>
      <c r="O13" s="226"/>
      <c r="P13" s="238"/>
      <c r="Q13" s="639">
        <f t="shared" si="7"/>
        <v>16</v>
      </c>
      <c r="R13" s="58">
        <f t="shared" si="8"/>
        <v>0</v>
      </c>
      <c r="S13" s="55">
        <f t="shared" si="9"/>
        <v>0</v>
      </c>
      <c r="T13" s="41">
        <v>0</v>
      </c>
      <c r="U13" s="228"/>
      <c r="V13" s="373">
        <v>34</v>
      </c>
      <c r="W13" s="236">
        <f t="shared" si="12"/>
        <v>14.5</v>
      </c>
      <c r="X13" s="24">
        <f t="shared" si="10"/>
        <v>0</v>
      </c>
      <c r="Y13" s="25">
        <f t="shared" si="11"/>
        <v>0</v>
      </c>
      <c r="Z13" s="53">
        <f t="shared" si="4"/>
        <v>0</v>
      </c>
      <c r="AA13" s="9"/>
      <c r="AC13" s="1"/>
    </row>
    <row r="14" spans="1:29" x14ac:dyDescent="0.2">
      <c r="A14" s="33">
        <v>2001</v>
      </c>
      <c r="B14" s="127">
        <v>0</v>
      </c>
      <c r="C14" s="30">
        <v>-2</v>
      </c>
      <c r="D14" s="565">
        <f t="shared" si="5"/>
        <v>11</v>
      </c>
      <c r="E14" s="635">
        <v>19.8</v>
      </c>
      <c r="F14" s="209">
        <v>0</v>
      </c>
      <c r="G14" s="617">
        <v>0</v>
      </c>
      <c r="H14" s="629">
        <f t="shared" si="13"/>
        <v>0</v>
      </c>
      <c r="I14" s="72">
        <f t="shared" si="1"/>
        <v>0</v>
      </c>
      <c r="J14" s="630">
        <f t="shared" si="2"/>
        <v>0</v>
      </c>
      <c r="K14" s="61">
        <f t="shared" si="3"/>
        <v>12</v>
      </c>
      <c r="L14" s="59">
        <f t="shared" si="0"/>
        <v>7.083333333333333</v>
      </c>
      <c r="M14" s="59">
        <f t="shared" si="6"/>
        <v>-1.4999999999999999E-2</v>
      </c>
      <c r="N14" s="216">
        <f>0.2-'COM LM (ext)'!N14</f>
        <v>8.5000000000000006E-2</v>
      </c>
      <c r="O14" s="226"/>
      <c r="P14" s="238"/>
      <c r="Q14" s="639">
        <f t="shared" si="7"/>
        <v>13</v>
      </c>
      <c r="R14" s="58">
        <f t="shared" si="8"/>
        <v>0</v>
      </c>
      <c r="S14" s="55">
        <f t="shared" si="9"/>
        <v>0</v>
      </c>
      <c r="T14" s="41">
        <v>0</v>
      </c>
      <c r="U14" s="228"/>
      <c r="V14" s="373">
        <v>35</v>
      </c>
      <c r="W14" s="236">
        <f t="shared" si="12"/>
        <v>12</v>
      </c>
      <c r="X14" s="24">
        <f t="shared" si="10"/>
        <v>0</v>
      </c>
      <c r="Y14" s="25">
        <f t="shared" si="11"/>
        <v>0</v>
      </c>
      <c r="Z14" s="53">
        <f t="shared" si="4"/>
        <v>0</v>
      </c>
      <c r="AA14" s="9"/>
      <c r="AC14" s="1"/>
    </row>
    <row r="15" spans="1:29" x14ac:dyDescent="0.2">
      <c r="A15" s="33">
        <v>2002</v>
      </c>
      <c r="B15" s="127">
        <v>0</v>
      </c>
      <c r="C15" s="30">
        <v>-1</v>
      </c>
      <c r="D15" s="565">
        <f t="shared" si="5"/>
        <v>10</v>
      </c>
      <c r="E15" s="635">
        <v>28.5</v>
      </c>
      <c r="F15" s="209">
        <v>0</v>
      </c>
      <c r="G15" s="617">
        <v>0</v>
      </c>
      <c r="H15" s="629">
        <f t="shared" si="13"/>
        <v>0</v>
      </c>
      <c r="I15" s="72">
        <f t="shared" si="1"/>
        <v>0</v>
      </c>
      <c r="J15" s="630">
        <f t="shared" si="2"/>
        <v>0</v>
      </c>
      <c r="K15" s="61">
        <f t="shared" si="3"/>
        <v>10.5</v>
      </c>
      <c r="L15" s="59">
        <f t="shared" si="0"/>
        <v>14.285714285714286</v>
      </c>
      <c r="M15" s="59">
        <f t="shared" si="6"/>
        <v>6.4999999999999988E-2</v>
      </c>
      <c r="N15" s="216">
        <f>0.3-'COM LM (ext)'!N15</f>
        <v>0.15</v>
      </c>
      <c r="O15" s="226"/>
      <c r="P15" s="238"/>
      <c r="Q15" s="639">
        <f t="shared" si="7"/>
        <v>11</v>
      </c>
      <c r="R15" s="58">
        <f t="shared" si="8"/>
        <v>0</v>
      </c>
      <c r="S15" s="55">
        <f t="shared" si="9"/>
        <v>0</v>
      </c>
      <c r="T15" s="41">
        <v>0</v>
      </c>
      <c r="U15" s="228"/>
      <c r="V15" s="373">
        <v>38</v>
      </c>
      <c r="W15" s="236">
        <f t="shared" si="12"/>
        <v>10.5</v>
      </c>
      <c r="X15" s="24">
        <f t="shared" si="10"/>
        <v>0</v>
      </c>
      <c r="Y15" s="25">
        <f t="shared" si="11"/>
        <v>0</v>
      </c>
      <c r="Z15" s="53">
        <f t="shared" si="4"/>
        <v>0</v>
      </c>
      <c r="AA15" s="9"/>
      <c r="AC15" s="1"/>
    </row>
    <row r="16" spans="1:29" x14ac:dyDescent="0.2">
      <c r="A16" s="33">
        <v>2003</v>
      </c>
      <c r="B16" s="127">
        <v>0</v>
      </c>
      <c r="C16" s="30">
        <v>-3</v>
      </c>
      <c r="D16" s="565">
        <f t="shared" si="5"/>
        <v>7</v>
      </c>
      <c r="E16" s="635">
        <v>13.2</v>
      </c>
      <c r="F16" s="209">
        <v>0</v>
      </c>
      <c r="G16" s="617">
        <v>0</v>
      </c>
      <c r="H16" s="629">
        <f t="shared" si="13"/>
        <v>0</v>
      </c>
      <c r="I16" s="72">
        <f t="shared" si="1"/>
        <v>0</v>
      </c>
      <c r="J16" s="630">
        <f t="shared" si="2"/>
        <v>0</v>
      </c>
      <c r="K16" s="61">
        <f t="shared" si="3"/>
        <v>8.5</v>
      </c>
      <c r="L16" s="59">
        <f t="shared" si="0"/>
        <v>22.352941176470587</v>
      </c>
      <c r="M16" s="59">
        <f t="shared" si="6"/>
        <v>4.0000000000000008E-2</v>
      </c>
      <c r="N16" s="216">
        <f>0.3-'COM LM (ext)'!N16</f>
        <v>0.19</v>
      </c>
      <c r="O16" s="226"/>
      <c r="P16" s="238"/>
      <c r="Q16" s="639">
        <f t="shared" si="7"/>
        <v>10</v>
      </c>
      <c r="R16" s="58">
        <f t="shared" si="8"/>
        <v>0</v>
      </c>
      <c r="S16" s="55">
        <f t="shared" si="9"/>
        <v>0</v>
      </c>
      <c r="T16" s="41">
        <v>0</v>
      </c>
      <c r="U16" s="228"/>
      <c r="V16" s="373">
        <v>28</v>
      </c>
      <c r="W16" s="236">
        <f t="shared" si="12"/>
        <v>8.5</v>
      </c>
      <c r="X16" s="24">
        <f t="shared" si="10"/>
        <v>0</v>
      </c>
      <c r="Y16" s="25">
        <f t="shared" si="11"/>
        <v>0</v>
      </c>
      <c r="Z16" s="53">
        <f t="shared" si="4"/>
        <v>0</v>
      </c>
      <c r="AA16" s="9"/>
      <c r="AC16" s="1"/>
    </row>
    <row r="17" spans="1:29" x14ac:dyDescent="0.2">
      <c r="A17" s="33">
        <v>2004</v>
      </c>
      <c r="B17" s="127">
        <v>11</v>
      </c>
      <c r="C17" s="30">
        <v>11</v>
      </c>
      <c r="D17" s="565">
        <f t="shared" si="5"/>
        <v>18</v>
      </c>
      <c r="E17" s="635">
        <v>9.69</v>
      </c>
      <c r="F17" s="209">
        <v>0</v>
      </c>
      <c r="G17" s="617">
        <v>0</v>
      </c>
      <c r="H17" s="629">
        <f t="shared" si="13"/>
        <v>0.10658999999999999</v>
      </c>
      <c r="I17" s="72">
        <f t="shared" si="1"/>
        <v>0</v>
      </c>
      <c r="J17" s="630">
        <f t="shared" si="2"/>
        <v>0</v>
      </c>
      <c r="K17" s="61">
        <f t="shared" si="3"/>
        <v>12.5</v>
      </c>
      <c r="L17" s="59">
        <f t="shared" si="0"/>
        <v>14.8</v>
      </c>
      <c r="M17" s="59">
        <f t="shared" si="6"/>
        <v>-5.0000000000000044E-3</v>
      </c>
      <c r="N17" s="226">
        <f>0.3-'COM LM (ext)'!N17</f>
        <v>0.185</v>
      </c>
      <c r="O17" s="226"/>
      <c r="P17" s="238"/>
      <c r="Q17" s="639">
        <f t="shared" si="7"/>
        <v>7</v>
      </c>
      <c r="R17" s="58">
        <f t="shared" ref="R17:R25" si="14">+I17</f>
        <v>0</v>
      </c>
      <c r="S17" s="55">
        <f t="shared" ref="S17:S25" si="15">+T17-T16</f>
        <v>0</v>
      </c>
      <c r="T17" s="41">
        <v>0</v>
      </c>
      <c r="U17" s="228"/>
      <c r="V17" s="373">
        <v>41</v>
      </c>
      <c r="W17" s="236">
        <f t="shared" si="12"/>
        <v>12.5</v>
      </c>
      <c r="X17" s="24">
        <f t="shared" si="10"/>
        <v>0</v>
      </c>
      <c r="Y17" s="25">
        <f t="shared" si="11"/>
        <v>0</v>
      </c>
      <c r="Z17" s="53">
        <f t="shared" si="4"/>
        <v>0</v>
      </c>
      <c r="AA17" s="9"/>
      <c r="AC17" s="1"/>
    </row>
    <row r="18" spans="1:29" x14ac:dyDescent="0.2">
      <c r="A18" s="33">
        <f>+A17+1</f>
        <v>2005</v>
      </c>
      <c r="B18" s="127">
        <v>0</v>
      </c>
      <c r="C18" s="30">
        <v>-3</v>
      </c>
      <c r="D18" s="633">
        <f t="shared" si="5"/>
        <v>15</v>
      </c>
      <c r="E18" s="635">
        <v>9.69</v>
      </c>
      <c r="F18" s="209">
        <v>0</v>
      </c>
      <c r="G18" s="617">
        <v>0</v>
      </c>
      <c r="H18" s="629">
        <f t="shared" si="13"/>
        <v>0</v>
      </c>
      <c r="I18" s="72">
        <f t="shared" si="1"/>
        <v>0</v>
      </c>
      <c r="J18" s="630">
        <f t="shared" si="2"/>
        <v>0</v>
      </c>
      <c r="K18" s="61">
        <f t="shared" si="3"/>
        <v>16.5</v>
      </c>
      <c r="L18" s="59">
        <f t="shared" si="0"/>
        <v>18.181818181818183</v>
      </c>
      <c r="M18" s="59">
        <f t="shared" si="6"/>
        <v>0.11499999999999999</v>
      </c>
      <c r="N18" s="226">
        <v>0.3</v>
      </c>
      <c r="O18" s="226">
        <v>0.3</v>
      </c>
      <c r="P18" s="593">
        <v>91</v>
      </c>
      <c r="Q18" s="639">
        <f t="shared" si="7"/>
        <v>18</v>
      </c>
      <c r="R18" s="58">
        <f t="shared" si="14"/>
        <v>0</v>
      </c>
      <c r="S18" s="55">
        <f t="shared" si="15"/>
        <v>0</v>
      </c>
      <c r="T18" s="41">
        <v>0</v>
      </c>
      <c r="U18" s="228"/>
      <c r="V18" s="373">
        <v>33</v>
      </c>
      <c r="W18" s="236">
        <f t="shared" si="12"/>
        <v>16.5</v>
      </c>
      <c r="X18" s="24">
        <f t="shared" si="10"/>
        <v>0</v>
      </c>
      <c r="Y18" s="25">
        <f t="shared" si="11"/>
        <v>0</v>
      </c>
      <c r="Z18" s="53">
        <f t="shared" si="4"/>
        <v>0</v>
      </c>
      <c r="AA18" s="9"/>
      <c r="AC18" s="1"/>
    </row>
    <row r="19" spans="1:29" x14ac:dyDescent="0.2">
      <c r="A19" s="33">
        <f t="shared" ref="A19:A38" si="16">+A18+1</f>
        <v>2006</v>
      </c>
      <c r="B19" s="288">
        <v>0</v>
      </c>
      <c r="C19" s="30">
        <v>-9</v>
      </c>
      <c r="D19" s="633">
        <f t="shared" si="5"/>
        <v>6</v>
      </c>
      <c r="E19" s="635">
        <v>33.630000000000003</v>
      </c>
      <c r="F19" s="209">
        <v>0</v>
      </c>
      <c r="G19" s="617">
        <v>0</v>
      </c>
      <c r="H19" s="629">
        <f t="shared" si="13"/>
        <v>0</v>
      </c>
      <c r="I19" s="72">
        <f t="shared" si="1"/>
        <v>0</v>
      </c>
      <c r="J19" s="630">
        <f t="shared" si="2"/>
        <v>0</v>
      </c>
      <c r="K19" s="61">
        <f t="shared" si="3"/>
        <v>10.5</v>
      </c>
      <c r="L19" s="59">
        <f t="shared" si="0"/>
        <v>51.233333333333334</v>
      </c>
      <c r="M19" s="59">
        <f t="shared" si="6"/>
        <v>0.23795000000000005</v>
      </c>
      <c r="N19" s="226">
        <v>0.53795000000000004</v>
      </c>
      <c r="O19" s="226">
        <v>0</v>
      </c>
      <c r="P19" s="593">
        <v>92</v>
      </c>
      <c r="Q19" s="639">
        <f t="shared" si="7"/>
        <v>15</v>
      </c>
      <c r="R19" s="58">
        <f t="shared" si="14"/>
        <v>0</v>
      </c>
      <c r="S19" s="55">
        <f t="shared" si="15"/>
        <v>0</v>
      </c>
      <c r="T19" s="41">
        <v>0</v>
      </c>
      <c r="U19" s="228">
        <v>0</v>
      </c>
      <c r="V19" s="373">
        <v>40</v>
      </c>
      <c r="W19" s="236">
        <f t="shared" si="12"/>
        <v>10.5</v>
      </c>
      <c r="X19" s="24">
        <f t="shared" si="10"/>
        <v>0</v>
      </c>
      <c r="Y19" s="25">
        <f t="shared" si="11"/>
        <v>0</v>
      </c>
      <c r="Z19" s="53">
        <f t="shared" si="4"/>
        <v>0</v>
      </c>
      <c r="AA19" s="8"/>
      <c r="AC19" s="1"/>
    </row>
    <row r="20" spans="1:29" x14ac:dyDescent="0.2">
      <c r="A20" s="283">
        <f t="shared" si="16"/>
        <v>2007</v>
      </c>
      <c r="B20" s="288">
        <v>0</v>
      </c>
      <c r="C20" s="30">
        <v>0</v>
      </c>
      <c r="D20" s="633">
        <f t="shared" si="5"/>
        <v>6</v>
      </c>
      <c r="E20" s="635">
        <v>33.659999999999997</v>
      </c>
      <c r="F20" s="70">
        <v>0</v>
      </c>
      <c r="G20" s="620">
        <v>0</v>
      </c>
      <c r="H20" s="629">
        <f t="shared" si="13"/>
        <v>0</v>
      </c>
      <c r="I20" s="72">
        <f t="shared" si="1"/>
        <v>0</v>
      </c>
      <c r="J20" s="630">
        <f t="shared" si="2"/>
        <v>0</v>
      </c>
      <c r="K20" s="61">
        <f>(D20+D19)/2</f>
        <v>6</v>
      </c>
      <c r="L20" s="59">
        <f t="shared" si="0"/>
        <v>69.983333333333334</v>
      </c>
      <c r="M20" s="59">
        <f>+N20-N19</f>
        <v>-0.11804999999999999</v>
      </c>
      <c r="N20" s="226">
        <v>0.41990000000000005</v>
      </c>
      <c r="O20" s="226">
        <v>0</v>
      </c>
      <c r="P20" s="593">
        <v>94</v>
      </c>
      <c r="Q20" s="639">
        <f t="shared" si="7"/>
        <v>6</v>
      </c>
      <c r="R20" s="58">
        <f t="shared" si="14"/>
        <v>0</v>
      </c>
      <c r="S20" s="55">
        <f t="shared" si="15"/>
        <v>0</v>
      </c>
      <c r="T20" s="41">
        <v>0</v>
      </c>
      <c r="U20" s="228">
        <v>0</v>
      </c>
      <c r="V20" s="373">
        <v>41</v>
      </c>
      <c r="W20" s="236">
        <f t="shared" si="12"/>
        <v>6</v>
      </c>
      <c r="X20" s="24">
        <f t="shared" si="10"/>
        <v>0</v>
      </c>
      <c r="Y20" s="25">
        <f t="shared" si="11"/>
        <v>0</v>
      </c>
      <c r="Z20" s="53">
        <f t="shared" si="4"/>
        <v>0</v>
      </c>
      <c r="AA20" s="2"/>
    </row>
    <row r="21" spans="1:29" x14ac:dyDescent="0.2">
      <c r="A21" s="283">
        <f t="shared" si="16"/>
        <v>2008</v>
      </c>
      <c r="B21" s="288">
        <v>0</v>
      </c>
      <c r="C21" s="30">
        <v>0</v>
      </c>
      <c r="D21" s="633">
        <f t="shared" si="5"/>
        <v>6</v>
      </c>
      <c r="E21" s="635">
        <v>33.630000000000003</v>
      </c>
      <c r="F21" s="70">
        <v>0</v>
      </c>
      <c r="G21" s="620">
        <v>0</v>
      </c>
      <c r="H21" s="629">
        <f t="shared" si="13"/>
        <v>0</v>
      </c>
      <c r="I21" s="72">
        <f t="shared" si="1"/>
        <v>0</v>
      </c>
      <c r="J21" s="630">
        <f t="shared" si="2"/>
        <v>0</v>
      </c>
      <c r="K21" s="61">
        <f t="shared" si="3"/>
        <v>6</v>
      </c>
      <c r="L21" s="59">
        <f t="shared" si="0"/>
        <v>69.983333333333334</v>
      </c>
      <c r="M21" s="59">
        <f t="shared" si="6"/>
        <v>0</v>
      </c>
      <c r="N21" s="226">
        <v>0.41990000000000005</v>
      </c>
      <c r="O21" s="226">
        <v>0</v>
      </c>
      <c r="P21" s="593">
        <v>96</v>
      </c>
      <c r="Q21" s="639">
        <f t="shared" si="7"/>
        <v>6</v>
      </c>
      <c r="R21" s="58">
        <f t="shared" si="14"/>
        <v>0</v>
      </c>
      <c r="S21" s="55">
        <f t="shared" si="15"/>
        <v>0</v>
      </c>
      <c r="T21" s="41">
        <v>0</v>
      </c>
      <c r="U21" s="228">
        <v>0</v>
      </c>
      <c r="V21" s="373">
        <v>30</v>
      </c>
      <c r="W21" s="236">
        <f t="shared" si="12"/>
        <v>6</v>
      </c>
      <c r="X21" s="24">
        <f t="shared" si="10"/>
        <v>0</v>
      </c>
      <c r="Y21" s="25">
        <f t="shared" si="11"/>
        <v>0</v>
      </c>
      <c r="Z21" s="53">
        <f t="shared" si="4"/>
        <v>0</v>
      </c>
      <c r="AA21" s="2"/>
    </row>
    <row r="22" spans="1:29" x14ac:dyDescent="0.2">
      <c r="A22" s="33">
        <f t="shared" si="16"/>
        <v>2009</v>
      </c>
      <c r="B22" s="568">
        <v>1</v>
      </c>
      <c r="C22" s="30">
        <v>1</v>
      </c>
      <c r="D22" s="633">
        <f t="shared" si="5"/>
        <v>7</v>
      </c>
      <c r="E22" s="635">
        <v>84.08</v>
      </c>
      <c r="F22" s="209">
        <v>0</v>
      </c>
      <c r="G22" s="617">
        <v>0</v>
      </c>
      <c r="H22" s="629">
        <f t="shared" si="13"/>
        <v>8.4080000000000002E-2</v>
      </c>
      <c r="I22" s="72">
        <f t="shared" si="1"/>
        <v>0</v>
      </c>
      <c r="J22" s="630">
        <f t="shared" si="2"/>
        <v>0</v>
      </c>
      <c r="K22" s="61">
        <f t="shared" si="3"/>
        <v>6.5</v>
      </c>
      <c r="L22" s="59">
        <f t="shared" si="0"/>
        <v>31.076923076923077</v>
      </c>
      <c r="M22" s="59">
        <f t="shared" si="6"/>
        <v>-0.21790000000000004</v>
      </c>
      <c r="N22" s="226">
        <v>0.20200000000000001</v>
      </c>
      <c r="O22" s="226">
        <v>0</v>
      </c>
      <c r="P22" s="593">
        <v>93</v>
      </c>
      <c r="Q22" s="639">
        <f t="shared" si="7"/>
        <v>6</v>
      </c>
      <c r="R22" s="58">
        <f t="shared" si="14"/>
        <v>0</v>
      </c>
      <c r="S22" s="55">
        <f t="shared" si="15"/>
        <v>0</v>
      </c>
      <c r="T22" s="41">
        <v>0</v>
      </c>
      <c r="U22" s="228">
        <v>0</v>
      </c>
      <c r="V22" s="373">
        <v>35</v>
      </c>
      <c r="W22" s="236">
        <f t="shared" si="12"/>
        <v>6.5</v>
      </c>
      <c r="X22" s="24">
        <f t="shared" ref="X22:X27" si="17">+G22</f>
        <v>0</v>
      </c>
      <c r="Y22" s="25">
        <f t="shared" ref="Y22:Y27" si="18">+Z22-Z21</f>
        <v>0</v>
      </c>
      <c r="Z22" s="53">
        <f t="shared" ref="Z22:Z27" si="19">+W22*X22/1000000</f>
        <v>0</v>
      </c>
      <c r="AA22" s="2"/>
    </row>
    <row r="23" spans="1:29" x14ac:dyDescent="0.2">
      <c r="A23" s="33">
        <f t="shared" si="16"/>
        <v>2010</v>
      </c>
      <c r="B23" s="568"/>
      <c r="C23" s="30">
        <v>-1</v>
      </c>
      <c r="D23" s="633">
        <f t="shared" si="5"/>
        <v>6</v>
      </c>
      <c r="E23" s="635">
        <v>55.5</v>
      </c>
      <c r="F23" s="70">
        <v>0</v>
      </c>
      <c r="G23" s="620">
        <v>0</v>
      </c>
      <c r="H23" s="629">
        <f t="shared" si="13"/>
        <v>0</v>
      </c>
      <c r="I23" s="72">
        <f t="shared" si="1"/>
        <v>0</v>
      </c>
      <c r="J23" s="630">
        <f t="shared" si="2"/>
        <v>0</v>
      </c>
      <c r="K23" s="61">
        <f t="shared" si="3"/>
        <v>6.5</v>
      </c>
      <c r="L23" s="59">
        <f t="shared" si="0"/>
        <v>31.015384615384619</v>
      </c>
      <c r="M23" s="59">
        <f t="shared" si="6"/>
        <v>-3.999999999999837E-4</v>
      </c>
      <c r="N23" s="226">
        <v>0.20160000000000003</v>
      </c>
      <c r="O23" s="226">
        <v>0</v>
      </c>
      <c r="P23" s="593">
        <v>93</v>
      </c>
      <c r="Q23" s="639">
        <f t="shared" si="7"/>
        <v>7</v>
      </c>
      <c r="R23" s="58">
        <f t="shared" si="14"/>
        <v>0</v>
      </c>
      <c r="S23" s="55">
        <f t="shared" si="15"/>
        <v>0</v>
      </c>
      <c r="T23" s="41">
        <v>0</v>
      </c>
      <c r="U23" s="228">
        <v>0</v>
      </c>
      <c r="V23" s="373">
        <v>32</v>
      </c>
      <c r="W23" s="236">
        <f t="shared" si="12"/>
        <v>6.5</v>
      </c>
      <c r="X23" s="24">
        <f t="shared" si="17"/>
        <v>0</v>
      </c>
      <c r="Y23" s="25">
        <f t="shared" si="18"/>
        <v>0</v>
      </c>
      <c r="Z23" s="53">
        <f t="shared" si="19"/>
        <v>0</v>
      </c>
      <c r="AA23" s="2"/>
    </row>
    <row r="24" spans="1:29" x14ac:dyDescent="0.2">
      <c r="A24" s="33">
        <f t="shared" si="16"/>
        <v>2011</v>
      </c>
      <c r="B24" s="568"/>
      <c r="C24" s="30">
        <v>0</v>
      </c>
      <c r="D24" s="633">
        <f t="shared" si="5"/>
        <v>6</v>
      </c>
      <c r="E24" s="635">
        <v>55.5</v>
      </c>
      <c r="F24" s="70">
        <v>0</v>
      </c>
      <c r="G24" s="620">
        <v>0</v>
      </c>
      <c r="H24" s="629">
        <f t="shared" si="13"/>
        <v>0</v>
      </c>
      <c r="I24" s="72">
        <f t="shared" si="1"/>
        <v>0</v>
      </c>
      <c r="J24" s="630">
        <f t="shared" si="2"/>
        <v>0</v>
      </c>
      <c r="K24" s="61">
        <f t="shared" si="3"/>
        <v>6</v>
      </c>
      <c r="L24" s="59">
        <f t="shared" si="0"/>
        <v>33.6</v>
      </c>
      <c r="M24" s="59">
        <f t="shared" si="6"/>
        <v>0</v>
      </c>
      <c r="N24" s="226">
        <v>0.20160000000000003</v>
      </c>
      <c r="O24" s="226">
        <v>0</v>
      </c>
      <c r="P24" s="593">
        <v>92</v>
      </c>
      <c r="Q24" s="639">
        <f t="shared" si="7"/>
        <v>6</v>
      </c>
      <c r="R24" s="58">
        <f t="shared" si="14"/>
        <v>0</v>
      </c>
      <c r="S24" s="55">
        <f t="shared" si="15"/>
        <v>0</v>
      </c>
      <c r="T24" s="41">
        <v>0</v>
      </c>
      <c r="U24" s="228">
        <v>0</v>
      </c>
      <c r="V24" s="373">
        <v>36</v>
      </c>
      <c r="W24" s="236">
        <f t="shared" si="12"/>
        <v>6</v>
      </c>
      <c r="X24" s="24">
        <f t="shared" si="17"/>
        <v>0</v>
      </c>
      <c r="Y24" s="25">
        <f t="shared" si="18"/>
        <v>0</v>
      </c>
      <c r="Z24" s="53">
        <f t="shared" si="19"/>
        <v>0</v>
      </c>
      <c r="AA24" s="2"/>
    </row>
    <row r="25" spans="1:29" x14ac:dyDescent="0.2">
      <c r="A25" s="33">
        <f t="shared" si="16"/>
        <v>2012</v>
      </c>
      <c r="B25" s="568"/>
      <c r="C25" s="30">
        <v>0</v>
      </c>
      <c r="D25" s="633">
        <f t="shared" si="5"/>
        <v>6</v>
      </c>
      <c r="E25" s="635">
        <v>55.5</v>
      </c>
      <c r="F25" s="70">
        <v>0</v>
      </c>
      <c r="G25" s="620">
        <v>0</v>
      </c>
      <c r="H25" s="629">
        <f t="shared" si="13"/>
        <v>0</v>
      </c>
      <c r="I25" s="72">
        <f t="shared" si="1"/>
        <v>0</v>
      </c>
      <c r="J25" s="630">
        <f t="shared" si="2"/>
        <v>0</v>
      </c>
      <c r="K25" s="61">
        <f t="shared" si="3"/>
        <v>6</v>
      </c>
      <c r="L25" s="59">
        <f t="shared" si="0"/>
        <v>55.22999999999999</v>
      </c>
      <c r="M25" s="59">
        <f t="shared" si="6"/>
        <v>0.12977999999999992</v>
      </c>
      <c r="N25" s="226">
        <v>0.33137999999999995</v>
      </c>
      <c r="O25" s="226">
        <v>0</v>
      </c>
      <c r="P25" s="593">
        <v>92</v>
      </c>
      <c r="Q25" s="639">
        <f t="shared" si="7"/>
        <v>6</v>
      </c>
      <c r="R25" s="58">
        <f t="shared" si="14"/>
        <v>0</v>
      </c>
      <c r="S25" s="55">
        <f t="shared" si="15"/>
        <v>0</v>
      </c>
      <c r="T25" s="41">
        <v>0</v>
      </c>
      <c r="U25" s="228">
        <v>0</v>
      </c>
      <c r="V25" s="373">
        <v>36</v>
      </c>
      <c r="W25" s="236">
        <f t="shared" si="12"/>
        <v>6</v>
      </c>
      <c r="X25" s="24">
        <f t="shared" si="17"/>
        <v>0</v>
      </c>
      <c r="Y25" s="25">
        <f t="shared" si="18"/>
        <v>0</v>
      </c>
      <c r="Z25" s="53">
        <f t="shared" si="19"/>
        <v>0</v>
      </c>
      <c r="AA25" s="2"/>
    </row>
    <row r="26" spans="1:29" s="831" customFormat="1" x14ac:dyDescent="0.2">
      <c r="A26" s="33">
        <f t="shared" si="16"/>
        <v>2013</v>
      </c>
      <c r="B26" s="568"/>
      <c r="C26" s="30">
        <v>0</v>
      </c>
      <c r="D26" s="633">
        <f t="shared" si="5"/>
        <v>6</v>
      </c>
      <c r="E26" s="635">
        <f t="shared" ref="E26:E54" si="20">+E25</f>
        <v>55.5</v>
      </c>
      <c r="F26" s="70">
        <v>0</v>
      </c>
      <c r="G26" s="620">
        <v>0</v>
      </c>
      <c r="H26" s="629">
        <f t="shared" si="13"/>
        <v>0</v>
      </c>
      <c r="I26" s="72">
        <f t="shared" si="1"/>
        <v>0</v>
      </c>
      <c r="J26" s="630">
        <f t="shared" si="2"/>
        <v>0</v>
      </c>
      <c r="K26" s="61">
        <f>(D26+D25)/2</f>
        <v>6</v>
      </c>
      <c r="L26" s="59">
        <f t="shared" si="0"/>
        <v>56</v>
      </c>
      <c r="M26" s="59">
        <f t="shared" si="6"/>
        <v>4.6200000000000685E-3</v>
      </c>
      <c r="N26" s="226">
        <v>0.33600000000000002</v>
      </c>
      <c r="O26" s="226">
        <v>0</v>
      </c>
      <c r="P26" s="593">
        <v>90</v>
      </c>
      <c r="Q26" s="639">
        <f>+D25</f>
        <v>6</v>
      </c>
      <c r="R26" s="58">
        <f t="shared" si="8"/>
        <v>0</v>
      </c>
      <c r="S26" s="55">
        <f t="shared" si="9"/>
        <v>0</v>
      </c>
      <c r="T26" s="41">
        <v>0</v>
      </c>
      <c r="U26" s="294">
        <v>0</v>
      </c>
      <c r="V26" s="373">
        <v>40</v>
      </c>
      <c r="W26" s="236">
        <f t="shared" ref="W26:W27" si="21">K26</f>
        <v>6</v>
      </c>
      <c r="X26" s="24">
        <f t="shared" si="17"/>
        <v>0</v>
      </c>
      <c r="Y26" s="25">
        <f t="shared" si="18"/>
        <v>0</v>
      </c>
      <c r="Z26" s="53">
        <f t="shared" si="19"/>
        <v>0</v>
      </c>
      <c r="AA26" s="830"/>
    </row>
    <row r="27" spans="1:29" s="831" customFormat="1" x14ac:dyDescent="0.2">
      <c r="A27" s="33">
        <f t="shared" si="16"/>
        <v>2014</v>
      </c>
      <c r="B27" s="568"/>
      <c r="C27" s="30">
        <v>0</v>
      </c>
      <c r="D27" s="633">
        <f>D26+C27</f>
        <v>6</v>
      </c>
      <c r="E27" s="635">
        <v>33.14</v>
      </c>
      <c r="F27" s="70">
        <v>0</v>
      </c>
      <c r="G27" s="620">
        <v>0</v>
      </c>
      <c r="H27" s="629">
        <f t="shared" si="13"/>
        <v>0</v>
      </c>
      <c r="I27" s="72">
        <f t="shared" si="1"/>
        <v>0</v>
      </c>
      <c r="J27" s="630">
        <f>+$B27*G27/1000000</f>
        <v>0</v>
      </c>
      <c r="K27" s="61">
        <v>6</v>
      </c>
      <c r="L27" s="59">
        <f t="shared" si="0"/>
        <v>33.333333333333336</v>
      </c>
      <c r="M27" s="59">
        <f t="shared" si="6"/>
        <v>-0.13600000000000001</v>
      </c>
      <c r="N27" s="226">
        <v>0.2</v>
      </c>
      <c r="O27" s="226">
        <v>0</v>
      </c>
      <c r="P27" s="593">
        <f>'RES Prime Time'!P27</f>
        <v>92</v>
      </c>
      <c r="Q27" s="639">
        <f t="shared" ref="Q27:Q37" si="22">+D26</f>
        <v>6</v>
      </c>
      <c r="R27" s="58">
        <f t="shared" si="8"/>
        <v>0</v>
      </c>
      <c r="S27" s="55">
        <f t="shared" si="9"/>
        <v>0</v>
      </c>
      <c r="T27" s="41">
        <v>0</v>
      </c>
      <c r="U27" s="294">
        <v>0</v>
      </c>
      <c r="V27" s="373">
        <f>'RES Prime Time'!V27</f>
        <v>40</v>
      </c>
      <c r="W27" s="236">
        <f t="shared" si="21"/>
        <v>6</v>
      </c>
      <c r="X27" s="24">
        <f t="shared" si="17"/>
        <v>0</v>
      </c>
      <c r="Y27" s="25">
        <f t="shared" si="18"/>
        <v>0</v>
      </c>
      <c r="Z27" s="53">
        <f t="shared" si="19"/>
        <v>0</v>
      </c>
      <c r="AA27" s="830"/>
    </row>
    <row r="28" spans="1:29" s="831" customFormat="1" x14ac:dyDescent="0.2">
      <c r="A28" s="33">
        <f t="shared" si="16"/>
        <v>2015</v>
      </c>
      <c r="B28" s="568"/>
      <c r="C28" s="30">
        <v>0</v>
      </c>
      <c r="D28" s="633">
        <f t="shared" si="5"/>
        <v>6</v>
      </c>
      <c r="E28" s="635">
        <v>13.2</v>
      </c>
      <c r="F28" s="70">
        <v>0</v>
      </c>
      <c r="G28" s="620">
        <v>0</v>
      </c>
      <c r="H28" s="629">
        <f t="shared" si="13"/>
        <v>0</v>
      </c>
      <c r="I28" s="72">
        <f t="shared" si="1"/>
        <v>0</v>
      </c>
      <c r="J28" s="630">
        <f t="shared" si="2"/>
        <v>0</v>
      </c>
      <c r="K28" s="61">
        <f t="shared" si="3"/>
        <v>6</v>
      </c>
      <c r="L28" s="59">
        <f t="shared" si="0"/>
        <v>33.333333333333336</v>
      </c>
      <c r="M28" s="59">
        <f t="shared" si="6"/>
        <v>0</v>
      </c>
      <c r="N28" s="226">
        <v>0.2</v>
      </c>
      <c r="O28" s="226">
        <v>0</v>
      </c>
      <c r="P28" s="593">
        <v>92</v>
      </c>
      <c r="Q28" s="639">
        <f t="shared" si="22"/>
        <v>6</v>
      </c>
      <c r="R28" s="58">
        <f t="shared" si="8"/>
        <v>0</v>
      </c>
      <c r="S28" s="55">
        <f t="shared" si="9"/>
        <v>0</v>
      </c>
      <c r="T28" s="41">
        <f t="shared" ref="T28:T37" si="23">+Q28*R28/1000</f>
        <v>0</v>
      </c>
      <c r="U28" s="294">
        <v>0</v>
      </c>
      <c r="V28" s="373">
        <v>36</v>
      </c>
      <c r="W28" s="236">
        <f t="shared" si="12"/>
        <v>6</v>
      </c>
      <c r="X28" s="24">
        <f t="shared" si="10"/>
        <v>0</v>
      </c>
      <c r="Y28" s="25">
        <f t="shared" si="11"/>
        <v>0</v>
      </c>
      <c r="Z28" s="53">
        <f t="shared" si="4"/>
        <v>0</v>
      </c>
      <c r="AA28" s="830"/>
    </row>
    <row r="29" spans="1:29" ht="13.5" thickBot="1" x14ac:dyDescent="0.25">
      <c r="A29" s="701">
        <f t="shared" si="16"/>
        <v>2016</v>
      </c>
      <c r="B29" s="911"/>
      <c r="C29" s="702">
        <v>0</v>
      </c>
      <c r="D29" s="893">
        <f t="shared" si="5"/>
        <v>6</v>
      </c>
      <c r="E29" s="902">
        <f t="shared" si="20"/>
        <v>13.2</v>
      </c>
      <c r="F29" s="912">
        <v>0</v>
      </c>
      <c r="G29" s="913">
        <v>0</v>
      </c>
      <c r="H29" s="914">
        <f t="shared" si="13"/>
        <v>0</v>
      </c>
      <c r="I29" s="707">
        <f t="shared" si="1"/>
        <v>0</v>
      </c>
      <c r="J29" s="824">
        <f t="shared" si="2"/>
        <v>0</v>
      </c>
      <c r="K29" s="945">
        <f t="shared" si="3"/>
        <v>6</v>
      </c>
      <c r="L29" s="150">
        <f t="shared" ref="L29:L40" si="24">+N29/K29*1000</f>
        <v>33.333333333333336</v>
      </c>
      <c r="M29" s="150">
        <f t="shared" si="6"/>
        <v>0</v>
      </c>
      <c r="N29" s="941">
        <f t="shared" ref="N29:N40" si="25">+((L28*(K29-C29))/1000)+(E29/1000*C29)</f>
        <v>0.2</v>
      </c>
      <c r="O29" s="906"/>
      <c r="P29" s="915"/>
      <c r="Q29" s="916">
        <f t="shared" si="22"/>
        <v>6</v>
      </c>
      <c r="R29" s="917">
        <f t="shared" si="8"/>
        <v>0</v>
      </c>
      <c r="S29" s="898">
        <f t="shared" si="9"/>
        <v>0</v>
      </c>
      <c r="T29" s="1245">
        <f t="shared" si="23"/>
        <v>0</v>
      </c>
      <c r="U29" s="919"/>
      <c r="V29" s="908"/>
      <c r="W29" s="920">
        <f t="shared" si="12"/>
        <v>6</v>
      </c>
      <c r="X29" s="715">
        <f t="shared" si="10"/>
        <v>0</v>
      </c>
      <c r="Y29" s="716">
        <f t="shared" si="11"/>
        <v>0</v>
      </c>
      <c r="Z29" s="900">
        <f t="shared" si="4"/>
        <v>0</v>
      </c>
      <c r="AA29" s="2"/>
    </row>
    <row r="30" spans="1:29" x14ac:dyDescent="0.2">
      <c r="A30" s="33">
        <f t="shared" si="16"/>
        <v>2017</v>
      </c>
      <c r="B30" s="288"/>
      <c r="C30" s="251">
        <v>1</v>
      </c>
      <c r="D30" s="634">
        <f t="shared" si="5"/>
        <v>7</v>
      </c>
      <c r="E30" s="636">
        <f t="shared" si="20"/>
        <v>13.2</v>
      </c>
      <c r="F30" s="250">
        <v>0</v>
      </c>
      <c r="G30" s="623">
        <v>0</v>
      </c>
      <c r="H30" s="629">
        <f t="shared" si="13"/>
        <v>0</v>
      </c>
      <c r="I30" s="72">
        <f t="shared" si="1"/>
        <v>0</v>
      </c>
      <c r="J30" s="630">
        <f t="shared" si="2"/>
        <v>0</v>
      </c>
      <c r="K30" s="138">
        <f t="shared" si="3"/>
        <v>6.5</v>
      </c>
      <c r="L30" s="139">
        <f t="shared" si="24"/>
        <v>30.235897435897439</v>
      </c>
      <c r="M30" s="139">
        <f t="shared" si="6"/>
        <v>-3.4666666666666734E-3</v>
      </c>
      <c r="N30" s="1246">
        <f t="shared" si="25"/>
        <v>0.19653333333333334</v>
      </c>
      <c r="O30" s="59"/>
      <c r="P30" s="239"/>
      <c r="Q30" s="222">
        <f t="shared" si="22"/>
        <v>6</v>
      </c>
      <c r="R30" s="58">
        <f t="shared" si="8"/>
        <v>0</v>
      </c>
      <c r="S30" s="55">
        <f t="shared" si="9"/>
        <v>0</v>
      </c>
      <c r="T30" s="143">
        <f t="shared" si="23"/>
        <v>0</v>
      </c>
      <c r="U30" s="242"/>
      <c r="V30" s="55"/>
      <c r="W30" s="943">
        <f t="shared" si="12"/>
        <v>6.5</v>
      </c>
      <c r="X30" s="233">
        <f t="shared" si="10"/>
        <v>0</v>
      </c>
      <c r="Y30" s="25">
        <f t="shared" si="11"/>
        <v>0</v>
      </c>
      <c r="Z30" s="53">
        <f t="shared" si="4"/>
        <v>0</v>
      </c>
      <c r="AA30" s="2"/>
    </row>
    <row r="31" spans="1:29" x14ac:dyDescent="0.2">
      <c r="A31" s="33">
        <f t="shared" si="16"/>
        <v>2018</v>
      </c>
      <c r="B31" s="568"/>
      <c r="C31" s="603">
        <v>1</v>
      </c>
      <c r="D31" s="634">
        <f t="shared" si="5"/>
        <v>8</v>
      </c>
      <c r="E31" s="637">
        <f t="shared" si="20"/>
        <v>13.2</v>
      </c>
      <c r="F31" s="602">
        <v>0</v>
      </c>
      <c r="G31" s="623">
        <v>0</v>
      </c>
      <c r="H31" s="629">
        <f t="shared" si="13"/>
        <v>0</v>
      </c>
      <c r="I31" s="72">
        <f t="shared" si="1"/>
        <v>0</v>
      </c>
      <c r="J31" s="630">
        <f t="shared" si="2"/>
        <v>0</v>
      </c>
      <c r="K31" s="61">
        <f t="shared" si="3"/>
        <v>7.5</v>
      </c>
      <c r="L31" s="59">
        <f t="shared" si="24"/>
        <v>27.96444444444445</v>
      </c>
      <c r="M31" s="59">
        <f t="shared" si="6"/>
        <v>1.3200000000000017E-2</v>
      </c>
      <c r="N31" s="266">
        <f t="shared" si="25"/>
        <v>0.20973333333333335</v>
      </c>
      <c r="O31" s="59"/>
      <c r="P31" s="239"/>
      <c r="Q31" s="222">
        <f t="shared" si="22"/>
        <v>7</v>
      </c>
      <c r="R31" s="58">
        <f t="shared" si="8"/>
        <v>0</v>
      </c>
      <c r="S31" s="55">
        <f t="shared" si="9"/>
        <v>0</v>
      </c>
      <c r="T31" s="56">
        <f t="shared" si="23"/>
        <v>0</v>
      </c>
      <c r="U31" s="242"/>
      <c r="V31" s="55"/>
      <c r="W31" s="236">
        <f t="shared" si="12"/>
        <v>7.5</v>
      </c>
      <c r="X31" s="233">
        <f t="shared" si="10"/>
        <v>0</v>
      </c>
      <c r="Y31" s="25">
        <f t="shared" si="11"/>
        <v>0</v>
      </c>
      <c r="Z31" s="53">
        <f t="shared" si="4"/>
        <v>0</v>
      </c>
      <c r="AA31" s="2"/>
    </row>
    <row r="32" spans="1:29" x14ac:dyDescent="0.2">
      <c r="A32" s="33">
        <f t="shared" si="16"/>
        <v>2019</v>
      </c>
      <c r="B32" s="568"/>
      <c r="C32" s="638">
        <v>1</v>
      </c>
      <c r="D32" s="634">
        <f t="shared" si="5"/>
        <v>9</v>
      </c>
      <c r="E32" s="637">
        <f t="shared" si="20"/>
        <v>13.2</v>
      </c>
      <c r="F32" s="602">
        <v>0</v>
      </c>
      <c r="G32" s="623">
        <v>0</v>
      </c>
      <c r="H32" s="629">
        <f t="shared" si="13"/>
        <v>0</v>
      </c>
      <c r="I32" s="72">
        <f t="shared" si="1"/>
        <v>0</v>
      </c>
      <c r="J32" s="630">
        <f t="shared" si="2"/>
        <v>0</v>
      </c>
      <c r="K32" s="61">
        <f t="shared" si="3"/>
        <v>8.5</v>
      </c>
      <c r="L32" s="59">
        <f t="shared" si="24"/>
        <v>26.227450980392163</v>
      </c>
      <c r="M32" s="59">
        <f t="shared" si="6"/>
        <v>1.3200000000000017E-2</v>
      </c>
      <c r="N32" s="266">
        <f t="shared" si="25"/>
        <v>0.22293333333333337</v>
      </c>
      <c r="O32" s="59"/>
      <c r="P32" s="239"/>
      <c r="Q32" s="222">
        <f t="shared" si="22"/>
        <v>8</v>
      </c>
      <c r="R32" s="58">
        <f t="shared" si="8"/>
        <v>0</v>
      </c>
      <c r="S32" s="55">
        <f t="shared" si="9"/>
        <v>0</v>
      </c>
      <c r="T32" s="56">
        <f t="shared" si="23"/>
        <v>0</v>
      </c>
      <c r="U32" s="242"/>
      <c r="V32" s="55"/>
      <c r="W32" s="236">
        <f t="shared" si="12"/>
        <v>8.5</v>
      </c>
      <c r="X32" s="233">
        <f t="shared" si="10"/>
        <v>0</v>
      </c>
      <c r="Y32" s="25">
        <f t="shared" si="11"/>
        <v>0</v>
      </c>
      <c r="Z32" s="53">
        <f t="shared" si="4"/>
        <v>0</v>
      </c>
      <c r="AA32" s="2"/>
    </row>
    <row r="33" spans="1:27" x14ac:dyDescent="0.2">
      <c r="A33" s="33">
        <f t="shared" si="16"/>
        <v>2020</v>
      </c>
      <c r="B33" s="568"/>
      <c r="C33" s="603">
        <f>C32</f>
        <v>1</v>
      </c>
      <c r="D33" s="634">
        <f t="shared" si="5"/>
        <v>10</v>
      </c>
      <c r="E33" s="637">
        <f t="shared" si="20"/>
        <v>13.2</v>
      </c>
      <c r="F33" s="602">
        <f>F32</f>
        <v>0</v>
      </c>
      <c r="G33" s="623">
        <v>0</v>
      </c>
      <c r="H33" s="629">
        <f t="shared" si="13"/>
        <v>0</v>
      </c>
      <c r="I33" s="72">
        <f t="shared" si="1"/>
        <v>0</v>
      </c>
      <c r="J33" s="630">
        <f t="shared" si="2"/>
        <v>0</v>
      </c>
      <c r="K33" s="61">
        <f t="shared" si="3"/>
        <v>9.5</v>
      </c>
      <c r="L33" s="59">
        <f t="shared" si="24"/>
        <v>24.856140350877197</v>
      </c>
      <c r="M33" s="59">
        <f t="shared" si="6"/>
        <v>1.3200000000000017E-2</v>
      </c>
      <c r="N33" s="266">
        <f t="shared" si="25"/>
        <v>0.23613333333333339</v>
      </c>
      <c r="O33" s="59"/>
      <c r="P33" s="239"/>
      <c r="Q33" s="222">
        <f t="shared" si="22"/>
        <v>9</v>
      </c>
      <c r="R33" s="58">
        <f t="shared" si="8"/>
        <v>0</v>
      </c>
      <c r="S33" s="55">
        <f t="shared" si="9"/>
        <v>0</v>
      </c>
      <c r="T33" s="56">
        <f t="shared" si="23"/>
        <v>0</v>
      </c>
      <c r="U33" s="242"/>
      <c r="V33" s="55"/>
      <c r="W33" s="236">
        <f t="shared" si="12"/>
        <v>9.5</v>
      </c>
      <c r="X33" s="233">
        <f t="shared" si="10"/>
        <v>0</v>
      </c>
      <c r="Y33" s="25">
        <f t="shared" si="11"/>
        <v>0</v>
      </c>
      <c r="Z33" s="53">
        <f t="shared" si="4"/>
        <v>0</v>
      </c>
      <c r="AA33" s="2"/>
    </row>
    <row r="34" spans="1:27" x14ac:dyDescent="0.2">
      <c r="A34" s="33">
        <f t="shared" si="16"/>
        <v>2021</v>
      </c>
      <c r="B34" s="568"/>
      <c r="C34" s="603">
        <f t="shared" ref="C34:C47" si="26">C33</f>
        <v>1</v>
      </c>
      <c r="D34" s="634">
        <f t="shared" si="5"/>
        <v>11</v>
      </c>
      <c r="E34" s="637">
        <f t="shared" si="20"/>
        <v>13.2</v>
      </c>
      <c r="F34" s="602">
        <f t="shared" ref="F34:F47" si="27">F33</f>
        <v>0</v>
      </c>
      <c r="G34" s="623">
        <v>0</v>
      </c>
      <c r="H34" s="629">
        <f t="shared" si="13"/>
        <v>0</v>
      </c>
      <c r="I34" s="72">
        <f t="shared" si="1"/>
        <v>0</v>
      </c>
      <c r="J34" s="630">
        <f t="shared" si="2"/>
        <v>0</v>
      </c>
      <c r="K34" s="61">
        <f t="shared" si="3"/>
        <v>10.5</v>
      </c>
      <c r="L34" s="59">
        <f t="shared" si="24"/>
        <v>23.74603174603175</v>
      </c>
      <c r="M34" s="59">
        <f t="shared" si="6"/>
        <v>1.319999999999999E-2</v>
      </c>
      <c r="N34" s="266">
        <f t="shared" si="25"/>
        <v>0.24933333333333338</v>
      </c>
      <c r="O34" s="59"/>
      <c r="P34" s="239"/>
      <c r="Q34" s="222">
        <f t="shared" si="22"/>
        <v>10</v>
      </c>
      <c r="R34" s="58">
        <f t="shared" si="8"/>
        <v>0</v>
      </c>
      <c r="S34" s="55">
        <f t="shared" si="9"/>
        <v>0</v>
      </c>
      <c r="T34" s="56">
        <f t="shared" si="23"/>
        <v>0</v>
      </c>
      <c r="U34" s="242"/>
      <c r="V34" s="55"/>
      <c r="W34" s="236">
        <f t="shared" si="12"/>
        <v>10.5</v>
      </c>
      <c r="X34" s="233">
        <f t="shared" si="10"/>
        <v>0</v>
      </c>
      <c r="Y34" s="25">
        <f t="shared" si="11"/>
        <v>0</v>
      </c>
      <c r="Z34" s="53">
        <f t="shared" si="4"/>
        <v>0</v>
      </c>
      <c r="AA34" s="2"/>
    </row>
    <row r="35" spans="1:27" x14ac:dyDescent="0.2">
      <c r="A35" s="33">
        <f t="shared" si="16"/>
        <v>2022</v>
      </c>
      <c r="B35" s="568"/>
      <c r="C35" s="603">
        <f t="shared" si="26"/>
        <v>1</v>
      </c>
      <c r="D35" s="634">
        <f t="shared" si="5"/>
        <v>12</v>
      </c>
      <c r="E35" s="637">
        <f t="shared" si="20"/>
        <v>13.2</v>
      </c>
      <c r="F35" s="602">
        <f t="shared" si="27"/>
        <v>0</v>
      </c>
      <c r="G35" s="623">
        <v>0</v>
      </c>
      <c r="H35" s="629">
        <f t="shared" si="13"/>
        <v>0</v>
      </c>
      <c r="I35" s="72">
        <f t="shared" si="1"/>
        <v>0</v>
      </c>
      <c r="J35" s="630">
        <f t="shared" si="2"/>
        <v>0</v>
      </c>
      <c r="K35" s="61">
        <f t="shared" si="3"/>
        <v>11.5</v>
      </c>
      <c r="L35" s="59">
        <f t="shared" si="24"/>
        <v>22.828985507246383</v>
      </c>
      <c r="M35" s="59">
        <f t="shared" si="6"/>
        <v>1.3200000000000017E-2</v>
      </c>
      <c r="N35" s="266">
        <f t="shared" si="25"/>
        <v>0.2625333333333334</v>
      </c>
      <c r="O35" s="59"/>
      <c r="P35" s="239"/>
      <c r="Q35" s="222">
        <f t="shared" si="22"/>
        <v>11</v>
      </c>
      <c r="R35" s="58">
        <f t="shared" si="8"/>
        <v>0</v>
      </c>
      <c r="S35" s="55">
        <f t="shared" si="9"/>
        <v>0</v>
      </c>
      <c r="T35" s="56">
        <f t="shared" si="23"/>
        <v>0</v>
      </c>
      <c r="U35" s="242"/>
      <c r="V35" s="55"/>
      <c r="W35" s="236">
        <f t="shared" si="12"/>
        <v>11.5</v>
      </c>
      <c r="X35" s="233">
        <f t="shared" si="10"/>
        <v>0</v>
      </c>
      <c r="Y35" s="25">
        <f t="shared" si="11"/>
        <v>0</v>
      </c>
      <c r="Z35" s="53">
        <f t="shared" si="4"/>
        <v>0</v>
      </c>
      <c r="AA35" s="2"/>
    </row>
    <row r="36" spans="1:27" x14ac:dyDescent="0.2">
      <c r="A36" s="33">
        <f t="shared" si="16"/>
        <v>2023</v>
      </c>
      <c r="B36" s="568"/>
      <c r="C36" s="603">
        <f t="shared" si="26"/>
        <v>1</v>
      </c>
      <c r="D36" s="634">
        <f t="shared" si="5"/>
        <v>13</v>
      </c>
      <c r="E36" s="637">
        <f t="shared" si="20"/>
        <v>13.2</v>
      </c>
      <c r="F36" s="602">
        <f t="shared" si="27"/>
        <v>0</v>
      </c>
      <c r="G36" s="623">
        <v>0</v>
      </c>
      <c r="H36" s="629">
        <f t="shared" si="13"/>
        <v>0</v>
      </c>
      <c r="I36" s="72">
        <f t="shared" si="1"/>
        <v>0</v>
      </c>
      <c r="J36" s="630">
        <f t="shared" si="2"/>
        <v>0</v>
      </c>
      <c r="K36" s="61">
        <f t="shared" si="3"/>
        <v>12.5</v>
      </c>
      <c r="L36" s="59">
        <f t="shared" si="24"/>
        <v>22.058666666666671</v>
      </c>
      <c r="M36" s="59">
        <f t="shared" si="6"/>
        <v>1.319999999999999E-2</v>
      </c>
      <c r="N36" s="266">
        <f t="shared" si="25"/>
        <v>0.27573333333333339</v>
      </c>
      <c r="O36" s="59"/>
      <c r="P36" s="239"/>
      <c r="Q36" s="222">
        <f t="shared" si="22"/>
        <v>12</v>
      </c>
      <c r="R36" s="58">
        <f t="shared" si="8"/>
        <v>0</v>
      </c>
      <c r="S36" s="55">
        <f t="shared" si="9"/>
        <v>0</v>
      </c>
      <c r="T36" s="56">
        <f t="shared" si="23"/>
        <v>0</v>
      </c>
      <c r="U36" s="242"/>
      <c r="V36" s="55"/>
      <c r="W36" s="236">
        <f t="shared" si="12"/>
        <v>12.5</v>
      </c>
      <c r="X36" s="233">
        <f t="shared" si="10"/>
        <v>0</v>
      </c>
      <c r="Y36" s="25">
        <f t="shared" si="11"/>
        <v>0</v>
      </c>
      <c r="Z36" s="53">
        <f t="shared" si="4"/>
        <v>0</v>
      </c>
      <c r="AA36" s="2"/>
    </row>
    <row r="37" spans="1:27" x14ac:dyDescent="0.2">
      <c r="A37" s="11">
        <f t="shared" si="16"/>
        <v>2024</v>
      </c>
      <c r="B37" s="288"/>
      <c r="C37" s="251">
        <f t="shared" si="26"/>
        <v>1</v>
      </c>
      <c r="D37" s="634">
        <f t="shared" si="5"/>
        <v>14</v>
      </c>
      <c r="E37" s="636">
        <f t="shared" si="20"/>
        <v>13.2</v>
      </c>
      <c r="F37" s="250">
        <f t="shared" si="27"/>
        <v>0</v>
      </c>
      <c r="G37" s="623">
        <v>0</v>
      </c>
      <c r="H37" s="629">
        <f t="shared" si="13"/>
        <v>0</v>
      </c>
      <c r="I37" s="72">
        <f t="shared" si="1"/>
        <v>0</v>
      </c>
      <c r="J37" s="630">
        <f t="shared" si="2"/>
        <v>0</v>
      </c>
      <c r="K37" s="61">
        <f t="shared" si="3"/>
        <v>13.5</v>
      </c>
      <c r="L37" s="59">
        <f t="shared" si="24"/>
        <v>21.402469135802473</v>
      </c>
      <c r="M37" s="59">
        <f t="shared" si="6"/>
        <v>1.319999999999999E-2</v>
      </c>
      <c r="N37" s="266">
        <f t="shared" si="25"/>
        <v>0.28893333333333338</v>
      </c>
      <c r="O37" s="59"/>
      <c r="P37" s="239"/>
      <c r="Q37" s="222">
        <f t="shared" si="22"/>
        <v>13</v>
      </c>
      <c r="R37" s="58">
        <f t="shared" si="8"/>
        <v>0</v>
      </c>
      <c r="S37" s="55">
        <f t="shared" si="9"/>
        <v>0</v>
      </c>
      <c r="T37" s="56">
        <f t="shared" si="23"/>
        <v>0</v>
      </c>
      <c r="U37" s="242"/>
      <c r="V37" s="55"/>
      <c r="W37" s="236">
        <f t="shared" si="12"/>
        <v>13.5</v>
      </c>
      <c r="X37" s="233">
        <f t="shared" si="10"/>
        <v>0</v>
      </c>
      <c r="Y37" s="25">
        <f t="shared" si="11"/>
        <v>0</v>
      </c>
      <c r="Z37" s="53">
        <f t="shared" si="4"/>
        <v>0</v>
      </c>
      <c r="AA37" s="2"/>
    </row>
    <row r="38" spans="1:27" x14ac:dyDescent="0.2">
      <c r="A38" s="11">
        <f t="shared" si="16"/>
        <v>2025</v>
      </c>
      <c r="B38" s="288"/>
      <c r="C38" s="251">
        <f t="shared" si="26"/>
        <v>1</v>
      </c>
      <c r="D38" s="634">
        <f t="shared" ref="D38:D42" si="28">D37+C38</f>
        <v>15</v>
      </c>
      <c r="E38" s="636">
        <f t="shared" si="20"/>
        <v>13.2</v>
      </c>
      <c r="F38" s="250">
        <f t="shared" si="27"/>
        <v>0</v>
      </c>
      <c r="G38" s="623">
        <v>0</v>
      </c>
      <c r="H38" s="629">
        <f t="shared" si="13"/>
        <v>0</v>
      </c>
      <c r="I38" s="72">
        <f t="shared" si="1"/>
        <v>0</v>
      </c>
      <c r="J38" s="630">
        <f t="shared" si="2"/>
        <v>0</v>
      </c>
      <c r="K38" s="61">
        <f t="shared" si="3"/>
        <v>14.5</v>
      </c>
      <c r="L38" s="59">
        <f t="shared" si="24"/>
        <v>20.836781609195405</v>
      </c>
      <c r="M38" s="59">
        <f t="shared" ref="M38:M42" si="29">+N38-N37</f>
        <v>1.319999999999999E-2</v>
      </c>
      <c r="N38" s="266">
        <f t="shared" si="25"/>
        <v>0.30213333333333336</v>
      </c>
      <c r="O38" s="59"/>
      <c r="P38" s="239"/>
      <c r="Q38" s="222">
        <f t="shared" ref="Q38:Q42" si="30">+D37</f>
        <v>14</v>
      </c>
      <c r="R38" s="58">
        <f t="shared" ref="R38:R42" si="31">+I38</f>
        <v>0</v>
      </c>
      <c r="S38" s="55">
        <f t="shared" ref="S38:S42" si="32">+T38-T37</f>
        <v>0</v>
      </c>
      <c r="T38" s="56">
        <f t="shared" ref="T38:T42" si="33">+Q38*R38/1000</f>
        <v>0</v>
      </c>
      <c r="U38" s="242"/>
      <c r="V38" s="55"/>
      <c r="W38" s="236">
        <f t="shared" ref="W38:W42" si="34">K38</f>
        <v>14.5</v>
      </c>
      <c r="X38" s="233">
        <f t="shared" ref="X38:X42" si="35">+G38</f>
        <v>0</v>
      </c>
      <c r="Y38" s="25">
        <f t="shared" ref="Y38:Y42" si="36">+Z38-Z37</f>
        <v>0</v>
      </c>
      <c r="Z38" s="53">
        <f t="shared" si="4"/>
        <v>0</v>
      </c>
      <c r="AA38" s="2"/>
    </row>
    <row r="39" spans="1:27" x14ac:dyDescent="0.2">
      <c r="A39" s="11">
        <f>+A38+1</f>
        <v>2026</v>
      </c>
      <c r="B39" s="288"/>
      <c r="C39" s="251">
        <f t="shared" si="26"/>
        <v>1</v>
      </c>
      <c r="D39" s="634">
        <f t="shared" si="28"/>
        <v>16</v>
      </c>
      <c r="E39" s="636">
        <f t="shared" si="20"/>
        <v>13.2</v>
      </c>
      <c r="F39" s="250">
        <f t="shared" si="27"/>
        <v>0</v>
      </c>
      <c r="G39" s="623">
        <v>0</v>
      </c>
      <c r="H39" s="629">
        <f t="shared" si="13"/>
        <v>0</v>
      </c>
      <c r="I39" s="72">
        <f t="shared" si="1"/>
        <v>0</v>
      </c>
      <c r="J39" s="630">
        <f t="shared" si="2"/>
        <v>0</v>
      </c>
      <c r="K39" s="61">
        <f>(D39+D38)/2</f>
        <v>15.5</v>
      </c>
      <c r="L39" s="59">
        <f t="shared" si="24"/>
        <v>20.34408602150538</v>
      </c>
      <c r="M39" s="59">
        <f t="shared" si="29"/>
        <v>1.319999999999999E-2</v>
      </c>
      <c r="N39" s="266">
        <f t="shared" si="25"/>
        <v>0.31533333333333335</v>
      </c>
      <c r="O39" s="59"/>
      <c r="P39" s="239"/>
      <c r="Q39" s="222">
        <f t="shared" si="30"/>
        <v>15</v>
      </c>
      <c r="R39" s="58">
        <f t="shared" si="31"/>
        <v>0</v>
      </c>
      <c r="S39" s="55">
        <f t="shared" si="32"/>
        <v>0</v>
      </c>
      <c r="T39" s="56">
        <f t="shared" si="33"/>
        <v>0</v>
      </c>
      <c r="U39" s="242"/>
      <c r="V39" s="55"/>
      <c r="W39" s="236">
        <f t="shared" si="34"/>
        <v>15.5</v>
      </c>
      <c r="X39" s="233">
        <f t="shared" si="35"/>
        <v>0</v>
      </c>
      <c r="Y39" s="25">
        <f t="shared" si="36"/>
        <v>0</v>
      </c>
      <c r="Z39" s="53">
        <f t="shared" si="4"/>
        <v>0</v>
      </c>
      <c r="AA39" s="2"/>
    </row>
    <row r="40" spans="1:27" x14ac:dyDescent="0.2">
      <c r="A40" s="11">
        <f>+A39+1</f>
        <v>2027</v>
      </c>
      <c r="B40" s="288"/>
      <c r="C40" s="251">
        <f t="shared" si="26"/>
        <v>1</v>
      </c>
      <c r="D40" s="634">
        <f t="shared" si="28"/>
        <v>17</v>
      </c>
      <c r="E40" s="636">
        <f t="shared" si="20"/>
        <v>13.2</v>
      </c>
      <c r="F40" s="250">
        <f t="shared" si="27"/>
        <v>0</v>
      </c>
      <c r="G40" s="623">
        <v>0</v>
      </c>
      <c r="H40" s="629">
        <f t="shared" si="13"/>
        <v>0</v>
      </c>
      <c r="I40" s="72">
        <f t="shared" si="1"/>
        <v>0</v>
      </c>
      <c r="J40" s="630">
        <f t="shared" si="2"/>
        <v>0</v>
      </c>
      <c r="K40" s="61">
        <f t="shared" si="3"/>
        <v>16.5</v>
      </c>
      <c r="L40" s="59">
        <f t="shared" si="24"/>
        <v>19.911111111111111</v>
      </c>
      <c r="M40" s="59">
        <f t="shared" si="29"/>
        <v>1.319999999999999E-2</v>
      </c>
      <c r="N40" s="266">
        <f t="shared" si="25"/>
        <v>0.32853333333333334</v>
      </c>
      <c r="O40" s="59"/>
      <c r="P40" s="239"/>
      <c r="Q40" s="222">
        <f t="shared" si="30"/>
        <v>16</v>
      </c>
      <c r="R40" s="58">
        <f t="shared" si="31"/>
        <v>0</v>
      </c>
      <c r="S40" s="55">
        <f t="shared" si="32"/>
        <v>0</v>
      </c>
      <c r="T40" s="56">
        <f t="shared" si="33"/>
        <v>0</v>
      </c>
      <c r="U40" s="242"/>
      <c r="V40" s="55"/>
      <c r="W40" s="236">
        <f t="shared" si="34"/>
        <v>16.5</v>
      </c>
      <c r="X40" s="233">
        <f t="shared" si="35"/>
        <v>0</v>
      </c>
      <c r="Y40" s="25">
        <f t="shared" si="36"/>
        <v>0</v>
      </c>
      <c r="Z40" s="53">
        <f t="shared" si="4"/>
        <v>0</v>
      </c>
      <c r="AA40" s="2"/>
    </row>
    <row r="41" spans="1:27" x14ac:dyDescent="0.2">
      <c r="A41" s="11">
        <f t="shared" ref="A41:A54" si="37">+A40+1</f>
        <v>2028</v>
      </c>
      <c r="B41" s="288"/>
      <c r="C41" s="251">
        <f t="shared" si="26"/>
        <v>1</v>
      </c>
      <c r="D41" s="634">
        <f t="shared" si="28"/>
        <v>18</v>
      </c>
      <c r="E41" s="636">
        <f>+E40</f>
        <v>13.2</v>
      </c>
      <c r="F41" s="250">
        <f t="shared" si="27"/>
        <v>0</v>
      </c>
      <c r="G41" s="623">
        <v>0</v>
      </c>
      <c r="H41" s="629">
        <f t="shared" si="13"/>
        <v>0</v>
      </c>
      <c r="I41" s="72">
        <f t="shared" si="1"/>
        <v>0</v>
      </c>
      <c r="J41" s="630">
        <f t="shared" si="2"/>
        <v>0</v>
      </c>
      <c r="K41" s="61">
        <f t="shared" si="3"/>
        <v>17.5</v>
      </c>
      <c r="L41" s="59">
        <f>+N41/K41*1000</f>
        <v>19.527619047619048</v>
      </c>
      <c r="M41" s="59">
        <f t="shared" si="29"/>
        <v>1.319999999999999E-2</v>
      </c>
      <c r="N41" s="266">
        <f>+((L40*(K41-C41))/1000)+(E41/1000*C41)</f>
        <v>0.34173333333333333</v>
      </c>
      <c r="O41" s="59"/>
      <c r="P41" s="239"/>
      <c r="Q41" s="222">
        <f t="shared" si="30"/>
        <v>17</v>
      </c>
      <c r="R41" s="58">
        <f t="shared" si="31"/>
        <v>0</v>
      </c>
      <c r="S41" s="55">
        <f t="shared" si="32"/>
        <v>0</v>
      </c>
      <c r="T41" s="56">
        <f t="shared" si="33"/>
        <v>0</v>
      </c>
      <c r="U41" s="242" t="s">
        <v>186</v>
      </c>
      <c r="V41" s="55"/>
      <c r="W41" s="236">
        <f t="shared" si="34"/>
        <v>17.5</v>
      </c>
      <c r="X41" s="233">
        <f t="shared" si="35"/>
        <v>0</v>
      </c>
      <c r="Y41" s="25">
        <f t="shared" si="36"/>
        <v>0</v>
      </c>
      <c r="Z41" s="53">
        <f>+W41*X41/1000000</f>
        <v>0</v>
      </c>
      <c r="AA41" s="2"/>
    </row>
    <row r="42" spans="1:27" x14ac:dyDescent="0.2">
      <c r="A42" s="11">
        <f t="shared" si="37"/>
        <v>2029</v>
      </c>
      <c r="B42" s="288"/>
      <c r="C42" s="251">
        <f t="shared" si="26"/>
        <v>1</v>
      </c>
      <c r="D42" s="634">
        <f t="shared" si="28"/>
        <v>19</v>
      </c>
      <c r="E42" s="636">
        <f t="shared" si="20"/>
        <v>13.2</v>
      </c>
      <c r="F42" s="250">
        <f t="shared" si="27"/>
        <v>0</v>
      </c>
      <c r="G42" s="623">
        <v>0</v>
      </c>
      <c r="H42" s="629">
        <f t="shared" si="13"/>
        <v>0</v>
      </c>
      <c r="I42" s="72">
        <f t="shared" si="1"/>
        <v>0</v>
      </c>
      <c r="J42" s="630">
        <f t="shared" si="2"/>
        <v>0</v>
      </c>
      <c r="K42" s="61">
        <f t="shared" si="3"/>
        <v>18.5</v>
      </c>
      <c r="L42" s="59">
        <f>+N42/K42*1000</f>
        <v>19.185585585585585</v>
      </c>
      <c r="M42" s="59">
        <f t="shared" si="29"/>
        <v>1.319999999999999E-2</v>
      </c>
      <c r="N42" s="266">
        <f>+((L41*(K42-C42))/1000)+(E42/1000*C42)</f>
        <v>0.35493333333333332</v>
      </c>
      <c r="O42" s="59"/>
      <c r="P42" s="239"/>
      <c r="Q42" s="222">
        <f t="shared" si="30"/>
        <v>18</v>
      </c>
      <c r="R42" s="58">
        <f t="shared" si="31"/>
        <v>0</v>
      </c>
      <c r="S42" s="55">
        <f t="shared" si="32"/>
        <v>0</v>
      </c>
      <c r="T42" s="56">
        <f t="shared" si="33"/>
        <v>0</v>
      </c>
      <c r="U42" s="242"/>
      <c r="V42" s="55"/>
      <c r="W42" s="236">
        <f t="shared" si="34"/>
        <v>18.5</v>
      </c>
      <c r="X42" s="233">
        <f t="shared" si="35"/>
        <v>0</v>
      </c>
      <c r="Y42" s="25">
        <f t="shared" si="36"/>
        <v>0</v>
      </c>
      <c r="Z42" s="53">
        <f>+W42*X42/1000000</f>
        <v>0</v>
      </c>
      <c r="AA42" s="2"/>
    </row>
    <row r="43" spans="1:27" x14ac:dyDescent="0.2">
      <c r="A43" s="11">
        <f t="shared" si="37"/>
        <v>2030</v>
      </c>
      <c r="B43" s="288"/>
      <c r="C43" s="251">
        <f t="shared" si="26"/>
        <v>1</v>
      </c>
      <c r="D43" s="634">
        <f t="shared" ref="D43:D47" si="38">D42+C43</f>
        <v>20</v>
      </c>
      <c r="E43" s="636">
        <f t="shared" si="20"/>
        <v>13.2</v>
      </c>
      <c r="F43" s="250">
        <f t="shared" si="27"/>
        <v>0</v>
      </c>
      <c r="G43" s="623">
        <v>0</v>
      </c>
      <c r="H43" s="629">
        <f t="shared" ref="H43:H47" si="39">+$B43*E43/1000</f>
        <v>0</v>
      </c>
      <c r="I43" s="72">
        <f t="shared" ref="I43:I47" si="40">+$B43*F43/1000</f>
        <v>0</v>
      </c>
      <c r="J43" s="630">
        <f t="shared" ref="J43:J47" si="41">+$B43*G43/1000000</f>
        <v>0</v>
      </c>
      <c r="K43" s="61">
        <f t="shared" ref="K43:K47" si="42">(D43+D42)/2</f>
        <v>19.5</v>
      </c>
      <c r="L43" s="59">
        <f t="shared" ref="L43:L47" si="43">+N43/K43*1000</f>
        <v>18.878632478632476</v>
      </c>
      <c r="M43" s="59">
        <f t="shared" ref="M43:M47" si="44">+N43-N42</f>
        <v>1.319999999999999E-2</v>
      </c>
      <c r="N43" s="266">
        <f t="shared" ref="N43:N47" si="45">+((L42*(K43-C43))/1000)+(E43/1000*C43)</f>
        <v>0.36813333333333331</v>
      </c>
      <c r="O43" s="59"/>
      <c r="P43" s="239"/>
      <c r="Q43" s="222">
        <f t="shared" ref="Q43:Q47" si="46">+D42</f>
        <v>19</v>
      </c>
      <c r="R43" s="58">
        <f t="shared" ref="R43:R47" si="47">+I43</f>
        <v>0</v>
      </c>
      <c r="S43" s="55">
        <f t="shared" ref="S43:S47" si="48">+T43-T42</f>
        <v>0</v>
      </c>
      <c r="T43" s="56">
        <f t="shared" ref="T43:T47" si="49">+Q43*R43/1000</f>
        <v>0</v>
      </c>
      <c r="U43" s="242"/>
      <c r="V43" s="55"/>
      <c r="W43" s="236">
        <f t="shared" ref="W43:W47" si="50">K43</f>
        <v>19.5</v>
      </c>
      <c r="X43" s="233">
        <f t="shared" ref="X43:X47" si="51">+G43</f>
        <v>0</v>
      </c>
      <c r="Y43" s="25">
        <f t="shared" ref="Y43:Y47" si="52">+Z43-Z42</f>
        <v>0</v>
      </c>
      <c r="Z43" s="53">
        <f t="shared" ref="Z43:Z47" si="53">+W43*X43/1000000</f>
        <v>0</v>
      </c>
      <c r="AA43" s="2"/>
    </row>
    <row r="44" spans="1:27" x14ac:dyDescent="0.2">
      <c r="A44" s="11">
        <f t="shared" si="37"/>
        <v>2031</v>
      </c>
      <c r="B44" s="288"/>
      <c r="C44" s="251">
        <f t="shared" si="26"/>
        <v>1</v>
      </c>
      <c r="D44" s="634">
        <f t="shared" si="38"/>
        <v>21</v>
      </c>
      <c r="E44" s="636">
        <f t="shared" si="20"/>
        <v>13.2</v>
      </c>
      <c r="F44" s="250">
        <f t="shared" si="27"/>
        <v>0</v>
      </c>
      <c r="G44" s="623">
        <v>0</v>
      </c>
      <c r="H44" s="629">
        <f t="shared" si="39"/>
        <v>0</v>
      </c>
      <c r="I44" s="72">
        <f t="shared" si="40"/>
        <v>0</v>
      </c>
      <c r="J44" s="630">
        <f t="shared" si="41"/>
        <v>0</v>
      </c>
      <c r="K44" s="61">
        <f t="shared" si="42"/>
        <v>20.5</v>
      </c>
      <c r="L44" s="59">
        <f t="shared" si="43"/>
        <v>18.601626016260159</v>
      </c>
      <c r="M44" s="59">
        <f t="shared" si="44"/>
        <v>1.3199999999999934E-2</v>
      </c>
      <c r="N44" s="266">
        <f t="shared" si="45"/>
        <v>0.38133333333333325</v>
      </c>
      <c r="O44" s="59"/>
      <c r="P44" s="239"/>
      <c r="Q44" s="222">
        <f t="shared" si="46"/>
        <v>20</v>
      </c>
      <c r="R44" s="58">
        <f t="shared" si="47"/>
        <v>0</v>
      </c>
      <c r="S44" s="55">
        <f t="shared" si="48"/>
        <v>0</v>
      </c>
      <c r="T44" s="56">
        <f t="shared" si="49"/>
        <v>0</v>
      </c>
      <c r="U44" s="242"/>
      <c r="V44" s="55"/>
      <c r="W44" s="236">
        <f t="shared" si="50"/>
        <v>20.5</v>
      </c>
      <c r="X44" s="233">
        <f t="shared" si="51"/>
        <v>0</v>
      </c>
      <c r="Y44" s="25">
        <f t="shared" si="52"/>
        <v>0</v>
      </c>
      <c r="Z44" s="53">
        <f t="shared" si="53"/>
        <v>0</v>
      </c>
      <c r="AA44" s="2"/>
    </row>
    <row r="45" spans="1:27" x14ac:dyDescent="0.2">
      <c r="A45" s="11">
        <f t="shared" si="37"/>
        <v>2032</v>
      </c>
      <c r="B45" s="288"/>
      <c r="C45" s="251">
        <f t="shared" si="26"/>
        <v>1</v>
      </c>
      <c r="D45" s="634">
        <f t="shared" si="38"/>
        <v>22</v>
      </c>
      <c r="E45" s="636">
        <f t="shared" si="20"/>
        <v>13.2</v>
      </c>
      <c r="F45" s="250">
        <f t="shared" si="27"/>
        <v>0</v>
      </c>
      <c r="G45" s="623">
        <v>0</v>
      </c>
      <c r="H45" s="629">
        <f t="shared" si="39"/>
        <v>0</v>
      </c>
      <c r="I45" s="72">
        <f t="shared" si="40"/>
        <v>0</v>
      </c>
      <c r="J45" s="630">
        <f t="shared" si="41"/>
        <v>0</v>
      </c>
      <c r="K45" s="61">
        <f t="shared" si="42"/>
        <v>21.5</v>
      </c>
      <c r="L45" s="59">
        <f t="shared" si="43"/>
        <v>18.350387596899221</v>
      </c>
      <c r="M45" s="59">
        <f t="shared" si="44"/>
        <v>1.319999999999999E-2</v>
      </c>
      <c r="N45" s="266">
        <f t="shared" si="45"/>
        <v>0.39453333333333324</v>
      </c>
      <c r="O45" s="59"/>
      <c r="P45" s="239"/>
      <c r="Q45" s="222">
        <f t="shared" si="46"/>
        <v>21</v>
      </c>
      <c r="R45" s="58">
        <f t="shared" si="47"/>
        <v>0</v>
      </c>
      <c r="S45" s="55">
        <f t="shared" si="48"/>
        <v>0</v>
      </c>
      <c r="T45" s="56">
        <f t="shared" si="49"/>
        <v>0</v>
      </c>
      <c r="U45" s="242"/>
      <c r="V45" s="55"/>
      <c r="W45" s="236">
        <f t="shared" si="50"/>
        <v>21.5</v>
      </c>
      <c r="X45" s="233">
        <f t="shared" si="51"/>
        <v>0</v>
      </c>
      <c r="Y45" s="25">
        <f t="shared" si="52"/>
        <v>0</v>
      </c>
      <c r="Z45" s="53">
        <f t="shared" si="53"/>
        <v>0</v>
      </c>
      <c r="AA45" s="2"/>
    </row>
    <row r="46" spans="1:27" x14ac:dyDescent="0.2">
      <c r="A46" s="11">
        <f t="shared" si="37"/>
        <v>2033</v>
      </c>
      <c r="B46" s="288"/>
      <c r="C46" s="251">
        <f t="shared" si="26"/>
        <v>1</v>
      </c>
      <c r="D46" s="634">
        <f t="shared" si="38"/>
        <v>23</v>
      </c>
      <c r="E46" s="636">
        <f t="shared" si="20"/>
        <v>13.2</v>
      </c>
      <c r="F46" s="250">
        <f t="shared" si="27"/>
        <v>0</v>
      </c>
      <c r="G46" s="623">
        <v>0</v>
      </c>
      <c r="H46" s="629">
        <f t="shared" si="39"/>
        <v>0</v>
      </c>
      <c r="I46" s="72">
        <f t="shared" si="40"/>
        <v>0</v>
      </c>
      <c r="J46" s="630">
        <f t="shared" si="41"/>
        <v>0</v>
      </c>
      <c r="K46" s="61">
        <f t="shared" si="42"/>
        <v>22.5</v>
      </c>
      <c r="L46" s="59">
        <f t="shared" si="43"/>
        <v>18.121481481481478</v>
      </c>
      <c r="M46" s="59">
        <f t="shared" si="44"/>
        <v>1.319999999999999E-2</v>
      </c>
      <c r="N46" s="266">
        <f t="shared" si="45"/>
        <v>0.40773333333333323</v>
      </c>
      <c r="O46" s="59"/>
      <c r="P46" s="239"/>
      <c r="Q46" s="222">
        <f t="shared" si="46"/>
        <v>22</v>
      </c>
      <c r="R46" s="58">
        <f t="shared" si="47"/>
        <v>0</v>
      </c>
      <c r="S46" s="55">
        <f t="shared" si="48"/>
        <v>0</v>
      </c>
      <c r="T46" s="56">
        <f t="shared" si="49"/>
        <v>0</v>
      </c>
      <c r="U46" s="242"/>
      <c r="V46" s="55"/>
      <c r="W46" s="236">
        <f t="shared" si="50"/>
        <v>22.5</v>
      </c>
      <c r="X46" s="233">
        <f t="shared" si="51"/>
        <v>0</v>
      </c>
      <c r="Y46" s="25">
        <f t="shared" si="52"/>
        <v>0</v>
      </c>
      <c r="Z46" s="53">
        <f t="shared" si="53"/>
        <v>0</v>
      </c>
      <c r="AA46" s="2"/>
    </row>
    <row r="47" spans="1:27" x14ac:dyDescent="0.2">
      <c r="A47" s="11">
        <f t="shared" si="37"/>
        <v>2034</v>
      </c>
      <c r="B47" s="288"/>
      <c r="C47" s="251">
        <f t="shared" si="26"/>
        <v>1</v>
      </c>
      <c r="D47" s="634">
        <f t="shared" si="38"/>
        <v>24</v>
      </c>
      <c r="E47" s="636">
        <f t="shared" si="20"/>
        <v>13.2</v>
      </c>
      <c r="F47" s="250">
        <f t="shared" si="27"/>
        <v>0</v>
      </c>
      <c r="G47" s="623">
        <v>0</v>
      </c>
      <c r="H47" s="629">
        <f t="shared" si="39"/>
        <v>0</v>
      </c>
      <c r="I47" s="72">
        <f t="shared" si="40"/>
        <v>0</v>
      </c>
      <c r="J47" s="630">
        <f t="shared" si="41"/>
        <v>0</v>
      </c>
      <c r="K47" s="61">
        <f t="shared" si="42"/>
        <v>23.5</v>
      </c>
      <c r="L47" s="59">
        <f t="shared" si="43"/>
        <v>17.912056737588649</v>
      </c>
      <c r="M47" s="59">
        <f t="shared" si="44"/>
        <v>1.319999999999999E-2</v>
      </c>
      <c r="N47" s="266">
        <f t="shared" si="45"/>
        <v>0.42093333333333321</v>
      </c>
      <c r="O47" s="59"/>
      <c r="P47" s="239"/>
      <c r="Q47" s="222">
        <f t="shared" si="46"/>
        <v>23</v>
      </c>
      <c r="R47" s="58">
        <f t="shared" si="47"/>
        <v>0</v>
      </c>
      <c r="S47" s="55">
        <f t="shared" si="48"/>
        <v>0</v>
      </c>
      <c r="T47" s="56">
        <f t="shared" si="49"/>
        <v>0</v>
      </c>
      <c r="U47" s="242"/>
      <c r="V47" s="55"/>
      <c r="W47" s="236">
        <f t="shared" si="50"/>
        <v>23.5</v>
      </c>
      <c r="X47" s="233">
        <f t="shared" si="51"/>
        <v>0</v>
      </c>
      <c r="Y47" s="25">
        <f t="shared" si="52"/>
        <v>0</v>
      </c>
      <c r="Z47" s="53">
        <f t="shared" si="53"/>
        <v>0</v>
      </c>
      <c r="AA47" s="2"/>
    </row>
    <row r="48" spans="1:27" x14ac:dyDescent="0.2">
      <c r="A48" s="11">
        <f t="shared" si="37"/>
        <v>2035</v>
      </c>
      <c r="B48" s="288">
        <f>B47</f>
        <v>0</v>
      </c>
      <c r="C48" s="251">
        <f t="shared" ref="C48" si="54">C47</f>
        <v>1</v>
      </c>
      <c r="D48" s="634">
        <f t="shared" ref="D48:D54" si="55">D47+C48</f>
        <v>25</v>
      </c>
      <c r="E48" s="636">
        <f t="shared" si="20"/>
        <v>13.2</v>
      </c>
      <c r="F48" s="250">
        <f t="shared" ref="F48" si="56">F47</f>
        <v>0</v>
      </c>
      <c r="G48" s="623">
        <v>1</v>
      </c>
      <c r="H48" s="629">
        <f t="shared" ref="H48:H54" si="57">+$B48*E48/1000</f>
        <v>0</v>
      </c>
      <c r="I48" s="72">
        <f t="shared" ref="I48:I54" si="58">+$B48*F48/1000</f>
        <v>0</v>
      </c>
      <c r="J48" s="630">
        <f t="shared" ref="J48:J54" si="59">+$B48*G48/1000000</f>
        <v>0</v>
      </c>
      <c r="K48" s="61">
        <f t="shared" ref="K48:K54" si="60">(D48+D47)/2</f>
        <v>24.5</v>
      </c>
      <c r="L48" s="59">
        <f t="shared" ref="L48:L54" si="61">+N48/K48*1000</f>
        <v>17.71972789115646</v>
      </c>
      <c r="M48" s="59">
        <f t="shared" ref="M48:M54" si="62">+N48-N47</f>
        <v>1.3200000000000045E-2</v>
      </c>
      <c r="N48" s="266">
        <f t="shared" ref="N48:N54" si="63">+((L47*(K48-C48))/1000)+(E48/1000*C48)</f>
        <v>0.43413333333333326</v>
      </c>
      <c r="O48" s="59"/>
      <c r="P48" s="239"/>
      <c r="Q48" s="222">
        <f t="shared" ref="Q48:Q54" si="64">+D47</f>
        <v>24</v>
      </c>
      <c r="R48" s="58">
        <f t="shared" ref="R48:R54" si="65">+I48</f>
        <v>0</v>
      </c>
      <c r="S48" s="55">
        <f t="shared" ref="S48:S54" si="66">+T48-T47</f>
        <v>0</v>
      </c>
      <c r="T48" s="56">
        <f t="shared" ref="T48:T54" si="67">+Q48*R48/1000</f>
        <v>0</v>
      </c>
      <c r="U48" s="242"/>
      <c r="V48" s="55"/>
      <c r="W48" s="236">
        <f t="shared" ref="W48:W54" si="68">K48</f>
        <v>24.5</v>
      </c>
      <c r="X48" s="233">
        <f t="shared" ref="X48:X54" si="69">+G48</f>
        <v>1</v>
      </c>
      <c r="Y48" s="25">
        <f t="shared" ref="Y48:Y54" si="70">+Z48-Z47</f>
        <v>2.4499999999999999E-5</v>
      </c>
      <c r="Z48" s="53">
        <f t="shared" ref="Z48:Z54" si="71">+W48*X48/1000000</f>
        <v>2.4499999999999999E-5</v>
      </c>
      <c r="AA48" s="2"/>
    </row>
    <row r="49" spans="1:27" x14ac:dyDescent="0.2">
      <c r="A49" s="11">
        <f t="shared" si="37"/>
        <v>2036</v>
      </c>
      <c r="B49" s="288">
        <f t="shared" ref="B49:B54" si="72">B48</f>
        <v>0</v>
      </c>
      <c r="C49" s="251">
        <f t="shared" ref="C49" si="73">C48</f>
        <v>1</v>
      </c>
      <c r="D49" s="634">
        <f t="shared" si="55"/>
        <v>26</v>
      </c>
      <c r="E49" s="636">
        <f t="shared" si="20"/>
        <v>13.2</v>
      </c>
      <c r="F49" s="250">
        <f t="shared" ref="F49" si="74">F48</f>
        <v>0</v>
      </c>
      <c r="G49" s="623">
        <v>2</v>
      </c>
      <c r="H49" s="629">
        <f t="shared" si="57"/>
        <v>0</v>
      </c>
      <c r="I49" s="72">
        <f t="shared" si="58"/>
        <v>0</v>
      </c>
      <c r="J49" s="630">
        <f t="shared" si="59"/>
        <v>0</v>
      </c>
      <c r="K49" s="61">
        <f t="shared" si="60"/>
        <v>25.5</v>
      </c>
      <c r="L49" s="59">
        <f t="shared" si="61"/>
        <v>17.542483660130713</v>
      </c>
      <c r="M49" s="59">
        <f t="shared" si="62"/>
        <v>1.319999999999999E-2</v>
      </c>
      <c r="N49" s="266">
        <f t="shared" si="63"/>
        <v>0.44733333333333325</v>
      </c>
      <c r="O49" s="59"/>
      <c r="P49" s="239"/>
      <c r="Q49" s="222">
        <f t="shared" si="64"/>
        <v>25</v>
      </c>
      <c r="R49" s="58">
        <f t="shared" si="65"/>
        <v>0</v>
      </c>
      <c r="S49" s="55">
        <f t="shared" si="66"/>
        <v>0</v>
      </c>
      <c r="T49" s="56">
        <f t="shared" si="67"/>
        <v>0</v>
      </c>
      <c r="U49" s="242"/>
      <c r="V49" s="55"/>
      <c r="W49" s="236">
        <f t="shared" si="68"/>
        <v>25.5</v>
      </c>
      <c r="X49" s="233">
        <f t="shared" si="69"/>
        <v>2</v>
      </c>
      <c r="Y49" s="25">
        <f t="shared" si="70"/>
        <v>2.65E-5</v>
      </c>
      <c r="Z49" s="53">
        <f t="shared" si="71"/>
        <v>5.1E-5</v>
      </c>
      <c r="AA49" s="2"/>
    </row>
    <row r="50" spans="1:27" x14ac:dyDescent="0.2">
      <c r="A50" s="11">
        <f t="shared" si="37"/>
        <v>2037</v>
      </c>
      <c r="B50" s="288">
        <f t="shared" si="72"/>
        <v>0</v>
      </c>
      <c r="C50" s="251">
        <f t="shared" ref="C50" si="75">C49</f>
        <v>1</v>
      </c>
      <c r="D50" s="634">
        <f t="shared" si="55"/>
        <v>27</v>
      </c>
      <c r="E50" s="636">
        <f t="shared" si="20"/>
        <v>13.2</v>
      </c>
      <c r="F50" s="250">
        <f t="shared" ref="F50" si="76">F49</f>
        <v>0</v>
      </c>
      <c r="G50" s="623">
        <v>3</v>
      </c>
      <c r="H50" s="629">
        <f t="shared" si="57"/>
        <v>0</v>
      </c>
      <c r="I50" s="72">
        <f t="shared" si="58"/>
        <v>0</v>
      </c>
      <c r="J50" s="630">
        <f t="shared" si="59"/>
        <v>0</v>
      </c>
      <c r="K50" s="61">
        <f t="shared" si="60"/>
        <v>26.5</v>
      </c>
      <c r="L50" s="59">
        <f t="shared" si="61"/>
        <v>17.378616352201252</v>
      </c>
      <c r="M50" s="59">
        <f t="shared" si="62"/>
        <v>1.3199999999999934E-2</v>
      </c>
      <c r="N50" s="266">
        <f t="shared" si="63"/>
        <v>0.46053333333333318</v>
      </c>
      <c r="O50" s="59"/>
      <c r="P50" s="239"/>
      <c r="Q50" s="222">
        <f t="shared" si="64"/>
        <v>26</v>
      </c>
      <c r="R50" s="58">
        <f t="shared" si="65"/>
        <v>0</v>
      </c>
      <c r="S50" s="55">
        <f t="shared" si="66"/>
        <v>0</v>
      </c>
      <c r="T50" s="56">
        <f t="shared" si="67"/>
        <v>0</v>
      </c>
      <c r="U50" s="242"/>
      <c r="V50" s="55"/>
      <c r="W50" s="236">
        <f t="shared" si="68"/>
        <v>26.5</v>
      </c>
      <c r="X50" s="233">
        <f t="shared" si="69"/>
        <v>3</v>
      </c>
      <c r="Y50" s="25">
        <f t="shared" si="70"/>
        <v>2.8499999999999995E-5</v>
      </c>
      <c r="Z50" s="53">
        <f t="shared" si="71"/>
        <v>7.9499999999999994E-5</v>
      </c>
      <c r="AA50" s="2"/>
    </row>
    <row r="51" spans="1:27" x14ac:dyDescent="0.2">
      <c r="A51" s="11">
        <f t="shared" si="37"/>
        <v>2038</v>
      </c>
      <c r="B51" s="288">
        <f t="shared" si="72"/>
        <v>0</v>
      </c>
      <c r="C51" s="251">
        <f t="shared" ref="C51" si="77">C50</f>
        <v>1</v>
      </c>
      <c r="D51" s="634">
        <f t="shared" si="55"/>
        <v>28</v>
      </c>
      <c r="E51" s="636">
        <f t="shared" si="20"/>
        <v>13.2</v>
      </c>
      <c r="F51" s="250">
        <f t="shared" ref="F51" si="78">F50</f>
        <v>0</v>
      </c>
      <c r="G51" s="623">
        <v>4</v>
      </c>
      <c r="H51" s="629">
        <f t="shared" si="57"/>
        <v>0</v>
      </c>
      <c r="I51" s="72">
        <f t="shared" si="58"/>
        <v>0</v>
      </c>
      <c r="J51" s="630">
        <f t="shared" si="59"/>
        <v>0</v>
      </c>
      <c r="K51" s="61">
        <f t="shared" si="60"/>
        <v>27.5</v>
      </c>
      <c r="L51" s="59">
        <f t="shared" si="61"/>
        <v>17.226666666666659</v>
      </c>
      <c r="M51" s="59">
        <f t="shared" si="62"/>
        <v>1.319999999999999E-2</v>
      </c>
      <c r="N51" s="266">
        <f t="shared" si="63"/>
        <v>0.47373333333333317</v>
      </c>
      <c r="O51" s="59"/>
      <c r="P51" s="239"/>
      <c r="Q51" s="222">
        <f t="shared" si="64"/>
        <v>27</v>
      </c>
      <c r="R51" s="58">
        <f t="shared" si="65"/>
        <v>0</v>
      </c>
      <c r="S51" s="55">
        <f t="shared" si="66"/>
        <v>0</v>
      </c>
      <c r="T51" s="56">
        <f t="shared" si="67"/>
        <v>0</v>
      </c>
      <c r="U51" s="242"/>
      <c r="V51" s="55"/>
      <c r="W51" s="236">
        <f t="shared" si="68"/>
        <v>27.5</v>
      </c>
      <c r="X51" s="233">
        <f t="shared" si="69"/>
        <v>4</v>
      </c>
      <c r="Y51" s="25">
        <f t="shared" si="70"/>
        <v>3.050000000000001E-5</v>
      </c>
      <c r="Z51" s="53">
        <f t="shared" si="71"/>
        <v>1.1E-4</v>
      </c>
      <c r="AA51" s="2"/>
    </row>
    <row r="52" spans="1:27" x14ac:dyDescent="0.2">
      <c r="A52" s="11">
        <f t="shared" si="37"/>
        <v>2039</v>
      </c>
      <c r="B52" s="288">
        <f t="shared" si="72"/>
        <v>0</v>
      </c>
      <c r="C52" s="251">
        <f t="shared" ref="C52" si="79">C51</f>
        <v>1</v>
      </c>
      <c r="D52" s="634">
        <f t="shared" si="55"/>
        <v>29</v>
      </c>
      <c r="E52" s="636">
        <f t="shared" si="20"/>
        <v>13.2</v>
      </c>
      <c r="F52" s="250">
        <f t="shared" ref="F52" si="80">F51</f>
        <v>0</v>
      </c>
      <c r="G52" s="623">
        <v>5</v>
      </c>
      <c r="H52" s="629">
        <f t="shared" si="57"/>
        <v>0</v>
      </c>
      <c r="I52" s="72">
        <f t="shared" si="58"/>
        <v>0</v>
      </c>
      <c r="J52" s="630">
        <f t="shared" si="59"/>
        <v>0</v>
      </c>
      <c r="K52" s="61">
        <f t="shared" si="60"/>
        <v>28.5</v>
      </c>
      <c r="L52" s="59">
        <f t="shared" si="61"/>
        <v>17.085380116959058</v>
      </c>
      <c r="M52" s="59">
        <f t="shared" si="62"/>
        <v>1.3199999999999934E-2</v>
      </c>
      <c r="N52" s="266">
        <f t="shared" si="63"/>
        <v>0.48693333333333311</v>
      </c>
      <c r="O52" s="59"/>
      <c r="P52" s="239"/>
      <c r="Q52" s="222">
        <f t="shared" si="64"/>
        <v>28</v>
      </c>
      <c r="R52" s="58">
        <f t="shared" si="65"/>
        <v>0</v>
      </c>
      <c r="S52" s="55">
        <f t="shared" si="66"/>
        <v>0</v>
      </c>
      <c r="T52" s="56">
        <f t="shared" si="67"/>
        <v>0</v>
      </c>
      <c r="U52" s="242"/>
      <c r="V52" s="55"/>
      <c r="W52" s="236">
        <f t="shared" si="68"/>
        <v>28.5</v>
      </c>
      <c r="X52" s="233">
        <f t="shared" si="69"/>
        <v>5</v>
      </c>
      <c r="Y52" s="25">
        <f t="shared" si="70"/>
        <v>3.249999999999999E-5</v>
      </c>
      <c r="Z52" s="53">
        <f t="shared" si="71"/>
        <v>1.4249999999999999E-4</v>
      </c>
      <c r="AA52" s="2"/>
    </row>
    <row r="53" spans="1:27" x14ac:dyDescent="0.2">
      <c r="A53" s="11">
        <f t="shared" si="37"/>
        <v>2040</v>
      </c>
      <c r="B53" s="288">
        <f t="shared" si="72"/>
        <v>0</v>
      </c>
      <c r="C53" s="251">
        <f t="shared" ref="C53" si="81">C52</f>
        <v>1</v>
      </c>
      <c r="D53" s="634">
        <f t="shared" si="55"/>
        <v>30</v>
      </c>
      <c r="E53" s="636">
        <f t="shared" si="20"/>
        <v>13.2</v>
      </c>
      <c r="F53" s="250">
        <f t="shared" ref="F53" si="82">F52</f>
        <v>0</v>
      </c>
      <c r="G53" s="623">
        <v>6</v>
      </c>
      <c r="H53" s="629">
        <f t="shared" si="57"/>
        <v>0</v>
      </c>
      <c r="I53" s="72">
        <f t="shared" si="58"/>
        <v>0</v>
      </c>
      <c r="J53" s="630">
        <f t="shared" si="59"/>
        <v>0</v>
      </c>
      <c r="K53" s="61">
        <f t="shared" si="60"/>
        <v>29.5</v>
      </c>
      <c r="L53" s="59">
        <f t="shared" si="61"/>
        <v>16.953672316384175</v>
      </c>
      <c r="M53" s="59">
        <f t="shared" si="62"/>
        <v>1.3200000000000101E-2</v>
      </c>
      <c r="N53" s="266">
        <f t="shared" si="63"/>
        <v>0.50013333333333321</v>
      </c>
      <c r="O53" s="59"/>
      <c r="P53" s="239"/>
      <c r="Q53" s="222">
        <f t="shared" si="64"/>
        <v>29</v>
      </c>
      <c r="R53" s="58">
        <f t="shared" si="65"/>
        <v>0</v>
      </c>
      <c r="S53" s="55">
        <f t="shared" si="66"/>
        <v>0</v>
      </c>
      <c r="T53" s="56">
        <f t="shared" si="67"/>
        <v>0</v>
      </c>
      <c r="U53" s="242"/>
      <c r="V53" s="55"/>
      <c r="W53" s="236">
        <f t="shared" si="68"/>
        <v>29.5</v>
      </c>
      <c r="X53" s="233">
        <f t="shared" si="69"/>
        <v>6</v>
      </c>
      <c r="Y53" s="25">
        <f t="shared" si="70"/>
        <v>3.4499999999999998E-5</v>
      </c>
      <c r="Z53" s="53">
        <f t="shared" si="71"/>
        <v>1.7699999999999999E-4</v>
      </c>
      <c r="AA53" s="2"/>
    </row>
    <row r="54" spans="1:27" x14ac:dyDescent="0.2">
      <c r="A54" s="11">
        <f t="shared" si="37"/>
        <v>2041</v>
      </c>
      <c r="B54" s="288">
        <f t="shared" si="72"/>
        <v>0</v>
      </c>
      <c r="C54" s="251">
        <f t="shared" ref="C54" si="83">C53</f>
        <v>1</v>
      </c>
      <c r="D54" s="634">
        <f t="shared" si="55"/>
        <v>31</v>
      </c>
      <c r="E54" s="636">
        <f t="shared" si="20"/>
        <v>13.2</v>
      </c>
      <c r="F54" s="250">
        <f t="shared" ref="F54" si="84">F53</f>
        <v>0</v>
      </c>
      <c r="G54" s="623">
        <v>7</v>
      </c>
      <c r="H54" s="629">
        <f t="shared" si="57"/>
        <v>0</v>
      </c>
      <c r="I54" s="72">
        <f t="shared" si="58"/>
        <v>0</v>
      </c>
      <c r="J54" s="630">
        <f t="shared" si="59"/>
        <v>0</v>
      </c>
      <c r="K54" s="61">
        <f t="shared" si="60"/>
        <v>30.5</v>
      </c>
      <c r="L54" s="59">
        <f t="shared" si="61"/>
        <v>16.83060109289617</v>
      </c>
      <c r="M54" s="59">
        <f t="shared" si="62"/>
        <v>1.319999999999999E-2</v>
      </c>
      <c r="N54" s="266">
        <f t="shared" si="63"/>
        <v>0.5133333333333332</v>
      </c>
      <c r="O54" s="59"/>
      <c r="P54" s="239"/>
      <c r="Q54" s="222">
        <f t="shared" si="64"/>
        <v>30</v>
      </c>
      <c r="R54" s="58">
        <f t="shared" si="65"/>
        <v>0</v>
      </c>
      <c r="S54" s="55">
        <f t="shared" si="66"/>
        <v>0</v>
      </c>
      <c r="T54" s="56">
        <f t="shared" si="67"/>
        <v>0</v>
      </c>
      <c r="U54" s="242"/>
      <c r="V54" s="55"/>
      <c r="W54" s="236">
        <f t="shared" si="68"/>
        <v>30.5</v>
      </c>
      <c r="X54" s="233">
        <f t="shared" si="69"/>
        <v>7</v>
      </c>
      <c r="Y54" s="25">
        <f t="shared" si="70"/>
        <v>3.650000000000002E-5</v>
      </c>
      <c r="Z54" s="53">
        <f t="shared" si="71"/>
        <v>2.1350000000000001E-4</v>
      </c>
      <c r="AA54" s="2"/>
    </row>
    <row r="56" spans="1:27" x14ac:dyDescent="0.2">
      <c r="A56" s="69" t="s">
        <v>38</v>
      </c>
      <c r="B56" s="69"/>
    </row>
    <row r="57" spans="1:27" x14ac:dyDescent="0.2">
      <c r="A57" s="69" t="s">
        <v>39</v>
      </c>
      <c r="B57" s="69"/>
    </row>
    <row r="58" spans="1:27" x14ac:dyDescent="0.2">
      <c r="A58" s="69" t="s">
        <v>67</v>
      </c>
      <c r="B58" s="69"/>
    </row>
    <row r="59" spans="1:27" x14ac:dyDescent="0.2">
      <c r="A59" s="86" t="s">
        <v>57</v>
      </c>
      <c r="B59" s="86"/>
      <c r="N59"/>
      <c r="O59"/>
      <c r="P59"/>
      <c r="AA59" s="2"/>
    </row>
    <row r="60" spans="1:27" x14ac:dyDescent="0.2">
      <c r="A60" s="86" t="s">
        <v>58</v>
      </c>
      <c r="B60" s="86"/>
      <c r="N60"/>
      <c r="O60"/>
      <c r="P60"/>
      <c r="AA60" s="2"/>
    </row>
    <row r="61" spans="1:27" x14ac:dyDescent="0.2">
      <c r="A61" s="45" t="s">
        <v>92</v>
      </c>
    </row>
    <row r="87" spans="6:8" x14ac:dyDescent="0.2">
      <c r="F87">
        <v>21475</v>
      </c>
      <c r="G87">
        <v>9654</v>
      </c>
      <c r="H87">
        <f>+F87+G87</f>
        <v>31129</v>
      </c>
    </row>
    <row r="88" spans="6:8" x14ac:dyDescent="0.2">
      <c r="F88">
        <v>0.04</v>
      </c>
      <c r="G88">
        <v>386.16</v>
      </c>
    </row>
  </sheetData>
  <mergeCells count="5">
    <mergeCell ref="W4:Z4"/>
    <mergeCell ref="H3:J3"/>
    <mergeCell ref="B4:J4"/>
    <mergeCell ref="K4:N4"/>
    <mergeCell ref="Q4:T4"/>
  </mergeCells>
  <phoneticPr fontId="7" type="noConversion"/>
  <pageMargins left="0.21" right="0.23" top="1" bottom="1" header="0.5" footer="0.5"/>
  <pageSetup scale="4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rgb="FF00FFFF"/>
    <pageSetUpPr fitToPage="1"/>
  </sheetPr>
  <dimension ref="A1:XFD136"/>
  <sheetViews>
    <sheetView workbookViewId="0">
      <pane xSplit="1" ySplit="3" topLeftCell="B26" activePane="bottomRight" state="frozen"/>
      <selection pane="topRight" activeCell="B1" sqref="B1"/>
      <selection pane="bottomLeft" activeCell="A4" sqref="A4"/>
      <selection pane="bottomRight" activeCell="AT46" sqref="AT46"/>
    </sheetView>
  </sheetViews>
  <sheetFormatPr defaultRowHeight="12.75" x14ac:dyDescent="0.2"/>
  <cols>
    <col min="1" max="1" width="12.42578125" customWidth="1"/>
    <col min="2" max="2" width="10.7109375" customWidth="1"/>
    <col min="3" max="3" width="9.28515625" bestFit="1" customWidth="1"/>
    <col min="4" max="4" width="10.28515625" customWidth="1"/>
    <col min="5" max="9" width="9.28515625" bestFit="1" customWidth="1"/>
    <col min="10" max="12" width="9.28515625" customWidth="1"/>
    <col min="13" max="13" width="8.42578125" bestFit="1" customWidth="1"/>
    <col min="14" max="14" width="6.7109375" customWidth="1"/>
    <col min="15" max="15" width="7" customWidth="1"/>
    <col min="16" max="16" width="9.28515625" bestFit="1" customWidth="1"/>
    <col min="17" max="17" width="5.42578125" customWidth="1"/>
    <col min="18" max="18" width="12.28515625" bestFit="1" customWidth="1"/>
    <col min="19" max="19" width="8" bestFit="1" customWidth="1"/>
    <col min="20" max="20" width="8.42578125" bestFit="1" customWidth="1"/>
    <col min="21" max="21" width="7.5703125" bestFit="1" customWidth="1"/>
    <col min="22" max="22" width="7.7109375" bestFit="1" customWidth="1"/>
    <col min="23" max="23" width="14" customWidth="1"/>
    <col min="24" max="24" width="11.7109375" bestFit="1" customWidth="1"/>
    <col min="25" max="25" width="7.5703125" bestFit="1" customWidth="1"/>
    <col min="26" max="26" width="8.28515625" bestFit="1" customWidth="1"/>
    <col min="27" max="27" width="9.42578125" bestFit="1" customWidth="1"/>
    <col min="28" max="28" width="7" bestFit="1" customWidth="1"/>
    <col min="29" max="29" width="9.28515625" bestFit="1" customWidth="1"/>
    <col min="30" max="30" width="6.5703125" bestFit="1" customWidth="1"/>
    <col min="31" max="31" width="9.28515625" bestFit="1" customWidth="1"/>
    <col min="32" max="32" width="7.42578125" bestFit="1" customWidth="1"/>
    <col min="33" max="35" width="7.28515625" customWidth="1"/>
    <col min="36" max="36" width="8.28515625" customWidth="1"/>
    <col min="37" max="40" width="7.28515625" customWidth="1"/>
    <col min="41" max="41" width="12" bestFit="1" customWidth="1"/>
    <col min="42" max="42" width="7.7109375" bestFit="1" customWidth="1"/>
    <col min="43" max="43" width="8.28515625" bestFit="1" customWidth="1"/>
    <col min="44" max="44" width="7" customWidth="1"/>
    <col min="46" max="46" width="17.7109375" customWidth="1"/>
    <col min="47" max="47" width="11.7109375" bestFit="1" customWidth="1"/>
    <col min="64" max="64" width="12" bestFit="1" customWidth="1"/>
    <col min="66" max="66" width="9.5703125" bestFit="1" customWidth="1"/>
  </cols>
  <sheetData>
    <row r="1" spans="1:68" ht="13.5" thickBot="1" x14ac:dyDescent="0.25">
      <c r="A1" s="1083" t="s">
        <v>344</v>
      </c>
      <c r="B1" s="1431" t="s">
        <v>171</v>
      </c>
      <c r="C1" s="1431"/>
      <c r="D1" s="1431"/>
      <c r="E1" s="1431"/>
      <c r="F1" s="1431"/>
      <c r="G1" s="1431"/>
      <c r="H1" s="1431"/>
      <c r="I1" s="1431"/>
      <c r="J1" s="1431"/>
      <c r="K1" s="1431"/>
      <c r="L1" s="1431"/>
      <c r="M1" s="1431"/>
      <c r="N1" s="1431"/>
      <c r="O1" s="1431"/>
      <c r="P1" s="1431"/>
      <c r="Q1" s="1431"/>
      <c r="R1" s="1431"/>
      <c r="S1" s="1431"/>
      <c r="T1" s="1431"/>
      <c r="U1" s="1431"/>
      <c r="W1" s="1083" t="s">
        <v>344</v>
      </c>
      <c r="Y1" s="1431" t="s">
        <v>172</v>
      </c>
      <c r="Z1" s="1431"/>
      <c r="AA1" s="1431"/>
      <c r="AB1" s="1431"/>
      <c r="AC1" s="1431"/>
      <c r="AD1" s="1431"/>
      <c r="AE1" s="1431"/>
      <c r="AF1" s="1431"/>
      <c r="AG1" s="1431"/>
      <c r="AH1" s="1431"/>
      <c r="AI1" s="1431"/>
      <c r="AJ1" s="1431"/>
      <c r="AK1" s="1431"/>
      <c r="AL1" s="1431"/>
      <c r="AM1" s="1431"/>
      <c r="AN1" s="1431"/>
      <c r="AO1" s="1431"/>
      <c r="AP1" s="1431"/>
      <c r="AQ1" s="1431"/>
      <c r="AR1" s="1431"/>
      <c r="AT1" s="1083" t="s">
        <v>344</v>
      </c>
      <c r="AV1" s="1431" t="s">
        <v>173</v>
      </c>
      <c r="AW1" s="1431"/>
      <c r="AX1" s="1431"/>
      <c r="AY1" s="1431"/>
      <c r="AZ1" s="1431"/>
      <c r="BA1" s="1431"/>
      <c r="BB1" s="1431"/>
      <c r="BC1" s="1431"/>
      <c r="BD1" s="1431"/>
      <c r="BE1" s="1431"/>
      <c r="BF1" s="1431"/>
      <c r="BG1" s="1431"/>
      <c r="BH1" s="1431"/>
      <c r="BI1" s="1431"/>
      <c r="BJ1" s="1431"/>
      <c r="BK1" s="1431"/>
      <c r="BL1" s="1431"/>
      <c r="BM1" s="1431"/>
      <c r="BN1" s="1431"/>
      <c r="BO1" s="1431"/>
    </row>
    <row r="2" spans="1:68" ht="13.5" thickBot="1" x14ac:dyDescent="0.25">
      <c r="A2" s="1084" t="s">
        <v>394</v>
      </c>
      <c r="B2" s="1431" t="s">
        <v>122</v>
      </c>
      <c r="C2" s="1431"/>
      <c r="D2" s="1431"/>
      <c r="E2" s="1431"/>
      <c r="F2" s="1431"/>
      <c r="G2" s="1431"/>
      <c r="H2" s="1431"/>
      <c r="I2" s="1431"/>
      <c r="J2" s="1431"/>
      <c r="K2" s="1431"/>
      <c r="L2" s="1431"/>
      <c r="M2" s="1431"/>
      <c r="N2" s="1431"/>
      <c r="O2" s="1431"/>
      <c r="P2" s="1431"/>
      <c r="Q2" s="1431"/>
      <c r="R2" s="1431"/>
      <c r="S2" s="1432" t="s">
        <v>123</v>
      </c>
      <c r="T2" s="1432"/>
      <c r="U2" s="1432"/>
      <c r="V2" s="268" t="s">
        <v>124</v>
      </c>
      <c r="W2" s="1084" t="s">
        <v>394</v>
      </c>
      <c r="Y2" s="1431" t="s">
        <v>122</v>
      </c>
      <c r="Z2" s="1431"/>
      <c r="AA2" s="1431"/>
      <c r="AB2" s="1431"/>
      <c r="AC2" s="1431"/>
      <c r="AD2" s="1431"/>
      <c r="AE2" s="1431"/>
      <c r="AF2" s="1431"/>
      <c r="AG2" s="1431"/>
      <c r="AH2" s="1431"/>
      <c r="AI2" s="1431"/>
      <c r="AJ2" s="1431"/>
      <c r="AK2" s="1431"/>
      <c r="AL2" s="1431"/>
      <c r="AM2" s="1431"/>
      <c r="AN2" s="1431"/>
      <c r="AO2" s="1431"/>
      <c r="AP2" s="1432" t="s">
        <v>123</v>
      </c>
      <c r="AQ2" s="1432"/>
      <c r="AR2" s="1432"/>
      <c r="AS2" s="268" t="s">
        <v>124</v>
      </c>
      <c r="AT2" s="1084" t="s">
        <v>394</v>
      </c>
      <c r="AV2" s="1431" t="s">
        <v>122</v>
      </c>
      <c r="AW2" s="1431"/>
      <c r="AX2" s="1431"/>
      <c r="AY2" s="1431"/>
      <c r="AZ2" s="1431"/>
      <c r="BA2" s="1431"/>
      <c r="BB2" s="1431"/>
      <c r="BC2" s="1431"/>
      <c r="BD2" s="1431"/>
      <c r="BE2" s="1431"/>
      <c r="BF2" s="1431"/>
      <c r="BG2" s="1431"/>
      <c r="BH2" s="1431"/>
      <c r="BI2" s="1431"/>
      <c r="BJ2" s="1431"/>
      <c r="BK2" s="1431"/>
      <c r="BL2" s="1431"/>
      <c r="BM2" s="1432" t="s">
        <v>123</v>
      </c>
      <c r="BN2" s="1432"/>
      <c r="BO2" s="1432"/>
      <c r="BP2" s="268" t="s">
        <v>124</v>
      </c>
    </row>
    <row r="3" spans="1:68" s="269" customFormat="1" ht="13.5" thickBot="1" x14ac:dyDescent="0.25">
      <c r="B3" s="1184" t="s">
        <v>335</v>
      </c>
      <c r="C3" s="1185" t="s">
        <v>336</v>
      </c>
      <c r="D3" s="1185" t="s">
        <v>127</v>
      </c>
      <c r="E3" s="477" t="s">
        <v>337</v>
      </c>
      <c r="F3" s="477" t="s">
        <v>338</v>
      </c>
      <c r="G3" s="477" t="s">
        <v>129</v>
      </c>
      <c r="H3" s="477" t="s">
        <v>339</v>
      </c>
      <c r="I3" s="980" t="s">
        <v>131</v>
      </c>
      <c r="J3" s="477" t="s">
        <v>342</v>
      </c>
      <c r="K3" s="477" t="s">
        <v>343</v>
      </c>
      <c r="L3" s="477" t="s">
        <v>341</v>
      </c>
      <c r="M3" s="477" t="s">
        <v>340</v>
      </c>
      <c r="N3" s="477" t="s">
        <v>249</v>
      </c>
      <c r="O3" s="980" t="s">
        <v>250</v>
      </c>
      <c r="P3" s="980" t="s">
        <v>251</v>
      </c>
      <c r="Q3" s="980" t="s">
        <v>252</v>
      </c>
      <c r="R3" s="272" t="s">
        <v>132</v>
      </c>
      <c r="S3" s="1180" t="s">
        <v>133</v>
      </c>
      <c r="T3" s="271" t="s">
        <v>134</v>
      </c>
      <c r="U3" s="273" t="s">
        <v>135</v>
      </c>
      <c r="V3" s="504" t="s">
        <v>135</v>
      </c>
      <c r="Y3" s="1184" t="str">
        <f>B3</f>
        <v>FREE</v>
      </c>
      <c r="Z3" s="1185" t="str">
        <f t="shared" ref="Z3:AN3" si="0">C3</f>
        <v>RCS</v>
      </c>
      <c r="AA3" s="1185" t="str">
        <f t="shared" si="0"/>
        <v>Assited Aud</v>
      </c>
      <c r="AB3" s="477" t="str">
        <f t="shared" si="0"/>
        <v>DS</v>
      </c>
      <c r="AC3" s="477" t="str">
        <f t="shared" si="0"/>
        <v>EnergyStar</v>
      </c>
      <c r="AD3" s="477" t="str">
        <f t="shared" si="0"/>
        <v>LowInc</v>
      </c>
      <c r="AE3" s="477" t="str">
        <f t="shared" si="0"/>
        <v>HC</v>
      </c>
      <c r="AF3" s="980" t="str">
        <f t="shared" si="0"/>
        <v>Bld Envel</v>
      </c>
      <c r="AG3" s="477" t="str">
        <f t="shared" si="0"/>
        <v>Ceiling Ins</v>
      </c>
      <c r="AH3" s="477" t="str">
        <f t="shared" si="0"/>
        <v>Wall Ins</v>
      </c>
      <c r="AI3" s="477" t="str">
        <f t="shared" si="0"/>
        <v>Wind Repl</v>
      </c>
      <c r="AJ3" s="477" t="str">
        <f t="shared" si="0"/>
        <v>Educate</v>
      </c>
      <c r="AK3" s="477" t="str">
        <f t="shared" si="0"/>
        <v>ECM</v>
      </c>
      <c r="AL3" s="980" t="str">
        <f t="shared" si="0"/>
        <v>Maint</v>
      </c>
      <c r="AM3" s="980" t="str">
        <f t="shared" si="0"/>
        <v>Solar DHW</v>
      </c>
      <c r="AN3" s="980" t="str">
        <f t="shared" si="0"/>
        <v>PV</v>
      </c>
      <c r="AO3" s="272" t="s">
        <v>132</v>
      </c>
      <c r="AP3" s="1180" t="s">
        <v>133</v>
      </c>
      <c r="AQ3" s="271" t="s">
        <v>134</v>
      </c>
      <c r="AR3" s="273" t="s">
        <v>135</v>
      </c>
      <c r="AS3" s="504" t="s">
        <v>135</v>
      </c>
      <c r="AV3" s="1184" t="str">
        <f>B3</f>
        <v>FREE</v>
      </c>
      <c r="AW3" s="1185" t="str">
        <f t="shared" ref="AW3:BK3" si="1">C3</f>
        <v>RCS</v>
      </c>
      <c r="AX3" s="1185" t="str">
        <f t="shared" si="1"/>
        <v>Assited Aud</v>
      </c>
      <c r="AY3" s="477" t="str">
        <f t="shared" si="1"/>
        <v>DS</v>
      </c>
      <c r="AZ3" s="477" t="str">
        <f t="shared" si="1"/>
        <v>EnergyStar</v>
      </c>
      <c r="BA3" s="477" t="str">
        <f t="shared" si="1"/>
        <v>LowInc</v>
      </c>
      <c r="BB3" s="477" t="str">
        <f t="shared" si="1"/>
        <v>HC</v>
      </c>
      <c r="BC3" s="980" t="str">
        <f t="shared" si="1"/>
        <v>Bld Envel</v>
      </c>
      <c r="BD3" s="477" t="str">
        <f t="shared" si="1"/>
        <v>Ceiling Ins</v>
      </c>
      <c r="BE3" s="477" t="str">
        <f t="shared" si="1"/>
        <v>Wall Ins</v>
      </c>
      <c r="BF3" s="477" t="str">
        <f t="shared" si="1"/>
        <v>Wind Repl</v>
      </c>
      <c r="BG3" s="477" t="str">
        <f t="shared" si="1"/>
        <v>Educate</v>
      </c>
      <c r="BH3" s="477" t="str">
        <f t="shared" si="1"/>
        <v>ECM</v>
      </c>
      <c r="BI3" s="980" t="str">
        <f t="shared" si="1"/>
        <v>Maint</v>
      </c>
      <c r="BJ3" s="980" t="str">
        <f t="shared" si="1"/>
        <v>Solar DHW</v>
      </c>
      <c r="BK3" s="980" t="str">
        <f t="shared" si="1"/>
        <v>PV</v>
      </c>
      <c r="BL3" s="272" t="s">
        <v>132</v>
      </c>
      <c r="BM3" s="1180" t="s">
        <v>133</v>
      </c>
      <c r="BN3" s="271" t="s">
        <v>134</v>
      </c>
      <c r="BO3" s="273" t="s">
        <v>135</v>
      </c>
      <c r="BP3" s="504" t="s">
        <v>135</v>
      </c>
    </row>
    <row r="4" spans="1:68" x14ac:dyDescent="0.2">
      <c r="A4" s="274" t="s">
        <v>136</v>
      </c>
      <c r="B4" s="275">
        <f>+'RES Audit Alt'!M6</f>
        <v>8.34</v>
      </c>
      <c r="C4" s="276">
        <f>+'RES Audit RCS'!M6</f>
        <v>0.97</v>
      </c>
      <c r="D4" s="276">
        <f>+'RES Assist.'!M6</f>
        <v>0</v>
      </c>
      <c r="E4" s="276">
        <f>+'RES DR'!M6</f>
        <v>0</v>
      </c>
      <c r="F4" s="276">
        <f>+'RES EnergyStar'!M6</f>
        <v>0</v>
      </c>
      <c r="G4" s="276">
        <f>+'RES WEA'!M6</f>
        <v>0</v>
      </c>
      <c r="H4" s="276">
        <f>+'RES HC'!M6</f>
        <v>12.76</v>
      </c>
      <c r="I4" s="724">
        <f>+'RES WF'!M6</f>
        <v>2.6</v>
      </c>
      <c r="J4" s="982">
        <f>'RES CI'!M6</f>
        <v>0</v>
      </c>
      <c r="K4" s="982">
        <f>'RES WI'!M6</f>
        <v>0</v>
      </c>
      <c r="L4" s="982">
        <f>'RES WR'!M6</f>
        <v>0</v>
      </c>
      <c r="M4" s="276">
        <f>'RES Educ'!M6</f>
        <v>0</v>
      </c>
      <c r="N4" s="276">
        <f>'RES ECM'!M6</f>
        <v>0</v>
      </c>
      <c r="O4" s="724">
        <f>'RES HVAC Re-com'!M6</f>
        <v>0</v>
      </c>
      <c r="P4" s="724">
        <f>'RES Solar DHW'!M6</f>
        <v>0</v>
      </c>
      <c r="Q4" s="724">
        <f>'RES PV'!M6</f>
        <v>0</v>
      </c>
      <c r="R4" s="277">
        <f>SUM(B4:Q4)</f>
        <v>24.67</v>
      </c>
      <c r="S4" s="275">
        <f>+'RES Prime Time'!N6</f>
        <v>78.069999999999993</v>
      </c>
      <c r="T4" s="276">
        <f>+'RES EP (RSVP)'!M6</f>
        <v>0</v>
      </c>
      <c r="U4" s="277">
        <f>+S4+T4</f>
        <v>78.069999999999993</v>
      </c>
      <c r="V4" s="278">
        <f>+U4+R4</f>
        <v>102.74</v>
      </c>
      <c r="W4" s="162"/>
      <c r="X4" s="274" t="s">
        <v>136</v>
      </c>
      <c r="Y4" s="275">
        <f>+'RES Audit Alt'!Q6</f>
        <v>11.9</v>
      </c>
      <c r="Z4" s="276">
        <f>+'RES Audit RCS'!Q6</f>
        <v>1.36</v>
      </c>
      <c r="AA4" s="276">
        <f>+'RES Assist.'!Q6</f>
        <v>0</v>
      </c>
      <c r="AB4" s="276">
        <f>+'RES DR'!Q6</f>
        <v>0</v>
      </c>
      <c r="AC4" s="276">
        <f>+'RES EnergyStar'!Q6</f>
        <v>0</v>
      </c>
      <c r="AD4" s="276">
        <f>+'RES WEA'!Q6</f>
        <v>0</v>
      </c>
      <c r="AE4" s="276">
        <f>+'RES HC'!Q6</f>
        <v>195.73</v>
      </c>
      <c r="AF4" s="724">
        <f>+'RES WF'!Q6</f>
        <v>3.59</v>
      </c>
      <c r="AG4" s="276">
        <f>'RES CI'!Q6</f>
        <v>0</v>
      </c>
      <c r="AH4" s="276">
        <f>'RES WI'!Q6</f>
        <v>0</v>
      </c>
      <c r="AI4" s="276">
        <f>'RES WR'!Q6</f>
        <v>0</v>
      </c>
      <c r="AJ4" s="276">
        <f>'RES Educ'!Q6</f>
        <v>0</v>
      </c>
      <c r="AK4" s="276">
        <f>'RES ECM'!Q6</f>
        <v>0</v>
      </c>
      <c r="AL4" s="724">
        <f>'RES HVAC Re-com'!Q6</f>
        <v>0</v>
      </c>
      <c r="AM4" s="724">
        <f>'RES Solar DHW'!Q6</f>
        <v>0</v>
      </c>
      <c r="AN4" s="724">
        <f>'RES PV'!Q6</f>
        <v>0</v>
      </c>
      <c r="AO4" s="277">
        <f>SUM(Y4:AN4)</f>
        <v>212.57999999999998</v>
      </c>
      <c r="AP4" s="275">
        <f>+'RES Prime Time'!T6</f>
        <v>163.07</v>
      </c>
      <c r="AQ4" s="276">
        <f>+'RES EP (RSVP)'!Q6</f>
        <v>0</v>
      </c>
      <c r="AR4" s="277">
        <f>+AP4+AQ4</f>
        <v>163.07</v>
      </c>
      <c r="AS4" s="278">
        <f>+AR4+AO4</f>
        <v>375.65</v>
      </c>
      <c r="AU4" s="274" t="s">
        <v>136</v>
      </c>
      <c r="AV4" s="275">
        <f>+'RES Audit Alt'!U6</f>
        <v>28.46</v>
      </c>
      <c r="AW4" s="276">
        <f>+'RES Audit RCS'!U6</f>
        <v>3.27</v>
      </c>
      <c r="AX4" s="276">
        <f>+'RES Assist.'!U6</f>
        <v>0</v>
      </c>
      <c r="AY4" s="276">
        <f>+'RES DR'!U6</f>
        <v>0</v>
      </c>
      <c r="AZ4" s="276">
        <f>+'RES EnergyStar'!U6</f>
        <v>0</v>
      </c>
      <c r="BA4" s="276">
        <f>+'RES WEA'!U6</f>
        <v>0</v>
      </c>
      <c r="BB4" s="276">
        <f>+'RES HC'!U6</f>
        <v>160.74</v>
      </c>
      <c r="BC4" s="724">
        <f>+'RES WF'!U6</f>
        <v>6.16</v>
      </c>
      <c r="BD4" s="276">
        <f>'RES CI'!U6</f>
        <v>0</v>
      </c>
      <c r="BE4" s="276">
        <f>'RES WI'!U6</f>
        <v>0</v>
      </c>
      <c r="BF4" s="276">
        <f>'RES WR'!U6</f>
        <v>0</v>
      </c>
      <c r="BG4" s="276">
        <f>'RES Educ'!U6</f>
        <v>0</v>
      </c>
      <c r="BH4" s="276">
        <f>'RES ECM'!U6</f>
        <v>0</v>
      </c>
      <c r="BI4" s="724">
        <f>'RES HVAC Re-com'!U6</f>
        <v>0</v>
      </c>
      <c r="BJ4" s="724">
        <f>'RES Solar DHW'!U6</f>
        <v>0</v>
      </c>
      <c r="BK4" s="724">
        <f>'RES PV'!U6</f>
        <v>0</v>
      </c>
      <c r="BL4" s="277">
        <f>SUM(AV4:BK4)</f>
        <v>198.63</v>
      </c>
      <c r="BM4" s="275">
        <f>+'RES Prime Time'!Z6</f>
        <v>0</v>
      </c>
      <c r="BN4" s="276">
        <f>+'RES EP (RSVP)'!U6</f>
        <v>0</v>
      </c>
      <c r="BO4" s="277">
        <f>+BM4+BN4</f>
        <v>0</v>
      </c>
      <c r="BP4" s="278">
        <f>+BO4+BL4</f>
        <v>198.63</v>
      </c>
    </row>
    <row r="5" spans="1:68" x14ac:dyDescent="0.2">
      <c r="A5" s="274" t="s">
        <v>137</v>
      </c>
      <c r="B5" s="275">
        <f>+'RES Audit Alt'!M7</f>
        <v>9.74</v>
      </c>
      <c r="C5" s="276">
        <f>+'RES Audit RCS'!M7</f>
        <v>0.97</v>
      </c>
      <c r="D5" s="276">
        <f>+'RES Assist.'!M7</f>
        <v>0</v>
      </c>
      <c r="E5" s="276">
        <f>+'RES DR'!M7</f>
        <v>0.53</v>
      </c>
      <c r="F5" s="276">
        <f>+'RES EnergyStar'!M7</f>
        <v>0</v>
      </c>
      <c r="G5" s="276">
        <f>+'RES WEA'!M7</f>
        <v>0</v>
      </c>
      <c r="H5" s="276">
        <f>+'RES HC'!M7</f>
        <v>12.76</v>
      </c>
      <c r="I5" s="724">
        <f>+'RES WF'!M7</f>
        <v>4.12</v>
      </c>
      <c r="J5" s="982">
        <f>'RES CI'!M7</f>
        <v>0</v>
      </c>
      <c r="K5" s="982">
        <f>'RES WI'!M7</f>
        <v>0</v>
      </c>
      <c r="L5" s="982">
        <f>'RES WR'!M7</f>
        <v>0</v>
      </c>
      <c r="M5" s="276">
        <f>'RES Educ'!M7</f>
        <v>0</v>
      </c>
      <c r="N5" s="276">
        <f>'RES ECM'!M7</f>
        <v>0</v>
      </c>
      <c r="O5" s="724">
        <f>'RES HVAC Re-com'!M7</f>
        <v>0</v>
      </c>
      <c r="P5" s="724">
        <f>'RES Solar DHW'!M7</f>
        <v>0</v>
      </c>
      <c r="Q5" s="724">
        <f>'RES PV'!M7</f>
        <v>0</v>
      </c>
      <c r="R5" s="277">
        <f t="shared" ref="R5:R39" si="2">SUM(B5:Q5)</f>
        <v>28.12</v>
      </c>
      <c r="S5" s="275">
        <f>+'RES Prime Time'!N7</f>
        <v>96.2</v>
      </c>
      <c r="T5" s="276">
        <f>+'RES EP (RSVP)'!M7</f>
        <v>0</v>
      </c>
      <c r="U5" s="277">
        <f t="shared" ref="U5:U38" si="3">+S5+T5</f>
        <v>96.2</v>
      </c>
      <c r="V5" s="277">
        <f t="shared" ref="V5:V38" si="4">+U5+R5</f>
        <v>124.32000000000001</v>
      </c>
      <c r="W5" s="162"/>
      <c r="X5" s="274" t="s">
        <v>137</v>
      </c>
      <c r="Y5" s="275">
        <f>+'RES Audit Alt'!Q7</f>
        <v>13.870000000000001</v>
      </c>
      <c r="Z5" s="276">
        <f>+'RES Audit RCS'!Q7</f>
        <v>1.36</v>
      </c>
      <c r="AA5" s="276">
        <f>+'RES Assist.'!Q7</f>
        <v>0</v>
      </c>
      <c r="AB5" s="276">
        <f>+'RES DR'!Q7</f>
        <v>1.8800000000000001</v>
      </c>
      <c r="AC5" s="276">
        <f>+'RES EnergyStar'!Q7</f>
        <v>0</v>
      </c>
      <c r="AD5" s="276">
        <f>+'RES WEA'!Q7</f>
        <v>0</v>
      </c>
      <c r="AE5" s="276">
        <f>+'RES HC'!Q7</f>
        <v>248.79</v>
      </c>
      <c r="AF5" s="724">
        <f>+'RES WF'!Q7</f>
        <v>6.01</v>
      </c>
      <c r="AG5" s="276">
        <f>'RES CI'!Q7</f>
        <v>0</v>
      </c>
      <c r="AH5" s="276">
        <f>'RES WI'!Q7</f>
        <v>0</v>
      </c>
      <c r="AI5" s="276">
        <f>'RES WR'!Q7</f>
        <v>0</v>
      </c>
      <c r="AJ5" s="276">
        <f>'RES Educ'!Q7</f>
        <v>0</v>
      </c>
      <c r="AK5" s="276">
        <f>'RES ECM'!Q7</f>
        <v>0</v>
      </c>
      <c r="AL5" s="724">
        <f>'RES HVAC Re-com'!Q7</f>
        <v>0</v>
      </c>
      <c r="AM5" s="724">
        <f>'RES Solar DHW'!Q7</f>
        <v>0</v>
      </c>
      <c r="AN5" s="724">
        <f>'RES PV'!Q7</f>
        <v>0</v>
      </c>
      <c r="AO5" s="277">
        <f t="shared" ref="AO5:AO38" si="5">SUM(Y5:AN5)</f>
        <v>271.90999999999997</v>
      </c>
      <c r="AP5" s="275">
        <f>+'RES Prime Time'!T7</f>
        <v>181.8</v>
      </c>
      <c r="AQ5" s="276">
        <f>+'RES EP (RSVP)'!Q7</f>
        <v>0</v>
      </c>
      <c r="AR5" s="277">
        <f t="shared" ref="AR5:AR37" si="6">+AP5+AQ5</f>
        <v>181.8</v>
      </c>
      <c r="AS5" s="277">
        <f t="shared" ref="AS5:AS38" si="7">+AR5+AO5</f>
        <v>453.71</v>
      </c>
      <c r="AU5" s="274" t="s">
        <v>137</v>
      </c>
      <c r="AV5" s="275">
        <f>+'RES Audit Alt'!U7</f>
        <v>36.200000000000003</v>
      </c>
      <c r="AW5" s="276">
        <f>+'RES Audit RCS'!U7</f>
        <v>3.27</v>
      </c>
      <c r="AX5" s="276">
        <f>+'RES Assist.'!U7</f>
        <v>0</v>
      </c>
      <c r="AY5" s="276">
        <f>+'RES DR'!U7</f>
        <v>2.0539999999999998</v>
      </c>
      <c r="AZ5" s="276">
        <f>+'RES EnergyStar'!U7</f>
        <v>0</v>
      </c>
      <c r="BA5" s="276">
        <f>+'RES WEA'!U7</f>
        <v>0</v>
      </c>
      <c r="BB5" s="276">
        <f>+'RES HC'!U7</f>
        <v>173.43</v>
      </c>
      <c r="BC5" s="724">
        <f>+'RES WF'!U7</f>
        <v>8.84</v>
      </c>
      <c r="BD5" s="276">
        <f>'RES CI'!U7</f>
        <v>0</v>
      </c>
      <c r="BE5" s="276">
        <f>'RES WI'!U7</f>
        <v>0</v>
      </c>
      <c r="BF5" s="276">
        <f>'RES WR'!U7</f>
        <v>0</v>
      </c>
      <c r="BG5" s="276">
        <f>'RES Educ'!U7</f>
        <v>0</v>
      </c>
      <c r="BH5" s="276">
        <f>'RES ECM'!U7</f>
        <v>0</v>
      </c>
      <c r="BI5" s="724">
        <f>'RES HVAC Re-com'!U7</f>
        <v>0</v>
      </c>
      <c r="BJ5" s="724">
        <f>'RES Solar DHW'!U7</f>
        <v>0</v>
      </c>
      <c r="BK5" s="724">
        <f>'RES PV'!U7</f>
        <v>0</v>
      </c>
      <c r="BL5" s="277">
        <f t="shared" ref="BL5:BL38" si="8">SUM(AV5:BK5)</f>
        <v>223.79400000000001</v>
      </c>
      <c r="BM5" s="275">
        <f>+'RES Prime Time'!Z7</f>
        <v>0</v>
      </c>
      <c r="BN5" s="276">
        <f>+'RES EP (RSVP)'!U7</f>
        <v>0</v>
      </c>
      <c r="BO5" s="277">
        <f t="shared" ref="BO5:BO37" si="9">+BM5+BN5</f>
        <v>0</v>
      </c>
      <c r="BP5" s="277">
        <f t="shared" ref="BP5:BP38" si="10">+BO5+BL5</f>
        <v>223.79400000000001</v>
      </c>
    </row>
    <row r="6" spans="1:68" x14ac:dyDescent="0.2">
      <c r="A6">
        <v>1995</v>
      </c>
      <c r="B6" s="275">
        <f>+'RES Audit Alt'!M8</f>
        <v>10.174300000000001</v>
      </c>
      <c r="C6" s="276">
        <f>+'RES Audit RCS'!M8</f>
        <v>0.97</v>
      </c>
      <c r="D6" s="276">
        <f>+'RES Assist.'!M8</f>
        <v>0</v>
      </c>
      <c r="E6" s="276">
        <f>+'RES DR'!M8</f>
        <v>1.2155</v>
      </c>
      <c r="F6" s="276">
        <f>+'RES EnergyStar'!M8</f>
        <v>0</v>
      </c>
      <c r="G6" s="276">
        <f>+'RES WEA'!M8</f>
        <v>0</v>
      </c>
      <c r="H6" s="276">
        <f>+'RES HC'!M8</f>
        <v>12.76</v>
      </c>
      <c r="I6" s="724">
        <f>+'RES WF'!M8</f>
        <v>4.4162063732928685</v>
      </c>
      <c r="J6" s="982">
        <f>'RES CI'!M8</f>
        <v>0</v>
      </c>
      <c r="K6" s="982">
        <f>'RES WI'!M8</f>
        <v>0</v>
      </c>
      <c r="L6" s="982">
        <f>'RES WR'!M8</f>
        <v>0</v>
      </c>
      <c r="M6" s="276">
        <f>'RES Educ'!M8</f>
        <v>0</v>
      </c>
      <c r="N6" s="276">
        <f>'RES ECM'!M8</f>
        <v>0</v>
      </c>
      <c r="O6" s="724">
        <f>'RES HVAC Re-com'!M8</f>
        <v>0</v>
      </c>
      <c r="P6" s="724">
        <f>'RES Solar DHW'!M8</f>
        <v>0</v>
      </c>
      <c r="Q6" s="724">
        <f>'RES PV'!M8</f>
        <v>0</v>
      </c>
      <c r="R6" s="277">
        <f t="shared" si="2"/>
        <v>29.536006373292871</v>
      </c>
      <c r="S6" s="275">
        <f>+'RES Prime Time'!N8</f>
        <v>97.4</v>
      </c>
      <c r="T6" s="276">
        <f>+'RES EP (RSVP)'!M8</f>
        <v>0</v>
      </c>
      <c r="U6" s="277">
        <f t="shared" si="3"/>
        <v>97.4</v>
      </c>
      <c r="V6" s="277">
        <f t="shared" si="4"/>
        <v>126.93600637329288</v>
      </c>
      <c r="W6" s="162"/>
      <c r="X6">
        <v>1995</v>
      </c>
      <c r="Y6" s="275">
        <f>+'RES Audit Alt'!Q8</f>
        <v>14.344040000000001</v>
      </c>
      <c r="Z6" s="276">
        <f>+'RES Audit RCS'!Q8</f>
        <v>1.36</v>
      </c>
      <c r="AA6" s="276">
        <f>+'RES Assist.'!Q8</f>
        <v>0</v>
      </c>
      <c r="AB6" s="276">
        <f>+'RES DR'!Q8</f>
        <v>2.4984500000000001</v>
      </c>
      <c r="AC6" s="276">
        <f>+'RES EnergyStar'!Q8</f>
        <v>0</v>
      </c>
      <c r="AD6" s="276">
        <f>+'RES WEA'!Q8</f>
        <v>0</v>
      </c>
      <c r="AE6" s="276">
        <f>+'RES HC'!Q8</f>
        <v>265.90235999999999</v>
      </c>
      <c r="AF6" s="724">
        <f>+'RES WF'!Q8</f>
        <v>6.4356449165402125</v>
      </c>
      <c r="AG6" s="276">
        <f>'RES CI'!Q8</f>
        <v>0</v>
      </c>
      <c r="AH6" s="276">
        <f>'RES WI'!Q8</f>
        <v>0</v>
      </c>
      <c r="AI6" s="276">
        <f>'RES WR'!Q8</f>
        <v>0</v>
      </c>
      <c r="AJ6" s="276">
        <f>'RES Educ'!Q8</f>
        <v>0</v>
      </c>
      <c r="AK6" s="276">
        <f>'RES ECM'!Q8</f>
        <v>0</v>
      </c>
      <c r="AL6" s="724">
        <f>'RES HVAC Re-com'!Q8</f>
        <v>0</v>
      </c>
      <c r="AM6" s="724">
        <f>'RES Solar DHW'!Q8</f>
        <v>0</v>
      </c>
      <c r="AN6" s="724">
        <f>'RES PV'!Q8</f>
        <v>0</v>
      </c>
      <c r="AO6" s="277">
        <f t="shared" si="5"/>
        <v>290.54049491654018</v>
      </c>
      <c r="AP6" s="275">
        <f>+'RES Prime Time'!T8</f>
        <v>227.2</v>
      </c>
      <c r="AQ6" s="276">
        <f>+'RES EP (RSVP)'!Q8</f>
        <v>0</v>
      </c>
      <c r="AR6" s="277">
        <f t="shared" si="6"/>
        <v>227.2</v>
      </c>
      <c r="AS6" s="277">
        <f t="shared" si="7"/>
        <v>517.74049491654023</v>
      </c>
      <c r="AU6">
        <v>1995</v>
      </c>
      <c r="AV6" s="275">
        <f>+'RES Audit Alt'!U8</f>
        <v>38.597336000000006</v>
      </c>
      <c r="AW6" s="276">
        <f>+'RES Audit RCS'!U8</f>
        <v>3.27</v>
      </c>
      <c r="AX6" s="276">
        <f>+'RES Assist.'!U8</f>
        <v>0</v>
      </c>
      <c r="AY6" s="276">
        <f>+'RES DR'!U8</f>
        <v>4.7959999999999994</v>
      </c>
      <c r="AZ6" s="276">
        <f>+'RES EnergyStar'!U8</f>
        <v>0</v>
      </c>
      <c r="BA6" s="276">
        <f>+'RES WEA'!U8</f>
        <v>0</v>
      </c>
      <c r="BB6" s="276">
        <f>+'RES HC'!U8</f>
        <v>177.46795800000001</v>
      </c>
      <c r="BC6" s="724">
        <f>+'RES WF'!U8</f>
        <v>9.3953869499241272</v>
      </c>
      <c r="BD6" s="276">
        <f>'RES CI'!U8</f>
        <v>0</v>
      </c>
      <c r="BE6" s="276">
        <f>'RES WI'!U8</f>
        <v>0</v>
      </c>
      <c r="BF6" s="276">
        <f>'RES WR'!U8</f>
        <v>0</v>
      </c>
      <c r="BG6" s="276">
        <f>'RES Educ'!U8</f>
        <v>0</v>
      </c>
      <c r="BH6" s="276">
        <f>'RES ECM'!U8</f>
        <v>0</v>
      </c>
      <c r="BI6" s="724">
        <f>'RES HVAC Re-com'!U8</f>
        <v>0</v>
      </c>
      <c r="BJ6" s="724">
        <f>'RES Solar DHW'!U8</f>
        <v>0</v>
      </c>
      <c r="BK6" s="724">
        <f>'RES PV'!U8</f>
        <v>0</v>
      </c>
      <c r="BL6" s="277">
        <f t="shared" si="8"/>
        <v>233.52668094992416</v>
      </c>
      <c r="BM6" s="275">
        <f>+'RES Prime Time'!Z8</f>
        <v>0</v>
      </c>
      <c r="BN6" s="276">
        <f>+'RES EP (RSVP)'!U8</f>
        <v>0</v>
      </c>
      <c r="BO6" s="277">
        <f t="shared" si="9"/>
        <v>0</v>
      </c>
      <c r="BP6" s="277">
        <f t="shared" si="10"/>
        <v>233.52668094992416</v>
      </c>
    </row>
    <row r="7" spans="1:68" x14ac:dyDescent="0.2">
      <c r="A7">
        <v>1996</v>
      </c>
      <c r="B7" s="275">
        <f>+'RES Audit Alt'!M9</f>
        <v>10.511940000000001</v>
      </c>
      <c r="C7" s="276">
        <f>+'RES Audit RCS'!M9</f>
        <v>0.97</v>
      </c>
      <c r="D7" s="276">
        <f>+'RES Assist.'!M9</f>
        <v>4.1549999999999997E-2</v>
      </c>
      <c r="E7" s="276">
        <f>+'RES DR'!M9</f>
        <v>2.5428122716199759</v>
      </c>
      <c r="F7" s="276">
        <f>+'RES EnergyStar'!M9</f>
        <v>0</v>
      </c>
      <c r="G7" s="276">
        <f>+'RES WEA'!M9</f>
        <v>0</v>
      </c>
      <c r="H7" s="276">
        <f>+'RES HC'!M9</f>
        <v>14.00152131863231</v>
      </c>
      <c r="I7" s="724">
        <f>+'RES WF'!M9</f>
        <v>4.5593363732928687</v>
      </c>
      <c r="J7" s="982">
        <f>'RES CI'!M9</f>
        <v>0</v>
      </c>
      <c r="K7" s="982">
        <f>'RES WI'!M9</f>
        <v>0</v>
      </c>
      <c r="L7" s="982">
        <f>'RES WR'!M9</f>
        <v>0</v>
      </c>
      <c r="M7" s="276">
        <f>'RES Educ'!M9</f>
        <v>0</v>
      </c>
      <c r="N7" s="276">
        <f>'RES ECM'!M9</f>
        <v>0</v>
      </c>
      <c r="O7" s="724">
        <f>'RES HVAC Re-com'!M9</f>
        <v>0</v>
      </c>
      <c r="P7" s="724">
        <f>'RES Solar DHW'!M9</f>
        <v>0</v>
      </c>
      <c r="Q7" s="724">
        <f>'RES PV'!M9</f>
        <v>0</v>
      </c>
      <c r="R7" s="277">
        <f t="shared" si="2"/>
        <v>32.627159963545154</v>
      </c>
      <c r="S7" s="275">
        <f>+'RES Prime Time'!N9</f>
        <v>97.9</v>
      </c>
      <c r="T7" s="276">
        <f>+'RES EP (RSVP)'!M9</f>
        <v>0</v>
      </c>
      <c r="U7" s="277">
        <f t="shared" si="3"/>
        <v>97.9</v>
      </c>
      <c r="V7" s="277">
        <f t="shared" si="4"/>
        <v>130.52715996354516</v>
      </c>
      <c r="W7" s="162"/>
      <c r="X7">
        <v>1996</v>
      </c>
      <c r="Y7" s="275">
        <f>+'RES Audit Alt'!Q9</f>
        <v>15.298040000000002</v>
      </c>
      <c r="Z7" s="276">
        <f>+'RES Audit RCS'!Q9</f>
        <v>1.36</v>
      </c>
      <c r="AA7" s="276">
        <f>+'RES Assist.'!Q9</f>
        <v>0</v>
      </c>
      <c r="AB7" s="276">
        <f>+'RES DR'!Q9</f>
        <v>6.7163384287454324</v>
      </c>
      <c r="AC7" s="276">
        <f>+'RES EnergyStar'!Q9</f>
        <v>0</v>
      </c>
      <c r="AD7" s="276">
        <f>+'RES WEA'!Q9</f>
        <v>0</v>
      </c>
      <c r="AE7" s="276">
        <f>+'RES HC'!Q9</f>
        <v>281.49992292963327</v>
      </c>
      <c r="AF7" s="724">
        <f>+'RES WF'!Q9</f>
        <v>7.0076561531460628</v>
      </c>
      <c r="AG7" s="276">
        <f>'RES CI'!Q9</f>
        <v>0</v>
      </c>
      <c r="AH7" s="276">
        <f>'RES WI'!Q9</f>
        <v>0</v>
      </c>
      <c r="AI7" s="276">
        <f>'RES WR'!Q9</f>
        <v>0</v>
      </c>
      <c r="AJ7" s="276">
        <f>'RES Educ'!Q9</f>
        <v>0</v>
      </c>
      <c r="AK7" s="276">
        <f>'RES ECM'!Q9</f>
        <v>0</v>
      </c>
      <c r="AL7" s="724">
        <f>'RES HVAC Re-com'!Q9</f>
        <v>0</v>
      </c>
      <c r="AM7" s="724">
        <f>'RES Solar DHW'!Q9</f>
        <v>0</v>
      </c>
      <c r="AN7" s="724">
        <f>'RES PV'!Q9</f>
        <v>0</v>
      </c>
      <c r="AO7" s="277">
        <f t="shared" si="5"/>
        <v>311.88195751152477</v>
      </c>
      <c r="AP7" s="275">
        <f>+'RES Prime Time'!T9</f>
        <v>244.6</v>
      </c>
      <c r="AQ7" s="276">
        <f>+'RES EP (RSVP)'!Q9</f>
        <v>0</v>
      </c>
      <c r="AR7" s="277">
        <f t="shared" si="6"/>
        <v>244.6</v>
      </c>
      <c r="AS7" s="277">
        <f t="shared" si="7"/>
        <v>556.4819575115248</v>
      </c>
      <c r="AU7">
        <v>1996</v>
      </c>
      <c r="AV7" s="275">
        <f>+'RES Audit Alt'!U9</f>
        <v>41.408189000000007</v>
      </c>
      <c r="AW7" s="276">
        <f>+'RES Audit RCS'!U9</f>
        <v>3.27</v>
      </c>
      <c r="AX7" s="276">
        <f>+'RES Assist.'!U9</f>
        <v>0.34625</v>
      </c>
      <c r="AY7" s="276">
        <f>+'RES DR'!U9</f>
        <v>10.055231635809987</v>
      </c>
      <c r="AZ7" s="276">
        <f>+'RES EnergyStar'!U9</f>
        <v>0</v>
      </c>
      <c r="BA7" s="276">
        <f>+'RES WEA'!U9</f>
        <v>0</v>
      </c>
      <c r="BB7" s="276">
        <f>+'RES HC'!U9</f>
        <v>183.44148189841428</v>
      </c>
      <c r="BC7" s="724">
        <f>+'RES WF'!U9</f>
        <v>10.678785949924126</v>
      </c>
      <c r="BD7" s="276">
        <f>'RES CI'!U9</f>
        <v>0</v>
      </c>
      <c r="BE7" s="276">
        <f>'RES WI'!U9</f>
        <v>0</v>
      </c>
      <c r="BF7" s="276">
        <f>'RES WR'!U9</f>
        <v>0</v>
      </c>
      <c r="BG7" s="276">
        <f>'RES Educ'!U9</f>
        <v>0</v>
      </c>
      <c r="BH7" s="276">
        <f>'RES ECM'!U9</f>
        <v>0</v>
      </c>
      <c r="BI7" s="724">
        <f>'RES HVAC Re-com'!U9</f>
        <v>0</v>
      </c>
      <c r="BJ7" s="724">
        <f>'RES Solar DHW'!U9</f>
        <v>0</v>
      </c>
      <c r="BK7" s="724">
        <f>'RES PV'!U9</f>
        <v>0</v>
      </c>
      <c r="BL7" s="277">
        <f t="shared" si="8"/>
        <v>249.19993848414842</v>
      </c>
      <c r="BM7" s="275">
        <f>+'RES Prime Time'!Z9</f>
        <v>0</v>
      </c>
      <c r="BN7" s="276">
        <f>+'RES EP (RSVP)'!U9</f>
        <v>0</v>
      </c>
      <c r="BO7" s="277">
        <f t="shared" si="9"/>
        <v>0</v>
      </c>
      <c r="BP7" s="277">
        <f t="shared" si="10"/>
        <v>249.19993848414842</v>
      </c>
    </row>
    <row r="8" spans="1:68" x14ac:dyDescent="0.2">
      <c r="A8">
        <v>1997</v>
      </c>
      <c r="B8" s="275">
        <f>+'RES Audit Alt'!M10</f>
        <v>10.722798290049607</v>
      </c>
      <c r="C8" s="276">
        <f>+'RES Audit RCS'!M10</f>
        <v>0.97</v>
      </c>
      <c r="D8" s="276">
        <f>+'RES Assist.'!M10</f>
        <v>0.35878499999999997</v>
      </c>
      <c r="E8" s="276">
        <f>+'RES DR'!M10</f>
        <v>4.0611620974797926</v>
      </c>
      <c r="F8" s="276">
        <f>+'RES EnergyStar'!M10</f>
        <v>0</v>
      </c>
      <c r="G8" s="276">
        <f>+'RES WEA'!M10</f>
        <v>0</v>
      </c>
      <c r="H8" s="276">
        <f>+'RES HC'!M10</f>
        <v>15.42321487249275</v>
      </c>
      <c r="I8" s="724">
        <f>+'RES WF'!M10</f>
        <v>4.8005363732928688</v>
      </c>
      <c r="J8" s="982">
        <f>'RES CI'!M10</f>
        <v>0</v>
      </c>
      <c r="K8" s="982">
        <f>'RES WI'!M10</f>
        <v>0</v>
      </c>
      <c r="L8" s="982">
        <f>'RES WR'!M10</f>
        <v>0</v>
      </c>
      <c r="M8" s="276">
        <f>'RES Educ'!M10</f>
        <v>0</v>
      </c>
      <c r="N8" s="276">
        <f>'RES ECM'!M10</f>
        <v>0</v>
      </c>
      <c r="O8" s="724">
        <f>'RES HVAC Re-com'!M10</f>
        <v>0</v>
      </c>
      <c r="P8" s="724">
        <f>'RES Solar DHW'!M10</f>
        <v>0</v>
      </c>
      <c r="Q8" s="724">
        <f>'RES PV'!M10</f>
        <v>0</v>
      </c>
      <c r="R8" s="277">
        <f t="shared" si="2"/>
        <v>36.336496633315022</v>
      </c>
      <c r="S8" s="275">
        <f>+'RES Prime Time'!N10</f>
        <v>89.4</v>
      </c>
      <c r="T8" s="276">
        <f>+'RES EP (RSVP)'!M10</f>
        <v>0</v>
      </c>
      <c r="U8" s="277">
        <f t="shared" si="3"/>
        <v>89.4</v>
      </c>
      <c r="V8" s="277">
        <f t="shared" si="4"/>
        <v>125.73649663331503</v>
      </c>
      <c r="W8" s="162"/>
      <c r="X8">
        <v>1997</v>
      </c>
      <c r="Y8" s="275">
        <f>+'RES Audit Alt'!Q10</f>
        <v>15.751812305223229</v>
      </c>
      <c r="Z8" s="276">
        <f>+'RES Audit RCS'!Q10</f>
        <v>1.36</v>
      </c>
      <c r="AA8" s="276">
        <f>+'RES Assist.'!Q10</f>
        <v>0.1883595685022198</v>
      </c>
      <c r="AB8" s="276">
        <f>+'RES DR'!Q10</f>
        <v>10.970455189738031</v>
      </c>
      <c r="AC8" s="276">
        <f>+'RES EnergyStar'!Q10</f>
        <v>0</v>
      </c>
      <c r="AD8" s="276">
        <f>+'RES WEA'!Q10</f>
        <v>0</v>
      </c>
      <c r="AE8" s="276">
        <f>+'RES HC'!Q10</f>
        <v>295.8051683395563</v>
      </c>
      <c r="AF8" s="724">
        <f>+'RES WF'!Q10</f>
        <v>8.5062596587052521</v>
      </c>
      <c r="AG8" s="276">
        <f>'RES CI'!Q10</f>
        <v>0</v>
      </c>
      <c r="AH8" s="276">
        <f>'RES WI'!Q10</f>
        <v>0</v>
      </c>
      <c r="AI8" s="276">
        <f>'RES WR'!Q10</f>
        <v>0</v>
      </c>
      <c r="AJ8" s="276">
        <f>'RES Educ'!Q10</f>
        <v>0</v>
      </c>
      <c r="AK8" s="276">
        <f>'RES ECM'!Q10</f>
        <v>0</v>
      </c>
      <c r="AL8" s="724">
        <f>'RES HVAC Re-com'!Q10</f>
        <v>0</v>
      </c>
      <c r="AM8" s="724">
        <f>'RES Solar DHW'!Q10</f>
        <v>0</v>
      </c>
      <c r="AN8" s="724">
        <f>'RES PV'!Q10</f>
        <v>0</v>
      </c>
      <c r="AO8" s="277">
        <f t="shared" si="5"/>
        <v>332.58205506172504</v>
      </c>
      <c r="AP8" s="275">
        <f>+'RES Prime Time'!T10</f>
        <v>154.19999999999999</v>
      </c>
      <c r="AQ8" s="276">
        <f>+'RES EP (RSVP)'!Q10</f>
        <v>0</v>
      </c>
      <c r="AR8" s="277">
        <f t="shared" si="6"/>
        <v>154.19999999999999</v>
      </c>
      <c r="AS8" s="277">
        <f t="shared" si="7"/>
        <v>486.78205506172503</v>
      </c>
      <c r="AU8">
        <v>1997</v>
      </c>
      <c r="AV8" s="275">
        <f>+'RES Audit Alt'!U10</f>
        <v>43.16358426466298</v>
      </c>
      <c r="AW8" s="276">
        <f>+'RES Audit RCS'!U10</f>
        <v>3.27</v>
      </c>
      <c r="AX8" s="276">
        <f>+'RES Assist.'!U10</f>
        <v>2.2973750000000002</v>
      </c>
      <c r="AY8" s="276">
        <f>+'RES DR'!U10</f>
        <v>14.664752462105154</v>
      </c>
      <c r="AZ8" s="276">
        <f>+'RES EnergyStar'!U10</f>
        <v>0</v>
      </c>
      <c r="BA8" s="276">
        <f>+'RES WEA'!U10</f>
        <v>0</v>
      </c>
      <c r="BB8" s="276">
        <f>+'RES HC'!U10</f>
        <v>189.3175619257425</v>
      </c>
      <c r="BC8" s="724">
        <f>+'RES WF'!U10</f>
        <v>12.841545949924127</v>
      </c>
      <c r="BD8" s="276">
        <f>'RES CI'!U10</f>
        <v>0</v>
      </c>
      <c r="BE8" s="276">
        <f>'RES WI'!U10</f>
        <v>0</v>
      </c>
      <c r="BF8" s="276">
        <f>'RES WR'!U10</f>
        <v>0</v>
      </c>
      <c r="BG8" s="276">
        <f>'RES Educ'!U10</f>
        <v>0</v>
      </c>
      <c r="BH8" s="276">
        <f>'RES ECM'!U10</f>
        <v>0</v>
      </c>
      <c r="BI8" s="724">
        <f>'RES HVAC Re-com'!U10</f>
        <v>0</v>
      </c>
      <c r="BJ8" s="724">
        <f>'RES Solar DHW'!U10</f>
        <v>0</v>
      </c>
      <c r="BK8" s="724">
        <f>'RES PV'!U10</f>
        <v>0</v>
      </c>
      <c r="BL8" s="277">
        <f t="shared" si="8"/>
        <v>265.55481960243475</v>
      </c>
      <c r="BM8" s="275">
        <f>+'RES Prime Time'!Z10</f>
        <v>0</v>
      </c>
      <c r="BN8" s="276">
        <f>+'RES EP (RSVP)'!U10</f>
        <v>0</v>
      </c>
      <c r="BO8" s="277">
        <f t="shared" si="9"/>
        <v>0</v>
      </c>
      <c r="BP8" s="277">
        <f t="shared" si="10"/>
        <v>265.55481960243475</v>
      </c>
    </row>
    <row r="9" spans="1:68" x14ac:dyDescent="0.2">
      <c r="A9">
        <v>1998</v>
      </c>
      <c r="B9" s="275">
        <f>+'RES Audit Alt'!M11</f>
        <v>10.952758290049607</v>
      </c>
      <c r="C9" s="276">
        <f>+'RES Audit RCS'!M11</f>
        <v>0.97</v>
      </c>
      <c r="D9" s="276">
        <f>+'RES Assist.'!M11</f>
        <v>1.11852</v>
      </c>
      <c r="E9" s="276">
        <f>+'RES DR'!M11</f>
        <v>5.3679732711132333</v>
      </c>
      <c r="F9" s="276">
        <f>+'RES EnergyStar'!M11</f>
        <v>0</v>
      </c>
      <c r="G9" s="276">
        <f>+'RES WEA'!M11</f>
        <v>0</v>
      </c>
      <c r="H9" s="276">
        <f>+'RES HC'!M11</f>
        <v>16.726655583562664</v>
      </c>
      <c r="I9" s="724">
        <f>+'RES WF'!M11</f>
        <v>5.7074264933904484</v>
      </c>
      <c r="J9" s="982">
        <f>'RES CI'!M11</f>
        <v>0</v>
      </c>
      <c r="K9" s="982">
        <f>'RES WI'!M11</f>
        <v>0</v>
      </c>
      <c r="L9" s="982">
        <f>'RES WR'!M11</f>
        <v>0</v>
      </c>
      <c r="M9" s="276">
        <f>'RES Educ'!M11</f>
        <v>0</v>
      </c>
      <c r="N9" s="276">
        <f>'RES ECM'!M11</f>
        <v>0</v>
      </c>
      <c r="O9" s="724">
        <f>'RES HVAC Re-com'!M11</f>
        <v>0</v>
      </c>
      <c r="P9" s="724">
        <f>'RES Solar DHW'!M11</f>
        <v>0</v>
      </c>
      <c r="Q9" s="724">
        <f>'RES PV'!M11</f>
        <v>0</v>
      </c>
      <c r="R9" s="277">
        <f t="shared" si="2"/>
        <v>40.843333638115958</v>
      </c>
      <c r="S9" s="275">
        <f>+'RES Prime Time'!N11</f>
        <v>100.6</v>
      </c>
      <c r="T9" s="276">
        <f>+'RES EP (RSVP)'!M11</f>
        <v>0</v>
      </c>
      <c r="U9" s="277">
        <f t="shared" si="3"/>
        <v>100.6</v>
      </c>
      <c r="V9" s="277">
        <f t="shared" si="4"/>
        <v>141.44333363811594</v>
      </c>
      <c r="W9" s="162"/>
      <c r="X9">
        <v>1998</v>
      </c>
      <c r="Y9" s="275">
        <f>+'RES Audit Alt'!Q11</f>
        <v>16.368672305223228</v>
      </c>
      <c r="Z9" s="276">
        <f>+'RES Audit RCS'!Q11</f>
        <v>1.36</v>
      </c>
      <c r="AA9" s="276">
        <f>+'RES Assist.'!Q11</f>
        <v>1.0614158016047588</v>
      </c>
      <c r="AB9" s="276">
        <f>+'RES DR'!Q11</f>
        <v>13.031144852117453</v>
      </c>
      <c r="AC9" s="276">
        <f>+'RES EnergyStar'!Q11</f>
        <v>0</v>
      </c>
      <c r="AD9" s="276">
        <f>+'RES WEA'!Q11</f>
        <v>0</v>
      </c>
      <c r="AE9" s="276">
        <f>+'RES HC'!Q11</f>
        <v>305.09912707366647</v>
      </c>
      <c r="AF9" s="724">
        <f>+'RES WF'!Q11</f>
        <v>11.007569092933062</v>
      </c>
      <c r="AG9" s="276">
        <f>'RES CI'!Q11</f>
        <v>0</v>
      </c>
      <c r="AH9" s="276">
        <f>'RES WI'!Q11</f>
        <v>0</v>
      </c>
      <c r="AI9" s="276">
        <f>'RES WR'!Q11</f>
        <v>0</v>
      </c>
      <c r="AJ9" s="276">
        <f>'RES Educ'!Q11</f>
        <v>0</v>
      </c>
      <c r="AK9" s="276">
        <f>'RES ECM'!Q11</f>
        <v>0</v>
      </c>
      <c r="AL9" s="724">
        <f>'RES HVAC Re-com'!Q11</f>
        <v>0</v>
      </c>
      <c r="AM9" s="724">
        <f>'RES Solar DHW'!Q11</f>
        <v>0</v>
      </c>
      <c r="AN9" s="724">
        <f>'RES PV'!Q11</f>
        <v>0</v>
      </c>
      <c r="AO9" s="277">
        <f t="shared" si="5"/>
        <v>347.92792912554495</v>
      </c>
      <c r="AP9" s="275">
        <f>+'RES Prime Time'!T11</f>
        <v>150.30000000000001</v>
      </c>
      <c r="AQ9" s="276">
        <f>+'RES EP (RSVP)'!Q11</f>
        <v>0</v>
      </c>
      <c r="AR9" s="277">
        <f t="shared" si="6"/>
        <v>150.30000000000001</v>
      </c>
      <c r="AS9" s="277">
        <f t="shared" si="7"/>
        <v>498.22792912554496</v>
      </c>
      <c r="AU9">
        <v>1998</v>
      </c>
      <c r="AV9" s="275">
        <f>+'RES Audit Alt'!U11</f>
        <v>45.07800126466298</v>
      </c>
      <c r="AW9" s="276">
        <f>+'RES Audit RCS'!U11</f>
        <v>3.27</v>
      </c>
      <c r="AX9" s="276">
        <f>+'RES Assist.'!U11</f>
        <v>5.4187500000000002</v>
      </c>
      <c r="AY9" s="276">
        <f>+'RES DR'!U11</f>
        <v>17.812395467330234</v>
      </c>
      <c r="AZ9" s="276">
        <f>+'RES EnergyStar'!U11</f>
        <v>0</v>
      </c>
      <c r="BA9" s="276">
        <f>+'RES WEA'!U11</f>
        <v>0</v>
      </c>
      <c r="BB9" s="276">
        <f>+'RES HC'!U11</f>
        <v>194.44554735145755</v>
      </c>
      <c r="BC9" s="724">
        <f>+'RES WF'!U11</f>
        <v>16.892321819693315</v>
      </c>
      <c r="BD9" s="276">
        <f>'RES CI'!U11</f>
        <v>0</v>
      </c>
      <c r="BE9" s="276">
        <f>'RES WI'!U11</f>
        <v>0</v>
      </c>
      <c r="BF9" s="276">
        <f>'RES WR'!U11</f>
        <v>0</v>
      </c>
      <c r="BG9" s="276">
        <f>'RES Educ'!U11</f>
        <v>0</v>
      </c>
      <c r="BH9" s="276">
        <f>'RES ECM'!U11</f>
        <v>0</v>
      </c>
      <c r="BI9" s="724">
        <f>'RES HVAC Re-com'!U11</f>
        <v>0</v>
      </c>
      <c r="BJ9" s="724">
        <f>'RES Solar DHW'!U11</f>
        <v>0</v>
      </c>
      <c r="BK9" s="724">
        <f>'RES PV'!U11</f>
        <v>0</v>
      </c>
      <c r="BL9" s="277">
        <f t="shared" si="8"/>
        <v>282.91701590314409</v>
      </c>
      <c r="BM9" s="275">
        <f>+'RES Prime Time'!Z11</f>
        <v>0</v>
      </c>
      <c r="BN9" s="276">
        <f>+'RES EP (RSVP)'!U11</f>
        <v>0</v>
      </c>
      <c r="BO9" s="277">
        <f t="shared" si="9"/>
        <v>0</v>
      </c>
      <c r="BP9" s="277">
        <f t="shared" si="10"/>
        <v>282.91701590314409</v>
      </c>
    </row>
    <row r="10" spans="1:68" x14ac:dyDescent="0.2">
      <c r="A10">
        <v>1999</v>
      </c>
      <c r="B10" s="275">
        <f>+'RES Audit Alt'!M12</f>
        <v>11.145618290049606</v>
      </c>
      <c r="C10" s="276">
        <f>+'RES Audit RCS'!M12</f>
        <v>0.97</v>
      </c>
      <c r="D10" s="276">
        <f>+'RES Assist.'!M12</f>
        <v>1.87557</v>
      </c>
      <c r="E10" s="276">
        <f>+'RES DR'!M12</f>
        <v>6.1896013440050863</v>
      </c>
      <c r="F10" s="276">
        <f>+'RES EnergyStar'!M12</f>
        <v>0</v>
      </c>
      <c r="G10" s="276">
        <f>+'RES WEA'!M12</f>
        <v>0</v>
      </c>
      <c r="H10" s="276">
        <f>+'RES HC'!M12</f>
        <v>17.470650583562666</v>
      </c>
      <c r="I10" s="724">
        <f>+'RES WF'!M12</f>
        <v>7.2235064933904489</v>
      </c>
      <c r="J10" s="982">
        <f>'RES CI'!M12</f>
        <v>0</v>
      </c>
      <c r="K10" s="982">
        <f>'RES WI'!M12</f>
        <v>0</v>
      </c>
      <c r="L10" s="982">
        <f>'RES WR'!M12</f>
        <v>0</v>
      </c>
      <c r="M10" s="276">
        <f>'RES Educ'!M12</f>
        <v>0</v>
      </c>
      <c r="N10" s="276">
        <f>'RES ECM'!M12</f>
        <v>0</v>
      </c>
      <c r="O10" s="724">
        <f>'RES HVAC Re-com'!M12</f>
        <v>0</v>
      </c>
      <c r="P10" s="724">
        <f>'RES Solar DHW'!M12</f>
        <v>0</v>
      </c>
      <c r="Q10" s="724">
        <f>'RES PV'!M12</f>
        <v>0</v>
      </c>
      <c r="R10" s="277">
        <f t="shared" si="2"/>
        <v>44.874946711007809</v>
      </c>
      <c r="S10" s="275">
        <f>+'RES Prime Time'!N12</f>
        <v>92</v>
      </c>
      <c r="T10" s="276">
        <f>+'RES EP (RSVP)'!M12</f>
        <v>0</v>
      </c>
      <c r="U10" s="277">
        <f t="shared" si="3"/>
        <v>92</v>
      </c>
      <c r="V10" s="277">
        <f t="shared" si="4"/>
        <v>136.87494671100779</v>
      </c>
      <c r="W10" s="162"/>
      <c r="X10">
        <v>1999</v>
      </c>
      <c r="Y10" s="275">
        <f>+'RES Audit Alt'!Q12</f>
        <v>16.786632305223229</v>
      </c>
      <c r="Z10" s="276">
        <f>+'RES Audit RCS'!Q12</f>
        <v>1.36</v>
      </c>
      <c r="AA10" s="276">
        <f>+'RES Assist.'!Q12</f>
        <v>1.8863900775746325</v>
      </c>
      <c r="AB10" s="276">
        <f>+'RES DR'!Q12</f>
        <v>14.157761984085058</v>
      </c>
      <c r="AC10" s="276">
        <f>+'RES EnergyStar'!Q12</f>
        <v>0</v>
      </c>
      <c r="AD10" s="276">
        <f>+'RES WEA'!Q12</f>
        <v>0</v>
      </c>
      <c r="AE10" s="276">
        <f>+'RES HC'!Q12</f>
        <v>314.01048707366647</v>
      </c>
      <c r="AF10" s="724">
        <f>+'RES WF'!Q12</f>
        <v>16.869469092933063</v>
      </c>
      <c r="AG10" s="276">
        <f>'RES CI'!Q12</f>
        <v>0</v>
      </c>
      <c r="AH10" s="276">
        <f>'RES WI'!Q12</f>
        <v>0</v>
      </c>
      <c r="AI10" s="276">
        <f>'RES WR'!Q12</f>
        <v>0</v>
      </c>
      <c r="AJ10" s="276">
        <f>'RES Educ'!Q12</f>
        <v>0</v>
      </c>
      <c r="AK10" s="276">
        <f>'RES ECM'!Q12</f>
        <v>0</v>
      </c>
      <c r="AL10" s="724">
        <f>'RES HVAC Re-com'!Q12</f>
        <v>0</v>
      </c>
      <c r="AM10" s="724">
        <f>'RES Solar DHW'!Q12</f>
        <v>0</v>
      </c>
      <c r="AN10" s="724">
        <f>'RES PV'!Q12</f>
        <v>0</v>
      </c>
      <c r="AO10" s="277">
        <f t="shared" si="5"/>
        <v>365.07074053348242</v>
      </c>
      <c r="AP10" s="275">
        <f>+'RES Prime Time'!T12</f>
        <v>250.1</v>
      </c>
      <c r="AQ10" s="276">
        <f>+'RES EP (RSVP)'!Q12</f>
        <v>0</v>
      </c>
      <c r="AR10" s="277">
        <f t="shared" si="6"/>
        <v>250.1</v>
      </c>
      <c r="AS10" s="277">
        <f t="shared" si="7"/>
        <v>615.17074053348244</v>
      </c>
      <c r="AU10">
        <v>1999</v>
      </c>
      <c r="AV10" s="275">
        <f>+'RES Audit Alt'!U12</f>
        <v>46.683560764662978</v>
      </c>
      <c r="AW10" s="276">
        <f>+'RES Audit RCS'!U12</f>
        <v>3.27</v>
      </c>
      <c r="AX10" s="276">
        <f>+'RES Assist.'!U12</f>
        <v>8.6944999999999997</v>
      </c>
      <c r="AY10" s="276">
        <f>+'RES DR'!U12</f>
        <v>19.817339513304507</v>
      </c>
      <c r="AZ10" s="276">
        <f>+'RES EnergyStar'!U12</f>
        <v>0</v>
      </c>
      <c r="BA10" s="276">
        <f>+'RES WEA'!U12</f>
        <v>0</v>
      </c>
      <c r="BB10" s="276">
        <f>+'RES HC'!U12</f>
        <v>197.51645085145753</v>
      </c>
      <c r="BC10" s="724">
        <f>+'RES WF'!U12</f>
        <v>23.664145819693314</v>
      </c>
      <c r="BD10" s="276">
        <f>'RES CI'!U12</f>
        <v>0</v>
      </c>
      <c r="BE10" s="276">
        <f>'RES WI'!U12</f>
        <v>0</v>
      </c>
      <c r="BF10" s="276">
        <f>'RES WR'!U12</f>
        <v>0</v>
      </c>
      <c r="BG10" s="276">
        <f>'RES Educ'!U12</f>
        <v>0</v>
      </c>
      <c r="BH10" s="276">
        <f>'RES ECM'!U12</f>
        <v>0</v>
      </c>
      <c r="BI10" s="724">
        <f>'RES HVAC Re-com'!U12</f>
        <v>0</v>
      </c>
      <c r="BJ10" s="724">
        <f>'RES Solar DHW'!U12</f>
        <v>0</v>
      </c>
      <c r="BK10" s="724">
        <f>'RES PV'!U12</f>
        <v>0</v>
      </c>
      <c r="BL10" s="277">
        <f t="shared" si="8"/>
        <v>299.64599694911834</v>
      </c>
      <c r="BM10" s="275">
        <f>+'RES Prime Time'!Z12</f>
        <v>0</v>
      </c>
      <c r="BN10" s="276">
        <f>+'RES EP (RSVP)'!U12</f>
        <v>0</v>
      </c>
      <c r="BO10" s="277">
        <f t="shared" si="9"/>
        <v>0</v>
      </c>
      <c r="BP10" s="277">
        <f t="shared" si="10"/>
        <v>299.64599694911834</v>
      </c>
    </row>
    <row r="11" spans="1:68" x14ac:dyDescent="0.2">
      <c r="A11">
        <v>2000</v>
      </c>
      <c r="B11" s="275">
        <f>+'RES Audit Alt'!M13</f>
        <v>11.365998290049607</v>
      </c>
      <c r="C11" s="276">
        <f>+'RES Audit RCS'!M13</f>
        <v>0.97</v>
      </c>
      <c r="D11" s="276">
        <f>+'RES Assist.'!M13</f>
        <v>2.6899949999999997</v>
      </c>
      <c r="E11" s="276">
        <f>+'RES DR'!M13</f>
        <v>7.0312741949636512</v>
      </c>
      <c r="F11" s="276">
        <f>+'RES EnergyStar'!M13</f>
        <v>0</v>
      </c>
      <c r="G11" s="276">
        <f>+'RES WEA'!M13</f>
        <v>0</v>
      </c>
      <c r="H11" s="276">
        <f>+'RES HC'!M13</f>
        <v>17.914863881560311</v>
      </c>
      <c r="I11" s="724">
        <f>+'RES WF'!M13</f>
        <v>8.471626493390449</v>
      </c>
      <c r="J11" s="982">
        <f>'RES CI'!M13</f>
        <v>0</v>
      </c>
      <c r="K11" s="982">
        <f>'RES WI'!M13</f>
        <v>0</v>
      </c>
      <c r="L11" s="982">
        <f>'RES WR'!M13</f>
        <v>0</v>
      </c>
      <c r="M11" s="276">
        <f>'RES Educ'!M13</f>
        <v>0</v>
      </c>
      <c r="N11" s="276">
        <f>'RES ECM'!M13</f>
        <v>0</v>
      </c>
      <c r="O11" s="724">
        <f>'RES HVAC Re-com'!M13</f>
        <v>0</v>
      </c>
      <c r="P11" s="724">
        <f>'RES Solar DHW'!M13</f>
        <v>0</v>
      </c>
      <c r="Q11" s="724">
        <f>'RES PV'!M13</f>
        <v>0</v>
      </c>
      <c r="R11" s="277">
        <f t="shared" si="2"/>
        <v>48.443757859964023</v>
      </c>
      <c r="S11" s="275">
        <f>+'RES Prime Time'!N13</f>
        <v>73.5</v>
      </c>
      <c r="T11" s="276">
        <f>+'RES EP (RSVP)'!M13</f>
        <v>0</v>
      </c>
      <c r="U11" s="277">
        <f t="shared" si="3"/>
        <v>73.5</v>
      </c>
      <c r="V11" s="277">
        <f t="shared" si="4"/>
        <v>121.94375785996402</v>
      </c>
      <c r="W11" s="162"/>
      <c r="X11">
        <v>2000</v>
      </c>
      <c r="Y11" s="275">
        <f>+'RES Audit Alt'!Q13</f>
        <v>17.236542305223228</v>
      </c>
      <c r="Z11" s="276">
        <f>+'RES Audit RCS'!Q13</f>
        <v>1.36</v>
      </c>
      <c r="AA11" s="276">
        <f>+'RES Assist.'!Q13</f>
        <v>2.8434174146076816</v>
      </c>
      <c r="AB11" s="276">
        <f>+'RES DR'!Q13</f>
        <v>14.991066282167928</v>
      </c>
      <c r="AC11" s="276">
        <f>+'RES EnergyStar'!Q13</f>
        <v>0</v>
      </c>
      <c r="AD11" s="276">
        <f>+'RES WEA'!Q13</f>
        <v>0</v>
      </c>
      <c r="AE11" s="276">
        <f>+'RES HC'!Q13</f>
        <v>316.37360547767116</v>
      </c>
      <c r="AF11" s="724">
        <f>+'RES WF'!Q13</f>
        <v>24.495879654948567</v>
      </c>
      <c r="AG11" s="276">
        <f>'RES CI'!Q13</f>
        <v>0</v>
      </c>
      <c r="AH11" s="276">
        <f>'RES WI'!Q13</f>
        <v>0</v>
      </c>
      <c r="AI11" s="276">
        <f>'RES WR'!Q13</f>
        <v>0</v>
      </c>
      <c r="AJ11" s="276">
        <f>'RES Educ'!Q13</f>
        <v>0</v>
      </c>
      <c r="AK11" s="276">
        <f>'RES ECM'!Q13</f>
        <v>0</v>
      </c>
      <c r="AL11" s="724">
        <f>'RES HVAC Re-com'!Q13</f>
        <v>0</v>
      </c>
      <c r="AM11" s="724">
        <f>'RES Solar DHW'!Q13</f>
        <v>0</v>
      </c>
      <c r="AN11" s="724">
        <f>'RES PV'!Q13</f>
        <v>0</v>
      </c>
      <c r="AO11" s="277">
        <f t="shared" si="5"/>
        <v>377.30051113461855</v>
      </c>
      <c r="AP11" s="275">
        <f>+'RES Prime Time'!T13</f>
        <v>196.5</v>
      </c>
      <c r="AQ11" s="276">
        <f>+'RES EP (RSVP)'!Q13</f>
        <v>0</v>
      </c>
      <c r="AR11" s="277">
        <f t="shared" si="6"/>
        <v>196.5</v>
      </c>
      <c r="AS11" s="277">
        <f t="shared" si="7"/>
        <v>573.80051113461855</v>
      </c>
      <c r="AU11">
        <v>2000</v>
      </c>
      <c r="AV11" s="275">
        <f>+'RES Audit Alt'!U13</f>
        <v>48.518224264662976</v>
      </c>
      <c r="AW11" s="276">
        <f>+'RES Audit RCS'!U13</f>
        <v>3.27</v>
      </c>
      <c r="AX11" s="276">
        <f>+'RES Assist.'!U13</f>
        <v>11.962875</v>
      </c>
      <c r="AY11" s="276">
        <f>+'RES DR'!U13</f>
        <v>21.666049513304507</v>
      </c>
      <c r="AZ11" s="276">
        <f>+'RES EnergyStar'!U13</f>
        <v>0</v>
      </c>
      <c r="BA11" s="276">
        <f>+'RES WEA'!U13</f>
        <v>0</v>
      </c>
      <c r="BB11" s="276">
        <f>+'RES HC'!U13</f>
        <v>199.06584835145753</v>
      </c>
      <c r="BC11" s="724">
        <f>+'RES WF'!U13</f>
        <v>29.197477819693312</v>
      </c>
      <c r="BD11" s="276">
        <f>'RES CI'!U13</f>
        <v>0</v>
      </c>
      <c r="BE11" s="276">
        <f>'RES WI'!U13</f>
        <v>0</v>
      </c>
      <c r="BF11" s="276">
        <f>'RES WR'!U13</f>
        <v>0</v>
      </c>
      <c r="BG11" s="276">
        <f>'RES Educ'!U13</f>
        <v>0</v>
      </c>
      <c r="BH11" s="276">
        <f>'RES ECM'!U13</f>
        <v>0</v>
      </c>
      <c r="BI11" s="724">
        <f>'RES HVAC Re-com'!U13</f>
        <v>0</v>
      </c>
      <c r="BJ11" s="724">
        <f>'RES Solar DHW'!U13</f>
        <v>0</v>
      </c>
      <c r="BK11" s="724">
        <f>'RES PV'!U13</f>
        <v>0</v>
      </c>
      <c r="BL11" s="277">
        <f t="shared" si="8"/>
        <v>313.68047494911832</v>
      </c>
      <c r="BM11" s="275">
        <f>+'RES Prime Time'!Z13</f>
        <v>0</v>
      </c>
      <c r="BN11" s="276">
        <f>+'RES EP (RSVP)'!U13</f>
        <v>0</v>
      </c>
      <c r="BO11" s="277">
        <f t="shared" si="9"/>
        <v>0</v>
      </c>
      <c r="BP11" s="277">
        <f t="shared" si="10"/>
        <v>313.68047494911832</v>
      </c>
    </row>
    <row r="12" spans="1:68" x14ac:dyDescent="0.2">
      <c r="A12">
        <v>2001</v>
      </c>
      <c r="B12" s="275">
        <f>+'RES Audit Alt'!M14</f>
        <v>11.628238290049607</v>
      </c>
      <c r="C12" s="276">
        <f>+'RES Audit RCS'!M14</f>
        <v>0.97</v>
      </c>
      <c r="D12" s="276">
        <f>+'RES Assist.'!M14</f>
        <v>3.4331099999999997</v>
      </c>
      <c r="E12" s="276">
        <f>+'RES DR'!M14</f>
        <v>7.8935615657903604</v>
      </c>
      <c r="F12" s="276">
        <f>+'RES EnergyStar'!M14</f>
        <v>1.6850000000000001E-3</v>
      </c>
      <c r="G12" s="276">
        <f>+'RES WEA'!M14</f>
        <v>0</v>
      </c>
      <c r="H12" s="276">
        <f>+'RES HC'!M14</f>
        <v>18.66433214394085</v>
      </c>
      <c r="I12" s="724">
        <f>+'RES WF'!M14</f>
        <v>9.2496464933904488</v>
      </c>
      <c r="J12" s="982">
        <f>'RES CI'!M14</f>
        <v>0</v>
      </c>
      <c r="K12" s="982">
        <f>'RES WI'!M14</f>
        <v>0</v>
      </c>
      <c r="L12" s="982">
        <f>'RES WR'!M14</f>
        <v>0</v>
      </c>
      <c r="M12" s="276">
        <f>'RES Educ'!M14</f>
        <v>0</v>
      </c>
      <c r="N12" s="276">
        <f>'RES ECM'!M14</f>
        <v>0</v>
      </c>
      <c r="O12" s="724">
        <f>'RES HVAC Re-com'!M14</f>
        <v>0</v>
      </c>
      <c r="P12" s="724">
        <f>'RES Solar DHW'!M14</f>
        <v>0</v>
      </c>
      <c r="Q12" s="724">
        <f>'RES PV'!M14</f>
        <v>0</v>
      </c>
      <c r="R12" s="277">
        <f t="shared" si="2"/>
        <v>51.84057349317127</v>
      </c>
      <c r="S12" s="275">
        <f>+'RES Prime Time'!N14</f>
        <v>84.6</v>
      </c>
      <c r="T12" s="276">
        <f>+'RES EP (RSVP)'!M14</f>
        <v>0</v>
      </c>
      <c r="U12" s="277">
        <f t="shared" si="3"/>
        <v>84.6</v>
      </c>
      <c r="V12" s="277">
        <f t="shared" si="4"/>
        <v>136.44057349317126</v>
      </c>
      <c r="W12" s="162"/>
      <c r="X12">
        <v>2001</v>
      </c>
      <c r="Y12" s="275">
        <f>+'RES Audit Alt'!Q14</f>
        <v>17.778342305223227</v>
      </c>
      <c r="Z12" s="276">
        <f>+'RES Audit RCS'!Q14</f>
        <v>1.36</v>
      </c>
      <c r="AA12" s="276">
        <f>+'RES Assist.'!Q14</f>
        <v>3.6643850395889159</v>
      </c>
      <c r="AB12" s="276">
        <f>+'RES DR'!Q14</f>
        <v>15.58679838868621</v>
      </c>
      <c r="AC12" s="276">
        <f>+'RES EnergyStar'!Q14</f>
        <v>0</v>
      </c>
      <c r="AD12" s="276">
        <f>+'RES WEA'!Q14</f>
        <v>0</v>
      </c>
      <c r="AE12" s="276">
        <f>+'RES HC'!Q14</f>
        <v>318.11398417445656</v>
      </c>
      <c r="AF12" s="724">
        <f>+'RES WF'!Q14</f>
        <v>27.728103654948566</v>
      </c>
      <c r="AG12" s="276">
        <f>'RES CI'!Q14</f>
        <v>0</v>
      </c>
      <c r="AH12" s="276">
        <f>'RES WI'!Q14</f>
        <v>0</v>
      </c>
      <c r="AI12" s="276">
        <f>'RES WR'!Q14</f>
        <v>0</v>
      </c>
      <c r="AJ12" s="276">
        <f>'RES Educ'!Q14</f>
        <v>0</v>
      </c>
      <c r="AK12" s="276">
        <f>'RES ECM'!Q14</f>
        <v>0</v>
      </c>
      <c r="AL12" s="724">
        <f>'RES HVAC Re-com'!Q14</f>
        <v>0</v>
      </c>
      <c r="AM12" s="724">
        <f>'RES Solar DHW'!Q14</f>
        <v>0</v>
      </c>
      <c r="AN12" s="724">
        <f>'RES PV'!Q14</f>
        <v>0</v>
      </c>
      <c r="AO12" s="277">
        <f t="shared" si="5"/>
        <v>384.23161356290348</v>
      </c>
      <c r="AP12" s="275">
        <f>+'RES Prime Time'!T14</f>
        <v>184.3</v>
      </c>
      <c r="AQ12" s="276">
        <f>+'RES EP (RSVP)'!Q14</f>
        <v>0</v>
      </c>
      <c r="AR12" s="277">
        <f t="shared" si="6"/>
        <v>184.3</v>
      </c>
      <c r="AS12" s="277">
        <f t="shared" si="7"/>
        <v>568.53161356290343</v>
      </c>
      <c r="AU12">
        <v>2001</v>
      </c>
      <c r="AV12" s="275">
        <f>+'RES Audit Alt'!U14</f>
        <v>50.701372264662979</v>
      </c>
      <c r="AW12" s="276">
        <f>+'RES Audit RCS'!U14</f>
        <v>3.27</v>
      </c>
      <c r="AX12" s="276">
        <f>+'RES Assist.'!U14</f>
        <v>15.13725</v>
      </c>
      <c r="AY12" s="276">
        <f>+'RES DR'!U14</f>
        <v>23.560538028606572</v>
      </c>
      <c r="AZ12" s="276">
        <f>+'RES EnergyStar'!U14</f>
        <v>3.4510000000000001E-3</v>
      </c>
      <c r="BA12" s="276">
        <f>+'RES WEA'!U14</f>
        <v>0</v>
      </c>
      <c r="BB12" s="276">
        <f>+'RES HC'!U14</f>
        <v>201.13581790402051</v>
      </c>
      <c r="BC12" s="724">
        <f>+'RES WF'!U14</f>
        <v>32.64669981969331</v>
      </c>
      <c r="BD12" s="276">
        <f>'RES CI'!U14</f>
        <v>0</v>
      </c>
      <c r="BE12" s="276">
        <f>'RES WI'!U14</f>
        <v>0</v>
      </c>
      <c r="BF12" s="276">
        <f>'RES WR'!U14</f>
        <v>0</v>
      </c>
      <c r="BG12" s="276">
        <f>'RES Educ'!U14</f>
        <v>0</v>
      </c>
      <c r="BH12" s="276">
        <f>'RES ECM'!U14</f>
        <v>0</v>
      </c>
      <c r="BI12" s="724">
        <f>'RES HVAC Re-com'!U14</f>
        <v>0</v>
      </c>
      <c r="BJ12" s="724">
        <f>'RES Solar DHW'!U14</f>
        <v>0</v>
      </c>
      <c r="BK12" s="724">
        <f>'RES PV'!U14</f>
        <v>0</v>
      </c>
      <c r="BL12" s="277">
        <f t="shared" si="8"/>
        <v>326.45512901698339</v>
      </c>
      <c r="BM12" s="275">
        <f>+'RES Prime Time'!Z14</f>
        <v>0</v>
      </c>
      <c r="BN12" s="276">
        <f>+'RES EP (RSVP)'!U14</f>
        <v>0</v>
      </c>
      <c r="BO12" s="277">
        <f t="shared" si="9"/>
        <v>0</v>
      </c>
      <c r="BP12" s="277">
        <f t="shared" si="10"/>
        <v>326.45512901698339</v>
      </c>
    </row>
    <row r="13" spans="1:68" x14ac:dyDescent="0.2">
      <c r="A13">
        <v>2002</v>
      </c>
      <c r="B13" s="275">
        <f>+'RES Audit Alt'!M15</f>
        <v>11.943058290049606</v>
      </c>
      <c r="C13" s="276">
        <f>+'RES Audit RCS'!M15</f>
        <v>0.97</v>
      </c>
      <c r="D13" s="276">
        <f>+'RES Assist.'!M15</f>
        <v>4.2108749999999997</v>
      </c>
      <c r="E13" s="276">
        <f>+'RES DR'!M15</f>
        <v>9.275518795551708</v>
      </c>
      <c r="F13" s="276">
        <f>+'RES EnergyStar'!M15</f>
        <v>8.1783333333333343E-3</v>
      </c>
      <c r="G13" s="276">
        <f>+'RES WEA'!M15</f>
        <v>0</v>
      </c>
      <c r="H13" s="276">
        <f>+'RES HC'!M15</f>
        <v>19.671050636439407</v>
      </c>
      <c r="I13" s="724">
        <f>+'RES WF'!M15</f>
        <v>9.9380264933904492</v>
      </c>
      <c r="J13" s="982">
        <f>'RES CI'!M15</f>
        <v>0</v>
      </c>
      <c r="K13" s="982">
        <f>'RES WI'!M15</f>
        <v>0</v>
      </c>
      <c r="L13" s="982">
        <f>'RES WR'!M15</f>
        <v>0</v>
      </c>
      <c r="M13" s="276">
        <f>'RES Educ'!M15</f>
        <v>0</v>
      </c>
      <c r="N13" s="276">
        <f>'RES ECM'!M15</f>
        <v>0</v>
      </c>
      <c r="O13" s="724">
        <f>'RES HVAC Re-com'!M15</f>
        <v>0</v>
      </c>
      <c r="P13" s="724">
        <f>'RES Solar DHW'!M15</f>
        <v>0</v>
      </c>
      <c r="Q13" s="724">
        <f>'RES PV'!M15</f>
        <v>0</v>
      </c>
      <c r="R13" s="277">
        <f t="shared" si="2"/>
        <v>56.016707548764501</v>
      </c>
      <c r="S13" s="275">
        <f>+'RES Prime Time'!N15</f>
        <v>92.9</v>
      </c>
      <c r="T13" s="276">
        <f>+'RES EP (RSVP)'!M15</f>
        <v>0</v>
      </c>
      <c r="U13" s="277">
        <f t="shared" si="3"/>
        <v>92.9</v>
      </c>
      <c r="V13" s="277">
        <f t="shared" si="4"/>
        <v>148.91670754876452</v>
      </c>
      <c r="W13" s="162"/>
      <c r="X13">
        <v>2002</v>
      </c>
      <c r="Y13" s="275">
        <f>+'RES Audit Alt'!Q15</f>
        <v>18.416622305223228</v>
      </c>
      <c r="Z13" s="276">
        <f>+'RES Audit RCS'!Q15</f>
        <v>1.36</v>
      </c>
      <c r="AA13" s="276">
        <f>+'RES Assist.'!Q15</f>
        <v>4.5702810395889157</v>
      </c>
      <c r="AB13" s="276">
        <f>+'RES DR'!Q15</f>
        <v>16.493176498185509</v>
      </c>
      <c r="AC13" s="276">
        <f>+'RES EnergyStar'!Q15</f>
        <v>2.6566666666666666E-3</v>
      </c>
      <c r="AD13" s="276">
        <f>+'RES WEA'!Q15</f>
        <v>0</v>
      </c>
      <c r="AE13" s="276">
        <f>+'RES HC'!Q15</f>
        <v>321.19719636718594</v>
      </c>
      <c r="AF13" s="724">
        <f>+'RES WF'!Q15</f>
        <v>31.264659423360655</v>
      </c>
      <c r="AG13" s="276">
        <f>'RES CI'!Q15</f>
        <v>0</v>
      </c>
      <c r="AH13" s="276">
        <f>'RES WI'!Q15</f>
        <v>0</v>
      </c>
      <c r="AI13" s="276">
        <f>'RES WR'!Q15</f>
        <v>0</v>
      </c>
      <c r="AJ13" s="276">
        <f>'RES Educ'!Q15</f>
        <v>0</v>
      </c>
      <c r="AK13" s="276">
        <f>'RES ECM'!Q15</f>
        <v>0</v>
      </c>
      <c r="AL13" s="724">
        <f>'RES HVAC Re-com'!Q15</f>
        <v>0</v>
      </c>
      <c r="AM13" s="724">
        <f>'RES Solar DHW'!Q15</f>
        <v>0</v>
      </c>
      <c r="AN13" s="724">
        <f>'RES PV'!Q15</f>
        <v>0</v>
      </c>
      <c r="AO13" s="277">
        <f t="shared" si="5"/>
        <v>393.30459230021086</v>
      </c>
      <c r="AP13" s="275">
        <f>+'RES Prime Time'!T15</f>
        <v>165.2</v>
      </c>
      <c r="AQ13" s="276">
        <f>+'RES EP (RSVP)'!Q15</f>
        <v>0</v>
      </c>
      <c r="AR13" s="277">
        <f t="shared" si="6"/>
        <v>165.2</v>
      </c>
      <c r="AS13" s="277">
        <f t="shared" si="7"/>
        <v>558.50459230021079</v>
      </c>
      <c r="AU13">
        <v>2002</v>
      </c>
      <c r="AV13" s="275">
        <f>+'RES Audit Alt'!U15</f>
        <v>53.32224876466298</v>
      </c>
      <c r="AW13" s="276">
        <f>+'RES Audit RCS'!U15</f>
        <v>3.27</v>
      </c>
      <c r="AX13" s="276">
        <f>+'RES Assist.'!U15</f>
        <v>18.288125000000001</v>
      </c>
      <c r="AY13" s="276">
        <f>+'RES DR'!U15</f>
        <v>26.597006487895296</v>
      </c>
      <c r="AZ13" s="276">
        <f>+'RES EnergyStar'!U15</f>
        <v>1.6521666666666667E-2</v>
      </c>
      <c r="BA13" s="276">
        <f>+'RES WEA'!U15</f>
        <v>0</v>
      </c>
      <c r="BB13" s="276">
        <f>+'RES HC'!U15</f>
        <v>203.78199903601706</v>
      </c>
      <c r="BC13" s="724">
        <f>+'RES WF'!U15</f>
        <v>35.698517819693308</v>
      </c>
      <c r="BD13" s="276">
        <f>'RES CI'!U15</f>
        <v>0</v>
      </c>
      <c r="BE13" s="276">
        <f>'RES WI'!U15</f>
        <v>0</v>
      </c>
      <c r="BF13" s="276">
        <f>'RES WR'!U15</f>
        <v>0</v>
      </c>
      <c r="BG13" s="276">
        <f>'RES Educ'!U15</f>
        <v>0</v>
      </c>
      <c r="BH13" s="276">
        <f>'RES ECM'!U15</f>
        <v>0</v>
      </c>
      <c r="BI13" s="724">
        <f>'RES HVAC Re-com'!U15</f>
        <v>0</v>
      </c>
      <c r="BJ13" s="724">
        <f>'RES Solar DHW'!U15</f>
        <v>0</v>
      </c>
      <c r="BK13" s="724">
        <f>'RES PV'!U15</f>
        <v>0</v>
      </c>
      <c r="BL13" s="277">
        <f t="shared" si="8"/>
        <v>340.97441877493532</v>
      </c>
      <c r="BM13" s="275">
        <f>+'RES Prime Time'!Z15</f>
        <v>0</v>
      </c>
      <c r="BN13" s="276">
        <f>+'RES EP (RSVP)'!U15</f>
        <v>0</v>
      </c>
      <c r="BO13" s="277">
        <f t="shared" si="9"/>
        <v>0</v>
      </c>
      <c r="BP13" s="277">
        <f t="shared" si="10"/>
        <v>340.97441877493532</v>
      </c>
    </row>
    <row r="14" spans="1:68" x14ac:dyDescent="0.2">
      <c r="A14">
        <v>2003</v>
      </c>
      <c r="B14" s="275">
        <f>+'RES Audit Alt'!M16</f>
        <v>12.309118290049605</v>
      </c>
      <c r="C14" s="276">
        <f>+'RES Audit RCS'!M16</f>
        <v>0.97</v>
      </c>
      <c r="D14" s="276">
        <f>+'RES Assist.'!M16</f>
        <v>4.9540649999999999</v>
      </c>
      <c r="E14" s="276">
        <f>+'RES DR'!M16</f>
        <v>11.333792779791569</v>
      </c>
      <c r="F14" s="276">
        <f>+'RES EnergyStar'!M16</f>
        <v>1.4230333333333334E-2</v>
      </c>
      <c r="G14" s="276">
        <f>+'RES WEA'!M16</f>
        <v>0</v>
      </c>
      <c r="H14" s="276">
        <f>+'RES HC'!M16</f>
        <v>20.715158636439408</v>
      </c>
      <c r="I14" s="724">
        <f>+'RES WF'!M16</f>
        <v>10.408606493390449</v>
      </c>
      <c r="J14" s="982">
        <f>'RES CI'!M16</f>
        <v>0</v>
      </c>
      <c r="K14" s="982">
        <f>'RES WI'!M16</f>
        <v>0</v>
      </c>
      <c r="L14" s="982">
        <f>'RES WR'!M16</f>
        <v>0</v>
      </c>
      <c r="M14" s="276">
        <f>'RES Educ'!M16</f>
        <v>0</v>
      </c>
      <c r="N14" s="276">
        <f>'RES ECM'!M16</f>
        <v>0</v>
      </c>
      <c r="O14" s="724">
        <f>'RES HVAC Re-com'!M16</f>
        <v>0</v>
      </c>
      <c r="P14" s="724">
        <f>'RES Solar DHW'!M16</f>
        <v>0</v>
      </c>
      <c r="Q14" s="724">
        <f>'RES PV'!M16</f>
        <v>0</v>
      </c>
      <c r="R14" s="277">
        <f t="shared" si="2"/>
        <v>60.704971533004368</v>
      </c>
      <c r="S14" s="275">
        <f>+'RES Prime Time'!N16</f>
        <v>59.5</v>
      </c>
      <c r="T14" s="276">
        <f>+'RES EP (RSVP)'!M16</f>
        <v>0</v>
      </c>
      <c r="U14" s="277">
        <f t="shared" si="3"/>
        <v>59.5</v>
      </c>
      <c r="V14" s="277">
        <f t="shared" si="4"/>
        <v>120.20497153300437</v>
      </c>
      <c r="W14" s="162"/>
      <c r="X14">
        <v>2003</v>
      </c>
      <c r="Y14" s="275">
        <f>+'RES Audit Alt'!Q16</f>
        <v>19.195032305223229</v>
      </c>
      <c r="Z14" s="276">
        <f>+'RES Audit RCS'!Q16</f>
        <v>1.36</v>
      </c>
      <c r="AA14" s="276">
        <f>+'RES Assist.'!Q16</f>
        <v>5.3784627507688167</v>
      </c>
      <c r="AB14" s="276">
        <f>+'RES DR'!Q16</f>
        <v>18.126266723055775</v>
      </c>
      <c r="AC14" s="276">
        <f>+'RES EnergyStar'!Q16</f>
        <v>9.0406666666666656E-3</v>
      </c>
      <c r="AD14" s="276">
        <f>+'RES WEA'!Q16</f>
        <v>0</v>
      </c>
      <c r="AE14" s="276">
        <f>+'RES HC'!Q16</f>
        <v>324.06133621085172</v>
      </c>
      <c r="AF14" s="724">
        <f>+'RES WF'!Q16</f>
        <v>33.717015423360657</v>
      </c>
      <c r="AG14" s="276">
        <f>'RES CI'!Q16</f>
        <v>0</v>
      </c>
      <c r="AH14" s="276">
        <f>'RES WI'!Q16</f>
        <v>0</v>
      </c>
      <c r="AI14" s="276">
        <f>'RES WR'!Q16</f>
        <v>0</v>
      </c>
      <c r="AJ14" s="276">
        <f>'RES Educ'!Q16</f>
        <v>0</v>
      </c>
      <c r="AK14" s="276">
        <f>'RES ECM'!Q16</f>
        <v>0</v>
      </c>
      <c r="AL14" s="724">
        <f>'RES HVAC Re-com'!Q16</f>
        <v>0</v>
      </c>
      <c r="AM14" s="724">
        <f>'RES Solar DHW'!Q16</f>
        <v>0</v>
      </c>
      <c r="AN14" s="724">
        <f>'RES PV'!Q16</f>
        <v>0</v>
      </c>
      <c r="AO14" s="277">
        <f t="shared" si="5"/>
        <v>401.84715407992684</v>
      </c>
      <c r="AP14" s="275">
        <f>+'RES Prime Time'!T16</f>
        <v>197.1</v>
      </c>
      <c r="AQ14" s="276">
        <f>+'RES EP (RSVP)'!Q16</f>
        <v>0</v>
      </c>
      <c r="AR14" s="277">
        <f t="shared" si="6"/>
        <v>197.1</v>
      </c>
      <c r="AS14" s="277">
        <f t="shared" si="7"/>
        <v>598.9471540799268</v>
      </c>
      <c r="AU14">
        <v>2003</v>
      </c>
      <c r="AV14" s="275">
        <f>+'RES Audit Alt'!U16</f>
        <v>56.369698264662979</v>
      </c>
      <c r="AW14" s="276">
        <f>+'RES Audit RCS'!U16</f>
        <v>3.27</v>
      </c>
      <c r="AX14" s="276">
        <f>+'RES Assist.'!U16</f>
        <v>21.510125000000002</v>
      </c>
      <c r="AY14" s="276">
        <f>+'RES DR'!U16</f>
        <v>31.118540927833791</v>
      </c>
      <c r="AZ14" s="276">
        <f>+'RES EnergyStar'!U16</f>
        <v>2.9190066666666667E-2</v>
      </c>
      <c r="BA14" s="276">
        <f>+'RES WEA'!U16</f>
        <v>0</v>
      </c>
      <c r="BB14" s="276">
        <f>+'RES HC'!U16</f>
        <v>206.45628147051841</v>
      </c>
      <c r="BC14" s="724">
        <f>+'RES WF'!U16</f>
        <v>37.784755819693309</v>
      </c>
      <c r="BD14" s="276">
        <f>'RES CI'!U16</f>
        <v>0</v>
      </c>
      <c r="BE14" s="276">
        <f>'RES WI'!U16</f>
        <v>0</v>
      </c>
      <c r="BF14" s="276">
        <f>'RES WR'!U16</f>
        <v>0</v>
      </c>
      <c r="BG14" s="276">
        <f>'RES Educ'!U16</f>
        <v>0</v>
      </c>
      <c r="BH14" s="276">
        <f>'RES ECM'!U16</f>
        <v>0</v>
      </c>
      <c r="BI14" s="724">
        <f>'RES HVAC Re-com'!U16</f>
        <v>0</v>
      </c>
      <c r="BJ14" s="724">
        <f>'RES Solar DHW'!U16</f>
        <v>0</v>
      </c>
      <c r="BK14" s="724">
        <f>'RES PV'!U16</f>
        <v>0</v>
      </c>
      <c r="BL14" s="277">
        <f t="shared" si="8"/>
        <v>356.53859154937516</v>
      </c>
      <c r="BM14" s="275">
        <f>+'RES Prime Time'!Z16</f>
        <v>0</v>
      </c>
      <c r="BN14" s="276">
        <f>+'RES EP (RSVP)'!U16</f>
        <v>0</v>
      </c>
      <c r="BO14" s="277">
        <f t="shared" si="9"/>
        <v>0</v>
      </c>
      <c r="BP14" s="277">
        <f t="shared" si="10"/>
        <v>356.53859154937516</v>
      </c>
    </row>
    <row r="15" spans="1:68" x14ac:dyDescent="0.2">
      <c r="A15">
        <v>2004</v>
      </c>
      <c r="B15" s="275">
        <f>+'RES Audit Alt'!M17</f>
        <v>12.669498290049605</v>
      </c>
      <c r="C15" s="276">
        <f>+'RES Audit RCS'!M17</f>
        <v>0.97</v>
      </c>
      <c r="D15" s="276">
        <f>+'RES Assist.'!M17</f>
        <v>5.7684600000000001</v>
      </c>
      <c r="E15" s="276">
        <f>+'RES DR'!M17</f>
        <v>13.25034277979157</v>
      </c>
      <c r="F15" s="276">
        <f>+'RES EnergyStar'!M17</f>
        <v>1.6680333333333335E-2</v>
      </c>
      <c r="G15" s="276">
        <f>+'RES WEA'!M17</f>
        <v>0</v>
      </c>
      <c r="H15" s="276">
        <f>+'RES HC'!M17</f>
        <v>21.757853636439407</v>
      </c>
      <c r="I15" s="724">
        <f>+'RES WF'!M17</f>
        <v>10.838086493390449</v>
      </c>
      <c r="J15" s="982">
        <f>'RES CI'!M17</f>
        <v>0</v>
      </c>
      <c r="K15" s="982">
        <f>'RES WI'!M17</f>
        <v>0</v>
      </c>
      <c r="L15" s="982">
        <f>'RES WR'!M17</f>
        <v>0</v>
      </c>
      <c r="M15" s="276">
        <f>'RES Educ'!M17</f>
        <v>0</v>
      </c>
      <c r="N15" s="276">
        <f>'RES ECM'!M17</f>
        <v>0</v>
      </c>
      <c r="O15" s="724">
        <f>'RES HVAC Re-com'!M17</f>
        <v>0</v>
      </c>
      <c r="P15" s="724">
        <f>'RES Solar DHW'!M17</f>
        <v>0</v>
      </c>
      <c r="Q15" s="724">
        <f>'RES PV'!M17</f>
        <v>0</v>
      </c>
      <c r="R15" s="277">
        <f t="shared" si="2"/>
        <v>65.270921533004355</v>
      </c>
      <c r="S15" s="275">
        <f>+'RES Prime Time'!N17</f>
        <v>88.9</v>
      </c>
      <c r="T15" s="276">
        <f>+'RES EP (RSVP)'!M17</f>
        <v>0</v>
      </c>
      <c r="U15" s="277">
        <f t="shared" si="3"/>
        <v>88.9</v>
      </c>
      <c r="V15" s="277">
        <f t="shared" si="4"/>
        <v>154.17092153300436</v>
      </c>
      <c r="W15" s="162"/>
      <c r="X15">
        <v>2004</v>
      </c>
      <c r="Y15" s="275">
        <f>+'RES Audit Alt'!Q17</f>
        <v>20.063892305223231</v>
      </c>
      <c r="Z15" s="276">
        <f>+'RES Audit RCS'!Q17</f>
        <v>1.36</v>
      </c>
      <c r="AA15" s="276">
        <f>+'RES Assist.'!Q17</f>
        <v>6.3230507507688172</v>
      </c>
      <c r="AB15" s="276">
        <f>+'RES DR'!Q17</f>
        <v>20.155436723055775</v>
      </c>
      <c r="AC15" s="276">
        <f>+'RES EnergyStar'!Q17</f>
        <v>1.2340666666666666E-2</v>
      </c>
      <c r="AD15" s="276">
        <f>+'RES WEA'!Q17</f>
        <v>0</v>
      </c>
      <c r="AE15" s="276">
        <f>+'RES HC'!Q17</f>
        <v>326.95513621085172</v>
      </c>
      <c r="AF15" s="724">
        <f>+'RES WF'!Q17</f>
        <v>35.358708558172516</v>
      </c>
      <c r="AG15" s="276">
        <f>'RES CI'!Q17</f>
        <v>0</v>
      </c>
      <c r="AH15" s="276">
        <f>'RES WI'!Q17</f>
        <v>0</v>
      </c>
      <c r="AI15" s="276">
        <f>'RES WR'!Q17</f>
        <v>0</v>
      </c>
      <c r="AJ15" s="276">
        <f>'RES Educ'!Q17</f>
        <v>0</v>
      </c>
      <c r="AK15" s="276">
        <f>'RES ECM'!Q17</f>
        <v>0</v>
      </c>
      <c r="AL15" s="724">
        <f>'RES HVAC Re-com'!Q17</f>
        <v>0</v>
      </c>
      <c r="AM15" s="724">
        <f>'RES Solar DHW'!Q17</f>
        <v>0</v>
      </c>
      <c r="AN15" s="724">
        <f>'RES PV'!Q17</f>
        <v>0</v>
      </c>
      <c r="AO15" s="277">
        <f t="shared" si="5"/>
        <v>410.22856521473869</v>
      </c>
      <c r="AP15" s="275">
        <f>+'RES Prime Time'!T17</f>
        <v>127.8</v>
      </c>
      <c r="AQ15" s="276">
        <f>+'RES EP (RSVP)'!Q17</f>
        <v>0</v>
      </c>
      <c r="AR15" s="277">
        <f t="shared" si="6"/>
        <v>127.8</v>
      </c>
      <c r="AS15" s="277">
        <f t="shared" si="7"/>
        <v>538.02856521473871</v>
      </c>
      <c r="AU15">
        <v>2004</v>
      </c>
      <c r="AV15" s="275">
        <f>+'RES Audit Alt'!U17</f>
        <v>59.369861764662978</v>
      </c>
      <c r="AW15" s="276">
        <f>+'RES Audit RCS'!U17</f>
        <v>3.27</v>
      </c>
      <c r="AX15" s="276">
        <f>+'RES Assist.'!U17</f>
        <v>24.824000000000002</v>
      </c>
      <c r="AY15" s="276">
        <f>+'RES DR'!U17</f>
        <v>35.326432927833793</v>
      </c>
      <c r="AZ15" s="276">
        <f>+'RES EnergyStar'!U17</f>
        <v>3.3785566666666669E-2</v>
      </c>
      <c r="BA15" s="276">
        <f>+'RES WEA'!U17</f>
        <v>0</v>
      </c>
      <c r="BB15" s="276">
        <f>+'RES HC'!U17</f>
        <v>209.09178297051841</v>
      </c>
      <c r="BC15" s="724">
        <f>+'RES WF'!U17</f>
        <v>39.688783819693306</v>
      </c>
      <c r="BD15" s="276">
        <f>'RES CI'!U17</f>
        <v>0</v>
      </c>
      <c r="BE15" s="276">
        <f>'RES WI'!U17</f>
        <v>0</v>
      </c>
      <c r="BF15" s="276">
        <f>'RES WR'!U17</f>
        <v>0</v>
      </c>
      <c r="BG15" s="276">
        <f>'RES Educ'!U17</f>
        <v>0</v>
      </c>
      <c r="BH15" s="276">
        <f>'RES ECM'!U17</f>
        <v>0</v>
      </c>
      <c r="BI15" s="724">
        <f>'RES HVAC Re-com'!U17</f>
        <v>0</v>
      </c>
      <c r="BJ15" s="724">
        <f>'RES Solar DHW'!U17</f>
        <v>0</v>
      </c>
      <c r="BK15" s="724">
        <f>'RES PV'!U17</f>
        <v>0</v>
      </c>
      <c r="BL15" s="277">
        <f t="shared" si="8"/>
        <v>371.60464704937516</v>
      </c>
      <c r="BM15" s="275">
        <f>+'RES Prime Time'!Z17</f>
        <v>0</v>
      </c>
      <c r="BN15" s="276">
        <f>+'RES EP (RSVP)'!U17</f>
        <v>0</v>
      </c>
      <c r="BO15" s="277">
        <f t="shared" si="9"/>
        <v>0</v>
      </c>
      <c r="BP15" s="277">
        <f t="shared" si="10"/>
        <v>371.60464704937516</v>
      </c>
    </row>
    <row r="16" spans="1:68" x14ac:dyDescent="0.2">
      <c r="A16">
        <v>2005</v>
      </c>
      <c r="B16" s="275">
        <f>+'RES Audit Alt'!M18</f>
        <v>12.905208290049604</v>
      </c>
      <c r="C16" s="276">
        <f>+'RES Audit RCS'!M18</f>
        <v>0.97</v>
      </c>
      <c r="D16" s="276">
        <f>+'RES Assist.'!M18</f>
        <v>6.1671200000000006</v>
      </c>
      <c r="E16" s="276">
        <f>+'RES DR'!M18</f>
        <v>14.698750522824621</v>
      </c>
      <c r="F16" s="276">
        <f>+'RES EnergyStar'!M18</f>
        <v>2.0655333333333335E-2</v>
      </c>
      <c r="G16" s="276">
        <f>+'RES WEA'!M18</f>
        <v>0</v>
      </c>
      <c r="H16" s="276">
        <f>+'RES HC'!M18</f>
        <v>22.702582980728916</v>
      </c>
      <c r="I16" s="724">
        <f>+'RES WF'!M18</f>
        <v>11.353876493390448</v>
      </c>
      <c r="J16" s="982">
        <f>'RES CI'!M18</f>
        <v>0</v>
      </c>
      <c r="K16" s="982">
        <f>'RES WI'!M18</f>
        <v>0</v>
      </c>
      <c r="L16" s="982">
        <f>'RES WR'!M18</f>
        <v>0</v>
      </c>
      <c r="M16" s="276">
        <f>'RES Educ'!M18</f>
        <v>0</v>
      </c>
      <c r="N16" s="276">
        <f>'RES ECM'!M18</f>
        <v>0</v>
      </c>
      <c r="O16" s="724">
        <f>'RES HVAC Re-com'!M18</f>
        <v>0</v>
      </c>
      <c r="P16" s="724">
        <f>'RES Solar DHW'!M18</f>
        <v>0</v>
      </c>
      <c r="Q16" s="724">
        <f>'RES PV'!M18</f>
        <v>0</v>
      </c>
      <c r="R16" s="277">
        <f t="shared" si="2"/>
        <v>68.818193620326909</v>
      </c>
      <c r="S16" s="275">
        <f>+'RES Prime Time'!N18</f>
        <v>72.232645403377106</v>
      </c>
      <c r="T16" s="276">
        <f>+'RES EP (RSVP)'!M18</f>
        <v>0</v>
      </c>
      <c r="U16" s="277">
        <f t="shared" si="3"/>
        <v>72.232645403377106</v>
      </c>
      <c r="V16" s="277">
        <f t="shared" si="4"/>
        <v>141.05083902370401</v>
      </c>
      <c r="W16" s="162"/>
      <c r="X16">
        <v>2005</v>
      </c>
      <c r="Y16" s="275">
        <f>+'RES Audit Alt'!Q18</f>
        <v>20.398492305223229</v>
      </c>
      <c r="Z16" s="276">
        <f>+'RES Audit RCS'!Q18</f>
        <v>1.36</v>
      </c>
      <c r="AA16" s="276">
        <f>+'RES Assist.'!Q18</f>
        <v>6.7016507507688168</v>
      </c>
      <c r="AB16" s="276">
        <f>+'RES DR'!Q18</f>
        <v>21.470318690003282</v>
      </c>
      <c r="AC16" s="276">
        <f>+'RES EnergyStar'!Q18</f>
        <v>1.3668166666666667E-2</v>
      </c>
      <c r="AD16" s="276">
        <f>+'RES WEA'!Q18</f>
        <v>0</v>
      </c>
      <c r="AE16" s="276">
        <f>+'RES HC'!Q18</f>
        <v>329.52696188150247</v>
      </c>
      <c r="AF16" s="724">
        <f>+'RES WF'!Q18</f>
        <v>36.345911229883811</v>
      </c>
      <c r="AG16" s="276">
        <f>'RES CI'!Q18</f>
        <v>0</v>
      </c>
      <c r="AH16" s="276">
        <f>'RES WI'!Q18</f>
        <v>0</v>
      </c>
      <c r="AI16" s="276">
        <f>'RES WR'!Q18</f>
        <v>0</v>
      </c>
      <c r="AJ16" s="276">
        <f>'RES Educ'!Q18</f>
        <v>0</v>
      </c>
      <c r="AK16" s="276">
        <f>'RES ECM'!Q18</f>
        <v>0</v>
      </c>
      <c r="AL16" s="724">
        <f>'RES HVAC Re-com'!Q18</f>
        <v>0</v>
      </c>
      <c r="AM16" s="724">
        <f>'RES Solar DHW'!Q18</f>
        <v>0</v>
      </c>
      <c r="AN16" s="724">
        <f>'RES PV'!Q18</f>
        <v>0</v>
      </c>
      <c r="AO16" s="277">
        <f t="shared" si="5"/>
        <v>415.81700302404829</v>
      </c>
      <c r="AP16" s="275">
        <f>+'RES Prime Time'!T18</f>
        <v>177.4</v>
      </c>
      <c r="AQ16" s="276">
        <f>+'RES EP (RSVP)'!Q18</f>
        <v>0</v>
      </c>
      <c r="AR16" s="277">
        <f t="shared" si="6"/>
        <v>177.4</v>
      </c>
      <c r="AS16" s="277">
        <f t="shared" si="7"/>
        <v>593.21700302404827</v>
      </c>
      <c r="AU16">
        <v>2005</v>
      </c>
      <c r="AV16" s="275">
        <f>+'RES Audit Alt'!U18</f>
        <v>60.446270764662977</v>
      </c>
      <c r="AW16" s="276">
        <f>+'RES Audit RCS'!U18</f>
        <v>3.27</v>
      </c>
      <c r="AX16" s="276">
        <f>+'RES Assist.'!U18</f>
        <v>25.577239000000002</v>
      </c>
      <c r="AY16" s="276">
        <f>+'RES DR'!U18</f>
        <v>38.507830526829252</v>
      </c>
      <c r="AZ16" s="276">
        <f>+'RES EnergyStar'!U18</f>
        <v>4.1725566666666672E-2</v>
      </c>
      <c r="BA16" s="276">
        <f>+'RES WEA'!U18</f>
        <v>0</v>
      </c>
      <c r="BB16" s="276">
        <f>+'RES HC'!U18</f>
        <v>211.42800187988095</v>
      </c>
      <c r="BC16" s="724">
        <f>+'RES WF'!U18</f>
        <v>41.711826819693307</v>
      </c>
      <c r="BD16" s="276">
        <f>'RES CI'!U18</f>
        <v>0</v>
      </c>
      <c r="BE16" s="276">
        <f>'RES WI'!U18</f>
        <v>0</v>
      </c>
      <c r="BF16" s="276">
        <f>'RES WR'!U18</f>
        <v>0</v>
      </c>
      <c r="BG16" s="276">
        <f>'RES Educ'!U18</f>
        <v>0</v>
      </c>
      <c r="BH16" s="276">
        <f>'RES ECM'!U18</f>
        <v>0</v>
      </c>
      <c r="BI16" s="724">
        <f>'RES HVAC Re-com'!U18</f>
        <v>0</v>
      </c>
      <c r="BJ16" s="724">
        <f>'RES Solar DHW'!U18</f>
        <v>0</v>
      </c>
      <c r="BK16" s="724">
        <f>'RES PV'!U18</f>
        <v>0</v>
      </c>
      <c r="BL16" s="277">
        <f t="shared" si="8"/>
        <v>380.98289455773318</v>
      </c>
      <c r="BM16" s="275">
        <f>+'RES Prime Time'!Z18</f>
        <v>0</v>
      </c>
      <c r="BN16" s="276">
        <f>+'RES EP (RSVP)'!U18</f>
        <v>0</v>
      </c>
      <c r="BO16" s="277">
        <f t="shared" si="9"/>
        <v>0</v>
      </c>
      <c r="BP16" s="277">
        <f t="shared" si="10"/>
        <v>380.98289455773318</v>
      </c>
    </row>
    <row r="17" spans="1:69" x14ac:dyDescent="0.2">
      <c r="A17">
        <v>2006</v>
      </c>
      <c r="B17" s="275">
        <f>+'RES Audit Alt'!M19</f>
        <v>13.115733290049604</v>
      </c>
      <c r="C17" s="276">
        <f>+'RES Audit RCS'!M19</f>
        <v>0.97</v>
      </c>
      <c r="D17" s="276">
        <f>+'RES Assist.'!M19</f>
        <v>6.2442100000000007</v>
      </c>
      <c r="E17" s="276">
        <f>+'RES DR'!M19</f>
        <v>16.377618169883444</v>
      </c>
      <c r="F17" s="276">
        <f>+'RES EnergyStar'!M19</f>
        <v>2.5140333333333334E-2</v>
      </c>
      <c r="G17" s="276">
        <f>+'RES WEA'!M19</f>
        <v>0</v>
      </c>
      <c r="H17" s="276">
        <f>+'RES HC'!M19</f>
        <v>23.389057511795738</v>
      </c>
      <c r="I17" s="724">
        <f>+'RES WF'!M19</f>
        <v>11.666356493390449</v>
      </c>
      <c r="J17" s="982">
        <f>'RES CI'!M19</f>
        <v>0</v>
      </c>
      <c r="K17" s="982">
        <f>'RES WI'!M19</f>
        <v>0</v>
      </c>
      <c r="L17" s="982">
        <f>'RES WR'!M19</f>
        <v>0</v>
      </c>
      <c r="M17" s="276">
        <f>'RES Educ'!M19</f>
        <v>0</v>
      </c>
      <c r="N17" s="276">
        <f>'RES ECM'!M19</f>
        <v>0</v>
      </c>
      <c r="O17" s="724">
        <f>'RES HVAC Re-com'!M19</f>
        <v>0</v>
      </c>
      <c r="P17" s="724">
        <f>'RES Solar DHW'!M19</f>
        <v>0</v>
      </c>
      <c r="Q17" s="724">
        <f>'RES PV'!M19</f>
        <v>0</v>
      </c>
      <c r="R17" s="277">
        <f t="shared" si="2"/>
        <v>71.788115798452566</v>
      </c>
      <c r="S17" s="275">
        <f>+'RES Prime Time'!N19</f>
        <v>71.900000000000006</v>
      </c>
      <c r="T17" s="276">
        <f>+'RES EP (RSVP)'!M19</f>
        <v>0</v>
      </c>
      <c r="U17" s="277">
        <f t="shared" si="3"/>
        <v>71.900000000000006</v>
      </c>
      <c r="V17" s="277">
        <f t="shared" si="4"/>
        <v>143.68811579845257</v>
      </c>
      <c r="W17" s="162"/>
      <c r="X17">
        <v>2006</v>
      </c>
      <c r="Y17" s="275">
        <f>+'RES Audit Alt'!Q19</f>
        <v>20.692452305223227</v>
      </c>
      <c r="Z17" s="276">
        <f>+'RES Audit RCS'!Q19</f>
        <v>1.36</v>
      </c>
      <c r="AA17" s="276">
        <f>+'RES Assist.'!Q19</f>
        <v>6.7618307507688167</v>
      </c>
      <c r="AB17" s="276">
        <f>+'RES DR'!Q19</f>
        <v>22.43028345621746</v>
      </c>
      <c r="AC17" s="276">
        <f>+'RES EnergyStar'!Q19</f>
        <v>1.8988166666666667E-2</v>
      </c>
      <c r="AD17" s="276">
        <f>+'RES WEA'!Q19</f>
        <v>0</v>
      </c>
      <c r="AE17" s="276">
        <f>+'RES HC'!Q19</f>
        <v>331.55125186977915</v>
      </c>
      <c r="AF17" s="724">
        <f>+'RES WF'!Q19</f>
        <v>36.768535311981871</v>
      </c>
      <c r="AG17" s="276">
        <f>'RES CI'!Q19</f>
        <v>0</v>
      </c>
      <c r="AH17" s="276">
        <f>'RES WI'!Q19</f>
        <v>0</v>
      </c>
      <c r="AI17" s="276">
        <f>'RES WR'!Q19</f>
        <v>0</v>
      </c>
      <c r="AJ17" s="276">
        <f>'RES Educ'!Q19</f>
        <v>0</v>
      </c>
      <c r="AK17" s="276">
        <f>'RES ECM'!Q19</f>
        <v>0</v>
      </c>
      <c r="AL17" s="724">
        <f>'RES HVAC Re-com'!Q19</f>
        <v>0</v>
      </c>
      <c r="AM17" s="724">
        <f>'RES Solar DHW'!Q19</f>
        <v>0</v>
      </c>
      <c r="AN17" s="724">
        <f>'RES PV'!Q19</f>
        <v>0</v>
      </c>
      <c r="AO17" s="277">
        <f t="shared" si="5"/>
        <v>419.58334186063718</v>
      </c>
      <c r="AP17" s="275">
        <f>+'RES Prime Time'!T19</f>
        <v>121</v>
      </c>
      <c r="AQ17" s="276">
        <f>+'RES EP (RSVP)'!Q19</f>
        <v>0</v>
      </c>
      <c r="AR17" s="277">
        <f t="shared" si="6"/>
        <v>121</v>
      </c>
      <c r="AS17" s="277">
        <f t="shared" si="7"/>
        <v>540.58334186063712</v>
      </c>
      <c r="AU17">
        <v>2006</v>
      </c>
      <c r="AV17" s="275">
        <f>+'RES Audit Alt'!U19</f>
        <v>61.407668264662973</v>
      </c>
      <c r="AW17" s="276">
        <f>+'RES Audit RCS'!U19</f>
        <v>3.27</v>
      </c>
      <c r="AX17" s="276">
        <f>+'RES Assist.'!U19</f>
        <v>25.767634500000003</v>
      </c>
      <c r="AY17" s="276">
        <f>+'RES DR'!U19</f>
        <v>42.198918410388828</v>
      </c>
      <c r="AZ17" s="276">
        <f>+'RES EnergyStar'!U19</f>
        <v>5.0428566666666674E-2</v>
      </c>
      <c r="BA17" s="276">
        <f>+'RES WEA'!U19</f>
        <v>0</v>
      </c>
      <c r="BB17" s="276">
        <f>+'RES HC'!U19</f>
        <v>213.07928805221388</v>
      </c>
      <c r="BC17" s="724">
        <f>+'RES WF'!U19</f>
        <v>42.93744281969331</v>
      </c>
      <c r="BD17" s="276">
        <f>'RES CI'!U19</f>
        <v>0</v>
      </c>
      <c r="BE17" s="276">
        <f>'RES WI'!U19</f>
        <v>0</v>
      </c>
      <c r="BF17" s="276">
        <f>'RES WR'!U19</f>
        <v>0</v>
      </c>
      <c r="BG17" s="276">
        <f>'RES Educ'!U19</f>
        <v>0</v>
      </c>
      <c r="BH17" s="276">
        <f>'RES ECM'!U19</f>
        <v>0</v>
      </c>
      <c r="BI17" s="724">
        <f>'RES HVAC Re-com'!U19</f>
        <v>0</v>
      </c>
      <c r="BJ17" s="724">
        <f>'RES Solar DHW'!U19</f>
        <v>0</v>
      </c>
      <c r="BK17" s="724">
        <f>'RES PV'!U19</f>
        <v>0</v>
      </c>
      <c r="BL17" s="277">
        <f t="shared" si="8"/>
        <v>388.71138061362564</v>
      </c>
      <c r="BM17" s="275">
        <f>+'RES Prime Time'!Z19</f>
        <v>0</v>
      </c>
      <c r="BN17" s="276">
        <f>+'RES EP (RSVP)'!U19</f>
        <v>0</v>
      </c>
      <c r="BO17" s="277">
        <f t="shared" si="9"/>
        <v>0</v>
      </c>
      <c r="BP17" s="277">
        <f t="shared" si="10"/>
        <v>388.71138061362564</v>
      </c>
    </row>
    <row r="18" spans="1:69" x14ac:dyDescent="0.2">
      <c r="A18">
        <v>2007</v>
      </c>
      <c r="B18" s="275">
        <f>+'RES Audit Alt'!M20</f>
        <v>13.313703290049604</v>
      </c>
      <c r="C18" s="276">
        <f>+'RES Audit RCS'!M20</f>
        <v>0.97</v>
      </c>
      <c r="D18" s="276">
        <f>+'RES Assist.'!M20</f>
        <v>6.3109700000000011</v>
      </c>
      <c r="E18" s="276">
        <f>+'RES DR'!M20</f>
        <v>18.823578169883444</v>
      </c>
      <c r="F18" s="276">
        <f>+'RES EnergyStar'!M20</f>
        <v>2.7800333333333333E-2</v>
      </c>
      <c r="G18" s="276">
        <f>+'RES WEA'!M20</f>
        <v>0</v>
      </c>
      <c r="H18" s="276">
        <f>+'RES HC'!M20</f>
        <v>23.608807511795739</v>
      </c>
      <c r="I18" s="724">
        <f>+'RES WF'!M20</f>
        <v>11.933476493390449</v>
      </c>
      <c r="J18" s="982">
        <f>'RES CI'!M20</f>
        <v>0</v>
      </c>
      <c r="K18" s="982">
        <f>'RES WI'!M20</f>
        <v>0</v>
      </c>
      <c r="L18" s="982">
        <f>'RES WR'!M20</f>
        <v>0</v>
      </c>
      <c r="M18" s="276">
        <f>'RES Educ'!M20</f>
        <v>0</v>
      </c>
      <c r="N18" s="276">
        <f>'RES ECM'!M20</f>
        <v>0</v>
      </c>
      <c r="O18" s="724">
        <f>'RES HVAC Re-com'!M20</f>
        <v>0</v>
      </c>
      <c r="P18" s="724">
        <f>'RES Solar DHW'!M20</f>
        <v>0</v>
      </c>
      <c r="Q18" s="724">
        <f>'RES PV'!M20</f>
        <v>0</v>
      </c>
      <c r="R18" s="277">
        <f t="shared" si="2"/>
        <v>74.988335798452567</v>
      </c>
      <c r="S18" s="275">
        <f>+'RES Prime Time'!N20</f>
        <v>64.900000000000006</v>
      </c>
      <c r="T18" s="276">
        <f>+'RES EP (RSVP)'!M20</f>
        <v>0.20399999999999999</v>
      </c>
      <c r="U18" s="277">
        <f t="shared" si="3"/>
        <v>65.103999999999999</v>
      </c>
      <c r="V18" s="277">
        <f t="shared" si="4"/>
        <v>140.09233579845255</v>
      </c>
      <c r="W18" s="162"/>
      <c r="X18">
        <v>2007</v>
      </c>
      <c r="Y18" s="275">
        <f>+'RES Audit Alt'!Q20</f>
        <v>20.959892305223228</v>
      </c>
      <c r="Z18" s="276">
        <f>+'RES Audit RCS'!Q20</f>
        <v>1.36</v>
      </c>
      <c r="AA18" s="276">
        <f>+'RES Assist.'!Q20</f>
        <v>6.8125607507688164</v>
      </c>
      <c r="AB18" s="276">
        <f>+'RES DR'!Q20</f>
        <v>24.485583456217459</v>
      </c>
      <c r="AC18" s="276">
        <f>+'RES EnergyStar'!Q20</f>
        <v>2.1628166666666667E-2</v>
      </c>
      <c r="AD18" s="276">
        <f>+'RES WEA'!Q20</f>
        <v>0</v>
      </c>
      <c r="AE18" s="276">
        <f>+'RES HC'!Q20</f>
        <v>332.62603186977913</v>
      </c>
      <c r="AF18" s="724">
        <f>+'RES WF'!Q20</f>
        <v>37.470135311981871</v>
      </c>
      <c r="AG18" s="276">
        <f>'RES CI'!Q20</f>
        <v>0</v>
      </c>
      <c r="AH18" s="276">
        <f>'RES WI'!Q20</f>
        <v>0</v>
      </c>
      <c r="AI18" s="276">
        <f>'RES WR'!Q20</f>
        <v>0</v>
      </c>
      <c r="AJ18" s="276">
        <f>'RES Educ'!Q20</f>
        <v>0</v>
      </c>
      <c r="AK18" s="276">
        <f>'RES ECM'!Q20</f>
        <v>0</v>
      </c>
      <c r="AL18" s="724">
        <f>'RES HVAC Re-com'!Q20</f>
        <v>0</v>
      </c>
      <c r="AM18" s="724">
        <f>'RES Solar DHW'!Q20</f>
        <v>0</v>
      </c>
      <c r="AN18" s="724">
        <f>'RES PV'!Q20</f>
        <v>0</v>
      </c>
      <c r="AO18" s="277">
        <f t="shared" si="5"/>
        <v>423.73583186063718</v>
      </c>
      <c r="AP18" s="275">
        <f>+'RES Prime Time'!T20</f>
        <v>90.2</v>
      </c>
      <c r="AQ18" s="276">
        <f>+'RES EP (RSVP)'!Q20</f>
        <v>0</v>
      </c>
      <c r="AR18" s="277">
        <f t="shared" si="6"/>
        <v>90.2</v>
      </c>
      <c r="AS18" s="277">
        <f t="shared" si="7"/>
        <v>513.93583186063722</v>
      </c>
      <c r="AU18">
        <v>2007</v>
      </c>
      <c r="AV18" s="275">
        <f>+'RES Audit Alt'!U20</f>
        <v>62.311731264662974</v>
      </c>
      <c r="AW18" s="276">
        <f>+'RES Audit RCS'!U20</f>
        <v>3.27</v>
      </c>
      <c r="AX18" s="276">
        <f>+'RES Assist.'!U20</f>
        <v>25.937275500000002</v>
      </c>
      <c r="AY18" s="276">
        <f>+'RES DR'!U20</f>
        <v>47.651970410388827</v>
      </c>
      <c r="AZ18" s="276">
        <f>+'RES EnergyStar'!U20</f>
        <v>5.5664566666666672E-2</v>
      </c>
      <c r="BA18" s="276">
        <f>+'RES WEA'!U20</f>
        <v>0</v>
      </c>
      <c r="BB18" s="276">
        <f>+'RES HC'!U20</f>
        <v>214.03739805221389</v>
      </c>
      <c r="BC18" s="724">
        <f>+'RES WF'!U20</f>
        <v>43.453874819693311</v>
      </c>
      <c r="BD18" s="276">
        <f>'RES CI'!U20</f>
        <v>0</v>
      </c>
      <c r="BE18" s="276">
        <f>'RES WI'!U20</f>
        <v>0</v>
      </c>
      <c r="BF18" s="276">
        <f>'RES WR'!U20</f>
        <v>0</v>
      </c>
      <c r="BG18" s="276">
        <f>'RES Educ'!U20</f>
        <v>0</v>
      </c>
      <c r="BH18" s="276">
        <f>'RES ECM'!U20</f>
        <v>0</v>
      </c>
      <c r="BI18" s="724">
        <f>'RES HVAC Re-com'!U20</f>
        <v>0</v>
      </c>
      <c r="BJ18" s="724">
        <f>'RES Solar DHW'!U20</f>
        <v>0</v>
      </c>
      <c r="BK18" s="724">
        <f>'RES PV'!U20</f>
        <v>0</v>
      </c>
      <c r="BL18" s="277">
        <f t="shared" si="8"/>
        <v>396.71791461362568</v>
      </c>
      <c r="BM18" s="275">
        <f>+'RES Prime Time'!Z20</f>
        <v>0</v>
      </c>
      <c r="BN18" s="276">
        <f>+'RES EP (RSVP)'!U20</f>
        <v>9.1035000000000005E-2</v>
      </c>
      <c r="BO18" s="277">
        <f t="shared" si="9"/>
        <v>9.1035000000000005E-2</v>
      </c>
      <c r="BP18" s="277">
        <f t="shared" si="10"/>
        <v>396.80894961362566</v>
      </c>
    </row>
    <row r="19" spans="1:69" x14ac:dyDescent="0.2">
      <c r="A19">
        <v>2008</v>
      </c>
      <c r="B19" s="275">
        <f>+'RES Audit Alt'!M21</f>
        <v>13.498488290049604</v>
      </c>
      <c r="C19" s="276">
        <f>+'RES Audit RCS'!M21</f>
        <v>0.97</v>
      </c>
      <c r="D19" s="276">
        <f>+'RES Assist.'!M21</f>
        <v>6.3784335332252846</v>
      </c>
      <c r="E19" s="276">
        <f>+'RES DR'!M21</f>
        <v>21.766028169883445</v>
      </c>
      <c r="F19" s="276">
        <f>+'RES EnergyStar'!M21</f>
        <v>2.9550333333333335E-2</v>
      </c>
      <c r="G19" s="276">
        <f>+'RES WEA'!M21</f>
        <v>4.4099999999999999E-3</v>
      </c>
      <c r="H19" s="276">
        <f>+'RES HC'!M21</f>
        <v>23.844457511795738</v>
      </c>
      <c r="I19" s="724">
        <f>+'RES WF'!M21</f>
        <v>12.310976493390449</v>
      </c>
      <c r="J19" s="982">
        <f>'RES CI'!M21</f>
        <v>0</v>
      </c>
      <c r="K19" s="982">
        <f>'RES WI'!M21</f>
        <v>0</v>
      </c>
      <c r="L19" s="982">
        <f>'RES WR'!M21</f>
        <v>0</v>
      </c>
      <c r="M19" s="276">
        <f>'RES Educ'!M21</f>
        <v>0</v>
      </c>
      <c r="N19" s="276">
        <f>'RES ECM'!M21</f>
        <v>0</v>
      </c>
      <c r="O19" s="724">
        <f>'RES HVAC Re-com'!M21</f>
        <v>0</v>
      </c>
      <c r="P19" s="724">
        <f>'RES Solar DHW'!M21</f>
        <v>0</v>
      </c>
      <c r="Q19" s="724">
        <f>'RES PV'!M21</f>
        <v>0</v>
      </c>
      <c r="R19" s="277">
        <f t="shared" si="2"/>
        <v>78.802344331677858</v>
      </c>
      <c r="S19" s="275">
        <f>+'RES Prime Time'!N21</f>
        <v>64.321870657570756</v>
      </c>
      <c r="T19" s="276">
        <f>+'RES EP (RSVP)'!M21</f>
        <v>0.39239999999999997</v>
      </c>
      <c r="U19" s="277">
        <f t="shared" si="3"/>
        <v>64.714270657570751</v>
      </c>
      <c r="V19" s="277">
        <f t="shared" si="4"/>
        <v>143.51661498924861</v>
      </c>
      <c r="W19" s="162"/>
      <c r="X19">
        <v>2008</v>
      </c>
      <c r="Y19" s="275">
        <f>+'RES Audit Alt'!Q21</f>
        <v>21.220372305223229</v>
      </c>
      <c r="Z19" s="276">
        <f>+'RES Audit RCS'!Q21</f>
        <v>1.36</v>
      </c>
      <c r="AA19" s="276">
        <f>+'RES Assist.'!Q21</f>
        <v>6.8612742839941001</v>
      </c>
      <c r="AB19" s="276">
        <f>+'RES DR'!Q21</f>
        <v>26.968143456217458</v>
      </c>
      <c r="AC19" s="276">
        <f>+'RES EnergyStar'!Q21</f>
        <v>2.3608166666666666E-2</v>
      </c>
      <c r="AD19" s="276">
        <f>+'RES WEA'!Q21</f>
        <v>0</v>
      </c>
      <c r="AE19" s="276">
        <f>+'RES HC'!Q21</f>
        <v>333.36043186977912</v>
      </c>
      <c r="AF19" s="724">
        <f>+'RES WF'!Q21</f>
        <v>37.882895311981869</v>
      </c>
      <c r="AG19" s="276">
        <f>'RES CI'!Q21</f>
        <v>0</v>
      </c>
      <c r="AH19" s="276">
        <f>'RES WI'!Q21</f>
        <v>0</v>
      </c>
      <c r="AI19" s="276">
        <f>'RES WR'!Q21</f>
        <v>0</v>
      </c>
      <c r="AJ19" s="276">
        <f>'RES Educ'!Q21</f>
        <v>0</v>
      </c>
      <c r="AK19" s="276">
        <f>'RES ECM'!Q21</f>
        <v>0</v>
      </c>
      <c r="AL19" s="724">
        <f>'RES HVAC Re-com'!Q21</f>
        <v>0</v>
      </c>
      <c r="AM19" s="724">
        <f>'RES Solar DHW'!Q21</f>
        <v>0</v>
      </c>
      <c r="AN19" s="724">
        <f>'RES PV'!Q21</f>
        <v>0</v>
      </c>
      <c r="AO19" s="277">
        <f t="shared" si="5"/>
        <v>427.67672539386245</v>
      </c>
      <c r="AP19" s="275">
        <f>+'RES Prime Time'!T21</f>
        <v>121</v>
      </c>
      <c r="AQ19" s="276">
        <f>+'RES EP (RSVP)'!Q21</f>
        <v>0.52700000000000002</v>
      </c>
      <c r="AR19" s="277">
        <f t="shared" si="6"/>
        <v>121.527</v>
      </c>
      <c r="AS19" s="277">
        <f t="shared" si="7"/>
        <v>549.20372539386244</v>
      </c>
      <c r="AU19">
        <v>2008</v>
      </c>
      <c r="AV19" s="275">
        <f>+'RES Audit Alt'!U21</f>
        <v>63.155582764662974</v>
      </c>
      <c r="AW19" s="276">
        <f>+'RES Audit RCS'!U21</f>
        <v>3.27</v>
      </c>
      <c r="AX19" s="276">
        <f>+'RES Assist.'!U21</f>
        <v>26.117462898703405</v>
      </c>
      <c r="AY19" s="276">
        <f>+'RES DR'!U21</f>
        <v>54.150581410388824</v>
      </c>
      <c r="AZ19" s="276">
        <f>+'RES EnergyStar'!U21</f>
        <v>5.8947066666666673E-2</v>
      </c>
      <c r="BA19" s="276">
        <f>+'RES WEA'!U21</f>
        <v>2.5767000000000002E-2</v>
      </c>
      <c r="BB19" s="276">
        <f>+'RES HC'!U21</f>
        <v>215.04598005221388</v>
      </c>
      <c r="BC19" s="724">
        <f>+'RES WF'!U21</f>
        <v>44.282864819693309</v>
      </c>
      <c r="BD19" s="276">
        <f>'RES CI'!U21</f>
        <v>0</v>
      </c>
      <c r="BE19" s="276">
        <f>'RES WI'!U21</f>
        <v>0</v>
      </c>
      <c r="BF19" s="276">
        <f>'RES WR'!U21</f>
        <v>0</v>
      </c>
      <c r="BG19" s="276">
        <f>'RES Educ'!U21</f>
        <v>0</v>
      </c>
      <c r="BH19" s="276">
        <f>'RES ECM'!U21</f>
        <v>0</v>
      </c>
      <c r="BI19" s="724">
        <f>'RES HVAC Re-com'!U21</f>
        <v>0</v>
      </c>
      <c r="BJ19" s="724">
        <f>'RES Solar DHW'!U21</f>
        <v>0</v>
      </c>
      <c r="BK19" s="724">
        <f>'RES PV'!U21</f>
        <v>0</v>
      </c>
      <c r="BL19" s="277">
        <f t="shared" si="8"/>
        <v>406.10718601232907</v>
      </c>
      <c r="BM19" s="275">
        <f>+'RES Prime Time'!Z21</f>
        <v>0</v>
      </c>
      <c r="BN19" s="276">
        <f>+'RES EP (RSVP)'!U21</f>
        <v>0.1751085</v>
      </c>
      <c r="BO19" s="277">
        <f t="shared" si="9"/>
        <v>0.1751085</v>
      </c>
      <c r="BP19" s="277">
        <f t="shared" si="10"/>
        <v>406.28229451232909</v>
      </c>
      <c r="BQ19" s="162"/>
    </row>
    <row r="20" spans="1:69" x14ac:dyDescent="0.2">
      <c r="A20">
        <v>2009</v>
      </c>
      <c r="B20" s="275">
        <f>+'RES Audit Alt'!M22</f>
        <v>13.715808290049605</v>
      </c>
      <c r="C20" s="276">
        <f>+'RES Audit RCS'!M22</f>
        <v>0.97</v>
      </c>
      <c r="D20" s="276">
        <f>+'RES Assist.'!M22</f>
        <v>6.4530135332252847</v>
      </c>
      <c r="E20" s="276">
        <f>+'RES DR'!M22</f>
        <v>25.060928169883443</v>
      </c>
      <c r="F20" s="276">
        <f>+'RES EnergyStar'!M22</f>
        <v>0.10854533333333334</v>
      </c>
      <c r="G20" s="276">
        <f>+'RES WEA'!M22</f>
        <v>3.4819173913043476E-2</v>
      </c>
      <c r="H20" s="276">
        <f>+'RES HC'!M22</f>
        <v>24.252982511795739</v>
      </c>
      <c r="I20" s="724">
        <f>+'RES WF'!M22</f>
        <v>13.005093998736136</v>
      </c>
      <c r="J20" s="982">
        <f>'RES CI'!M22</f>
        <v>0</v>
      </c>
      <c r="K20" s="982">
        <f>'RES WI'!M22</f>
        <v>0</v>
      </c>
      <c r="L20" s="982">
        <f>'RES WR'!M22</f>
        <v>0</v>
      </c>
      <c r="M20" s="276">
        <f>'RES Educ'!M22</f>
        <v>0</v>
      </c>
      <c r="N20" s="276">
        <f>'RES ECM'!M22</f>
        <v>0</v>
      </c>
      <c r="O20" s="724">
        <f>'RES HVAC Re-com'!M22</f>
        <v>0</v>
      </c>
      <c r="P20" s="724">
        <f>'RES Solar DHW'!M22</f>
        <v>0</v>
      </c>
      <c r="Q20" s="724">
        <f>'RES PV'!M22</f>
        <v>0</v>
      </c>
      <c r="R20" s="277">
        <f t="shared" si="2"/>
        <v>83.601191010936589</v>
      </c>
      <c r="S20" s="327">
        <f>+'RES Prime Time'!N22</f>
        <v>52.314452889738298</v>
      </c>
      <c r="T20" s="299">
        <f>+'RES EP (RSVP)'!M22</f>
        <v>0.92059199999999997</v>
      </c>
      <c r="U20" s="282">
        <f t="shared" si="3"/>
        <v>53.235044889738298</v>
      </c>
      <c r="V20" s="277">
        <f t="shared" si="4"/>
        <v>136.83623590067489</v>
      </c>
      <c r="W20" s="162"/>
      <c r="X20">
        <v>2009</v>
      </c>
      <c r="Y20" s="275">
        <f>+'RES Audit Alt'!Q22</f>
        <v>21.452652305223229</v>
      </c>
      <c r="Z20" s="276">
        <f>+'RES Audit RCS'!Q22</f>
        <v>1.36</v>
      </c>
      <c r="AA20" s="276">
        <f>+'RES Assist.'!Q22</f>
        <v>6.9168042839941002</v>
      </c>
      <c r="AB20" s="276">
        <f>+'RES DR'!Q22</f>
        <v>29.775503456217457</v>
      </c>
      <c r="AC20" s="276">
        <f>+'RES EnergyStar'!Q22</f>
        <v>2.4768166666666667E-2</v>
      </c>
      <c r="AD20" s="276">
        <f>+'RES WEA'!Q22</f>
        <v>2.8891130434782614E-2</v>
      </c>
      <c r="AE20" s="276">
        <f>+'RES HC'!Q22</f>
        <v>334.58795186977915</v>
      </c>
      <c r="AF20" s="724">
        <f>+'RES WF'!Q22</f>
        <v>38.468860572138674</v>
      </c>
      <c r="AG20" s="276">
        <f>'RES CI'!Q22</f>
        <v>0</v>
      </c>
      <c r="AH20" s="276">
        <f>'RES WI'!Q22</f>
        <v>0</v>
      </c>
      <c r="AI20" s="276">
        <f>'RES WR'!Q22</f>
        <v>0</v>
      </c>
      <c r="AJ20" s="276">
        <f>'RES Educ'!Q22</f>
        <v>0</v>
      </c>
      <c r="AK20" s="276">
        <f>'RES ECM'!Q22</f>
        <v>0</v>
      </c>
      <c r="AL20" s="724">
        <f>'RES HVAC Re-com'!Q22</f>
        <v>0</v>
      </c>
      <c r="AM20" s="724">
        <f>'RES Solar DHW'!Q22</f>
        <v>0</v>
      </c>
      <c r="AN20" s="724">
        <f>'RES PV'!Q22</f>
        <v>0</v>
      </c>
      <c r="AO20" s="277">
        <f t="shared" si="5"/>
        <v>432.61543178445407</v>
      </c>
      <c r="AP20" s="327">
        <f>+'RES Prime Time'!T22</f>
        <v>98.584878371601846</v>
      </c>
      <c r="AQ20" s="299">
        <f>+'RES EP (RSVP)'!Q22</f>
        <v>0.49157500000000004</v>
      </c>
      <c r="AR20" s="282">
        <f t="shared" si="6"/>
        <v>99.076453371601843</v>
      </c>
      <c r="AS20" s="277">
        <f t="shared" si="7"/>
        <v>531.69188515605595</v>
      </c>
      <c r="AU20">
        <v>2009</v>
      </c>
      <c r="AV20" s="275">
        <f>+'RES Audit Alt'!U22</f>
        <v>64.14801076466297</v>
      </c>
      <c r="AW20" s="276">
        <f>+'RES Audit RCS'!U22</f>
        <v>3.27</v>
      </c>
      <c r="AX20" s="276">
        <f>+'RES Assist.'!U22</f>
        <v>26.310896898703405</v>
      </c>
      <c r="AY20" s="276">
        <f>+'RES DR'!U22</f>
        <v>61.361705410388822</v>
      </c>
      <c r="AZ20" s="276">
        <f>+'RES EnergyStar'!U22</f>
        <v>0.20797889156939042</v>
      </c>
      <c r="BA20" s="276">
        <f>+'RES WEA'!U22</f>
        <v>9.090147826086957E-2</v>
      </c>
      <c r="BB20" s="276">
        <f>+'RES HC'!U22</f>
        <v>216.83259605221389</v>
      </c>
      <c r="BC20" s="724">
        <f>+'RES WF'!U22</f>
        <v>45.802004366378981</v>
      </c>
      <c r="BD20" s="276">
        <f>'RES CI'!U22</f>
        <v>0</v>
      </c>
      <c r="BE20" s="276">
        <f>'RES WI'!U22</f>
        <v>0</v>
      </c>
      <c r="BF20" s="276">
        <f>'RES WR'!U22</f>
        <v>0</v>
      </c>
      <c r="BG20" s="276">
        <f>'RES Educ'!U22</f>
        <v>0</v>
      </c>
      <c r="BH20" s="276">
        <f>'RES ECM'!U22</f>
        <v>0</v>
      </c>
      <c r="BI20" s="724">
        <f>'RES HVAC Re-com'!U22</f>
        <v>0</v>
      </c>
      <c r="BJ20" s="724">
        <f>'RES Solar DHW'!U22</f>
        <v>0</v>
      </c>
      <c r="BK20" s="724">
        <f>'RES PV'!U22</f>
        <v>0</v>
      </c>
      <c r="BL20" s="277">
        <f t="shared" si="8"/>
        <v>418.02409386217829</v>
      </c>
      <c r="BM20" s="327">
        <f>+'RES Prime Time'!Z22</f>
        <v>0</v>
      </c>
      <c r="BN20" s="299">
        <f>+'RES EP (RSVP)'!U22</f>
        <v>0.44500050000000002</v>
      </c>
      <c r="BO20" s="282">
        <f t="shared" si="9"/>
        <v>0.44500050000000002</v>
      </c>
      <c r="BP20" s="277">
        <f t="shared" si="10"/>
        <v>418.46909436217828</v>
      </c>
      <c r="BQ20" s="162"/>
    </row>
    <row r="21" spans="1:69" x14ac:dyDescent="0.2">
      <c r="A21">
        <v>2010</v>
      </c>
      <c r="B21" s="275">
        <f>+'RES Audit Alt'!M23</f>
        <v>14.000388290049605</v>
      </c>
      <c r="C21" s="276">
        <f>+'RES Audit RCS'!M23</f>
        <v>0.97</v>
      </c>
      <c r="D21" s="276">
        <f>+'RES Assist.'!M23</f>
        <v>6.5297335332252846</v>
      </c>
      <c r="E21" s="276">
        <f>+'RES DR'!M23</f>
        <v>28.250143169883444</v>
      </c>
      <c r="F21" s="276">
        <f>+'RES EnergyStar'!M23</f>
        <v>0.4973953333333333</v>
      </c>
      <c r="G21" s="276">
        <f>+'RES WEA'!M23</f>
        <v>5.1069173913043477E-2</v>
      </c>
      <c r="H21" s="276">
        <f>+'RES HC'!M23</f>
        <v>24.96210751179574</v>
      </c>
      <c r="I21" s="724">
        <f>+'RES WF'!M23</f>
        <v>13.336201998736136</v>
      </c>
      <c r="J21" s="982">
        <f>'RES CI'!M23</f>
        <v>0</v>
      </c>
      <c r="K21" s="982">
        <f>'RES WI'!M23</f>
        <v>0</v>
      </c>
      <c r="L21" s="982">
        <f>'RES WR'!M23</f>
        <v>0</v>
      </c>
      <c r="M21" s="276">
        <f>'RES Educ'!M23</f>
        <v>0</v>
      </c>
      <c r="N21" s="276">
        <f>'RES ECM'!M23</f>
        <v>0</v>
      </c>
      <c r="O21" s="724">
        <f>'RES HVAC Re-com'!M23</f>
        <v>0</v>
      </c>
      <c r="P21" s="724">
        <f>'RES Solar DHW'!M23</f>
        <v>0</v>
      </c>
      <c r="Q21" s="724">
        <f>'RES PV'!M23</f>
        <v>0</v>
      </c>
      <c r="R21" s="277">
        <f t="shared" si="2"/>
        <v>88.597039010936584</v>
      </c>
      <c r="S21" s="327">
        <f>+'RES Prime Time'!N23</f>
        <v>46.607039051878161</v>
      </c>
      <c r="T21" s="299">
        <f>+'RES EP (RSVP)'!M23</f>
        <v>2.1687600000000002</v>
      </c>
      <c r="U21" s="282">
        <f t="shared" si="3"/>
        <v>48.77579905187816</v>
      </c>
      <c r="V21" s="277">
        <f t="shared" si="4"/>
        <v>137.37283806281474</v>
      </c>
      <c r="W21" s="162"/>
      <c r="X21">
        <v>2010</v>
      </c>
      <c r="Y21" s="275">
        <f>+'RES Audit Alt'!Q23</f>
        <v>21.799892305223228</v>
      </c>
      <c r="Z21" s="276">
        <f>+'RES Audit RCS'!Q23</f>
        <v>1.36</v>
      </c>
      <c r="AA21" s="276">
        <f>+'RES Assist.'!Q23</f>
        <v>6.9739542839941002</v>
      </c>
      <c r="AB21" s="276">
        <f>+'RES DR'!Q23</f>
        <v>33.000263456217461</v>
      </c>
      <c r="AC21" s="276">
        <f>+'RES EnergyStar'!Q23</f>
        <v>0.19438816666666667</v>
      </c>
      <c r="AD21" s="276">
        <f>+'RES WEA'!Q23</f>
        <v>6.201113043478261E-2</v>
      </c>
      <c r="AE21" s="276">
        <f>+'RES HC'!Q23</f>
        <v>336.81122186977916</v>
      </c>
      <c r="AF21" s="724">
        <f>+'RES WF'!Q23</f>
        <v>39.257346572138673</v>
      </c>
      <c r="AG21" s="276">
        <f>'RES CI'!Q23</f>
        <v>0</v>
      </c>
      <c r="AH21" s="276">
        <f>'RES WI'!Q23</f>
        <v>0</v>
      </c>
      <c r="AI21" s="276">
        <f>'RES WR'!Q23</f>
        <v>0</v>
      </c>
      <c r="AJ21" s="276">
        <f>'RES Educ'!Q23</f>
        <v>0</v>
      </c>
      <c r="AK21" s="276">
        <f>'RES ECM'!Q23</f>
        <v>0</v>
      </c>
      <c r="AL21" s="724">
        <f>'RES HVAC Re-com'!Q23</f>
        <v>0</v>
      </c>
      <c r="AM21" s="724">
        <f>'RES Solar DHW'!Q23</f>
        <v>0</v>
      </c>
      <c r="AN21" s="724">
        <f>'RES PV'!Q23</f>
        <v>0</v>
      </c>
      <c r="AO21" s="277">
        <f t="shared" si="5"/>
        <v>439.45907778445405</v>
      </c>
      <c r="AP21" s="327">
        <f>+'RES Prime Time'!T23</f>
        <v>102.58269996260363</v>
      </c>
      <c r="AQ21" s="299">
        <f>+'RES EP (RSVP)'!Q23</f>
        <v>1.9004000000000001</v>
      </c>
      <c r="AR21" s="282">
        <f t="shared" si="6"/>
        <v>104.48309996260363</v>
      </c>
      <c r="AS21" s="277">
        <f t="shared" si="7"/>
        <v>543.94217774705771</v>
      </c>
      <c r="AU21">
        <v>2010</v>
      </c>
      <c r="AV21" s="275">
        <f>+'RES Audit Alt'!U23</f>
        <v>65.447592764662971</v>
      </c>
      <c r="AW21" s="276">
        <f>+'RES Audit RCS'!U23</f>
        <v>3.27</v>
      </c>
      <c r="AX21" s="276">
        <f>+'RES Assist.'!U23</f>
        <v>26.509789898703403</v>
      </c>
      <c r="AY21" s="276">
        <f>+'RES DR'!U23</f>
        <v>68.455553910388829</v>
      </c>
      <c r="AZ21" s="276">
        <f>+'RES EnergyStar'!U23</f>
        <v>0.93735039156939037</v>
      </c>
      <c r="BA21" s="276">
        <f>+'RES WEA'!U23</f>
        <v>0.14540147826086958</v>
      </c>
      <c r="BB21" s="276">
        <f>+'RES HC'!U23</f>
        <v>219.9149260522139</v>
      </c>
      <c r="BC21" s="724">
        <f>+'RES WF'!U23</f>
        <v>46.538579366378983</v>
      </c>
      <c r="BD21" s="276">
        <f>'RES CI'!U23</f>
        <v>0</v>
      </c>
      <c r="BE21" s="276">
        <f>'RES WI'!U23</f>
        <v>0</v>
      </c>
      <c r="BF21" s="276">
        <f>'RES WR'!U23</f>
        <v>0</v>
      </c>
      <c r="BG21" s="276">
        <f>'RES Educ'!U23</f>
        <v>0</v>
      </c>
      <c r="BH21" s="276">
        <f>'RES ECM'!U23</f>
        <v>0</v>
      </c>
      <c r="BI21" s="724">
        <f>'RES HVAC Re-com'!U23</f>
        <v>0</v>
      </c>
      <c r="BJ21" s="724">
        <f>'RES Solar DHW'!U23</f>
        <v>0</v>
      </c>
      <c r="BK21" s="724">
        <f>'RES PV'!U23</f>
        <v>0</v>
      </c>
      <c r="BL21" s="277">
        <f t="shared" si="8"/>
        <v>431.21919386217837</v>
      </c>
      <c r="BM21" s="327">
        <f>+'RES Prime Time'!Z23</f>
        <v>0</v>
      </c>
      <c r="BN21" s="299">
        <f>+'RES EP (RSVP)'!U23</f>
        <v>1.082781</v>
      </c>
      <c r="BO21" s="282">
        <f t="shared" si="9"/>
        <v>1.082781</v>
      </c>
      <c r="BP21" s="277">
        <f t="shared" si="10"/>
        <v>432.30197486217838</v>
      </c>
      <c r="BQ21" s="162"/>
    </row>
    <row r="22" spans="1:69" x14ac:dyDescent="0.2">
      <c r="A22">
        <v>2011</v>
      </c>
      <c r="B22" s="275">
        <f>+'RES Audit Alt'!M24</f>
        <v>14.379248290049604</v>
      </c>
      <c r="C22" s="276">
        <f>+'RES Audit RCS'!M24</f>
        <v>0.97</v>
      </c>
      <c r="D22" s="276">
        <f>+'RES Assist.'!M24</f>
        <v>6.6395335332252845</v>
      </c>
      <c r="E22" s="276">
        <f>+'RES DR'!M24</f>
        <v>29.827213169883443</v>
      </c>
      <c r="F22" s="276">
        <f>+'RES EnergyStar'!M24</f>
        <v>1.3810553333333333</v>
      </c>
      <c r="G22" s="276">
        <f>+'RES WEA'!M24</f>
        <v>6.6729173913043477E-2</v>
      </c>
      <c r="H22" s="276">
        <f>+'RES HC'!M24</f>
        <v>26.369752511795738</v>
      </c>
      <c r="I22" s="724">
        <f>+'RES WF'!M24</f>
        <v>13.336201998736136</v>
      </c>
      <c r="J22" s="982">
        <f>'RES CI'!M24</f>
        <v>0</v>
      </c>
      <c r="K22" s="982">
        <f>'RES WI'!M24</f>
        <v>0</v>
      </c>
      <c r="L22" s="982">
        <f>'RES WR'!M24</f>
        <v>0</v>
      </c>
      <c r="M22" s="276">
        <f>'RES Educ'!M24</f>
        <v>2.6000000000000003E-4</v>
      </c>
      <c r="N22" s="276">
        <f>'RES ECM'!M24</f>
        <v>0</v>
      </c>
      <c r="O22" s="724">
        <f>'RES HVAC Re-com'!M24</f>
        <v>0</v>
      </c>
      <c r="P22" s="724">
        <f>'RES Solar DHW'!M24</f>
        <v>6.7499999999999999E-3</v>
      </c>
      <c r="Q22" s="724">
        <f>'RES PV'!M24</f>
        <v>8.6974999999999997E-2</v>
      </c>
      <c r="R22" s="277">
        <f t="shared" si="2"/>
        <v>93.063719010936566</v>
      </c>
      <c r="S22" s="327">
        <f>+'RES Prime Time'!N24</f>
        <v>45.244516677868098</v>
      </c>
      <c r="T22" s="299">
        <f>+'RES EP (RSVP)'!M24</f>
        <v>3.3317600000000001</v>
      </c>
      <c r="U22" s="282">
        <f t="shared" si="3"/>
        <v>48.576276677868101</v>
      </c>
      <c r="V22" s="277">
        <f t="shared" si="4"/>
        <v>141.63999568880467</v>
      </c>
      <c r="W22" s="162"/>
      <c r="X22">
        <v>2011</v>
      </c>
      <c r="Y22" s="275">
        <f>+'RES Audit Alt'!Q24</f>
        <v>22.417352305223229</v>
      </c>
      <c r="Z22" s="276">
        <f>+'RES Audit RCS'!Q24</f>
        <v>1.36</v>
      </c>
      <c r="AA22" s="276">
        <f>+'RES Assist.'!Q24</f>
        <v>7.0522342839941006</v>
      </c>
      <c r="AB22" s="276">
        <f>+'RES DR'!Q24</f>
        <v>35.016353456217459</v>
      </c>
      <c r="AC22" s="276">
        <f>+'RES EnergyStar'!Q24</f>
        <v>0.76656816666666672</v>
      </c>
      <c r="AD22" s="276">
        <f>+'RES WEA'!Q24</f>
        <v>6.8461130434782608E-2</v>
      </c>
      <c r="AE22" s="276">
        <f>+'RES HC'!Q24</f>
        <v>340.07052186977916</v>
      </c>
      <c r="AF22" s="724">
        <f>+'RES WF'!Q24</f>
        <v>39.257346572138673</v>
      </c>
      <c r="AG22" s="276">
        <f>'RES CI'!Q24</f>
        <v>0</v>
      </c>
      <c r="AH22" s="276">
        <f>'RES WI'!Q24</f>
        <v>0</v>
      </c>
      <c r="AI22" s="276">
        <f>'RES WR'!Q24</f>
        <v>0</v>
      </c>
      <c r="AJ22" s="276">
        <f>'RES Educ'!Q24</f>
        <v>0</v>
      </c>
      <c r="AK22" s="276">
        <f>'RES ECM'!Q24</f>
        <v>0</v>
      </c>
      <c r="AL22" s="724">
        <f>'RES HVAC Re-com'!Q24</f>
        <v>0</v>
      </c>
      <c r="AM22" s="724">
        <f>'RES Solar DHW'!Q24</f>
        <v>0</v>
      </c>
      <c r="AN22" s="724">
        <f>'RES PV'!Q24</f>
        <v>0</v>
      </c>
      <c r="AO22" s="277">
        <f t="shared" si="5"/>
        <v>446.00883778445404</v>
      </c>
      <c r="AP22" s="327">
        <f>+'RES Prime Time'!T24</f>
        <v>82.619320410212808</v>
      </c>
      <c r="AQ22" s="299">
        <f>+'RES EP (RSVP)'!Q24</f>
        <v>3.9897999999999998</v>
      </c>
      <c r="AR22" s="282">
        <f t="shared" si="6"/>
        <v>86.60912041021281</v>
      </c>
      <c r="AS22" s="277">
        <f t="shared" si="7"/>
        <v>532.61795819466681</v>
      </c>
      <c r="AU22">
        <v>2011</v>
      </c>
      <c r="AV22" s="275">
        <f>+'RES Audit Alt'!U24</f>
        <v>69.577166764662977</v>
      </c>
      <c r="AW22" s="276">
        <f>+'RES Audit RCS'!U24</f>
        <v>3.27</v>
      </c>
      <c r="AX22" s="276">
        <f>+'RES Assist.'!U24</f>
        <v>27.022392898703401</v>
      </c>
      <c r="AY22" s="276">
        <f>+'RES DR'!U24</f>
        <v>71.656421910388829</v>
      </c>
      <c r="AZ22" s="276">
        <f>+'RES EnergyStar'!U24</f>
        <v>2.7436553915693906</v>
      </c>
      <c r="BA22" s="276">
        <f>+'RES WEA'!U24</f>
        <v>0.23153147826086956</v>
      </c>
      <c r="BB22" s="276">
        <f>+'RES HC'!U24</f>
        <v>224.3933225522139</v>
      </c>
      <c r="BC22" s="724">
        <f>+'RES WF'!U24</f>
        <v>46.538579366378983</v>
      </c>
      <c r="BD22" s="276">
        <f>'RES CI'!U24</f>
        <v>0</v>
      </c>
      <c r="BE22" s="276">
        <f>'RES WI'!U24</f>
        <v>0</v>
      </c>
      <c r="BF22" s="276">
        <f>'RES WR'!U24</f>
        <v>0</v>
      </c>
      <c r="BG22" s="276">
        <f>'RES Educ'!U24</f>
        <v>3.3149999999999998E-3</v>
      </c>
      <c r="BH22" s="276">
        <f>'RES ECM'!U24</f>
        <v>0</v>
      </c>
      <c r="BI22" s="724">
        <f>'RES HVAC Re-com'!U24</f>
        <v>0</v>
      </c>
      <c r="BJ22" s="724">
        <f>'RES Solar DHW'!U24</f>
        <v>5.3460000000000001E-2</v>
      </c>
      <c r="BK22" s="724">
        <f>'RES PV'!U24</f>
        <v>0.24512249999999999</v>
      </c>
      <c r="BL22" s="277">
        <f t="shared" si="8"/>
        <v>445.73496786217834</v>
      </c>
      <c r="BM22" s="327">
        <f>+'RES Prime Time'!Z24</f>
        <v>0</v>
      </c>
      <c r="BN22" s="299">
        <f>+'RES EP (RSVP)'!U24</f>
        <v>1.7538320000000001</v>
      </c>
      <c r="BO22" s="282">
        <f t="shared" si="9"/>
        <v>1.7538320000000001</v>
      </c>
      <c r="BP22" s="277">
        <f t="shared" si="10"/>
        <v>447.48879986217833</v>
      </c>
      <c r="BQ22" s="162"/>
    </row>
    <row r="23" spans="1:69" x14ac:dyDescent="0.2">
      <c r="A23">
        <v>2012</v>
      </c>
      <c r="B23" s="275">
        <f>+'RES Audit Alt'!M25</f>
        <v>14.793248290049604</v>
      </c>
      <c r="C23" s="276">
        <f>+'RES Audit RCS'!M25</f>
        <v>0.97</v>
      </c>
      <c r="D23" s="276">
        <f>+'RES Assist.'!M25</f>
        <v>6.7477735332252848</v>
      </c>
      <c r="E23" s="276">
        <f>+'RES DR'!M25</f>
        <v>30.346173169883443</v>
      </c>
      <c r="F23" s="276">
        <f>+'RES EnergyStar'!M25</f>
        <v>2.8363553333333336</v>
      </c>
      <c r="G23" s="276">
        <f>+'RES WEA'!M25</f>
        <v>0.62052917391304341</v>
      </c>
      <c r="H23" s="276">
        <f>+'RES HC'!M25</f>
        <v>27.744772511795738</v>
      </c>
      <c r="I23" s="724">
        <f>+'RES WF'!M25</f>
        <v>15.351491998736137</v>
      </c>
      <c r="J23" s="982">
        <f>'RES CI'!M25</f>
        <v>0</v>
      </c>
      <c r="K23" s="982">
        <f>'RES WI'!M25</f>
        <v>0</v>
      </c>
      <c r="L23" s="982">
        <f>'RES WR'!M25</f>
        <v>0</v>
      </c>
      <c r="M23" s="276">
        <f>'RES Educ'!M25</f>
        <v>4.8600000000000006E-3</v>
      </c>
      <c r="N23" s="276">
        <f>'RES ECM'!M25</f>
        <v>0</v>
      </c>
      <c r="O23" s="724">
        <f>'RES HVAC Re-com'!M25</f>
        <v>4.6970000000000005E-2</v>
      </c>
      <c r="P23" s="724">
        <f>'RES Solar DHW'!M25</f>
        <v>1.7250000000000001E-2</v>
      </c>
      <c r="Q23" s="724">
        <f>'RES PV'!M25</f>
        <v>0.33841500000000002</v>
      </c>
      <c r="R23" s="277">
        <f t="shared" si="2"/>
        <v>99.817839010936581</v>
      </c>
      <c r="S23" s="327">
        <f>+'RES Prime Time'!N25</f>
        <v>42.4881395850472</v>
      </c>
      <c r="T23" s="299">
        <f>+'RES EP (RSVP)'!M25</f>
        <v>3.9297599999999999</v>
      </c>
      <c r="U23" s="282">
        <f t="shared" si="3"/>
        <v>46.417899585047202</v>
      </c>
      <c r="V23" s="277">
        <f t="shared" si="4"/>
        <v>146.23573859598378</v>
      </c>
      <c r="W23" s="162"/>
      <c r="X23">
        <v>2012</v>
      </c>
      <c r="Y23" s="275">
        <f>+'RES Audit Alt'!Q25</f>
        <v>23.02299230522323</v>
      </c>
      <c r="Z23" s="276">
        <f>+'RES Audit RCS'!Q25</f>
        <v>1.36</v>
      </c>
      <c r="AA23" s="276">
        <f>+'RES Assist.'!Q25</f>
        <v>7.1391742839941008</v>
      </c>
      <c r="AB23" s="276">
        <f>+'RES DR'!Q25</f>
        <v>35.859353456217463</v>
      </c>
      <c r="AC23" s="276">
        <f>+'RES EnergyStar'!Q25</f>
        <v>2.0927681666666667</v>
      </c>
      <c r="AD23" s="276">
        <f>+'RES WEA'!Q25</f>
        <v>0.15691113043478261</v>
      </c>
      <c r="AE23" s="276">
        <f>+'RES HC'!Q25</f>
        <v>342.41104186977918</v>
      </c>
      <c r="AF23" s="724">
        <f>+'RES WF'!Q25</f>
        <v>39.257346572138673</v>
      </c>
      <c r="AG23" s="276">
        <f>'RES CI'!Q25</f>
        <v>0</v>
      </c>
      <c r="AH23" s="276">
        <f>'RES WI'!Q25</f>
        <v>0</v>
      </c>
      <c r="AI23" s="276">
        <f>'RES WR'!Q25</f>
        <v>0</v>
      </c>
      <c r="AJ23" s="276">
        <f>'RES Educ'!Q25</f>
        <v>7.7999999999999999E-4</v>
      </c>
      <c r="AK23" s="276">
        <f>'RES ECM'!Q25</f>
        <v>0</v>
      </c>
      <c r="AL23" s="724">
        <f>'RES HVAC Re-com'!Q25</f>
        <v>0</v>
      </c>
      <c r="AM23" s="724">
        <f>'RES Solar DHW'!Q25</f>
        <v>2.7449999999999999E-2</v>
      </c>
      <c r="AN23" s="724">
        <f>'RES PV'!Q25</f>
        <v>0</v>
      </c>
      <c r="AO23" s="277">
        <f t="shared" si="5"/>
        <v>451.32781778445411</v>
      </c>
      <c r="AP23" s="327">
        <f>+'RES Prime Time'!T25</f>
        <v>79.234136520705903</v>
      </c>
      <c r="AQ23" s="299">
        <f>+'RES EP (RSVP)'!Q25</f>
        <v>5.5057</v>
      </c>
      <c r="AR23" s="282">
        <f t="shared" si="6"/>
        <v>84.739836520705907</v>
      </c>
      <c r="AS23" s="277">
        <f t="shared" si="7"/>
        <v>536.06765430515998</v>
      </c>
      <c r="AU23">
        <v>2012</v>
      </c>
      <c r="AV23" s="275">
        <f>+'RES Audit Alt'!U25</f>
        <v>74.081486764662969</v>
      </c>
      <c r="AW23" s="276">
        <f>+'RES Audit RCS'!U25</f>
        <v>3.27</v>
      </c>
      <c r="AX23" s="276">
        <f>+'RES Assist.'!U25</f>
        <v>27.663462898703401</v>
      </c>
      <c r="AY23" s="276">
        <f>+'RES DR'!U25</f>
        <v>72.535410410388835</v>
      </c>
      <c r="AZ23" s="276">
        <f>+'RES EnergyStar'!U25</f>
        <v>6.1185653915693905</v>
      </c>
      <c r="BA23" s="276">
        <f>+'RES WEA'!U25</f>
        <v>1.3686674782608694</v>
      </c>
      <c r="BB23" s="276">
        <f>+'RES HC'!U25</f>
        <v>228.0065695522139</v>
      </c>
      <c r="BC23" s="724">
        <f>+'RES WF'!U25</f>
        <v>48.821957366378982</v>
      </c>
      <c r="BD23" s="276">
        <f>'RES CI'!U25</f>
        <v>0</v>
      </c>
      <c r="BE23" s="276">
        <f>'RES WI'!U25</f>
        <v>0</v>
      </c>
      <c r="BF23" s="276">
        <f>'RES WR'!U25</f>
        <v>0</v>
      </c>
      <c r="BG23" s="276">
        <f>'RES Educ'!U25</f>
        <v>6.1964999999999999E-2</v>
      </c>
      <c r="BH23" s="276">
        <f>'RES ECM'!U25</f>
        <v>0</v>
      </c>
      <c r="BI23" s="724">
        <f>'RES HVAC Re-com'!U25</f>
        <v>0.1191025</v>
      </c>
      <c r="BJ23" s="724">
        <f>'RES Solar DHW'!U25</f>
        <v>0.13661999999999999</v>
      </c>
      <c r="BK23" s="724">
        <f>'RES PV'!U25</f>
        <v>0.95290649999999999</v>
      </c>
      <c r="BL23" s="277">
        <f t="shared" si="8"/>
        <v>463.13671386217828</v>
      </c>
      <c r="BM23" s="327">
        <f>+'RES Prime Time'!Z25</f>
        <v>0</v>
      </c>
      <c r="BN23" s="299">
        <f>+'RES EP (RSVP)'!U25</f>
        <v>2.098878</v>
      </c>
      <c r="BO23" s="282">
        <f t="shared" si="9"/>
        <v>2.098878</v>
      </c>
      <c r="BP23" s="277">
        <f t="shared" si="10"/>
        <v>465.2355918621783</v>
      </c>
      <c r="BQ23" s="162"/>
    </row>
    <row r="24" spans="1:69" x14ac:dyDescent="0.2">
      <c r="A24">
        <v>2013</v>
      </c>
      <c r="B24" s="275">
        <f>+'RES Audit Alt'!M26</f>
        <v>15.184523290049604</v>
      </c>
      <c r="C24" s="276">
        <f>+'RES Audit RCS'!M26</f>
        <v>0.97</v>
      </c>
      <c r="D24" s="276">
        <f>+'RES Assist.'!M26</f>
        <v>6.8252735332252845</v>
      </c>
      <c r="E24" s="276">
        <f>+'RES DR'!M26</f>
        <v>30.664573169883443</v>
      </c>
      <c r="F24" s="276">
        <f>+'RES EnergyStar'!M26</f>
        <v>4.6202903333333332</v>
      </c>
      <c r="G24" s="276">
        <f>+'RES WEA'!M26</f>
        <v>2.1075291739130435</v>
      </c>
      <c r="H24" s="276">
        <f>+'RES HC'!M26</f>
        <v>28.861892511795737</v>
      </c>
      <c r="I24" s="724">
        <f>+'RES WF'!M26</f>
        <v>19.36314938283089</v>
      </c>
      <c r="J24" s="982">
        <f>'RES CI'!M26</f>
        <v>0</v>
      </c>
      <c r="K24" s="982">
        <f>'RES WI'!M26</f>
        <v>0</v>
      </c>
      <c r="L24" s="982">
        <f>'RES WR'!M26</f>
        <v>0</v>
      </c>
      <c r="M24" s="276">
        <f>'RES Educ'!M26</f>
        <v>2.5169999999999998E-2</v>
      </c>
      <c r="N24" s="276">
        <f>'RES ECM'!M26</f>
        <v>7.0000000000000007E-5</v>
      </c>
      <c r="O24" s="724">
        <f>'RES HVAC Re-com'!M26</f>
        <v>0.10836000000000001</v>
      </c>
      <c r="P24" s="724">
        <f>'RES Solar DHW'!M26</f>
        <v>2.835E-2</v>
      </c>
      <c r="Q24" s="724">
        <f>'RES PV'!M26</f>
        <v>0.62342000000000009</v>
      </c>
      <c r="R24" s="277">
        <f t="shared" si="2"/>
        <v>109.38260139503134</v>
      </c>
      <c r="S24" s="327">
        <f>+'RES Prime Time'!N26</f>
        <v>36.2047494369478</v>
      </c>
      <c r="T24" s="299">
        <f>+'RES EP (RSVP)'!M26</f>
        <v>4.3521599999999996</v>
      </c>
      <c r="U24" s="282">
        <f t="shared" si="3"/>
        <v>40.556909436947798</v>
      </c>
      <c r="V24" s="277">
        <f t="shared" si="4"/>
        <v>149.93951083197913</v>
      </c>
      <c r="W24" s="162"/>
      <c r="X24">
        <v>2013</v>
      </c>
      <c r="Y24" s="275">
        <f>+'RES Audit Alt'!Q26</f>
        <v>23.576552305223231</v>
      </c>
      <c r="Z24" s="276">
        <f>+'RES Audit RCS'!Q26</f>
        <v>1.36</v>
      </c>
      <c r="AA24" s="276">
        <f>+'RES Assist.'!Q26</f>
        <v>7.2030742839941011</v>
      </c>
      <c r="AB24" s="276">
        <f>+'RES DR'!Q26</f>
        <v>36.313753456217462</v>
      </c>
      <c r="AC24" s="276">
        <f>+'RES EnergyStar'!Q26</f>
        <v>3.4859681666666669</v>
      </c>
      <c r="AD24" s="276">
        <f>+'RES WEA'!Q26</f>
        <v>1.5794511304347825</v>
      </c>
      <c r="AE24" s="276">
        <f>+'RES HC'!Q26</f>
        <v>343.19554186977916</v>
      </c>
      <c r="AF24" s="724">
        <f>+'RES WF'!Q26</f>
        <v>44.033667607671667</v>
      </c>
      <c r="AG24" s="276">
        <f>'RES CI'!Q26</f>
        <v>0</v>
      </c>
      <c r="AH24" s="276">
        <f>'RES WI'!Q26</f>
        <v>0</v>
      </c>
      <c r="AI24" s="276">
        <f>'RES WR'!Q26</f>
        <v>0</v>
      </c>
      <c r="AJ24" s="276">
        <f>'RES Educ'!Q26</f>
        <v>1.38E-2</v>
      </c>
      <c r="AK24" s="276">
        <f>'RES ECM'!Q26</f>
        <v>0</v>
      </c>
      <c r="AL24" s="724">
        <f>'RES HVAC Re-com'!Q26</f>
        <v>8.7230000000000002E-2</v>
      </c>
      <c r="AM24" s="724">
        <f>'RES Solar DHW'!Q26</f>
        <v>4.2700000000000002E-2</v>
      </c>
      <c r="AN24" s="724">
        <f>'RES PV'!Q26</f>
        <v>0</v>
      </c>
      <c r="AO24" s="277">
        <f t="shared" si="5"/>
        <v>460.89173881998704</v>
      </c>
      <c r="AP24" s="327">
        <f>+'RES Prime Time'!T26</f>
        <v>64.26352522651537</v>
      </c>
      <c r="AQ24" s="299">
        <f>+'RES EP (RSVP)'!Q26</f>
        <v>5.8436000000000003</v>
      </c>
      <c r="AR24" s="282">
        <f t="shared" si="6"/>
        <v>70.107125226515365</v>
      </c>
      <c r="AS24" s="277">
        <f t="shared" si="7"/>
        <v>530.99886404650238</v>
      </c>
      <c r="AU24">
        <v>2013</v>
      </c>
      <c r="AV24" s="275">
        <f>+'RES Audit Alt'!U26</f>
        <v>78.338558764662963</v>
      </c>
      <c r="AW24" s="276">
        <f>+'RES Audit RCS'!U26</f>
        <v>3.27</v>
      </c>
      <c r="AX24" s="276">
        <f>+'RES Assist.'!U26</f>
        <v>28.1084378987034</v>
      </c>
      <c r="AY24" s="276">
        <f>+'RES DR'!U26</f>
        <v>73.074700410388829</v>
      </c>
      <c r="AZ24" s="276">
        <f>+'RES EnergyStar'!U26</f>
        <v>10.348746891569391</v>
      </c>
      <c r="BA24" s="276">
        <f>+'RES WEA'!U26</f>
        <v>4.2645999782608692</v>
      </c>
      <c r="BB24" s="276">
        <f>+'RES HC'!U26</f>
        <v>230.45026955221391</v>
      </c>
      <c r="BC24" s="724">
        <f>+'RES WF'!U26</f>
        <v>53.478452173570183</v>
      </c>
      <c r="BD24" s="276">
        <f>'RES CI'!U26</f>
        <v>0</v>
      </c>
      <c r="BE24" s="276">
        <f>'RES WI'!U26</f>
        <v>0</v>
      </c>
      <c r="BF24" s="276">
        <f>'RES WR'!U26</f>
        <v>0</v>
      </c>
      <c r="BG24" s="276">
        <f>'RES Educ'!U26</f>
        <v>0.32091749999999997</v>
      </c>
      <c r="BH24" s="276">
        <f>'RES ECM'!U26</f>
        <v>1.76E-4</v>
      </c>
      <c r="BI24" s="724">
        <f>'RES HVAC Re-com'!U26</f>
        <v>0.27476999999999996</v>
      </c>
      <c r="BJ24" s="724">
        <f>'RES Solar DHW'!U26</f>
        <v>0.22453200000000001</v>
      </c>
      <c r="BK24" s="724">
        <f>'RES PV'!U26</f>
        <v>1.7555615</v>
      </c>
      <c r="BL24" s="277">
        <f t="shared" si="8"/>
        <v>483.90972266936956</v>
      </c>
      <c r="BM24" s="327">
        <f>+'RES Prime Time'!Z26</f>
        <v>0</v>
      </c>
      <c r="BN24" s="299">
        <f>+'RES EP (RSVP)'!U26</f>
        <v>2.2873739999999998</v>
      </c>
      <c r="BO24" s="282">
        <f t="shared" si="9"/>
        <v>2.2873739999999998</v>
      </c>
      <c r="BP24" s="277">
        <f t="shared" si="10"/>
        <v>486.19709666936956</v>
      </c>
      <c r="BQ24" s="162"/>
    </row>
    <row r="25" spans="1:69" x14ac:dyDescent="0.2">
      <c r="A25">
        <v>2014</v>
      </c>
      <c r="B25" s="978">
        <f>+'RES Audit Alt'!M27</f>
        <v>15.616098290049605</v>
      </c>
      <c r="C25" s="979">
        <f>+'RES Audit RCS'!M27</f>
        <v>0.97</v>
      </c>
      <c r="D25" s="979">
        <f>+'RES Assist.'!M27</f>
        <v>6.8874135332252848</v>
      </c>
      <c r="E25" s="276">
        <f>+'RES DR'!M27</f>
        <v>30.954763169883442</v>
      </c>
      <c r="F25" s="276">
        <f>+'RES EnergyStar'!M27</f>
        <v>6.553360333333333</v>
      </c>
      <c r="G25" s="276">
        <f>+'RES WEA'!M27</f>
        <v>3.5363691739130436</v>
      </c>
      <c r="H25" s="276">
        <f>+'RES HC'!M27</f>
        <v>29.268692511795738</v>
      </c>
      <c r="I25" s="724">
        <f>+'RES WF'!M27</f>
        <v>23.014851375245556</v>
      </c>
      <c r="J25" s="982">
        <f>'RES CI'!M27</f>
        <v>0</v>
      </c>
      <c r="K25" s="982">
        <f>'RES WI'!M27</f>
        <v>0</v>
      </c>
      <c r="L25" s="982">
        <f>'RES WR'!M27</f>
        <v>0</v>
      </c>
      <c r="M25" s="276">
        <f>'RES Educ'!M27</f>
        <v>5.2379999999999996E-2</v>
      </c>
      <c r="N25" s="276">
        <f>'RES ECM'!M27</f>
        <v>1.4000000000000001E-4</v>
      </c>
      <c r="O25" s="724">
        <f>'RES HVAC Re-com'!M27</f>
        <v>0.12824000000000002</v>
      </c>
      <c r="P25" s="724">
        <f>'RES Solar DHW'!M27</f>
        <v>4.3799999999999999E-2</v>
      </c>
      <c r="Q25" s="724">
        <f>'RES PV'!M27</f>
        <v>0.90936000000000006</v>
      </c>
      <c r="R25" s="277">
        <f t="shared" si="2"/>
        <v>117.93546838744601</v>
      </c>
      <c r="S25" s="327">
        <f>+'RES Prime Time'!N27</f>
        <v>33.722439692808301</v>
      </c>
      <c r="T25" s="299">
        <f>+'RES EP (RSVP)'!M27</f>
        <v>5.6084099999999992</v>
      </c>
      <c r="U25" s="282">
        <f t="shared" si="3"/>
        <v>39.3308496928083</v>
      </c>
      <c r="V25" s="277">
        <f t="shared" si="4"/>
        <v>157.26631808025431</v>
      </c>
      <c r="W25" s="162"/>
      <c r="X25">
        <v>2014</v>
      </c>
      <c r="Y25" s="275">
        <f>+'RES Audit Alt'!Q27</f>
        <v>24.118562305223232</v>
      </c>
      <c r="Z25" s="276">
        <f>+'RES Audit RCS'!Q27</f>
        <v>1.36</v>
      </c>
      <c r="AA25" s="276">
        <f>+'RES Assist.'!Q27</f>
        <v>7.243874283994101</v>
      </c>
      <c r="AB25" s="276">
        <f>+'RES DR'!Q27</f>
        <v>36.689513456217462</v>
      </c>
      <c r="AC25" s="276">
        <f>+'RES EnergyStar'!Q27</f>
        <v>5.8669681666666662</v>
      </c>
      <c r="AD25" s="276">
        <f>+'RES WEA'!Q27</f>
        <v>2.9557711304347825</v>
      </c>
      <c r="AE25" s="276">
        <f>+'RES HC'!Q27</f>
        <v>344.07966186977916</v>
      </c>
      <c r="AF25" s="724">
        <f>+'RES WF'!Q27</f>
        <v>48.250807506533867</v>
      </c>
      <c r="AG25" s="276">
        <f>'RES CI'!Q27</f>
        <v>0</v>
      </c>
      <c r="AH25" s="276">
        <f>'RES WI'!Q27</f>
        <v>0</v>
      </c>
      <c r="AI25" s="276">
        <f>'RES WR'!Q27</f>
        <v>0</v>
      </c>
      <c r="AJ25" s="276">
        <f>'RES Educ'!Q27</f>
        <v>6.1709999999999994E-2</v>
      </c>
      <c r="AK25" s="276">
        <f>'RES ECM'!Q27</f>
        <v>1.3000000000000002E-4</v>
      </c>
      <c r="AL25" s="724">
        <f>'RES HVAC Re-com'!Q27</f>
        <v>0.11401</v>
      </c>
      <c r="AM25" s="724">
        <f>'RES Solar DHW'!Q27</f>
        <v>7.2590000000000002E-2</v>
      </c>
      <c r="AN25" s="724">
        <f>'RES PV'!Q27</f>
        <v>0</v>
      </c>
      <c r="AO25" s="277">
        <f t="shared" si="5"/>
        <v>470.81359871884928</v>
      </c>
      <c r="AP25" s="327">
        <f>+'RES Prime Time'!T27</f>
        <v>59.317671312709216</v>
      </c>
      <c r="AQ25" s="299">
        <f>+'RES EP (RSVP)'!Q27</f>
        <v>6.60419</v>
      </c>
      <c r="AR25" s="282">
        <f t="shared" si="6"/>
        <v>65.921861312709211</v>
      </c>
      <c r="AS25" s="277">
        <f t="shared" si="7"/>
        <v>536.73546003155843</v>
      </c>
      <c r="AU25">
        <v>2014</v>
      </c>
      <c r="AV25" s="275">
        <f>+'RES Audit Alt'!U27</f>
        <v>83.034094764662967</v>
      </c>
      <c r="AW25" s="276">
        <f>+'RES Audit RCS'!U27</f>
        <v>3.27</v>
      </c>
      <c r="AX25" s="276">
        <f>+'RES Assist.'!U27</f>
        <v>28.553922898703402</v>
      </c>
      <c r="AY25" s="276">
        <f>+'RES DR'!U27</f>
        <v>73.583386410388826</v>
      </c>
      <c r="AZ25" s="276">
        <f>+'RES EnergyStar'!U27</f>
        <v>16.753496891569391</v>
      </c>
      <c r="BA25" s="276">
        <f>+'RES WEA'!U27</f>
        <v>11.539776978260869</v>
      </c>
      <c r="BB25" s="276">
        <f>+'RES HC'!U27</f>
        <v>232.07340155221391</v>
      </c>
      <c r="BC25" s="724">
        <f>+'RES WF'!U27</f>
        <v>62.545959486212411</v>
      </c>
      <c r="BD25" s="276">
        <f>'RES CI'!U27</f>
        <v>0</v>
      </c>
      <c r="BE25" s="276">
        <f>'RES WI'!U27</f>
        <v>0</v>
      </c>
      <c r="BF25" s="276">
        <f>'RES WR'!U27</f>
        <v>0</v>
      </c>
      <c r="BG25" s="276">
        <f>'RES Educ'!U27</f>
        <v>0.66784500000000002</v>
      </c>
      <c r="BH25" s="276">
        <f>'RES ECM'!U27</f>
        <v>3.5199999999999999E-4</v>
      </c>
      <c r="BI25" s="724">
        <f>'RES HVAC Re-com'!U27</f>
        <v>0.32517999999999997</v>
      </c>
      <c r="BJ25" s="724">
        <f>'RES Solar DHW'!U27</f>
        <v>0.34689599999999998</v>
      </c>
      <c r="BK25" s="724">
        <f>'RES PV'!U27</f>
        <v>2.5599055000000002</v>
      </c>
      <c r="BL25" s="277">
        <f t="shared" si="8"/>
        <v>515.25421748201188</v>
      </c>
      <c r="BM25" s="327">
        <f>+'RES Prime Time'!Z27</f>
        <v>0</v>
      </c>
      <c r="BN25" s="299">
        <f>+'RES EP (RSVP)'!U27</f>
        <v>2.4386239999999999</v>
      </c>
      <c r="BO25" s="282">
        <f t="shared" si="9"/>
        <v>2.4386239999999999</v>
      </c>
      <c r="BP25" s="277">
        <f t="shared" si="10"/>
        <v>517.69284148201189</v>
      </c>
      <c r="BQ25" s="162"/>
    </row>
    <row r="26" spans="1:69" x14ac:dyDescent="0.2">
      <c r="A26">
        <v>2015</v>
      </c>
      <c r="B26" s="978">
        <f>+'RES Audit Alt'!M28</f>
        <v>15.616098290049605</v>
      </c>
      <c r="C26" s="979">
        <f>+'RES Audit RCS'!M28</f>
        <v>0.97</v>
      </c>
      <c r="D26" s="979">
        <f>+'RES Assist.'!M28</f>
        <v>6.8874135332252848</v>
      </c>
      <c r="E26" s="276">
        <f>+'RES DR'!M28</f>
        <v>31.24438238360376</v>
      </c>
      <c r="F26" s="276">
        <f>+'RES EnergyStar'!M28</f>
        <v>8.3281570294039025</v>
      </c>
      <c r="G26" s="276">
        <f>+'RES WEA'!M28</f>
        <v>4.9909708416329632</v>
      </c>
      <c r="H26" s="276">
        <f>+'RES HC'!M28</f>
        <v>30.873463562812233</v>
      </c>
      <c r="I26" s="724">
        <f>+'RES WF'!M28</f>
        <v>24.534821375245556</v>
      </c>
      <c r="J26" s="982">
        <f>'RES CI'!M28</f>
        <v>0.41107150000000003</v>
      </c>
      <c r="K26" s="982">
        <f>'RES WI'!M28</f>
        <v>2.086E-2</v>
      </c>
      <c r="L26" s="982">
        <f>'RES WR'!M28</f>
        <v>0.60635499999999998</v>
      </c>
      <c r="M26" s="276">
        <f>'RES Educ'!M28</f>
        <v>7.8925382436260613E-2</v>
      </c>
      <c r="N26" s="276">
        <f>'RES ECM'!M28</f>
        <v>4.2000000000000002E-4</v>
      </c>
      <c r="O26" s="724">
        <f>'RES HVAC Re-com'!M28</f>
        <v>0.25136000000000003</v>
      </c>
      <c r="P26" s="724">
        <f>'RES Solar DHW'!M28</f>
        <v>0.06</v>
      </c>
      <c r="Q26" s="724">
        <f>'RES PV'!M28</f>
        <v>1.2093750000000001</v>
      </c>
      <c r="R26" s="277">
        <f t="shared" si="2"/>
        <v>126.08367389840959</v>
      </c>
      <c r="S26" s="327">
        <f>+'RES Prime Time'!N28</f>
        <v>19.960881762851901</v>
      </c>
      <c r="T26" s="299">
        <f>+'RES EP (RSVP)'!M28</f>
        <v>7.7050370909926462</v>
      </c>
      <c r="U26" s="282">
        <f t="shared" si="3"/>
        <v>27.665918853844548</v>
      </c>
      <c r="V26" s="277">
        <f t="shared" si="4"/>
        <v>153.74959275225413</v>
      </c>
      <c r="W26" s="162"/>
      <c r="X26">
        <v>2015</v>
      </c>
      <c r="Y26" s="275">
        <f>+'RES Audit Alt'!Q28</f>
        <v>24.118562305223232</v>
      </c>
      <c r="Z26" s="276">
        <f>+'RES Audit RCS'!Q28</f>
        <v>1.36</v>
      </c>
      <c r="AA26" s="276">
        <f>+'RES Assist.'!Q28</f>
        <v>7.243874283994101</v>
      </c>
      <c r="AB26" s="276">
        <f>+'RES DR'!Q28</f>
        <v>37.032964115848067</v>
      </c>
      <c r="AC26" s="276">
        <f>+'RES EnergyStar'!Q28</f>
        <v>7.1512272083667465</v>
      </c>
      <c r="AD26" s="276">
        <f>+'RES WEA'!Q28</f>
        <v>4.5591978442871586</v>
      </c>
      <c r="AE26" s="276">
        <f>+'RES HC'!Q28</f>
        <v>346.24192767722064</v>
      </c>
      <c r="AF26" s="724">
        <f>+'RES WF'!Q28</f>
        <v>48.250807506533867</v>
      </c>
      <c r="AG26" s="276">
        <f>'RES CI'!Q28</f>
        <v>0</v>
      </c>
      <c r="AH26" s="276">
        <f>'RES WI'!Q28</f>
        <v>0</v>
      </c>
      <c r="AI26" s="276">
        <f>'RES WR'!Q28</f>
        <v>0</v>
      </c>
      <c r="AJ26" s="276">
        <f>'RES Educ'!Q28</f>
        <v>9.8789263456090654E-2</v>
      </c>
      <c r="AK26" s="276">
        <f>'RES ECM'!Q28</f>
        <v>1.3000000000000002E-4</v>
      </c>
      <c r="AL26" s="724">
        <f>'RES HVAC Re-com'!Q28</f>
        <v>0.12415</v>
      </c>
      <c r="AM26" s="724">
        <f>'RES Solar DHW'!Q28</f>
        <v>0.10553</v>
      </c>
      <c r="AN26" s="724">
        <f>'RES PV'!Q28</f>
        <v>0</v>
      </c>
      <c r="AO26" s="277">
        <f t="shared" si="5"/>
        <v>476.28716020492988</v>
      </c>
      <c r="AP26" s="327">
        <f>+'RES Prime Time'!T28</f>
        <v>44</v>
      </c>
      <c r="AQ26" s="299">
        <f>+'RES EP (RSVP)'!Q28</f>
        <v>9.7303233915441183</v>
      </c>
      <c r="AR26" s="282">
        <f t="shared" si="6"/>
        <v>53.730323391544118</v>
      </c>
      <c r="AS26" s="277">
        <f t="shared" si="7"/>
        <v>530.01748359647399</v>
      </c>
      <c r="AU26">
        <v>2015</v>
      </c>
      <c r="AV26" s="275">
        <f>+'RES Audit Alt'!U28</f>
        <v>83.034094764662967</v>
      </c>
      <c r="AW26" s="276">
        <f>+'RES Audit RCS'!U28</f>
        <v>3.27</v>
      </c>
      <c r="AX26" s="276">
        <f>+'RES Assist.'!U28</f>
        <v>28.553922898703402</v>
      </c>
      <c r="AY26" s="276">
        <f>+'RES DR'!U28</f>
        <v>74.075092984003604</v>
      </c>
      <c r="AZ26" s="276">
        <f>+'RES EnergyStar'!U28</f>
        <v>20.958761314785107</v>
      </c>
      <c r="BA26" s="276">
        <f>+'RES WEA'!U28</f>
        <v>16.190412060667342</v>
      </c>
      <c r="BB26" s="276">
        <f>+'RES HC'!U28</f>
        <v>236.33281881957103</v>
      </c>
      <c r="BC26" s="724">
        <f>+'RES WF'!U28</f>
        <v>65.550135486212412</v>
      </c>
      <c r="BD26" s="276">
        <f>'RES CI'!U28</f>
        <v>0.49409750000000008</v>
      </c>
      <c r="BE26" s="276">
        <f>'RES WI'!U28</f>
        <v>7.9268000000000005E-2</v>
      </c>
      <c r="BF26" s="276">
        <f>'RES WR'!U28</f>
        <v>0.9912455</v>
      </c>
      <c r="BG26" s="276">
        <f>'RES Educ'!U28</f>
        <v>1.0118106543909349</v>
      </c>
      <c r="BH26" s="276">
        <f>'RES ECM'!U28</f>
        <v>1.0560000000000001E-3</v>
      </c>
      <c r="BI26" s="724">
        <f>'RES HVAC Re-com'!U28</f>
        <v>0.36351999999999995</v>
      </c>
      <c r="BJ26" s="724">
        <f>'RES Solar DHW'!U28</f>
        <v>0.47519999999999996</v>
      </c>
      <c r="BK26" s="724">
        <f>'RES PV'!U28</f>
        <v>3.4044675</v>
      </c>
      <c r="BL26" s="277">
        <f t="shared" si="8"/>
        <v>534.78590348299667</v>
      </c>
      <c r="BM26" s="327">
        <f>+'RES Prime Time'!Z28</f>
        <v>0</v>
      </c>
      <c r="BN26" s="299">
        <f>+'RES EP (RSVP)'!U28</f>
        <v>3.5236337426470588</v>
      </c>
      <c r="BO26" s="282">
        <f t="shared" si="9"/>
        <v>3.5236337426470588</v>
      </c>
      <c r="BP26" s="277">
        <f t="shared" si="10"/>
        <v>538.30953722564368</v>
      </c>
      <c r="BQ26" s="162"/>
    </row>
    <row r="27" spans="1:69" ht="13.5" thickBot="1" x14ac:dyDescent="0.25">
      <c r="A27" s="1351">
        <v>2016</v>
      </c>
      <c r="B27" s="1352">
        <f>+'RES Audit Alt'!M29</f>
        <v>15.616098290049605</v>
      </c>
      <c r="C27" s="1353">
        <f>+'RES Audit RCS'!M29</f>
        <v>0.97</v>
      </c>
      <c r="D27" s="1353">
        <f>+'RES Assist.'!M29</f>
        <v>6.8874135332252848</v>
      </c>
      <c r="E27" s="1354">
        <f>+'RES DR'!M29</f>
        <v>31.516956383603759</v>
      </c>
      <c r="F27" s="1354">
        <f>+'RES EnergyStar'!M29</f>
        <v>9.0973105294039023</v>
      </c>
      <c r="G27" s="1354">
        <f>+'RES WEA'!M29</f>
        <v>6.6065143416329635</v>
      </c>
      <c r="H27" s="1354">
        <f>+'RES HC'!M29</f>
        <v>31.327720562812232</v>
      </c>
      <c r="I27" s="1355">
        <f>+'RES WF'!M29</f>
        <v>24.534821375245556</v>
      </c>
      <c r="J27" s="1356">
        <f>'RES CI'!M29</f>
        <v>0.97657150000000004</v>
      </c>
      <c r="K27" s="1356">
        <f>'RES WI'!M29</f>
        <v>2.7464000000000002E-2</v>
      </c>
      <c r="L27" s="1356">
        <f>'RES WR'!M29</f>
        <v>1.108309</v>
      </c>
      <c r="M27" s="1354">
        <f>'RES Educ'!M29</f>
        <v>0.10233788243626062</v>
      </c>
      <c r="N27" s="1354">
        <f>'RES ECM'!M29</f>
        <v>7.1999999999999994E-4</v>
      </c>
      <c r="O27" s="1355">
        <f>'RES HVAC Re-com'!M29</f>
        <v>0.25136000000000003</v>
      </c>
      <c r="P27" s="1355">
        <f>'RES Solar DHW'!M29</f>
        <v>0.06</v>
      </c>
      <c r="Q27" s="1355">
        <f>'RES PV'!M29</f>
        <v>1.2093750000000001</v>
      </c>
      <c r="R27" s="1357">
        <f t="shared" si="2"/>
        <v>130.29297239840957</v>
      </c>
      <c r="S27" s="1358">
        <f>+'RES Prime Time'!N29</f>
        <v>0</v>
      </c>
      <c r="T27" s="1354">
        <f>+'RES EP (RSVP)'!M29</f>
        <v>9.715025090992647</v>
      </c>
      <c r="U27" s="1357">
        <f t="shared" si="3"/>
        <v>9.715025090992647</v>
      </c>
      <c r="V27" s="1357">
        <f t="shared" si="4"/>
        <v>140.00799748940221</v>
      </c>
      <c r="W27" s="1359"/>
      <c r="X27" s="1351">
        <v>2016</v>
      </c>
      <c r="Y27" s="1360">
        <f>+'RES Audit Alt'!Q29</f>
        <v>24.118562305223232</v>
      </c>
      <c r="Z27" s="1361">
        <f>+'RES Audit RCS'!Q29</f>
        <v>1.36</v>
      </c>
      <c r="AA27" s="1361">
        <f>+'RES Assist.'!Q29</f>
        <v>7.243874283994101</v>
      </c>
      <c r="AB27" s="1354">
        <f>+'RES DR'!Q29</f>
        <v>37.444179115848065</v>
      </c>
      <c r="AC27" s="1354">
        <f>+'RES EnergyStar'!Q29</f>
        <v>8.3732872083667473</v>
      </c>
      <c r="AD27" s="1354">
        <f>+'RES WEA'!Q29</f>
        <v>7.2255418442871591</v>
      </c>
      <c r="AE27" s="1354">
        <f>+'RES HC'!Q29</f>
        <v>347.97818967722066</v>
      </c>
      <c r="AF27" s="1362">
        <f>+'RES WF'!Q29</f>
        <v>48.250807506533867</v>
      </c>
      <c r="AG27" s="1354">
        <f>'RES CI'!Q29</f>
        <v>1.1310899999999999</v>
      </c>
      <c r="AH27" s="1354">
        <f>'RES WI'!Q29</f>
        <v>2.7571999999999999E-2</v>
      </c>
      <c r="AI27" s="1354">
        <f>'RES WR'!Q29</f>
        <v>0.383932</v>
      </c>
      <c r="AJ27" s="1354">
        <f>'RES Educ'!Q29</f>
        <v>0.16374126345609064</v>
      </c>
      <c r="AK27" s="1354">
        <f>'RES ECM'!Q29</f>
        <v>6.9799999999999994E-4</v>
      </c>
      <c r="AL27" s="1362">
        <f>'RES HVAC Re-com'!Q29</f>
        <v>0.12415</v>
      </c>
      <c r="AM27" s="1362">
        <f>'RES Solar DHW'!Q29</f>
        <v>0.10553</v>
      </c>
      <c r="AN27" s="1362">
        <f>'RES PV'!Q29</f>
        <v>0</v>
      </c>
      <c r="AO27" s="1357">
        <f t="shared" si="5"/>
        <v>483.93115520492989</v>
      </c>
      <c r="AP27" s="1358">
        <f>+'RES Prime Time'!T29</f>
        <v>19.812610723796691</v>
      </c>
      <c r="AQ27" s="1354">
        <f>+'RES EP (RSVP)'!Q29</f>
        <v>13.140115391544118</v>
      </c>
      <c r="AR27" s="1357">
        <f t="shared" si="6"/>
        <v>32.952726115340809</v>
      </c>
      <c r="AS27" s="1357">
        <f t="shared" si="7"/>
        <v>516.88388132027069</v>
      </c>
      <c r="AT27" s="1351"/>
      <c r="AU27" s="1351">
        <v>2016</v>
      </c>
      <c r="AV27" s="1352">
        <f>+'RES Audit Alt'!U29</f>
        <v>83.034094764662967</v>
      </c>
      <c r="AW27" s="1353">
        <f>+'RES Audit RCS'!U29</f>
        <v>3.27</v>
      </c>
      <c r="AX27" s="1353">
        <f>+'RES Assist.'!U29</f>
        <v>28.553922898703402</v>
      </c>
      <c r="AY27" s="1354">
        <f>+'RES DR'!U29</f>
        <v>74.55010498400361</v>
      </c>
      <c r="AZ27" s="1354">
        <f>+'RES EnergyStar'!U29</f>
        <v>24.564077814785108</v>
      </c>
      <c r="BA27" s="1354">
        <f>+'RES WEA'!U29</f>
        <v>24.38208906066734</v>
      </c>
      <c r="BB27" s="1354">
        <f>+'RES HC'!U29</f>
        <v>237.98506731957104</v>
      </c>
      <c r="BC27" s="1362">
        <f>+'RES WF'!U29</f>
        <v>65.550135486212412</v>
      </c>
      <c r="BD27" s="1354">
        <f>'RES CI'!U29</f>
        <v>2.3384974999999999</v>
      </c>
      <c r="BE27" s="1354">
        <f>'RES WI'!U29</f>
        <v>0.1046045</v>
      </c>
      <c r="BF27" s="1354">
        <f>'RES WR'!U29</f>
        <v>2.8005395000000002</v>
      </c>
      <c r="BG27" s="1354">
        <f>'RES Educ'!U29</f>
        <v>1.3320936543909347</v>
      </c>
      <c r="BH27" s="1354">
        <f>'RES ECM'!U29</f>
        <v>1.8320000000000001E-3</v>
      </c>
      <c r="BI27" s="1362">
        <f>'RES HVAC Re-com'!U29</f>
        <v>0.36351999999999995</v>
      </c>
      <c r="BJ27" s="1362">
        <f>'RES Solar DHW'!U29</f>
        <v>0.47519999999999996</v>
      </c>
      <c r="BK27" s="1362">
        <f>'RES PV'!U29</f>
        <v>3.4044675</v>
      </c>
      <c r="BL27" s="1357">
        <f t="shared" si="8"/>
        <v>552.71024698299698</v>
      </c>
      <c r="BM27" s="1358">
        <f>+'RES Prime Time'!Z29</f>
        <v>0</v>
      </c>
      <c r="BN27" s="1354">
        <f>+'RES EP (RSVP)'!U29</f>
        <v>3.7653917426470587</v>
      </c>
      <c r="BO27" s="1357">
        <f t="shared" si="9"/>
        <v>3.7653917426470587</v>
      </c>
      <c r="BP27" s="1357">
        <f t="shared" si="10"/>
        <v>556.47563872564399</v>
      </c>
      <c r="BQ27" s="162"/>
    </row>
    <row r="28" spans="1:69" x14ac:dyDescent="0.2">
      <c r="A28">
        <v>2017</v>
      </c>
      <c r="B28" s="1081">
        <f>+'RES Audit Alt'!M30</f>
        <v>15.616098290049605</v>
      </c>
      <c r="C28" s="1082">
        <f>+'RES Audit RCS'!M30</f>
        <v>0.97</v>
      </c>
      <c r="D28" s="1082">
        <f>+'RES Assist.'!M30</f>
        <v>6.8874135332252848</v>
      </c>
      <c r="E28" s="979">
        <f>+'RES DR'!M30</f>
        <v>31.691632883603759</v>
      </c>
      <c r="F28" s="979">
        <f>+'RES EnergyStar'!M30</f>
        <v>9.2706820294039023</v>
      </c>
      <c r="G28" s="979">
        <f>+'RES WEA'!M30</f>
        <v>8.021786841632963</v>
      </c>
      <c r="H28" s="979">
        <f>+'RES HC'!M30</f>
        <v>31.56451356281223</v>
      </c>
      <c r="I28" s="981">
        <f>+'RES WF'!M30</f>
        <v>24.534821375245556</v>
      </c>
      <c r="J28" s="983">
        <f>'RES CI'!M30</f>
        <v>1.2746615000000001</v>
      </c>
      <c r="K28" s="983">
        <f>'RES WI'!M30</f>
        <v>2.9180000000000001E-2</v>
      </c>
      <c r="L28" s="983">
        <f>'RES WR'!M30</f>
        <v>1.4064025</v>
      </c>
      <c r="M28" s="979">
        <f>'RES Educ'!M30</f>
        <v>0.11435038243626061</v>
      </c>
      <c r="N28" s="979">
        <f>'RES ECM'!M30</f>
        <v>2.2199999999999998E-3</v>
      </c>
      <c r="O28" s="981">
        <f>'RES HVAC Re-com'!M30</f>
        <v>0.25136000000000003</v>
      </c>
      <c r="P28" s="981">
        <f>'RES Solar DHW'!M30</f>
        <v>0.06</v>
      </c>
      <c r="Q28" s="981">
        <f>'RES PV'!M30</f>
        <v>1.2093750000000001</v>
      </c>
      <c r="R28" s="811">
        <f t="shared" si="2"/>
        <v>132.9044978984096</v>
      </c>
      <c r="S28" s="1178">
        <f>+'RES Prime Time'!N30</f>
        <v>0</v>
      </c>
      <c r="T28" s="7">
        <f>+'RES EP (RSVP)'!M30</f>
        <v>11.636485090992647</v>
      </c>
      <c r="U28" s="812">
        <f t="shared" si="3"/>
        <v>11.636485090992647</v>
      </c>
      <c r="V28" s="811">
        <f t="shared" si="4"/>
        <v>144.54098298940224</v>
      </c>
      <c r="W28" s="162"/>
      <c r="X28">
        <v>2017</v>
      </c>
      <c r="Y28" s="1087">
        <f>+'RES Audit Alt'!Q30</f>
        <v>24.118562305223232</v>
      </c>
      <c r="Z28" s="1088">
        <f>+'RES Audit RCS'!Q30</f>
        <v>1.36</v>
      </c>
      <c r="AA28" s="1088">
        <f>+'RES Assist.'!Q30</f>
        <v>7.243874283994101</v>
      </c>
      <c r="AB28" s="979">
        <f>+'RES DR'!Q30</f>
        <v>37.724760115848063</v>
      </c>
      <c r="AC28" s="979">
        <f>+'RES EnergyStar'!Q30</f>
        <v>8.5707572083667465</v>
      </c>
      <c r="AD28" s="979">
        <f>+'RES WEA'!Q30</f>
        <v>9.0773568442871593</v>
      </c>
      <c r="AE28" s="979">
        <f>+'RES HC'!Q30</f>
        <v>349.20795867722063</v>
      </c>
      <c r="AF28" s="738">
        <f>+'RES WF'!Q30</f>
        <v>48.250807506533867</v>
      </c>
      <c r="AG28" s="979">
        <f>'RES CI'!Q30</f>
        <v>1.6094999999999999</v>
      </c>
      <c r="AH28" s="979">
        <f>'RES WI'!Q30</f>
        <v>2.8701999999999998E-2</v>
      </c>
      <c r="AI28" s="979">
        <f>'RES WR'!Q30</f>
        <v>0.68433600000000006</v>
      </c>
      <c r="AJ28" s="979">
        <f>'RES Educ'!Q30</f>
        <v>0.18494726345609064</v>
      </c>
      <c r="AK28" s="979">
        <f>'RES ECM'!Q30</f>
        <v>6.9799999999999994E-4</v>
      </c>
      <c r="AL28" s="738">
        <f>'RES HVAC Re-com'!Q30</f>
        <v>0.12415</v>
      </c>
      <c r="AM28" s="738">
        <f>'RES Solar DHW'!Q30</f>
        <v>0.10553</v>
      </c>
      <c r="AN28" s="738">
        <f>'RES PV'!Q30</f>
        <v>0</v>
      </c>
      <c r="AO28" s="277">
        <f t="shared" si="5"/>
        <v>488.29194020492986</v>
      </c>
      <c r="AP28" s="327">
        <f>+'RES Prime Time'!T30</f>
        <v>0</v>
      </c>
      <c r="AQ28" s="299">
        <f>+'RES EP (RSVP)'!Q30</f>
        <v>15.992055391544117</v>
      </c>
      <c r="AR28" s="282">
        <f t="shared" si="6"/>
        <v>15.992055391544117</v>
      </c>
      <c r="AS28" s="277">
        <f t="shared" si="7"/>
        <v>504.28399559647397</v>
      </c>
      <c r="AU28">
        <v>2017</v>
      </c>
      <c r="AV28" s="1081">
        <f>+'RES Audit Alt'!U30</f>
        <v>83.034094764662967</v>
      </c>
      <c r="AW28" s="1082">
        <f>+'RES Audit RCS'!U30</f>
        <v>3.27</v>
      </c>
      <c r="AX28" s="1082">
        <f>+'RES Assist.'!U30</f>
        <v>28.553922898703402</v>
      </c>
      <c r="AY28" s="979">
        <f>+'RES DR'!U30</f>
        <v>74.854511984003608</v>
      </c>
      <c r="AZ28" s="979">
        <f>+'RES EnergyStar'!U30</f>
        <v>25.376736314785109</v>
      </c>
      <c r="BA28" s="979">
        <f>+'RES WEA'!U30</f>
        <v>31.55828406066734</v>
      </c>
      <c r="BB28" s="979">
        <f>+'RES HC'!U30</f>
        <v>238.84634381957105</v>
      </c>
      <c r="BC28" s="738">
        <f>+'RES WF'!U30</f>
        <v>65.550135486212412</v>
      </c>
      <c r="BD28" s="979">
        <f>'RES CI'!U30</f>
        <v>3.3107294999999999</v>
      </c>
      <c r="BE28" s="979">
        <f>'RES WI'!U30</f>
        <v>0.11118800000000001</v>
      </c>
      <c r="BF28" s="979">
        <f>'RES WR'!U30</f>
        <v>3.8750179999999999</v>
      </c>
      <c r="BG28" s="979">
        <f>'RES Educ'!U30</f>
        <v>1.4964246543909347</v>
      </c>
      <c r="BH28" s="979">
        <f>'RES ECM'!U30</f>
        <v>5.7120000000000001E-3</v>
      </c>
      <c r="BI28" s="981">
        <f>'RES HVAC Re-com'!U30</f>
        <v>0.36351999999999995</v>
      </c>
      <c r="BJ28" s="981">
        <f>'RES Solar DHW'!U30</f>
        <v>0.47519999999999996</v>
      </c>
      <c r="BK28" s="981">
        <f>'RES PV'!U30</f>
        <v>3.4044675</v>
      </c>
      <c r="BL28" s="277">
        <f t="shared" si="8"/>
        <v>564.08628898299673</v>
      </c>
      <c r="BM28" s="1183">
        <f>+'RES Prime Time'!Z30</f>
        <v>0</v>
      </c>
      <c r="BN28" s="299">
        <f>+'RES EP (RSVP)'!U30</f>
        <v>3.9965017426470588</v>
      </c>
      <c r="BO28" s="282">
        <f t="shared" si="9"/>
        <v>3.9965017426470588</v>
      </c>
      <c r="BP28" s="277">
        <f t="shared" si="10"/>
        <v>568.0827907256438</v>
      </c>
      <c r="BQ28" s="162"/>
    </row>
    <row r="29" spans="1:69" x14ac:dyDescent="0.2">
      <c r="A29">
        <v>2018</v>
      </c>
      <c r="B29" s="1081">
        <f>+'RES Audit Alt'!M31</f>
        <v>15.616098290049605</v>
      </c>
      <c r="C29" s="1082">
        <f>+'RES Audit RCS'!M31</f>
        <v>0.97</v>
      </c>
      <c r="D29" s="1082">
        <f>+'RES Assist.'!M31</f>
        <v>6.8874135332252848</v>
      </c>
      <c r="E29" s="979">
        <f>+'RES DR'!M31</f>
        <v>31.819882883603761</v>
      </c>
      <c r="F29" s="979">
        <f>+'RES EnergyStar'!M31</f>
        <v>9.403432029403902</v>
      </c>
      <c r="G29" s="979">
        <f>+'RES WEA'!M31</f>
        <v>9.5882868416329625</v>
      </c>
      <c r="H29" s="979">
        <f>+'RES HC'!M31</f>
        <v>31.658863562812229</v>
      </c>
      <c r="I29" s="981">
        <f>+'RES WF'!M31</f>
        <v>24.534821375245556</v>
      </c>
      <c r="J29" s="983">
        <f>'RES CI'!M31</f>
        <v>1.5346615000000001</v>
      </c>
      <c r="K29" s="983">
        <f>'RES WI'!M31</f>
        <v>3.2092000000000002E-2</v>
      </c>
      <c r="L29" s="983">
        <f>'RES WR'!M31</f>
        <v>1.5619025</v>
      </c>
      <c r="M29" s="979">
        <f>'RES Educ'!M31</f>
        <v>0.12685038243626062</v>
      </c>
      <c r="N29" s="979">
        <f>'RES ECM'!M31</f>
        <v>6.3449999999999999E-3</v>
      </c>
      <c r="O29" s="981">
        <f>'RES HVAC Re-com'!M31</f>
        <v>0.25136000000000003</v>
      </c>
      <c r="P29" s="981">
        <f>'RES Solar DHW'!M31</f>
        <v>0.06</v>
      </c>
      <c r="Q29" s="981">
        <f>'RES PV'!M31</f>
        <v>1.2093750000000001</v>
      </c>
      <c r="R29" s="811">
        <f t="shared" si="2"/>
        <v>135.2613848984096</v>
      </c>
      <c r="S29" s="1178">
        <f>+'RES Prime Time'!N31</f>
        <v>0</v>
      </c>
      <c r="T29" s="7">
        <f>+'RES EP (RSVP)'!M31</f>
        <v>13.648485090992647</v>
      </c>
      <c r="U29" s="812">
        <f t="shared" si="3"/>
        <v>13.648485090992647</v>
      </c>
      <c r="V29" s="811">
        <f t="shared" si="4"/>
        <v>148.90986998940224</v>
      </c>
      <c r="W29" s="162"/>
      <c r="X29">
        <v>2018</v>
      </c>
      <c r="Y29" s="1087">
        <f>+'RES Audit Alt'!Q31</f>
        <v>24.118562305223232</v>
      </c>
      <c r="Z29" s="1088">
        <f>+'RES Audit RCS'!Q31</f>
        <v>1.36</v>
      </c>
      <c r="AA29" s="1088">
        <f>+'RES Assist.'!Q31</f>
        <v>7.243874283994101</v>
      </c>
      <c r="AB29" s="979">
        <f>+'RES DR'!Q31</f>
        <v>37.887510115848066</v>
      </c>
      <c r="AC29" s="979">
        <f>+'RES EnergyStar'!Q31</f>
        <v>8.693257208366747</v>
      </c>
      <c r="AD29" s="979">
        <f>+'RES WEA'!Q31</f>
        <v>11.183606844287159</v>
      </c>
      <c r="AE29" s="979">
        <f>+'RES HC'!Q31</f>
        <v>349.52430867722063</v>
      </c>
      <c r="AF29" s="738">
        <f>+'RES WF'!Q31</f>
        <v>48.250807506533867</v>
      </c>
      <c r="AG29" s="979">
        <f>'RES CI'!Q31</f>
        <v>1.9794999999999998</v>
      </c>
      <c r="AH29" s="979">
        <f>'RES WI'!Q31</f>
        <v>3.5029999999999999E-2</v>
      </c>
      <c r="AI29" s="979">
        <f>'RES WR'!Q31</f>
        <v>0.79033600000000004</v>
      </c>
      <c r="AJ29" s="979">
        <f>'RES Educ'!Q31</f>
        <v>0.20794726345609063</v>
      </c>
      <c r="AK29" s="979">
        <f>'RES ECM'!Q31</f>
        <v>3.5379999999999995E-3</v>
      </c>
      <c r="AL29" s="738">
        <f>'RES HVAC Re-com'!Q31</f>
        <v>0.12415</v>
      </c>
      <c r="AM29" s="738">
        <f>'RES Solar DHW'!Q31</f>
        <v>0.10553</v>
      </c>
      <c r="AN29" s="738">
        <f>'RES PV'!Q31</f>
        <v>0</v>
      </c>
      <c r="AO29" s="277">
        <f t="shared" si="5"/>
        <v>491.50795820492988</v>
      </c>
      <c r="AP29" s="1181">
        <f>+'RES Prime Time'!T31</f>
        <v>0</v>
      </c>
      <c r="AQ29" s="299">
        <f>+'RES EP (RSVP)'!Q31</f>
        <v>19.126055391544117</v>
      </c>
      <c r="AR29" s="282">
        <f t="shared" si="6"/>
        <v>19.126055391544117</v>
      </c>
      <c r="AS29" s="277">
        <f t="shared" si="7"/>
        <v>510.63401359647401</v>
      </c>
      <c r="AU29">
        <v>2018</v>
      </c>
      <c r="AV29" s="1081">
        <f>+'RES Audit Alt'!U31</f>
        <v>83.034094764662967</v>
      </c>
      <c r="AW29" s="1082">
        <f>+'RES Audit RCS'!U31</f>
        <v>3.27</v>
      </c>
      <c r="AX29" s="1082">
        <f>+'RES Assist.'!U31</f>
        <v>28.553922898703402</v>
      </c>
      <c r="AY29" s="979">
        <f>+'RES DR'!U31</f>
        <v>75.078011984003609</v>
      </c>
      <c r="AZ29" s="979">
        <f>+'RES EnergyStar'!U31</f>
        <v>25.99898631478511</v>
      </c>
      <c r="BA29" s="979">
        <f>+'RES WEA'!U31</f>
        <v>39.501284060667338</v>
      </c>
      <c r="BB29" s="979">
        <f>+'RES HC'!U31</f>
        <v>239.18951881957105</v>
      </c>
      <c r="BC29" s="738">
        <f>+'RES WF'!U31</f>
        <v>65.550135486212412</v>
      </c>
      <c r="BD29" s="979">
        <f>'RES CI'!U31</f>
        <v>4.1587294999999997</v>
      </c>
      <c r="BE29" s="979">
        <f>'RES WI'!U31</f>
        <v>0.12236000000000001</v>
      </c>
      <c r="BF29" s="979">
        <f>'RES WR'!U31</f>
        <v>4.4355180000000001</v>
      </c>
      <c r="BG29" s="979">
        <f>'RES Educ'!U31</f>
        <v>1.6674246543909348</v>
      </c>
      <c r="BH29" s="979">
        <f>'RES ECM'!U31</f>
        <v>1.6382000000000001E-2</v>
      </c>
      <c r="BI29" s="981">
        <f>'RES HVAC Re-com'!U31</f>
        <v>0.36351999999999995</v>
      </c>
      <c r="BJ29" s="981">
        <f>'RES Solar DHW'!U31</f>
        <v>0.47519999999999996</v>
      </c>
      <c r="BK29" s="981">
        <f>'RES PV'!U31</f>
        <v>3.4044675</v>
      </c>
      <c r="BL29" s="277">
        <f t="shared" si="8"/>
        <v>574.81955598299692</v>
      </c>
      <c r="BM29" s="1181">
        <f>+'RES Prime Time'!Z31</f>
        <v>0</v>
      </c>
      <c r="BN29" s="299">
        <f>+'RES EP (RSVP)'!U31</f>
        <v>4.2385017426470588</v>
      </c>
      <c r="BO29" s="282">
        <f t="shared" si="9"/>
        <v>4.2385017426470588</v>
      </c>
      <c r="BP29" s="277">
        <f t="shared" si="10"/>
        <v>579.05805772564395</v>
      </c>
      <c r="BQ29" s="162"/>
    </row>
    <row r="30" spans="1:69" x14ac:dyDescent="0.2">
      <c r="A30">
        <v>2019</v>
      </c>
      <c r="B30" s="1081">
        <f>+'RES Audit Alt'!M32</f>
        <v>15.616098290049605</v>
      </c>
      <c r="C30" s="1082">
        <f>+'RES Audit RCS'!M32</f>
        <v>0.97</v>
      </c>
      <c r="D30" s="1082">
        <f>+'RES Assist.'!M32</f>
        <v>6.8874135332252848</v>
      </c>
      <c r="E30" s="979">
        <f>+'RES DR'!M32</f>
        <v>31.926757883603759</v>
      </c>
      <c r="F30" s="979">
        <f>+'RES EnergyStar'!M32</f>
        <v>9.5361820294039017</v>
      </c>
      <c r="G30" s="979">
        <f>+'RES WEA'!M32</f>
        <v>11.245161841632962</v>
      </c>
      <c r="H30" s="979">
        <f>+'RES HC'!M32</f>
        <v>31.750663562812228</v>
      </c>
      <c r="I30" s="981">
        <f>+'RES WF'!M32</f>
        <v>24.534821375245556</v>
      </c>
      <c r="J30" s="983">
        <f>'RES CI'!M32</f>
        <v>1.8596615000000001</v>
      </c>
      <c r="K30" s="983">
        <f>'RES WI'!M32</f>
        <v>3.5004E-2</v>
      </c>
      <c r="L30" s="983">
        <f>'RES WR'!M32</f>
        <v>1.7174024999999999</v>
      </c>
      <c r="M30" s="979">
        <f>'RES Educ'!M32</f>
        <v>0.13935038243626063</v>
      </c>
      <c r="N30" s="979">
        <f>'RES ECM'!M32</f>
        <v>1.197E-2</v>
      </c>
      <c r="O30" s="981">
        <f>'RES HVAC Re-com'!M32</f>
        <v>0.25136000000000003</v>
      </c>
      <c r="P30" s="981">
        <f>'RES Solar DHW'!M32</f>
        <v>0.06</v>
      </c>
      <c r="Q30" s="981">
        <f>'RES PV'!M32</f>
        <v>1.2093750000000001</v>
      </c>
      <c r="R30" s="811">
        <f t="shared" si="2"/>
        <v>137.75122189840951</v>
      </c>
      <c r="S30" s="1178">
        <f>+'RES Prime Time'!N32</f>
        <v>0</v>
      </c>
      <c r="T30" s="7">
        <f>+'RES EP (RSVP)'!M32</f>
        <v>15.911985090992648</v>
      </c>
      <c r="U30" s="812">
        <f t="shared" si="3"/>
        <v>15.911985090992648</v>
      </c>
      <c r="V30" s="811">
        <f t="shared" si="4"/>
        <v>153.66320698940217</v>
      </c>
      <c r="W30" s="162"/>
      <c r="X30">
        <v>2019</v>
      </c>
      <c r="Y30" s="1087">
        <f>+'RES Audit Alt'!Q32</f>
        <v>24.118562305223232</v>
      </c>
      <c r="Z30" s="1088">
        <f>+'RES Audit RCS'!Q32</f>
        <v>1.36</v>
      </c>
      <c r="AA30" s="1088">
        <f>+'RES Assist.'!Q32</f>
        <v>7.243874283994101</v>
      </c>
      <c r="AB30" s="979">
        <f>+'RES DR'!Q32</f>
        <v>38.050260115848069</v>
      </c>
      <c r="AC30" s="979">
        <f>+'RES EnergyStar'!Q32</f>
        <v>8.8157572083667475</v>
      </c>
      <c r="AD30" s="979">
        <f>+'RES WEA'!Q32</f>
        <v>13.45835684428716</v>
      </c>
      <c r="AE30" s="979">
        <f>+'RES HC'!Q32</f>
        <v>349.8240086772206</v>
      </c>
      <c r="AF30" s="738">
        <f>+'RES WF'!Q32</f>
        <v>48.250807506533867</v>
      </c>
      <c r="AG30" s="979">
        <f>'RES CI'!Q32</f>
        <v>2.3494999999999999</v>
      </c>
      <c r="AH30" s="979">
        <f>'RES WI'!Q32</f>
        <v>4.1357999999999999E-2</v>
      </c>
      <c r="AI30" s="979">
        <f>'RES WR'!Q32</f>
        <v>0.89633600000000002</v>
      </c>
      <c r="AJ30" s="979">
        <f>'RES Educ'!Q32</f>
        <v>0.23094726345609062</v>
      </c>
      <c r="AK30" s="979">
        <f>'RES ECM'!Q32</f>
        <v>8.5079999999999982E-3</v>
      </c>
      <c r="AL30" s="738">
        <f>'RES HVAC Re-com'!Q32</f>
        <v>0.12415</v>
      </c>
      <c r="AM30" s="738">
        <f>'RES Solar DHW'!Q32</f>
        <v>0.10553</v>
      </c>
      <c r="AN30" s="738">
        <f>'RES PV'!Q32</f>
        <v>0</v>
      </c>
      <c r="AO30" s="277">
        <f t="shared" si="5"/>
        <v>494.87795620492983</v>
      </c>
      <c r="AP30" s="1181">
        <f>+'RES Prime Time'!T32</f>
        <v>0</v>
      </c>
      <c r="AQ30" s="299">
        <f>+'RES EP (RSVP)'!Q32</f>
        <v>22.260055391544117</v>
      </c>
      <c r="AR30" s="282">
        <f t="shared" si="6"/>
        <v>22.260055391544117</v>
      </c>
      <c r="AS30" s="277">
        <f t="shared" si="7"/>
        <v>517.13801159647392</v>
      </c>
      <c r="AU30">
        <v>2019</v>
      </c>
      <c r="AV30" s="1081">
        <f>+'RES Audit Alt'!U32</f>
        <v>83.034094764662967</v>
      </c>
      <c r="AW30" s="1082">
        <f>+'RES Audit RCS'!U32</f>
        <v>3.27</v>
      </c>
      <c r="AX30" s="1082">
        <f>+'RES Assist.'!U32</f>
        <v>28.553922898703402</v>
      </c>
      <c r="AY30" s="979">
        <f>+'RES DR'!U32</f>
        <v>75.26426198400361</v>
      </c>
      <c r="AZ30" s="979">
        <f>+'RES EnergyStar'!U32</f>
        <v>26.621236314785111</v>
      </c>
      <c r="BA30" s="979">
        <f>+'RES WEA'!U32</f>
        <v>47.902534060667335</v>
      </c>
      <c r="BB30" s="979">
        <f>+'RES HC'!U32</f>
        <v>239.52341881957105</v>
      </c>
      <c r="BC30" s="738">
        <f>+'RES WF'!U32</f>
        <v>65.550135486212412</v>
      </c>
      <c r="BD30" s="979">
        <f>'RES CI'!U32</f>
        <v>5.2187295000000002</v>
      </c>
      <c r="BE30" s="979">
        <f>'RES WI'!U32</f>
        <v>0.13353200000000001</v>
      </c>
      <c r="BF30" s="979">
        <f>'RES WR'!U32</f>
        <v>4.9960180000000003</v>
      </c>
      <c r="BG30" s="979">
        <f>'RES Educ'!U32</f>
        <v>1.8384246543909348</v>
      </c>
      <c r="BH30" s="979">
        <f>'RES ECM'!U32</f>
        <v>3.0932000000000001E-2</v>
      </c>
      <c r="BI30" s="981">
        <f>'RES HVAC Re-com'!U32</f>
        <v>0.36351999999999995</v>
      </c>
      <c r="BJ30" s="981">
        <f>'RES Solar DHW'!U32</f>
        <v>0.47519999999999996</v>
      </c>
      <c r="BK30" s="981">
        <f>'RES PV'!U32</f>
        <v>3.4044675</v>
      </c>
      <c r="BL30" s="277">
        <f t="shared" si="8"/>
        <v>586.18042798299678</v>
      </c>
      <c r="BM30" s="1181">
        <f>+'RES Prime Time'!Z32</f>
        <v>0</v>
      </c>
      <c r="BN30" s="299">
        <f>+'RES EP (RSVP)'!U32</f>
        <v>4.5107517426470585</v>
      </c>
      <c r="BO30" s="282">
        <f t="shared" si="9"/>
        <v>4.5107517426470585</v>
      </c>
      <c r="BP30" s="277">
        <f t="shared" si="10"/>
        <v>590.69117972564379</v>
      </c>
      <c r="BQ30" s="162"/>
    </row>
    <row r="31" spans="1:69" x14ac:dyDescent="0.2">
      <c r="A31">
        <v>2020</v>
      </c>
      <c r="B31" s="1081">
        <f>+'RES Audit Alt'!M33</f>
        <v>15.616098290049605</v>
      </c>
      <c r="C31" s="1082">
        <f>+'RES Audit RCS'!M33</f>
        <v>0.97</v>
      </c>
      <c r="D31" s="1082">
        <f>+'RES Assist.'!M33</f>
        <v>6.8874135332252848</v>
      </c>
      <c r="E31" s="979">
        <f>+'RES DR'!M33</f>
        <v>32.012257883603759</v>
      </c>
      <c r="F31" s="979">
        <f>+'RES EnergyStar'!M33</f>
        <v>9.6689320294039014</v>
      </c>
      <c r="G31" s="979">
        <f>+'RES WEA'!M33</f>
        <v>12.932161841632961</v>
      </c>
      <c r="H31" s="979">
        <f>+'RES HC'!M33</f>
        <v>31.842463562812227</v>
      </c>
      <c r="I31" s="981">
        <f>+'RES WF'!M33</f>
        <v>24.534821375245556</v>
      </c>
      <c r="J31" s="983">
        <f>'RES CI'!M33</f>
        <v>2.2496615000000002</v>
      </c>
      <c r="K31" s="983">
        <f>'RES WI'!M33</f>
        <v>3.7915999999999998E-2</v>
      </c>
      <c r="L31" s="983">
        <f>'RES WR'!M33</f>
        <v>1.8729024999999999</v>
      </c>
      <c r="M31" s="979">
        <f>'RES Educ'!M33</f>
        <v>0.15185038243626064</v>
      </c>
      <c r="N31" s="979">
        <f>'RES ECM'!M33</f>
        <v>1.797E-2</v>
      </c>
      <c r="O31" s="981">
        <f>'RES HVAC Re-com'!M33</f>
        <v>0.25136000000000003</v>
      </c>
      <c r="P31" s="981">
        <f>'RES Solar DHW'!M33</f>
        <v>0.06</v>
      </c>
      <c r="Q31" s="981">
        <f>'RES PV'!M33</f>
        <v>1.2093750000000001</v>
      </c>
      <c r="R31" s="811">
        <f t="shared" si="2"/>
        <v>140.31518389840957</v>
      </c>
      <c r="S31" s="1179">
        <f>+'RES Prime Time'!N33</f>
        <v>0</v>
      </c>
      <c r="T31" s="979">
        <f>+'RES EP (RSVP)'!M33</f>
        <v>18.426985090992648</v>
      </c>
      <c r="U31" s="811">
        <f t="shared" si="3"/>
        <v>18.426985090992648</v>
      </c>
      <c r="V31" s="811">
        <f t="shared" si="4"/>
        <v>158.74216898940222</v>
      </c>
      <c r="W31" s="162"/>
      <c r="X31">
        <v>2020</v>
      </c>
      <c r="Y31" s="1087">
        <f>+'RES Audit Alt'!Q33</f>
        <v>24.118562305223232</v>
      </c>
      <c r="Z31" s="1088">
        <f>+'RES Audit RCS'!Q33</f>
        <v>1.36</v>
      </c>
      <c r="AA31" s="1088">
        <f>+'RES Assist.'!Q33</f>
        <v>7.243874283994101</v>
      </c>
      <c r="AB31" s="979">
        <f>+'RES DR'!Q33</f>
        <v>38.158760115848068</v>
      </c>
      <c r="AC31" s="979">
        <f>+'RES EnergyStar'!Q33</f>
        <v>8.938257208366748</v>
      </c>
      <c r="AD31" s="979">
        <f>+'RES WEA'!Q33</f>
        <v>15.817356844287159</v>
      </c>
      <c r="AE31" s="979">
        <f>+'RES HC'!Q33</f>
        <v>350.12370867722058</v>
      </c>
      <c r="AF31" s="738">
        <f>+'RES WF'!Q33</f>
        <v>48.250807506533867</v>
      </c>
      <c r="AG31" s="979">
        <f>'RES CI'!Q33</f>
        <v>2.9045000000000001</v>
      </c>
      <c r="AH31" s="979">
        <f>'RES WI'!Q33</f>
        <v>4.7685999999999999E-2</v>
      </c>
      <c r="AI31" s="979">
        <f>'RES WR'!Q33</f>
        <v>1.0023360000000001</v>
      </c>
      <c r="AJ31" s="979">
        <f>'RES Educ'!Q33</f>
        <v>0.25394726345609064</v>
      </c>
      <c r="AK31" s="979">
        <f>'RES ECM'!Q33</f>
        <v>1.4187999999999997E-2</v>
      </c>
      <c r="AL31" s="738">
        <f>'RES HVAC Re-com'!Q33</f>
        <v>0.12415</v>
      </c>
      <c r="AM31" s="738">
        <f>'RES Solar DHW'!Q33</f>
        <v>0.10553</v>
      </c>
      <c r="AN31" s="738">
        <f>'RES PV'!Q33</f>
        <v>0</v>
      </c>
      <c r="AO31" s="277">
        <f t="shared" si="5"/>
        <v>498.46366420492984</v>
      </c>
      <c r="AP31" s="1182">
        <f>+'RES Prime Time'!T33</f>
        <v>0</v>
      </c>
      <c r="AQ31" s="276">
        <f>+'RES EP (RSVP)'!Q33</f>
        <v>26.177555391544118</v>
      </c>
      <c r="AR31" s="277">
        <f t="shared" si="6"/>
        <v>26.177555391544118</v>
      </c>
      <c r="AS31" s="277">
        <f t="shared" si="7"/>
        <v>524.641219596474</v>
      </c>
      <c r="AU31">
        <v>2020</v>
      </c>
      <c r="AV31" s="1081">
        <f>+'RES Audit Alt'!U33</f>
        <v>83.034094764662967</v>
      </c>
      <c r="AW31" s="1082">
        <f>+'RES Audit RCS'!U33</f>
        <v>3.27</v>
      </c>
      <c r="AX31" s="1082">
        <f>+'RES Assist.'!U33</f>
        <v>28.553922898703402</v>
      </c>
      <c r="AY31" s="979">
        <f>+'RES DR'!U33</f>
        <v>75.413261984003611</v>
      </c>
      <c r="AZ31" s="979">
        <f>+'RES EnergyStar'!U33</f>
        <v>27.243486314785113</v>
      </c>
      <c r="BA31" s="979">
        <f>+'RES WEA'!U33</f>
        <v>56.456534060667337</v>
      </c>
      <c r="BB31" s="979">
        <f>+'RES HC'!U33</f>
        <v>239.85731881957105</v>
      </c>
      <c r="BC31" s="738">
        <f>+'RES WF'!U33</f>
        <v>65.550135486212412</v>
      </c>
      <c r="BD31" s="979">
        <f>'RES CI'!U33</f>
        <v>6.4907295000000005</v>
      </c>
      <c r="BE31" s="979">
        <f>'RES WI'!U33</f>
        <v>0.144704</v>
      </c>
      <c r="BF31" s="979">
        <f>'RES WR'!U33</f>
        <v>5.5565180000000005</v>
      </c>
      <c r="BG31" s="979">
        <f>'RES Educ'!U33</f>
        <v>2.0094246543909349</v>
      </c>
      <c r="BH31" s="979">
        <f>'RES ECM'!U33</f>
        <v>4.6452E-2</v>
      </c>
      <c r="BI31" s="981">
        <f>'RES HVAC Re-com'!U33</f>
        <v>0.36351999999999995</v>
      </c>
      <c r="BJ31" s="981">
        <f>'RES Solar DHW'!U33</f>
        <v>0.47519999999999996</v>
      </c>
      <c r="BK31" s="981">
        <f>'RES PV'!U33</f>
        <v>3.4044675</v>
      </c>
      <c r="BL31" s="277">
        <f t="shared" si="8"/>
        <v>597.86976998299701</v>
      </c>
      <c r="BM31" s="1182">
        <f>+'RES Prime Time'!Z33</f>
        <v>0</v>
      </c>
      <c r="BN31" s="276">
        <f>+'RES EP (RSVP)'!U33</f>
        <v>4.8132517426470587</v>
      </c>
      <c r="BO31" s="277">
        <f t="shared" si="9"/>
        <v>4.8132517426470587</v>
      </c>
      <c r="BP31" s="277">
        <f t="shared" si="10"/>
        <v>602.68302172564404</v>
      </c>
      <c r="BQ31" s="162"/>
    </row>
    <row r="32" spans="1:69" x14ac:dyDescent="0.2">
      <c r="A32">
        <v>2021</v>
      </c>
      <c r="B32" s="1081">
        <f>+'RES Audit Alt'!M34</f>
        <v>15.616098290049605</v>
      </c>
      <c r="C32" s="1082">
        <f>+'RES Audit RCS'!M34</f>
        <v>0.97</v>
      </c>
      <c r="D32" s="1082">
        <f>+'RES Assist.'!M34</f>
        <v>6.8874135332252848</v>
      </c>
      <c r="E32" s="979">
        <f>+'RES DR'!M34</f>
        <v>32.097757883603762</v>
      </c>
      <c r="F32" s="979">
        <f>+'RES EnergyStar'!M34</f>
        <v>9.8016820294039011</v>
      </c>
      <c r="G32" s="979">
        <f>+'RES WEA'!M34</f>
        <v>14.619161841632961</v>
      </c>
      <c r="H32" s="979">
        <f>+'RES HC'!M34</f>
        <v>31.934263562812227</v>
      </c>
      <c r="I32" s="981">
        <f>+'RES WF'!M34</f>
        <v>24.534821375245556</v>
      </c>
      <c r="J32" s="983">
        <f>'RES CI'!M34</f>
        <v>2.6396615000000003</v>
      </c>
      <c r="K32" s="983">
        <f>'RES WI'!M34</f>
        <v>4.0827999999999996E-2</v>
      </c>
      <c r="L32" s="983">
        <f>'RES WR'!M34</f>
        <v>2.0284024999999999</v>
      </c>
      <c r="M32" s="979">
        <f>'RES Educ'!M34</f>
        <v>0.16435038243626066</v>
      </c>
      <c r="N32" s="979">
        <f>'RES ECM'!M34</f>
        <v>2.3969999999999998E-2</v>
      </c>
      <c r="O32" s="981">
        <f>'RES HVAC Re-com'!M34</f>
        <v>0.25136000000000003</v>
      </c>
      <c r="P32" s="981">
        <f>'RES Solar DHW'!M34</f>
        <v>0.06</v>
      </c>
      <c r="Q32" s="981">
        <f>'RES PV'!M34</f>
        <v>1.2093750000000001</v>
      </c>
      <c r="R32" s="811">
        <f t="shared" si="2"/>
        <v>142.87914589840955</v>
      </c>
      <c r="S32" s="1179">
        <f>+'RES Prime Time'!N34</f>
        <v>0</v>
      </c>
      <c r="T32" s="979">
        <f>+'RES EP (RSVP)'!M34</f>
        <v>20.941985090992649</v>
      </c>
      <c r="U32" s="811">
        <f t="shared" si="3"/>
        <v>20.941985090992649</v>
      </c>
      <c r="V32" s="811">
        <f t="shared" si="4"/>
        <v>163.82113098940221</v>
      </c>
      <c r="W32" s="162"/>
      <c r="X32">
        <v>2021</v>
      </c>
      <c r="Y32" s="1087">
        <f>+'RES Audit Alt'!Q34</f>
        <v>24.118562305223232</v>
      </c>
      <c r="Z32" s="1088">
        <f>+'RES Audit RCS'!Q34</f>
        <v>1.36</v>
      </c>
      <c r="AA32" s="1088">
        <f>+'RES Assist.'!Q34</f>
        <v>7.243874283994101</v>
      </c>
      <c r="AB32" s="979">
        <f>+'RES DR'!Q34</f>
        <v>38.267260115848067</v>
      </c>
      <c r="AC32" s="979">
        <f>+'RES EnergyStar'!Q34</f>
        <v>9.0607572083667485</v>
      </c>
      <c r="AD32" s="979">
        <f>+'RES WEA'!Q34</f>
        <v>18.176356844287159</v>
      </c>
      <c r="AE32" s="979">
        <f>+'RES HC'!Q34</f>
        <v>350.42340867722055</v>
      </c>
      <c r="AF32" s="738">
        <f>+'RES WF'!Q34</f>
        <v>48.250807506533867</v>
      </c>
      <c r="AG32" s="979">
        <f>'RES CI'!Q34</f>
        <v>3.4595000000000002</v>
      </c>
      <c r="AH32" s="979">
        <f>'RES WI'!Q34</f>
        <v>5.4014E-2</v>
      </c>
      <c r="AI32" s="979">
        <f>'RES WR'!Q34</f>
        <v>1.1083360000000002</v>
      </c>
      <c r="AJ32" s="979">
        <f>'RES Educ'!Q34</f>
        <v>0.27694726345609066</v>
      </c>
      <c r="AK32" s="979">
        <f>'RES ECM'!Q34</f>
        <v>1.9867999999999997E-2</v>
      </c>
      <c r="AL32" s="738">
        <f>'RES HVAC Re-com'!Q34</f>
        <v>0.12415</v>
      </c>
      <c r="AM32" s="738">
        <f>'RES Solar DHW'!Q34</f>
        <v>0.10553</v>
      </c>
      <c r="AN32" s="738">
        <f>'RES PV'!Q34</f>
        <v>0</v>
      </c>
      <c r="AO32" s="277">
        <f t="shared" si="5"/>
        <v>502.04937220492974</v>
      </c>
      <c r="AP32" s="1182">
        <f>+'RES Prime Time'!T34</f>
        <v>0</v>
      </c>
      <c r="AQ32" s="276">
        <f>+'RES EP (RSVP)'!Q34</f>
        <v>30.095055391544118</v>
      </c>
      <c r="AR32" s="277">
        <f t="shared" si="6"/>
        <v>30.095055391544118</v>
      </c>
      <c r="AS32" s="277">
        <f t="shared" si="7"/>
        <v>532.14442759647386</v>
      </c>
      <c r="AU32">
        <v>2021</v>
      </c>
      <c r="AV32" s="1081">
        <f>+'RES Audit Alt'!U34</f>
        <v>83.034094764662967</v>
      </c>
      <c r="AW32" s="1082">
        <f>+'RES Audit RCS'!U34</f>
        <v>3.27</v>
      </c>
      <c r="AX32" s="1082">
        <f>+'RES Assist.'!U34</f>
        <v>28.553922898703402</v>
      </c>
      <c r="AY32" s="979">
        <f>+'RES DR'!U34</f>
        <v>75.562261984003612</v>
      </c>
      <c r="AZ32" s="979">
        <f>+'RES EnergyStar'!U34</f>
        <v>27.865736314785114</v>
      </c>
      <c r="BA32" s="979">
        <f>+'RES WEA'!U34</f>
        <v>65.010534060667339</v>
      </c>
      <c r="BB32" s="979">
        <f>+'RES HC'!U34</f>
        <v>240.19121881957105</v>
      </c>
      <c r="BC32" s="738">
        <f>+'RES WF'!U34</f>
        <v>65.550135486212412</v>
      </c>
      <c r="BD32" s="979">
        <f>'RES CI'!U34</f>
        <v>7.7627295000000007</v>
      </c>
      <c r="BE32" s="979">
        <f>'RES WI'!U34</f>
        <v>0.15587599999999999</v>
      </c>
      <c r="BF32" s="979">
        <f>'RES WR'!U34</f>
        <v>6.1170180000000007</v>
      </c>
      <c r="BG32" s="979">
        <f>'RES Educ'!U34</f>
        <v>2.1804246543909347</v>
      </c>
      <c r="BH32" s="979">
        <f>'RES ECM'!U34</f>
        <v>6.1971999999999999E-2</v>
      </c>
      <c r="BI32" s="981">
        <f>'RES HVAC Re-com'!U34</f>
        <v>0.36351999999999995</v>
      </c>
      <c r="BJ32" s="981">
        <f>'RES Solar DHW'!U34</f>
        <v>0.47519999999999996</v>
      </c>
      <c r="BK32" s="981">
        <f>'RES PV'!U34</f>
        <v>3.4044675</v>
      </c>
      <c r="BL32" s="277">
        <f t="shared" si="8"/>
        <v>609.5591119829968</v>
      </c>
      <c r="BM32" s="1182">
        <f>+'RES Prime Time'!Z34</f>
        <v>0</v>
      </c>
      <c r="BN32" s="276">
        <f>+'RES EP (RSVP)'!U34</f>
        <v>5.1157517426470589</v>
      </c>
      <c r="BO32" s="277">
        <f t="shared" si="9"/>
        <v>5.1157517426470589</v>
      </c>
      <c r="BP32" s="277">
        <f t="shared" si="10"/>
        <v>614.67486372564383</v>
      </c>
      <c r="BQ32" s="162"/>
    </row>
    <row r="33" spans="1:69" x14ac:dyDescent="0.2">
      <c r="A33">
        <v>2022</v>
      </c>
      <c r="B33" s="1081">
        <f>+'RES Audit Alt'!M35</f>
        <v>15.616098290049605</v>
      </c>
      <c r="C33" s="1082">
        <f>+'RES Audit RCS'!M35</f>
        <v>0.97</v>
      </c>
      <c r="D33" s="1082">
        <f>+'RES Assist.'!M35</f>
        <v>6.8874135332252848</v>
      </c>
      <c r="E33" s="979">
        <f>+'RES DR'!M35</f>
        <v>32.183257883603765</v>
      </c>
      <c r="F33" s="979">
        <f>+'RES EnergyStar'!M35</f>
        <v>9.9344320294039008</v>
      </c>
      <c r="G33" s="979">
        <f>+'RES WEA'!M35</f>
        <v>16.30616184163296</v>
      </c>
      <c r="H33" s="979">
        <f>+'RES HC'!M35</f>
        <v>32.015863562812228</v>
      </c>
      <c r="I33" s="981">
        <f>+'RES WF'!M35</f>
        <v>24.534821375245556</v>
      </c>
      <c r="J33" s="983">
        <f>'RES CI'!M35</f>
        <v>3.0296615000000005</v>
      </c>
      <c r="K33" s="983">
        <f>'RES WI'!M35</f>
        <v>4.3739999999999994E-2</v>
      </c>
      <c r="L33" s="983">
        <f>'RES WR'!M35</f>
        <v>2.1839024999999999</v>
      </c>
      <c r="M33" s="979">
        <f>'RES Educ'!M35</f>
        <v>0.17685038243626067</v>
      </c>
      <c r="N33" s="979">
        <f>'RES ECM'!M35</f>
        <v>2.9969999999999997E-2</v>
      </c>
      <c r="O33" s="981">
        <f>'RES HVAC Re-com'!M35</f>
        <v>0.25136000000000003</v>
      </c>
      <c r="P33" s="981">
        <f>'RES Solar DHW'!M35</f>
        <v>0.06</v>
      </c>
      <c r="Q33" s="981">
        <f>'RES PV'!M35</f>
        <v>1.2093750000000001</v>
      </c>
      <c r="R33" s="811">
        <f t="shared" si="2"/>
        <v>145.43290789840958</v>
      </c>
      <c r="S33" s="1179">
        <f>+'RES Prime Time'!N35</f>
        <v>0</v>
      </c>
      <c r="T33" s="979">
        <f>+'RES EP (RSVP)'!M35</f>
        <v>23.456985090992649</v>
      </c>
      <c r="U33" s="811">
        <f t="shared" si="3"/>
        <v>23.456985090992649</v>
      </c>
      <c r="V33" s="811">
        <f t="shared" si="4"/>
        <v>168.88989298940223</v>
      </c>
      <c r="W33" s="162"/>
      <c r="X33">
        <v>2022</v>
      </c>
      <c r="Y33" s="1087">
        <f>+'RES Audit Alt'!Q35</f>
        <v>24.118562305223232</v>
      </c>
      <c r="Z33" s="1088">
        <f>+'RES Audit RCS'!Q35</f>
        <v>1.36</v>
      </c>
      <c r="AA33" s="1088">
        <f>+'RES Assist.'!Q35</f>
        <v>7.243874283994101</v>
      </c>
      <c r="AB33" s="979">
        <f>+'RES DR'!Q35</f>
        <v>38.375760115848067</v>
      </c>
      <c r="AC33" s="979">
        <f>+'RES EnergyStar'!Q35</f>
        <v>9.183257208366749</v>
      </c>
      <c r="AD33" s="979">
        <f>+'RES WEA'!Q35</f>
        <v>20.535356844287158</v>
      </c>
      <c r="AE33" s="979">
        <f>+'RES HC'!Q35</f>
        <v>350.72310867722052</v>
      </c>
      <c r="AF33" s="738">
        <f>+'RES WF'!Q35</f>
        <v>48.250807506533867</v>
      </c>
      <c r="AG33" s="979">
        <f>'RES CI'!Q35</f>
        <v>4.0145</v>
      </c>
      <c r="AH33" s="979">
        <f>'RES WI'!Q35</f>
        <v>6.0342E-2</v>
      </c>
      <c r="AI33" s="979">
        <f>'RES WR'!Q35</f>
        <v>1.2143360000000003</v>
      </c>
      <c r="AJ33" s="979">
        <f>'RES Educ'!Q35</f>
        <v>0.29994726345609068</v>
      </c>
      <c r="AK33" s="979">
        <f>'RES ECM'!Q35</f>
        <v>2.5547999999999994E-2</v>
      </c>
      <c r="AL33" s="738">
        <f>'RES HVAC Re-com'!Q35</f>
        <v>0.12415</v>
      </c>
      <c r="AM33" s="738">
        <f>'RES Solar DHW'!Q35</f>
        <v>0.10553</v>
      </c>
      <c r="AN33" s="738">
        <f>'RES PV'!Q35</f>
        <v>0</v>
      </c>
      <c r="AO33" s="277">
        <f t="shared" si="5"/>
        <v>505.63508020492981</v>
      </c>
      <c r="AP33" s="1182">
        <f>+'RES Prime Time'!T35</f>
        <v>0</v>
      </c>
      <c r="AQ33" s="276">
        <f>+'RES EP (RSVP)'!Q35</f>
        <v>34.012555391544119</v>
      </c>
      <c r="AR33" s="277">
        <f t="shared" si="6"/>
        <v>34.012555391544119</v>
      </c>
      <c r="AS33" s="277">
        <f t="shared" si="7"/>
        <v>539.64763559647395</v>
      </c>
      <c r="AU33">
        <v>2022</v>
      </c>
      <c r="AV33" s="1081">
        <f>+'RES Audit Alt'!U35</f>
        <v>83.034094764662967</v>
      </c>
      <c r="AW33" s="1082">
        <f>+'RES Audit RCS'!U35</f>
        <v>3.27</v>
      </c>
      <c r="AX33" s="1082">
        <f>+'RES Assist.'!U35</f>
        <v>28.553922898703402</v>
      </c>
      <c r="AY33" s="979">
        <f>+'RES DR'!U35</f>
        <v>75.711261984003613</v>
      </c>
      <c r="AZ33" s="979">
        <f>+'RES EnergyStar'!U35</f>
        <v>28.487986314785115</v>
      </c>
      <c r="BA33" s="979">
        <f>+'RES WEA'!U35</f>
        <v>73.564534060667341</v>
      </c>
      <c r="BB33" s="979">
        <f>+'RES HC'!U35</f>
        <v>240.48801881957104</v>
      </c>
      <c r="BC33" s="738">
        <f>+'RES WF'!U35</f>
        <v>65.550135486212412</v>
      </c>
      <c r="BD33" s="979">
        <f>'RES CI'!U35</f>
        <v>9.034729500000001</v>
      </c>
      <c r="BE33" s="979">
        <f>'RES WI'!U35</f>
        <v>0.16704799999999997</v>
      </c>
      <c r="BF33" s="979">
        <f>'RES WR'!U35</f>
        <v>6.677518000000001</v>
      </c>
      <c r="BG33" s="979">
        <f>'RES Educ'!U35</f>
        <v>2.3514246543909345</v>
      </c>
      <c r="BH33" s="979">
        <f>'RES ECM'!U35</f>
        <v>7.7492000000000005E-2</v>
      </c>
      <c r="BI33" s="981">
        <f>'RES HVAC Re-com'!U35</f>
        <v>0.36351999999999995</v>
      </c>
      <c r="BJ33" s="981">
        <f>'RES Solar DHW'!U35</f>
        <v>0.47519999999999996</v>
      </c>
      <c r="BK33" s="981">
        <f>'RES PV'!U35</f>
        <v>3.4044675</v>
      </c>
      <c r="BL33" s="277">
        <f t="shared" si="8"/>
        <v>621.2113539829968</v>
      </c>
      <c r="BM33" s="1182">
        <f>+'RES Prime Time'!Z35</f>
        <v>0</v>
      </c>
      <c r="BN33" s="276">
        <f>+'RES EP (RSVP)'!U35</f>
        <v>5.4182517426470591</v>
      </c>
      <c r="BO33" s="277">
        <f t="shared" si="9"/>
        <v>5.4182517426470591</v>
      </c>
      <c r="BP33" s="277">
        <f t="shared" si="10"/>
        <v>626.62960572564384</v>
      </c>
      <c r="BQ33" s="162"/>
    </row>
    <row r="34" spans="1:69" x14ac:dyDescent="0.2">
      <c r="A34">
        <v>2023</v>
      </c>
      <c r="B34" s="1081">
        <f>+'RES Audit Alt'!M36</f>
        <v>15.616098290049605</v>
      </c>
      <c r="C34" s="1082">
        <f>+'RES Audit RCS'!M36</f>
        <v>0.97</v>
      </c>
      <c r="D34" s="1082">
        <f>+'RES Assist.'!M36</f>
        <v>6.8874135332252848</v>
      </c>
      <c r="E34" s="979">
        <f>+'RES DR'!M36</f>
        <v>32.268757883603769</v>
      </c>
      <c r="F34" s="979">
        <f>+'RES EnergyStar'!M36</f>
        <v>10.067182029403901</v>
      </c>
      <c r="G34" s="979">
        <f>+'RES WEA'!M36</f>
        <v>17.993161841632961</v>
      </c>
      <c r="H34" s="979">
        <f>+'RES HC'!M36</f>
        <v>32.082163562812227</v>
      </c>
      <c r="I34" s="981">
        <f>+'RES WF'!M36</f>
        <v>24.534821375245556</v>
      </c>
      <c r="J34" s="983">
        <f>'RES CI'!M36</f>
        <v>3.4196615000000006</v>
      </c>
      <c r="K34" s="983">
        <f>'RES WI'!M36</f>
        <v>4.6651999999999992E-2</v>
      </c>
      <c r="L34" s="983">
        <f>'RES WR'!M36</f>
        <v>2.3394024999999998</v>
      </c>
      <c r="M34" s="979">
        <f>'RES Educ'!M36</f>
        <v>0.18935038243626068</v>
      </c>
      <c r="N34" s="979">
        <f>'RES ECM'!M36</f>
        <v>3.5969999999999995E-2</v>
      </c>
      <c r="O34" s="981">
        <f>'RES HVAC Re-com'!M36</f>
        <v>0.25136000000000003</v>
      </c>
      <c r="P34" s="981">
        <f>'RES Solar DHW'!M36</f>
        <v>0.06</v>
      </c>
      <c r="Q34" s="981">
        <f>'RES PV'!M36</f>
        <v>1.2093750000000001</v>
      </c>
      <c r="R34" s="811">
        <f t="shared" si="2"/>
        <v>147.97136989840953</v>
      </c>
      <c r="S34" s="1179">
        <f>+'RES Prime Time'!N36</f>
        <v>0</v>
      </c>
      <c r="T34" s="979">
        <f>+'RES EP (RSVP)'!M36</f>
        <v>25.97198509099265</v>
      </c>
      <c r="U34" s="811">
        <f t="shared" si="3"/>
        <v>25.97198509099265</v>
      </c>
      <c r="V34" s="811">
        <f t="shared" si="4"/>
        <v>173.9433549894022</v>
      </c>
      <c r="W34" s="162"/>
      <c r="X34">
        <v>2023</v>
      </c>
      <c r="Y34" s="1087">
        <f>+'RES Audit Alt'!Q36</f>
        <v>24.118562305223232</v>
      </c>
      <c r="Z34" s="1088">
        <f>+'RES Audit RCS'!Q36</f>
        <v>1.36</v>
      </c>
      <c r="AA34" s="1088">
        <f>+'RES Assist.'!Q36</f>
        <v>7.243874283994101</v>
      </c>
      <c r="AB34" s="979">
        <f>+'RES DR'!Q36</f>
        <v>38.484260115848066</v>
      </c>
      <c r="AC34" s="979">
        <f>+'RES EnergyStar'!Q36</f>
        <v>9.3057572083667495</v>
      </c>
      <c r="AD34" s="979">
        <f>+'RES WEA'!Q36</f>
        <v>22.894356844287159</v>
      </c>
      <c r="AE34" s="979">
        <f>+'RES HC'!Q36</f>
        <v>350.9562086772205</v>
      </c>
      <c r="AF34" s="738">
        <f>+'RES WF'!Q36</f>
        <v>48.250807506533867</v>
      </c>
      <c r="AG34" s="979">
        <f>'RES CI'!Q36</f>
        <v>4.5694999999999997</v>
      </c>
      <c r="AH34" s="979">
        <f>'RES WI'!Q36</f>
        <v>6.6670000000000007E-2</v>
      </c>
      <c r="AI34" s="979">
        <f>'RES WR'!Q36</f>
        <v>1.3203360000000004</v>
      </c>
      <c r="AJ34" s="979">
        <f>'RES Educ'!Q36</f>
        <v>0.32294726345609071</v>
      </c>
      <c r="AK34" s="979">
        <f>'RES ECM'!Q36</f>
        <v>3.1227999999999992E-2</v>
      </c>
      <c r="AL34" s="738">
        <f>'RES HVAC Re-com'!Q36</f>
        <v>0.12415</v>
      </c>
      <c r="AM34" s="738">
        <f>'RES Solar DHW'!Q36</f>
        <v>0.10553</v>
      </c>
      <c r="AN34" s="738">
        <f>'RES PV'!Q36</f>
        <v>0</v>
      </c>
      <c r="AO34" s="277">
        <f t="shared" si="5"/>
        <v>509.15418820492977</v>
      </c>
      <c r="AP34" s="1182">
        <f>+'RES Prime Time'!T36</f>
        <v>0</v>
      </c>
      <c r="AQ34" s="276">
        <f>+'RES EP (RSVP)'!Q36</f>
        <v>37.930055391544116</v>
      </c>
      <c r="AR34" s="277">
        <f t="shared" si="6"/>
        <v>37.930055391544116</v>
      </c>
      <c r="AS34" s="277">
        <f t="shared" si="7"/>
        <v>547.08424359647393</v>
      </c>
      <c r="AU34">
        <v>2023</v>
      </c>
      <c r="AV34" s="1081">
        <f>+'RES Audit Alt'!U36</f>
        <v>83.034094764662967</v>
      </c>
      <c r="AW34" s="1082">
        <f>+'RES Audit RCS'!U36</f>
        <v>3.27</v>
      </c>
      <c r="AX34" s="1082">
        <f>+'RES Assist.'!U36</f>
        <v>28.553922898703402</v>
      </c>
      <c r="AY34" s="979">
        <f>+'RES DR'!U36</f>
        <v>75.860261984003614</v>
      </c>
      <c r="AZ34" s="979">
        <f>+'RES EnergyStar'!U36</f>
        <v>29.110236314785116</v>
      </c>
      <c r="BA34" s="979">
        <f>+'RES WEA'!U36</f>
        <v>82.118534060667344</v>
      </c>
      <c r="BB34" s="979">
        <f>+'RES HC'!U36</f>
        <v>240.72916881957104</v>
      </c>
      <c r="BC34" s="738">
        <f>+'RES WF'!U36</f>
        <v>65.550135486212412</v>
      </c>
      <c r="BD34" s="979">
        <f>'RES CI'!U36</f>
        <v>10.306729500000001</v>
      </c>
      <c r="BE34" s="979">
        <f>'RES WI'!U36</f>
        <v>0.17821999999999996</v>
      </c>
      <c r="BF34" s="979">
        <f>'RES WR'!U36</f>
        <v>7.2380180000000012</v>
      </c>
      <c r="BG34" s="979">
        <f>'RES Educ'!U36</f>
        <v>2.5224246543909343</v>
      </c>
      <c r="BH34" s="979">
        <f>'RES ECM'!U36</f>
        <v>9.3012000000000011E-2</v>
      </c>
      <c r="BI34" s="981">
        <f>'RES HVAC Re-com'!U36</f>
        <v>0.36351999999999995</v>
      </c>
      <c r="BJ34" s="981">
        <f>'RES Solar DHW'!U36</f>
        <v>0.47519999999999996</v>
      </c>
      <c r="BK34" s="981">
        <f>'RES PV'!U36</f>
        <v>3.4044675</v>
      </c>
      <c r="BL34" s="277">
        <f t="shared" si="8"/>
        <v>632.80794598299678</v>
      </c>
      <c r="BM34" s="1182">
        <f>+'RES Prime Time'!Z36</f>
        <v>0</v>
      </c>
      <c r="BN34" s="276">
        <f>+'RES EP (RSVP)'!U36</f>
        <v>5.7207517426470593</v>
      </c>
      <c r="BO34" s="277">
        <f t="shared" si="9"/>
        <v>5.7207517426470593</v>
      </c>
      <c r="BP34" s="277">
        <f t="shared" si="10"/>
        <v>638.52869772564384</v>
      </c>
      <c r="BQ34" s="162"/>
    </row>
    <row r="35" spans="1:69" x14ac:dyDescent="0.2">
      <c r="A35">
        <v>2024</v>
      </c>
      <c r="B35" s="1081">
        <f>+'RES Audit Alt'!M37</f>
        <v>15.616098290049605</v>
      </c>
      <c r="C35" s="1082">
        <f>+'RES Audit RCS'!M37</f>
        <v>0.97</v>
      </c>
      <c r="D35" s="1082">
        <f>+'RES Assist.'!M37</f>
        <v>6.8874135332252848</v>
      </c>
      <c r="E35" s="979">
        <f>+'RES DR'!M37</f>
        <v>32.354257883603772</v>
      </c>
      <c r="F35" s="979">
        <f>+'RES EnergyStar'!M37</f>
        <v>10.1999320294039</v>
      </c>
      <c r="G35" s="979">
        <f>+'RES WEA'!M37</f>
        <v>19.680161841632962</v>
      </c>
      <c r="H35" s="979">
        <f>+'RES HC'!M37</f>
        <v>32.138263562812227</v>
      </c>
      <c r="I35" s="981">
        <f>+'RES WF'!M37</f>
        <v>24.534821375245556</v>
      </c>
      <c r="J35" s="983">
        <f>'RES CI'!M37</f>
        <v>3.8096615000000007</v>
      </c>
      <c r="K35" s="983">
        <f>'RES WI'!M37</f>
        <v>4.956399999999999E-2</v>
      </c>
      <c r="L35" s="983">
        <f>'RES WR'!M37</f>
        <v>2.4949024999999998</v>
      </c>
      <c r="M35" s="979">
        <f>'RES Educ'!M37</f>
        <v>0.20185038243626069</v>
      </c>
      <c r="N35" s="979">
        <f>'RES ECM'!M37</f>
        <v>4.1969999999999993E-2</v>
      </c>
      <c r="O35" s="981">
        <f>'RES HVAC Re-com'!M37</f>
        <v>0.25136000000000003</v>
      </c>
      <c r="P35" s="981">
        <f>'RES Solar DHW'!M37</f>
        <v>0.06</v>
      </c>
      <c r="Q35" s="981">
        <f>'RES PV'!M37</f>
        <v>1.2093750000000001</v>
      </c>
      <c r="R35" s="811">
        <f t="shared" si="2"/>
        <v>150.49963189840958</v>
      </c>
      <c r="S35" s="1179">
        <f>+'RES Prime Time'!N37</f>
        <v>0</v>
      </c>
      <c r="T35" s="979">
        <f>+'RES EP (RSVP)'!M37</f>
        <v>28.486985090992651</v>
      </c>
      <c r="U35" s="811">
        <f t="shared" si="3"/>
        <v>28.486985090992651</v>
      </c>
      <c r="V35" s="811">
        <f t="shared" si="4"/>
        <v>178.98661698940222</v>
      </c>
      <c r="W35" s="162"/>
      <c r="X35">
        <v>2024</v>
      </c>
      <c r="Y35" s="1087">
        <f>+'RES Audit Alt'!Q37</f>
        <v>24.118562305223232</v>
      </c>
      <c r="Z35" s="1088">
        <f>+'RES Audit RCS'!Q37</f>
        <v>1.36</v>
      </c>
      <c r="AA35" s="1088">
        <f>+'RES Assist.'!Q37</f>
        <v>7.243874283994101</v>
      </c>
      <c r="AB35" s="979">
        <f>+'RES DR'!Q37</f>
        <v>38.592760115848066</v>
      </c>
      <c r="AC35" s="979">
        <f>+'RES EnergyStar'!Q37</f>
        <v>9.42825720836675</v>
      </c>
      <c r="AD35" s="979">
        <f>+'RES WEA'!Q37</f>
        <v>25.253356844287161</v>
      </c>
      <c r="AE35" s="979">
        <f>+'RES HC'!Q37</f>
        <v>351.15600867722048</v>
      </c>
      <c r="AF35" s="738">
        <f>+'RES WF'!Q37</f>
        <v>48.250807506533867</v>
      </c>
      <c r="AG35" s="979">
        <f>'RES CI'!Q37</f>
        <v>5.1244999999999994</v>
      </c>
      <c r="AH35" s="979">
        <f>'RES WI'!Q37</f>
        <v>7.2998000000000007E-2</v>
      </c>
      <c r="AI35" s="979">
        <f>'RES WR'!Q37</f>
        <v>1.4263360000000005</v>
      </c>
      <c r="AJ35" s="979">
        <f>'RES Educ'!Q37</f>
        <v>0.34594726345609073</v>
      </c>
      <c r="AK35" s="979">
        <f>'RES ECM'!Q37</f>
        <v>3.6907999999999989E-2</v>
      </c>
      <c r="AL35" s="738">
        <f>'RES HVAC Re-com'!Q37</f>
        <v>0.12415</v>
      </c>
      <c r="AM35" s="738">
        <f>'RES Solar DHW'!Q37</f>
        <v>0.10553</v>
      </c>
      <c r="AN35" s="738">
        <f>'RES PV'!Q37</f>
        <v>0</v>
      </c>
      <c r="AO35" s="277">
        <f t="shared" si="5"/>
        <v>512.63999620492984</v>
      </c>
      <c r="AP35" s="1182">
        <f>+'RES Prime Time'!T37</f>
        <v>0</v>
      </c>
      <c r="AQ35" s="276">
        <f>+'RES EP (RSVP)'!Q37</f>
        <v>41.847555391544113</v>
      </c>
      <c r="AR35" s="277">
        <f t="shared" si="6"/>
        <v>41.847555391544113</v>
      </c>
      <c r="AS35" s="277">
        <f t="shared" si="7"/>
        <v>554.48755159647396</v>
      </c>
      <c r="AU35">
        <v>2024</v>
      </c>
      <c r="AV35" s="1081">
        <f>+'RES Audit Alt'!U37</f>
        <v>83.034094764662967</v>
      </c>
      <c r="AW35" s="1082">
        <f>+'RES Audit RCS'!U37</f>
        <v>3.27</v>
      </c>
      <c r="AX35" s="1082">
        <f>+'RES Assist.'!U37</f>
        <v>28.553922898703402</v>
      </c>
      <c r="AY35" s="979">
        <f>+'RES DR'!U37</f>
        <v>76.009261984003615</v>
      </c>
      <c r="AZ35" s="979">
        <f>+'RES EnergyStar'!U37</f>
        <v>29.732486314785117</v>
      </c>
      <c r="BA35" s="979">
        <f>+'RES WEA'!U37</f>
        <v>90.672534060667346</v>
      </c>
      <c r="BB35" s="979">
        <f>+'RES HC'!U37</f>
        <v>240.93321881957104</v>
      </c>
      <c r="BC35" s="738">
        <f>+'RES WF'!U37</f>
        <v>65.550135486212412</v>
      </c>
      <c r="BD35" s="979">
        <f>'RES CI'!U37</f>
        <v>11.578729500000001</v>
      </c>
      <c r="BE35" s="979">
        <f>'RES WI'!U37</f>
        <v>0.18939199999999995</v>
      </c>
      <c r="BF35" s="979">
        <f>'RES WR'!U37</f>
        <v>7.7985180000000014</v>
      </c>
      <c r="BG35" s="979">
        <f>'RES Educ'!U37</f>
        <v>2.6934246543909341</v>
      </c>
      <c r="BH35" s="979">
        <f>'RES ECM'!U37</f>
        <v>0.10853200000000002</v>
      </c>
      <c r="BI35" s="981">
        <f>'RES HVAC Re-com'!U37</f>
        <v>0.36351999999999995</v>
      </c>
      <c r="BJ35" s="981">
        <f>'RES Solar DHW'!U37</f>
        <v>0.47519999999999996</v>
      </c>
      <c r="BK35" s="981">
        <f>'RES PV'!U37</f>
        <v>3.4044675</v>
      </c>
      <c r="BL35" s="277">
        <f t="shared" si="8"/>
        <v>644.36743798299688</v>
      </c>
      <c r="BM35" s="1182">
        <f>+'RES Prime Time'!Z37</f>
        <v>0</v>
      </c>
      <c r="BN35" s="276">
        <f>+'RES EP (RSVP)'!U37</f>
        <v>6.0232517426470595</v>
      </c>
      <c r="BO35" s="277">
        <f t="shared" si="9"/>
        <v>6.0232517426470595</v>
      </c>
      <c r="BP35" s="277">
        <f t="shared" si="10"/>
        <v>650.39068972564394</v>
      </c>
      <c r="BQ35" s="162"/>
    </row>
    <row r="36" spans="1:69" x14ac:dyDescent="0.2">
      <c r="A36">
        <v>2025</v>
      </c>
      <c r="B36" s="1081">
        <f>+'RES Audit Alt'!M38</f>
        <v>15.616098290049605</v>
      </c>
      <c r="C36" s="1082">
        <f>+'RES Audit RCS'!M38</f>
        <v>0.97</v>
      </c>
      <c r="D36" s="1082">
        <f>+'RES Assist.'!M38</f>
        <v>6.8874135332252848</v>
      </c>
      <c r="E36" s="979">
        <f>+'RES DR'!M38</f>
        <v>32.439757883603775</v>
      </c>
      <c r="F36" s="979">
        <f>+'RES EnergyStar'!M38</f>
        <v>10.3326820294039</v>
      </c>
      <c r="G36" s="979">
        <f>+'RES WEA'!M38</f>
        <v>21.367161841632964</v>
      </c>
      <c r="H36" s="979">
        <f>+'RES HC'!M38</f>
        <v>32.189263562812229</v>
      </c>
      <c r="I36" s="981">
        <f>+'RES WF'!M38</f>
        <v>24.534821375245556</v>
      </c>
      <c r="J36" s="983">
        <f>'RES CI'!M38</f>
        <v>4.1996615000000004</v>
      </c>
      <c r="K36" s="983">
        <f>'RES WI'!M38</f>
        <v>5.2475999999999988E-2</v>
      </c>
      <c r="L36" s="983">
        <f>'RES WR'!M38</f>
        <v>2.6504024999999998</v>
      </c>
      <c r="M36" s="979">
        <f>'RES Educ'!M38</f>
        <v>0.2143503824362607</v>
      </c>
      <c r="N36" s="979">
        <f>'RES ECM'!M38</f>
        <v>4.7969999999999992E-2</v>
      </c>
      <c r="O36" s="981">
        <f>'RES HVAC Re-com'!M38</f>
        <v>0.25136000000000003</v>
      </c>
      <c r="P36" s="981">
        <f>'RES Solar DHW'!M38</f>
        <v>0.06</v>
      </c>
      <c r="Q36" s="981">
        <f>'RES PV'!M38</f>
        <v>1.2093750000000001</v>
      </c>
      <c r="R36" s="811">
        <f t="shared" si="2"/>
        <v>153.02279389840959</v>
      </c>
      <c r="S36" s="1179">
        <f>+'RES Prime Time'!N38</f>
        <v>0</v>
      </c>
      <c r="T36" s="979">
        <f>+'RES EP (RSVP)'!M38</f>
        <v>31.001985090992651</v>
      </c>
      <c r="U36" s="811">
        <f t="shared" si="3"/>
        <v>31.001985090992651</v>
      </c>
      <c r="V36" s="811">
        <f t="shared" si="4"/>
        <v>184.02477898940225</v>
      </c>
      <c r="W36" s="162"/>
      <c r="X36">
        <v>2025</v>
      </c>
      <c r="Y36" s="1087">
        <f>+'RES Audit Alt'!Q38</f>
        <v>24.118562305223232</v>
      </c>
      <c r="Z36" s="1088">
        <f>+'RES Audit RCS'!Q38</f>
        <v>1.36</v>
      </c>
      <c r="AA36" s="1088">
        <f>+'RES Assist.'!Q38</f>
        <v>7.243874283994101</v>
      </c>
      <c r="AB36" s="979">
        <f>+'RES DR'!Q38</f>
        <v>38.701260115848065</v>
      </c>
      <c r="AC36" s="979">
        <f>+'RES EnergyStar'!Q38</f>
        <v>9.5507572083667505</v>
      </c>
      <c r="AD36" s="979">
        <f>+'RES WEA'!Q38</f>
        <v>27.612356844287163</v>
      </c>
      <c r="AE36" s="979">
        <f>+'RES HC'!Q38</f>
        <v>351.32250867722047</v>
      </c>
      <c r="AF36" s="738">
        <f>+'RES WF'!Q38</f>
        <v>48.250807506533867</v>
      </c>
      <c r="AG36" s="979">
        <f>'RES CI'!Q38</f>
        <v>5.6794999999999991</v>
      </c>
      <c r="AH36" s="979">
        <f>'RES WI'!Q38</f>
        <v>7.9326000000000008E-2</v>
      </c>
      <c r="AI36" s="979">
        <f>'RES WR'!Q38</f>
        <v>1.5323360000000006</v>
      </c>
      <c r="AJ36" s="979">
        <f>'RES Educ'!Q38</f>
        <v>0.36894726345609075</v>
      </c>
      <c r="AK36" s="979">
        <f>'RES ECM'!Q38</f>
        <v>4.2587999999999987E-2</v>
      </c>
      <c r="AL36" s="738">
        <f>'RES HVAC Re-com'!Q38</f>
        <v>0.12415</v>
      </c>
      <c r="AM36" s="738">
        <f>'RES Solar DHW'!Q38</f>
        <v>0.10553</v>
      </c>
      <c r="AN36" s="738">
        <f>'RES PV'!Q38</f>
        <v>0</v>
      </c>
      <c r="AO36" s="277">
        <f t="shared" si="5"/>
        <v>516.09250420492981</v>
      </c>
      <c r="AP36" s="1182">
        <f>+'RES Prime Time'!T38</f>
        <v>0</v>
      </c>
      <c r="AQ36" s="276">
        <f>+'RES EP (RSVP)'!Q38</f>
        <v>45.765055391544109</v>
      </c>
      <c r="AR36" s="277">
        <f t="shared" si="6"/>
        <v>45.765055391544109</v>
      </c>
      <c r="AS36" s="277">
        <f t="shared" si="7"/>
        <v>561.85755959647395</v>
      </c>
      <c r="AU36">
        <v>2025</v>
      </c>
      <c r="AV36" s="1081">
        <f>+'RES Audit Alt'!U38</f>
        <v>83.034094764662967</v>
      </c>
      <c r="AW36" s="1082">
        <f>+'RES Audit RCS'!U38</f>
        <v>3.27</v>
      </c>
      <c r="AX36" s="1082">
        <f>+'RES Assist.'!U38</f>
        <v>28.553922898703402</v>
      </c>
      <c r="AY36" s="979">
        <f>+'RES DR'!U38</f>
        <v>76.158261984003616</v>
      </c>
      <c r="AZ36" s="979">
        <f>+'RES EnergyStar'!U38</f>
        <v>30.354736314785118</v>
      </c>
      <c r="BA36" s="979">
        <f>+'RES WEA'!U38</f>
        <v>99.226534060667348</v>
      </c>
      <c r="BB36" s="979">
        <f>+'RES HC'!U38</f>
        <v>241.11871881957103</v>
      </c>
      <c r="BC36" s="738">
        <f>+'RES WF'!U38</f>
        <v>65.550135486212412</v>
      </c>
      <c r="BD36" s="979">
        <f>'RES CI'!U38</f>
        <v>12.850729500000002</v>
      </c>
      <c r="BE36" s="979">
        <f>'RES WI'!U38</f>
        <v>0.20056399999999994</v>
      </c>
      <c r="BF36" s="979">
        <f>'RES WR'!U38</f>
        <v>8.3590180000000007</v>
      </c>
      <c r="BG36" s="979">
        <f>'RES Educ'!U38</f>
        <v>2.864424654390934</v>
      </c>
      <c r="BH36" s="979">
        <f>'RES ECM'!U38</f>
        <v>0.12405200000000002</v>
      </c>
      <c r="BI36" s="981">
        <f>'RES HVAC Re-com'!U38</f>
        <v>0.36351999999999995</v>
      </c>
      <c r="BJ36" s="981">
        <f>'RES Solar DHW'!U38</f>
        <v>0.47519999999999996</v>
      </c>
      <c r="BK36" s="981">
        <f>'RES PV'!U38</f>
        <v>3.4044675</v>
      </c>
      <c r="BL36" s="277">
        <f t="shared" si="8"/>
        <v>655.90837998299685</v>
      </c>
      <c r="BM36" s="1182">
        <f>+'RES Prime Time'!Z38</f>
        <v>0</v>
      </c>
      <c r="BN36" s="276">
        <f>+'RES EP (RSVP)'!U38</f>
        <v>6.3257517426470597</v>
      </c>
      <c r="BO36" s="277">
        <f t="shared" si="9"/>
        <v>6.3257517426470597</v>
      </c>
      <c r="BP36" s="277">
        <f t="shared" si="10"/>
        <v>662.23413172564392</v>
      </c>
      <c r="BQ36" s="162"/>
    </row>
    <row r="37" spans="1:69" x14ac:dyDescent="0.2">
      <c r="A37" s="176">
        <v>2026</v>
      </c>
      <c r="B37" s="1081">
        <f>+'RES Audit Alt'!M39</f>
        <v>15.616098290049605</v>
      </c>
      <c r="C37" s="1082">
        <f>+'RES Audit RCS'!M39</f>
        <v>0.97</v>
      </c>
      <c r="D37" s="1082">
        <f>+'RES Assist.'!M39</f>
        <v>6.8874135332252848</v>
      </c>
      <c r="E37" s="979">
        <f>+'RES DR'!M39</f>
        <v>32.525257883603778</v>
      </c>
      <c r="F37" s="979">
        <f>+'RES EnergyStar'!M39</f>
        <v>10.4654320294039</v>
      </c>
      <c r="G37" s="979">
        <f>+'RES WEA'!M39</f>
        <v>23.054161841632965</v>
      </c>
      <c r="H37" s="979">
        <f>+'RES HC'!M39</f>
        <v>32.240263562812231</v>
      </c>
      <c r="I37" s="981">
        <f>+'RES WF'!M39</f>
        <v>24.534821375245556</v>
      </c>
      <c r="J37" s="983">
        <f>'RES CI'!M39</f>
        <v>4.5896615000000001</v>
      </c>
      <c r="K37" s="983">
        <f>'RES WI'!M39</f>
        <v>5.5387999999999986E-2</v>
      </c>
      <c r="L37" s="983">
        <f>'RES WR'!M39</f>
        <v>2.8059024999999997</v>
      </c>
      <c r="M37" s="979">
        <f>'RES Educ'!M39</f>
        <v>0.22685038243626071</v>
      </c>
      <c r="N37" s="979">
        <f>'RES ECM'!M39</f>
        <v>5.396999999999999E-2</v>
      </c>
      <c r="O37" s="981">
        <f>'RES HVAC Re-com'!M39</f>
        <v>0.25136000000000003</v>
      </c>
      <c r="P37" s="981">
        <f>'RES Solar DHW'!M39</f>
        <v>0.06</v>
      </c>
      <c r="Q37" s="981">
        <f>'RES PV'!M39</f>
        <v>1.2093750000000001</v>
      </c>
      <c r="R37" s="811">
        <f t="shared" si="2"/>
        <v>155.54595589840957</v>
      </c>
      <c r="S37" s="1179">
        <f>+'RES Prime Time'!N39</f>
        <v>0</v>
      </c>
      <c r="T37" s="979">
        <f>+'RES EP (RSVP)'!M39</f>
        <v>33.516985090992648</v>
      </c>
      <c r="U37" s="811">
        <f t="shared" si="3"/>
        <v>33.516985090992648</v>
      </c>
      <c r="V37" s="811">
        <f t="shared" si="4"/>
        <v>189.06294098940222</v>
      </c>
      <c r="W37" s="162"/>
      <c r="X37" s="176">
        <v>2026</v>
      </c>
      <c r="Y37" s="1087">
        <f>+'RES Audit Alt'!Q39</f>
        <v>24.118562305223232</v>
      </c>
      <c r="Z37" s="1088">
        <f>+'RES Audit RCS'!Q39</f>
        <v>1.36</v>
      </c>
      <c r="AA37" s="1088">
        <f>+'RES Assist.'!Q39</f>
        <v>7.243874283994101</v>
      </c>
      <c r="AB37" s="979">
        <f>+'RES DR'!Q39</f>
        <v>38.809760115848064</v>
      </c>
      <c r="AC37" s="979">
        <f>+'RES EnergyStar'!Q39</f>
        <v>9.673257208366751</v>
      </c>
      <c r="AD37" s="979">
        <f>+'RES WEA'!Q39</f>
        <v>29.971356844287165</v>
      </c>
      <c r="AE37" s="979">
        <f>+'RES HC'!Q39</f>
        <v>351.48900867722045</v>
      </c>
      <c r="AF37" s="738">
        <f>+'RES WF'!Q39</f>
        <v>48.250807506533867</v>
      </c>
      <c r="AG37" s="979">
        <f>'RES CI'!Q39</f>
        <v>6.2344999999999988</v>
      </c>
      <c r="AH37" s="979">
        <f>'RES WI'!Q39</f>
        <v>8.5654000000000008E-2</v>
      </c>
      <c r="AI37" s="979">
        <f>'RES WR'!Q39</f>
        <v>1.6383360000000007</v>
      </c>
      <c r="AJ37" s="979">
        <f>'RES Educ'!Q39</f>
        <v>0.39194726345609077</v>
      </c>
      <c r="AK37" s="979">
        <f>'RES ECM'!Q39</f>
        <v>4.8267999999999985E-2</v>
      </c>
      <c r="AL37" s="738">
        <f>'RES HVAC Re-com'!Q39</f>
        <v>0.12415</v>
      </c>
      <c r="AM37" s="738">
        <f>'RES Solar DHW'!Q39</f>
        <v>0.10553</v>
      </c>
      <c r="AN37" s="738">
        <f>'RES PV'!Q39</f>
        <v>0</v>
      </c>
      <c r="AO37" s="277">
        <f t="shared" si="5"/>
        <v>519.54501220492978</v>
      </c>
      <c r="AP37" s="1182">
        <f>+'RES Prime Time'!T39</f>
        <v>0</v>
      </c>
      <c r="AQ37" s="276">
        <f>+'RES EP (RSVP)'!Q39</f>
        <v>49.682555391544106</v>
      </c>
      <c r="AR37" s="277">
        <f t="shared" si="6"/>
        <v>49.682555391544106</v>
      </c>
      <c r="AS37" s="277">
        <f t="shared" si="7"/>
        <v>569.22756759647393</v>
      </c>
      <c r="AU37" s="176">
        <v>2026</v>
      </c>
      <c r="AV37" s="1081">
        <f>+'RES Audit Alt'!U39</f>
        <v>83.034094764662967</v>
      </c>
      <c r="AW37" s="1082">
        <f>+'RES Audit RCS'!U39</f>
        <v>3.27</v>
      </c>
      <c r="AX37" s="1082">
        <f>+'RES Assist.'!U39</f>
        <v>28.553922898703402</v>
      </c>
      <c r="AY37" s="979">
        <f>+'RES DR'!U39</f>
        <v>76.307261984003617</v>
      </c>
      <c r="AZ37" s="979">
        <f>+'RES EnergyStar'!U39</f>
        <v>30.976986314785119</v>
      </c>
      <c r="BA37" s="979">
        <f>+'RES WEA'!U39</f>
        <v>107.78053406066735</v>
      </c>
      <c r="BB37" s="979">
        <f>+'RES HC'!U39</f>
        <v>241.30421881957102</v>
      </c>
      <c r="BC37" s="738">
        <f>+'RES WF'!U39</f>
        <v>65.550135486212412</v>
      </c>
      <c r="BD37" s="979">
        <f>'RES CI'!U39</f>
        <v>14.122729500000002</v>
      </c>
      <c r="BE37" s="979">
        <f>'RES WI'!U39</f>
        <v>0.21173599999999992</v>
      </c>
      <c r="BF37" s="979">
        <f>'RES WR'!U39</f>
        <v>8.9195180000000001</v>
      </c>
      <c r="BG37" s="979">
        <f>'RES Educ'!U39</f>
        <v>3.0354246543909338</v>
      </c>
      <c r="BH37" s="979">
        <f>'RES ECM'!U39</f>
        <v>0.13957200000000003</v>
      </c>
      <c r="BI37" s="981">
        <f>'RES HVAC Re-com'!U39</f>
        <v>0.36351999999999995</v>
      </c>
      <c r="BJ37" s="981">
        <f>'RES Solar DHW'!U39</f>
        <v>0.47519999999999996</v>
      </c>
      <c r="BK37" s="981">
        <f>'RES PV'!U39</f>
        <v>3.4044675</v>
      </c>
      <c r="BL37" s="277">
        <f t="shared" si="8"/>
        <v>667.44932198299682</v>
      </c>
      <c r="BM37" s="1182">
        <f>+'RES Prime Time'!Z39</f>
        <v>0</v>
      </c>
      <c r="BN37" s="276">
        <f>+'RES EP (RSVP)'!U39</f>
        <v>6.62825174264706</v>
      </c>
      <c r="BO37" s="277">
        <f t="shared" si="9"/>
        <v>6.62825174264706</v>
      </c>
      <c r="BP37" s="277">
        <f t="shared" si="10"/>
        <v>674.0775737256439</v>
      </c>
      <c r="BQ37" s="162"/>
    </row>
    <row r="38" spans="1:69" x14ac:dyDescent="0.2">
      <c r="A38" s="176">
        <v>2027</v>
      </c>
      <c r="B38" s="1081">
        <f>+'RES Audit Alt'!M40</f>
        <v>15.616098290049605</v>
      </c>
      <c r="C38" s="1082">
        <f>+'RES Audit RCS'!M40</f>
        <v>0.97</v>
      </c>
      <c r="D38" s="1082">
        <f>+'RES Assist.'!M40</f>
        <v>6.8874135332252848</v>
      </c>
      <c r="E38" s="979">
        <f>+'RES DR'!M40</f>
        <v>32.610757883603782</v>
      </c>
      <c r="F38" s="979">
        <f>+'RES EnergyStar'!M40</f>
        <v>10.598182029403899</v>
      </c>
      <c r="G38" s="979">
        <f>+'RES WEA'!M40</f>
        <v>24.741161841632966</v>
      </c>
      <c r="H38" s="979">
        <f>+'RES HC'!M40</f>
        <v>32.291263562812233</v>
      </c>
      <c r="I38" s="981">
        <f>+'RES WF'!M40</f>
        <v>24.534821375245556</v>
      </c>
      <c r="J38" s="983">
        <f>'RES CI'!M40</f>
        <v>4.9796614999999997</v>
      </c>
      <c r="K38" s="983">
        <f>'RES WI'!M40</f>
        <v>5.8299999999999984E-2</v>
      </c>
      <c r="L38" s="983">
        <f>'RES WR'!M40</f>
        <v>2.9614024999999997</v>
      </c>
      <c r="M38" s="979">
        <f>'RES Educ'!M40</f>
        <v>0.23935038243626072</v>
      </c>
      <c r="N38" s="979">
        <f>'RES ECM'!M40</f>
        <v>5.9969999999999989E-2</v>
      </c>
      <c r="O38" s="981">
        <f>'RES HVAC Re-com'!M40</f>
        <v>0.25136000000000003</v>
      </c>
      <c r="P38" s="981">
        <f>'RES Solar DHW'!M40</f>
        <v>0.06</v>
      </c>
      <c r="Q38" s="981">
        <f>'RES PV'!M40</f>
        <v>1.2093750000000001</v>
      </c>
      <c r="R38" s="811">
        <f t="shared" si="2"/>
        <v>158.06911789840959</v>
      </c>
      <c r="S38" s="1179">
        <f>+'RES Prime Time'!N40</f>
        <v>0</v>
      </c>
      <c r="T38" s="979">
        <f>+'RES EP (RSVP)'!M40</f>
        <v>36.031985090992649</v>
      </c>
      <c r="U38" s="811">
        <f t="shared" si="3"/>
        <v>36.031985090992649</v>
      </c>
      <c r="V38" s="811">
        <f t="shared" si="4"/>
        <v>194.10110298940225</v>
      </c>
      <c r="W38" s="176"/>
      <c r="X38" s="176">
        <v>2027</v>
      </c>
      <c r="Y38" s="1087">
        <f>+'RES Audit Alt'!Q40</f>
        <v>24.118562305223232</v>
      </c>
      <c r="Z38" s="1088">
        <f>+'RES Audit RCS'!Q40</f>
        <v>1.36</v>
      </c>
      <c r="AA38" s="1088">
        <f>+'RES Assist.'!Q40</f>
        <v>7.243874283994101</v>
      </c>
      <c r="AB38" s="979">
        <f>+'RES DR'!Q40</f>
        <v>38.918260115848064</v>
      </c>
      <c r="AC38" s="979">
        <f>+'RES EnergyStar'!Q40</f>
        <v>9.7957572083667515</v>
      </c>
      <c r="AD38" s="979">
        <f>+'RES WEA'!Q40</f>
        <v>32.330356844287166</v>
      </c>
      <c r="AE38" s="979">
        <f>+'RES HC'!Q40</f>
        <v>351.65550867722044</v>
      </c>
      <c r="AF38" s="738">
        <f>+'RES WF'!Q40</f>
        <v>48.250807506533867</v>
      </c>
      <c r="AG38" s="979">
        <f>'RES CI'!Q40</f>
        <v>6.7894999999999985</v>
      </c>
      <c r="AH38" s="979">
        <f>'RES WI'!Q40</f>
        <v>9.1982000000000008E-2</v>
      </c>
      <c r="AI38" s="979">
        <f>'RES WR'!Q40</f>
        <v>1.7443360000000008</v>
      </c>
      <c r="AJ38" s="979">
        <f>'RES Educ'!Q40</f>
        <v>0.41494726345609079</v>
      </c>
      <c r="AK38" s="979">
        <f>'RES ECM'!Q40</f>
        <v>5.3947999999999982E-2</v>
      </c>
      <c r="AL38" s="738">
        <f>'RES HVAC Re-com'!Q40</f>
        <v>0.12415</v>
      </c>
      <c r="AM38" s="738">
        <f>'RES Solar DHW'!Q40</f>
        <v>0.10553</v>
      </c>
      <c r="AN38" s="738">
        <f>'RES PV'!Q40</f>
        <v>0</v>
      </c>
      <c r="AO38" s="277">
        <f t="shared" si="5"/>
        <v>522.99752020492963</v>
      </c>
      <c r="AP38" s="1182">
        <f>+'RES Prime Time'!T40</f>
        <v>0</v>
      </c>
      <c r="AQ38" s="276">
        <f>+'RES EP (RSVP)'!Q40</f>
        <v>53.600055391544103</v>
      </c>
      <c r="AR38" s="277">
        <f>+AP38+AQ38</f>
        <v>53.600055391544103</v>
      </c>
      <c r="AS38" s="277">
        <f t="shared" si="7"/>
        <v>576.59757559647369</v>
      </c>
      <c r="AT38" s="275"/>
      <c r="AU38" s="176">
        <v>2027</v>
      </c>
      <c r="AV38" s="1081">
        <f>+'RES Audit Alt'!U40</f>
        <v>83.034094764662967</v>
      </c>
      <c r="AW38" s="1082">
        <f>+'RES Audit RCS'!U40</f>
        <v>3.27</v>
      </c>
      <c r="AX38" s="1082">
        <f>+'RES Assist.'!U40</f>
        <v>28.553922898703402</v>
      </c>
      <c r="AY38" s="979">
        <f>+'RES DR'!U40</f>
        <v>76.456261984003618</v>
      </c>
      <c r="AZ38" s="979">
        <f>+'RES EnergyStar'!U40</f>
        <v>31.59923631478512</v>
      </c>
      <c r="BA38" s="979">
        <f>+'RES WEA'!U40</f>
        <v>116.33453406066735</v>
      </c>
      <c r="BB38" s="979">
        <f>+'RES HC'!U40</f>
        <v>241.48971881957101</v>
      </c>
      <c r="BC38" s="738">
        <f>+'RES WF'!U40</f>
        <v>65.550135486212412</v>
      </c>
      <c r="BD38" s="979">
        <f>'RES CI'!U40</f>
        <v>15.394729500000002</v>
      </c>
      <c r="BE38" s="979">
        <f>'RES WI'!U40</f>
        <v>0.22290799999999991</v>
      </c>
      <c r="BF38" s="979">
        <f>'RES WR'!U40</f>
        <v>9.4800179999999994</v>
      </c>
      <c r="BG38" s="979">
        <f>'RES Educ'!U40</f>
        <v>3.2064246543909336</v>
      </c>
      <c r="BH38" s="979">
        <f>'RES ECM'!U40</f>
        <v>0.15509200000000004</v>
      </c>
      <c r="BI38" s="981">
        <f>'RES HVAC Re-com'!U40</f>
        <v>0.36351999999999995</v>
      </c>
      <c r="BJ38" s="981">
        <f>'RES Solar DHW'!U40</f>
        <v>0.47519999999999996</v>
      </c>
      <c r="BK38" s="981">
        <f>'RES PV'!U40</f>
        <v>3.4044675</v>
      </c>
      <c r="BL38" s="277">
        <f t="shared" si="8"/>
        <v>678.99026398299679</v>
      </c>
      <c r="BM38" s="1182">
        <f>+'RES Prime Time'!Z40</f>
        <v>0</v>
      </c>
      <c r="BN38" s="276">
        <f>+'RES EP (RSVP)'!U40</f>
        <v>6.9307517426470602</v>
      </c>
      <c r="BO38" s="277">
        <f>+BM38+BN38</f>
        <v>6.9307517426470602</v>
      </c>
      <c r="BP38" s="277">
        <f t="shared" si="10"/>
        <v>685.92101572564388</v>
      </c>
      <c r="BQ38" s="276"/>
    </row>
    <row r="39" spans="1:69" x14ac:dyDescent="0.2">
      <c r="A39" s="176">
        <v>2028</v>
      </c>
      <c r="B39" s="1081">
        <f>+'RES Audit Alt'!M41</f>
        <v>15.616098290049605</v>
      </c>
      <c r="C39" s="1082">
        <f>+'RES Audit RCS'!M41</f>
        <v>0.97</v>
      </c>
      <c r="D39" s="1082">
        <f>+'RES Assist.'!M41</f>
        <v>6.8874135332252848</v>
      </c>
      <c r="E39" s="979">
        <f>+'RES DR'!M41</f>
        <v>32.696257883603785</v>
      </c>
      <c r="F39" s="979">
        <f>+'RES EnergyStar'!M41</f>
        <v>10.730932029403899</v>
      </c>
      <c r="G39" s="979">
        <f>+'RES WEA'!M41</f>
        <v>26.428161841632967</v>
      </c>
      <c r="H39" s="979">
        <f>+'RES HC'!M41</f>
        <v>32.342263562812235</v>
      </c>
      <c r="I39" s="981">
        <f>+'RES WF'!M41</f>
        <v>24.534821375245556</v>
      </c>
      <c r="J39" s="983">
        <f>'RES CI'!M41</f>
        <v>5.3696614999999994</v>
      </c>
      <c r="K39" s="983">
        <f>'RES WI'!M41</f>
        <v>6.1211999999999982E-2</v>
      </c>
      <c r="L39" s="983">
        <f>'RES WR'!M41</f>
        <v>3.1169024999999997</v>
      </c>
      <c r="M39" s="979">
        <f>'RES Educ'!M41</f>
        <v>0.25185038243626073</v>
      </c>
      <c r="N39" s="979">
        <f>'RES ECM'!M41</f>
        <v>6.5969999999999987E-2</v>
      </c>
      <c r="O39" s="981">
        <f>'RES HVAC Re-com'!M41</f>
        <v>0.25136000000000003</v>
      </c>
      <c r="P39" s="981">
        <f>'RES Solar DHW'!M41</f>
        <v>0.06</v>
      </c>
      <c r="Q39" s="981">
        <f>'RES PV'!M41</f>
        <v>1.2093750000000001</v>
      </c>
      <c r="R39" s="811">
        <f t="shared" si="2"/>
        <v>160.5922798984096</v>
      </c>
      <c r="S39" s="1179">
        <f>+'RES Prime Time'!N41</f>
        <v>0</v>
      </c>
      <c r="T39" s="979">
        <f>+'RES EP (RSVP)'!M41</f>
        <v>38.546985090992649</v>
      </c>
      <c r="U39" s="811">
        <f>+S39+T39</f>
        <v>38.546985090992649</v>
      </c>
      <c r="V39" s="811">
        <f>+U39+R39</f>
        <v>199.13926498940225</v>
      </c>
      <c r="W39" s="176"/>
      <c r="X39" s="176">
        <v>2028</v>
      </c>
      <c r="Y39" s="1087">
        <f>+'RES Audit Alt'!Q41</f>
        <v>24.118562305223232</v>
      </c>
      <c r="Z39" s="1088">
        <f>+'RES Audit RCS'!Q41</f>
        <v>1.36</v>
      </c>
      <c r="AA39" s="1088">
        <f>+'RES Assist.'!Q41</f>
        <v>7.243874283994101</v>
      </c>
      <c r="AB39" s="979">
        <f>+'RES DR'!Q41</f>
        <v>39.026760115848063</v>
      </c>
      <c r="AC39" s="979">
        <f>+'RES EnergyStar'!Q41</f>
        <v>9.918257208366752</v>
      </c>
      <c r="AD39" s="979">
        <f>+'RES WEA'!Q41</f>
        <v>34.689356844287168</v>
      </c>
      <c r="AE39" s="979">
        <f>+'RES HC'!Q41</f>
        <v>351.82200867722042</v>
      </c>
      <c r="AF39" s="738">
        <f>+'RES WF'!Q41</f>
        <v>48.250807506533867</v>
      </c>
      <c r="AG39" s="979">
        <f>'RES CI'!Q41</f>
        <v>7.3444999999999983</v>
      </c>
      <c r="AH39" s="979">
        <f>'RES WI'!Q41</f>
        <v>9.8310000000000008E-2</v>
      </c>
      <c r="AI39" s="979">
        <f>'RES WR'!Q41</f>
        <v>1.8503360000000009</v>
      </c>
      <c r="AJ39" s="979">
        <f>'RES Educ'!Q41</f>
        <v>0.43794726345609081</v>
      </c>
      <c r="AK39" s="979">
        <f>'RES ECM'!Q41</f>
        <v>5.962799999999998E-2</v>
      </c>
      <c r="AL39" s="738">
        <f>'RES HVAC Re-com'!Q41</f>
        <v>0.12415</v>
      </c>
      <c r="AM39" s="738">
        <f>'RES Solar DHW'!Q41</f>
        <v>0.10553</v>
      </c>
      <c r="AN39" s="738">
        <f>'RES PV'!Q41</f>
        <v>0</v>
      </c>
      <c r="AO39" s="277">
        <f>SUM(Y39:AN39)</f>
        <v>526.45002820492971</v>
      </c>
      <c r="AP39" s="1182">
        <f>+'RES Prime Time'!T41</f>
        <v>0</v>
      </c>
      <c r="AQ39" s="276">
        <f>+'RES EP (RSVP)'!Q41</f>
        <v>57.5175553915441</v>
      </c>
      <c r="AR39" s="277">
        <f>+AP39+AQ39</f>
        <v>57.5175553915441</v>
      </c>
      <c r="AS39" s="277">
        <f>+AR39+AO39</f>
        <v>583.96758359647379</v>
      </c>
      <c r="AT39" s="275"/>
      <c r="AU39" s="176">
        <v>2028</v>
      </c>
      <c r="AV39" s="1081">
        <f>+'RES Audit Alt'!U41</f>
        <v>83.034094764662967</v>
      </c>
      <c r="AW39" s="1082">
        <f>+'RES Audit RCS'!U41</f>
        <v>3.27</v>
      </c>
      <c r="AX39" s="1082">
        <f>+'RES Assist.'!U41</f>
        <v>28.553922898703402</v>
      </c>
      <c r="AY39" s="979">
        <f>+'RES DR'!U41</f>
        <v>76.605261984003619</v>
      </c>
      <c r="AZ39" s="979">
        <f>+'RES EnergyStar'!U41</f>
        <v>32.221486314785118</v>
      </c>
      <c r="BA39" s="979">
        <f>+'RES WEA'!U41</f>
        <v>124.88853406066735</v>
      </c>
      <c r="BB39" s="979">
        <f>+'RES HC'!U41</f>
        <v>241.675218819571</v>
      </c>
      <c r="BC39" s="738">
        <f>+'RES WF'!U41</f>
        <v>65.550135486212412</v>
      </c>
      <c r="BD39" s="979">
        <f>'RES CI'!U41</f>
        <v>16.666729500000002</v>
      </c>
      <c r="BE39" s="979">
        <f>'RES WI'!U41</f>
        <v>0.2340799999999999</v>
      </c>
      <c r="BF39" s="979">
        <f>'RES WR'!U41</f>
        <v>10.040517999999999</v>
      </c>
      <c r="BG39" s="979">
        <f>'RES Educ'!U41</f>
        <v>3.3774246543909334</v>
      </c>
      <c r="BH39" s="979">
        <f>'RES ECM'!U41</f>
        <v>0.17061200000000004</v>
      </c>
      <c r="BI39" s="981">
        <f>'RES HVAC Re-com'!U41</f>
        <v>0.36351999999999995</v>
      </c>
      <c r="BJ39" s="981">
        <f>'RES Solar DHW'!U41</f>
        <v>0.47519999999999996</v>
      </c>
      <c r="BK39" s="981">
        <f>'RES PV'!U41</f>
        <v>3.4044675</v>
      </c>
      <c r="BL39" s="277">
        <f>SUM(AV39:BK39)</f>
        <v>690.53120598299665</v>
      </c>
      <c r="BM39" s="1182">
        <f>+'RES Prime Time'!Z41</f>
        <v>0</v>
      </c>
      <c r="BN39" s="276">
        <f>+'RES EP (RSVP)'!U41</f>
        <v>7.2332517426470604</v>
      </c>
      <c r="BO39" s="277">
        <f>+BM39+BN39</f>
        <v>7.2332517426470604</v>
      </c>
      <c r="BP39" s="277">
        <f>+BO39+BL39</f>
        <v>697.76445772564375</v>
      </c>
      <c r="BQ39" s="276"/>
    </row>
    <row r="40" spans="1:69" x14ac:dyDescent="0.2">
      <c r="A40" s="176">
        <v>2029</v>
      </c>
      <c r="B40" s="1081">
        <f>+'RES Audit Alt'!M42</f>
        <v>15.616098290049605</v>
      </c>
      <c r="C40" s="1082">
        <f>+'RES Audit RCS'!M42</f>
        <v>0.97</v>
      </c>
      <c r="D40" s="1082">
        <f>+'RES Assist.'!M42</f>
        <v>6.8874135332252848</v>
      </c>
      <c r="E40" s="979">
        <f>+'RES DR'!M42</f>
        <v>32.781757883603788</v>
      </c>
      <c r="F40" s="979">
        <f>+'RES EnergyStar'!M42</f>
        <v>10.863682029403899</v>
      </c>
      <c r="G40" s="979">
        <f>+'RES WEA'!M42</f>
        <v>28.115161841632968</v>
      </c>
      <c r="H40" s="979">
        <f>+'RES HC'!M42</f>
        <v>32.393263562812237</v>
      </c>
      <c r="I40" s="981">
        <f>+'RES WF'!M42</f>
        <v>24.534821375245556</v>
      </c>
      <c r="J40" s="983">
        <f>'RES CI'!M42</f>
        <v>5.7596614999999991</v>
      </c>
      <c r="K40" s="983">
        <f>'RES WI'!M42</f>
        <v>6.4123999999999987E-2</v>
      </c>
      <c r="L40" s="983">
        <f>'RES WR'!M42</f>
        <v>3.2724024999999997</v>
      </c>
      <c r="M40" s="979">
        <f>'RES Educ'!M42</f>
        <v>0.26435038243626074</v>
      </c>
      <c r="N40" s="979">
        <f>'RES ECM'!M42</f>
        <v>7.1969999999999992E-2</v>
      </c>
      <c r="O40" s="981">
        <f>'RES HVAC Re-com'!M42</f>
        <v>0.25136000000000003</v>
      </c>
      <c r="P40" s="981">
        <f>'RES Solar DHW'!M42</f>
        <v>0.06</v>
      </c>
      <c r="Q40" s="981">
        <f>'RES PV'!M42</f>
        <v>1.2093750000000001</v>
      </c>
      <c r="R40" s="811">
        <f t="shared" ref="R40:R43" si="11">SUM(B40:Q40)</f>
        <v>163.11544189840956</v>
      </c>
      <c r="S40" s="1179">
        <f>+'RES Prime Time'!N42</f>
        <v>0</v>
      </c>
      <c r="T40" s="979">
        <f>+'RES EP (RSVP)'!M42</f>
        <v>41.06198509099265</v>
      </c>
      <c r="U40" s="811">
        <f t="shared" ref="U40:U43" si="12">+S40+T40</f>
        <v>41.06198509099265</v>
      </c>
      <c r="V40" s="811">
        <f t="shared" ref="V40:V43" si="13">+U40+R40</f>
        <v>204.17742698940219</v>
      </c>
      <c r="W40" s="176"/>
      <c r="X40" s="176">
        <v>2029</v>
      </c>
      <c r="Y40" s="1087">
        <f>+'RES Audit Alt'!Q42</f>
        <v>24.118562305223232</v>
      </c>
      <c r="Z40" s="1088">
        <f>+'RES Audit RCS'!Q42</f>
        <v>1.36</v>
      </c>
      <c r="AA40" s="1088">
        <f>+'RES Assist.'!Q42</f>
        <v>7.243874283994101</v>
      </c>
      <c r="AB40" s="979">
        <f>+'RES DR'!Q42</f>
        <v>39.135260115848062</v>
      </c>
      <c r="AC40" s="979">
        <f>+'RES EnergyStar'!Q42</f>
        <v>10.040757208366752</v>
      </c>
      <c r="AD40" s="979">
        <f>+'RES WEA'!Q42</f>
        <v>37.04835684428717</v>
      </c>
      <c r="AE40" s="979">
        <f>+'RES HC'!Q42</f>
        <v>351.98850867722041</v>
      </c>
      <c r="AF40" s="738">
        <f>+'RES WF'!Q42</f>
        <v>48.250807506533867</v>
      </c>
      <c r="AG40" s="979">
        <f>'RES CI'!Q42</f>
        <v>7.899499999999998</v>
      </c>
      <c r="AH40" s="979">
        <f>'RES WI'!Q42</f>
        <v>0.10463800000000001</v>
      </c>
      <c r="AI40" s="979">
        <f>'RES WR'!Q42</f>
        <v>1.956336000000001</v>
      </c>
      <c r="AJ40" s="979">
        <f>'RES Educ'!Q42</f>
        <v>0.46094726345609083</v>
      </c>
      <c r="AK40" s="979">
        <f>'RES ECM'!Q42</f>
        <v>6.5307999999999977E-2</v>
      </c>
      <c r="AL40" s="738">
        <f>'RES HVAC Re-com'!Q42</f>
        <v>0.12415</v>
      </c>
      <c r="AM40" s="738">
        <f>'RES Solar DHW'!Q42</f>
        <v>0.10553</v>
      </c>
      <c r="AN40" s="738">
        <f>'RES PV'!Q42</f>
        <v>0</v>
      </c>
      <c r="AO40" s="277">
        <f t="shared" ref="AO40:AO43" si="14">SUM(Y40:AN40)</f>
        <v>529.90253620492967</v>
      </c>
      <c r="AP40" s="1182">
        <f>+'RES Prime Time'!T42</f>
        <v>0</v>
      </c>
      <c r="AQ40" s="276">
        <f>+'RES EP (RSVP)'!Q42</f>
        <v>61.435055391544097</v>
      </c>
      <c r="AR40" s="277">
        <f t="shared" ref="AR40:AR43" si="15">+AP40+AQ40</f>
        <v>61.435055391544097</v>
      </c>
      <c r="AS40" s="277">
        <f t="shared" ref="AS40:AS43" si="16">+AR40+AO40</f>
        <v>591.33759159647377</v>
      </c>
      <c r="AT40" s="275"/>
      <c r="AU40" s="176">
        <v>2029</v>
      </c>
      <c r="AV40" s="1081">
        <f>+'RES Audit Alt'!U42</f>
        <v>83.034094764662967</v>
      </c>
      <c r="AW40" s="1082">
        <f>+'RES Audit RCS'!U42</f>
        <v>3.27</v>
      </c>
      <c r="AX40" s="1082">
        <f>+'RES Assist.'!U42</f>
        <v>28.553922898703402</v>
      </c>
      <c r="AY40" s="979">
        <f>+'RES DR'!U42</f>
        <v>76.75426198400362</v>
      </c>
      <c r="AZ40" s="979">
        <f>+'RES EnergyStar'!U42</f>
        <v>32.843736314785119</v>
      </c>
      <c r="BA40" s="979">
        <f>+'RES WEA'!U42</f>
        <v>133.44253406066736</v>
      </c>
      <c r="BB40" s="979">
        <f>+'RES HC'!U42</f>
        <v>241.86071881957099</v>
      </c>
      <c r="BC40" s="738">
        <f>+'RES WF'!U42</f>
        <v>65.550135486212412</v>
      </c>
      <c r="BD40" s="979">
        <f>'RES CI'!U42</f>
        <v>17.938729500000001</v>
      </c>
      <c r="BE40" s="979">
        <f>'RES WI'!U42</f>
        <v>0.24525199999999989</v>
      </c>
      <c r="BF40" s="979">
        <f>'RES WR'!U42</f>
        <v>10.601017999999998</v>
      </c>
      <c r="BG40" s="979">
        <f>'RES Educ'!U42</f>
        <v>3.5484246543909332</v>
      </c>
      <c r="BH40" s="979">
        <f>'RES ECM'!U42</f>
        <v>0.18613200000000005</v>
      </c>
      <c r="BI40" s="981">
        <f>'RES HVAC Re-com'!U42</f>
        <v>0.36351999999999995</v>
      </c>
      <c r="BJ40" s="981">
        <f>'RES Solar DHW'!U42</f>
        <v>0.47519999999999996</v>
      </c>
      <c r="BK40" s="981">
        <f>'RES PV'!U42</f>
        <v>3.4044675</v>
      </c>
      <c r="BL40" s="277">
        <f t="shared" ref="BL40:BL43" si="17">SUM(AV40:BK40)</f>
        <v>702.07214798299685</v>
      </c>
      <c r="BM40" s="1182">
        <f>+'RES Prime Time'!Z42</f>
        <v>0</v>
      </c>
      <c r="BN40" s="276">
        <f>+'RES EP (RSVP)'!U42</f>
        <v>7.5357517426470606</v>
      </c>
      <c r="BO40" s="277">
        <f t="shared" ref="BO40:BO43" si="18">+BM40+BN40</f>
        <v>7.5357517426470606</v>
      </c>
      <c r="BP40" s="277">
        <f t="shared" ref="BP40:BP43" si="19">+BO40+BL40</f>
        <v>709.60789972564396</v>
      </c>
      <c r="BQ40" s="276"/>
    </row>
    <row r="41" spans="1:69" x14ac:dyDescent="0.2">
      <c r="A41" s="176">
        <v>2030</v>
      </c>
      <c r="B41" s="1081">
        <f>+'RES Audit Alt'!M43</f>
        <v>15.616098290049605</v>
      </c>
      <c r="C41" s="1082">
        <f>+'RES Audit RCS'!M43</f>
        <v>0.97</v>
      </c>
      <c r="D41" s="1082">
        <f>+'RES Assist.'!M43</f>
        <v>6.8874135332252848</v>
      </c>
      <c r="E41" s="979">
        <f>+'RES DR'!M43</f>
        <v>32.867257883603791</v>
      </c>
      <c r="F41" s="979">
        <f>+'RES EnergyStar'!M43</f>
        <v>10.996432029403898</v>
      </c>
      <c r="G41" s="979">
        <f>+'RES WEA'!M43</f>
        <v>29.802161841632969</v>
      </c>
      <c r="H41" s="979">
        <f>+'RES HC'!M43</f>
        <v>32.444263562812239</v>
      </c>
      <c r="I41" s="981">
        <f>+'RES WF'!M43</f>
        <v>24.534821375245556</v>
      </c>
      <c r="J41" s="983">
        <f>'RES CI'!M43</f>
        <v>6.1496614999999988</v>
      </c>
      <c r="K41" s="983">
        <f>'RES WI'!M43</f>
        <v>6.7035999999999984E-2</v>
      </c>
      <c r="L41" s="983">
        <f>'RES WR'!M43</f>
        <v>3.4279024999999996</v>
      </c>
      <c r="M41" s="979">
        <f>'RES Educ'!M43</f>
        <v>0.27685038243626076</v>
      </c>
      <c r="N41" s="979">
        <f>'RES ECM'!M43</f>
        <v>7.7969999999999998E-2</v>
      </c>
      <c r="O41" s="981">
        <f>'RES HVAC Re-com'!M43</f>
        <v>0.25136000000000003</v>
      </c>
      <c r="P41" s="981">
        <f>'RES Solar DHW'!M43</f>
        <v>0.06</v>
      </c>
      <c r="Q41" s="981">
        <f>'RES PV'!M43</f>
        <v>1.2093750000000001</v>
      </c>
      <c r="R41" s="811">
        <f t="shared" si="11"/>
        <v>165.6386038984096</v>
      </c>
      <c r="S41" s="1179">
        <f>+'RES Prime Time'!N43</f>
        <v>0</v>
      </c>
      <c r="T41" s="979">
        <f>+'RES EP (RSVP)'!M43</f>
        <v>43.57698509099265</v>
      </c>
      <c r="U41" s="811">
        <f t="shared" si="12"/>
        <v>43.57698509099265</v>
      </c>
      <c r="V41" s="811">
        <f t="shared" si="13"/>
        <v>209.21558898940225</v>
      </c>
      <c r="W41" s="176"/>
      <c r="X41" s="176">
        <v>2030</v>
      </c>
      <c r="Y41" s="1087">
        <f>+'RES Audit Alt'!Q43</f>
        <v>24.118562305223232</v>
      </c>
      <c r="Z41" s="1088">
        <f>+'RES Audit RCS'!Q43</f>
        <v>1.36</v>
      </c>
      <c r="AA41" s="1088">
        <f>+'RES Assist.'!Q43</f>
        <v>7.243874283994101</v>
      </c>
      <c r="AB41" s="979">
        <f>+'RES DR'!Q43</f>
        <v>39.243760115848062</v>
      </c>
      <c r="AC41" s="979">
        <f>+'RES EnergyStar'!Q43</f>
        <v>10.163257208366753</v>
      </c>
      <c r="AD41" s="979">
        <f>+'RES WEA'!Q43</f>
        <v>39.407356844287172</v>
      </c>
      <c r="AE41" s="979">
        <f>+'RES HC'!Q43</f>
        <v>352.15500867722039</v>
      </c>
      <c r="AF41" s="738">
        <f>+'RES WF'!Q43</f>
        <v>48.250807506533867</v>
      </c>
      <c r="AG41" s="979">
        <f>'RES CI'!Q43</f>
        <v>8.4544999999999977</v>
      </c>
      <c r="AH41" s="979">
        <f>'RES WI'!Q43</f>
        <v>0.11096600000000001</v>
      </c>
      <c r="AI41" s="979">
        <f>'RES WR'!Q43</f>
        <v>2.0623360000000011</v>
      </c>
      <c r="AJ41" s="979">
        <f>'RES Educ'!Q43</f>
        <v>0.48394726345609085</v>
      </c>
      <c r="AK41" s="979">
        <f>'RES ECM'!Q43</f>
        <v>7.0987999999999982E-2</v>
      </c>
      <c r="AL41" s="738">
        <f>'RES HVAC Re-com'!Q43</f>
        <v>0.12415</v>
      </c>
      <c r="AM41" s="738">
        <f>'RES Solar DHW'!Q43</f>
        <v>0.10553</v>
      </c>
      <c r="AN41" s="738">
        <f>'RES PV'!Q43</f>
        <v>0</v>
      </c>
      <c r="AO41" s="277">
        <f t="shared" si="14"/>
        <v>533.35504420492975</v>
      </c>
      <c r="AP41" s="1182">
        <f>+'RES Prime Time'!T43</f>
        <v>0</v>
      </c>
      <c r="AQ41" s="276">
        <f>+'RES EP (RSVP)'!Q43</f>
        <v>65.352555391544101</v>
      </c>
      <c r="AR41" s="277">
        <f t="shared" si="15"/>
        <v>65.352555391544101</v>
      </c>
      <c r="AS41" s="277">
        <f t="shared" si="16"/>
        <v>598.70759959647387</v>
      </c>
      <c r="AT41" s="275"/>
      <c r="AU41" s="176">
        <v>2030</v>
      </c>
      <c r="AV41" s="1081">
        <f>+'RES Audit Alt'!U43</f>
        <v>83.034094764662967</v>
      </c>
      <c r="AW41" s="1082">
        <f>+'RES Audit RCS'!U43</f>
        <v>3.27</v>
      </c>
      <c r="AX41" s="1082">
        <f>+'RES Assist.'!U43</f>
        <v>28.553922898703402</v>
      </c>
      <c r="AY41" s="979">
        <f>+'RES DR'!U43</f>
        <v>76.90326198400362</v>
      </c>
      <c r="AZ41" s="979">
        <f>+'RES EnergyStar'!U43</f>
        <v>33.46598631478512</v>
      </c>
      <c r="BA41" s="979">
        <f>+'RES WEA'!U43</f>
        <v>141.99653406066736</v>
      </c>
      <c r="BB41" s="979">
        <f>+'RES HC'!U43</f>
        <v>242.04621881957098</v>
      </c>
      <c r="BC41" s="738">
        <f>+'RES WF'!U43</f>
        <v>65.550135486212412</v>
      </c>
      <c r="BD41" s="979">
        <f>'RES CI'!U43</f>
        <v>19.210729499999999</v>
      </c>
      <c r="BE41" s="979">
        <f>'RES WI'!U43</f>
        <v>0.25642399999999987</v>
      </c>
      <c r="BF41" s="979">
        <f>'RES WR'!U43</f>
        <v>11.161517999999997</v>
      </c>
      <c r="BG41" s="979">
        <f>'RES Educ'!U43</f>
        <v>3.7194246543909331</v>
      </c>
      <c r="BH41" s="979">
        <f>'RES ECM'!U43</f>
        <v>0.20165200000000005</v>
      </c>
      <c r="BI41" s="981">
        <f>'RES HVAC Re-com'!U43</f>
        <v>0.36351999999999995</v>
      </c>
      <c r="BJ41" s="981">
        <f>'RES Solar DHW'!U43</f>
        <v>0.47519999999999996</v>
      </c>
      <c r="BK41" s="981">
        <f>'RES PV'!U43</f>
        <v>3.4044675</v>
      </c>
      <c r="BL41" s="277">
        <f t="shared" si="17"/>
        <v>713.61308998299671</v>
      </c>
      <c r="BM41" s="1182">
        <f>+'RES Prime Time'!Z43</f>
        <v>0</v>
      </c>
      <c r="BN41" s="276">
        <f>+'RES EP (RSVP)'!U43</f>
        <v>7.8382517426470608</v>
      </c>
      <c r="BO41" s="277">
        <f t="shared" si="18"/>
        <v>7.8382517426470608</v>
      </c>
      <c r="BP41" s="277">
        <f t="shared" si="19"/>
        <v>721.45134172564383</v>
      </c>
      <c r="BQ41" s="276"/>
    </row>
    <row r="42" spans="1:69" x14ac:dyDescent="0.2">
      <c r="A42" s="176">
        <v>2031</v>
      </c>
      <c r="B42" s="1081">
        <f>+'RES Audit Alt'!M44</f>
        <v>15.616098290049605</v>
      </c>
      <c r="C42" s="1082">
        <f>+'RES Audit RCS'!M44</f>
        <v>0.97</v>
      </c>
      <c r="D42" s="1082">
        <f>+'RES Assist.'!M44</f>
        <v>6.8874135332252848</v>
      </c>
      <c r="E42" s="979">
        <f>+'RES DR'!M44</f>
        <v>32.952757883603795</v>
      </c>
      <c r="F42" s="979">
        <f>+'RES EnergyStar'!M44</f>
        <v>11.129182029403898</v>
      </c>
      <c r="G42" s="979">
        <f>+'RES WEA'!M44</f>
        <v>31.489161841632971</v>
      </c>
      <c r="H42" s="979">
        <f>+'RES HC'!M44</f>
        <v>32.495263562812241</v>
      </c>
      <c r="I42" s="981">
        <f>+'RES WF'!M44</f>
        <v>24.534821375245556</v>
      </c>
      <c r="J42" s="983">
        <f>'RES CI'!M44</f>
        <v>6.5396614999999985</v>
      </c>
      <c r="K42" s="983">
        <f>'RES WI'!M44</f>
        <v>6.9947999999999982E-2</v>
      </c>
      <c r="L42" s="983">
        <f>'RES WR'!M44</f>
        <v>3.5834024999999996</v>
      </c>
      <c r="M42" s="979">
        <f>'RES Educ'!M44</f>
        <v>0.28935038243626077</v>
      </c>
      <c r="N42" s="979">
        <f>'RES ECM'!M44</f>
        <v>8.3970000000000003E-2</v>
      </c>
      <c r="O42" s="981">
        <f>'RES HVAC Re-com'!M44</f>
        <v>0.25136000000000003</v>
      </c>
      <c r="P42" s="981">
        <f>'RES Solar DHW'!M44</f>
        <v>0.06</v>
      </c>
      <c r="Q42" s="981">
        <f>'RES PV'!M44</f>
        <v>1.2093750000000001</v>
      </c>
      <c r="R42" s="811">
        <f t="shared" si="11"/>
        <v>168.16176589840961</v>
      </c>
      <c r="S42" s="1179">
        <f>+'RES Prime Time'!N44</f>
        <v>0</v>
      </c>
      <c r="T42" s="979">
        <f>+'RES EP (RSVP)'!M44</f>
        <v>46.091985090992651</v>
      </c>
      <c r="U42" s="811">
        <f t="shared" si="12"/>
        <v>46.091985090992651</v>
      </c>
      <c r="V42" s="811">
        <f t="shared" si="13"/>
        <v>214.25375098940225</v>
      </c>
      <c r="W42" s="176"/>
      <c r="X42" s="176">
        <v>2031</v>
      </c>
      <c r="Y42" s="1087">
        <f>+'RES Audit Alt'!Q44</f>
        <v>24.118562305223232</v>
      </c>
      <c r="Z42" s="1088">
        <f>+'RES Audit RCS'!Q44</f>
        <v>1.36</v>
      </c>
      <c r="AA42" s="1088">
        <f>+'RES Assist.'!Q44</f>
        <v>7.243874283994101</v>
      </c>
      <c r="AB42" s="979">
        <f>+'RES DR'!Q44</f>
        <v>39.352260115848061</v>
      </c>
      <c r="AC42" s="979">
        <f>+'RES EnergyStar'!Q44</f>
        <v>10.285757208366753</v>
      </c>
      <c r="AD42" s="979">
        <f>+'RES WEA'!Q44</f>
        <v>41.766356844287174</v>
      </c>
      <c r="AE42" s="979">
        <f>+'RES HC'!Q44</f>
        <v>352.32150867722038</v>
      </c>
      <c r="AF42" s="738">
        <f>+'RES WF'!Q44</f>
        <v>48.250807506533867</v>
      </c>
      <c r="AG42" s="979">
        <f>'RES CI'!Q44</f>
        <v>9.0094999999999974</v>
      </c>
      <c r="AH42" s="979">
        <f>'RES WI'!Q44</f>
        <v>0.11729400000000001</v>
      </c>
      <c r="AI42" s="979">
        <f>'RES WR'!Q44</f>
        <v>2.1683360000000009</v>
      </c>
      <c r="AJ42" s="979">
        <f>'RES Educ'!Q44</f>
        <v>0.50694726345609087</v>
      </c>
      <c r="AK42" s="979">
        <f>'RES ECM'!Q44</f>
        <v>7.6667999999999986E-2</v>
      </c>
      <c r="AL42" s="738">
        <f>'RES HVAC Re-com'!Q44</f>
        <v>0.12415</v>
      </c>
      <c r="AM42" s="738">
        <f>'RES Solar DHW'!Q44</f>
        <v>0.10553</v>
      </c>
      <c r="AN42" s="738">
        <f>'RES PV'!Q44</f>
        <v>0</v>
      </c>
      <c r="AO42" s="277">
        <f t="shared" si="14"/>
        <v>536.80755220492972</v>
      </c>
      <c r="AP42" s="1182">
        <f>+'RES Prime Time'!T44</f>
        <v>0</v>
      </c>
      <c r="AQ42" s="276">
        <f>+'RES EP (RSVP)'!Q44</f>
        <v>69.270055391544105</v>
      </c>
      <c r="AR42" s="277">
        <f t="shared" si="15"/>
        <v>69.270055391544105</v>
      </c>
      <c r="AS42" s="277">
        <f t="shared" si="16"/>
        <v>606.07760759647385</v>
      </c>
      <c r="AT42" s="275"/>
      <c r="AU42" s="176">
        <v>2031</v>
      </c>
      <c r="AV42" s="1081">
        <f>+'RES Audit Alt'!U44</f>
        <v>83.034094764662967</v>
      </c>
      <c r="AW42" s="1082">
        <f>+'RES Audit RCS'!U44</f>
        <v>3.27</v>
      </c>
      <c r="AX42" s="1082">
        <f>+'RES Assist.'!U44</f>
        <v>28.553922898703402</v>
      </c>
      <c r="AY42" s="979">
        <f>+'RES DR'!U44</f>
        <v>77.052261984003621</v>
      </c>
      <c r="AZ42" s="979">
        <f>+'RES EnergyStar'!U44</f>
        <v>34.088236314785121</v>
      </c>
      <c r="BA42" s="979">
        <f>+'RES WEA'!U44</f>
        <v>150.55053406066736</v>
      </c>
      <c r="BB42" s="979">
        <f>+'RES HC'!U44</f>
        <v>242.23171881957097</v>
      </c>
      <c r="BC42" s="738">
        <f>+'RES WF'!U44</f>
        <v>65.550135486212412</v>
      </c>
      <c r="BD42" s="979">
        <f>'RES CI'!U44</f>
        <v>20.482729499999998</v>
      </c>
      <c r="BE42" s="979">
        <f>'RES WI'!U44</f>
        <v>0.26759599999999989</v>
      </c>
      <c r="BF42" s="979">
        <f>'RES WR'!U44</f>
        <v>11.722017999999997</v>
      </c>
      <c r="BG42" s="979">
        <f>'RES Educ'!U44</f>
        <v>3.8904246543909329</v>
      </c>
      <c r="BH42" s="979">
        <f>'RES ECM'!U44</f>
        <v>0.21717200000000006</v>
      </c>
      <c r="BI42" s="981">
        <f>'RES HVAC Re-com'!U44</f>
        <v>0.36351999999999995</v>
      </c>
      <c r="BJ42" s="981">
        <f>'RES Solar DHW'!U44</f>
        <v>0.47519999999999996</v>
      </c>
      <c r="BK42" s="981">
        <f>'RES PV'!U44</f>
        <v>3.4044675</v>
      </c>
      <c r="BL42" s="277">
        <f t="shared" si="17"/>
        <v>725.1540319829968</v>
      </c>
      <c r="BM42" s="1182">
        <f>+'RES Prime Time'!Z44</f>
        <v>0</v>
      </c>
      <c r="BN42" s="276">
        <f>+'RES EP (RSVP)'!U44</f>
        <v>8.1407517426470601</v>
      </c>
      <c r="BO42" s="277">
        <f t="shared" si="18"/>
        <v>8.1407517426470601</v>
      </c>
      <c r="BP42" s="277">
        <f t="shared" si="19"/>
        <v>733.29478372564381</v>
      </c>
      <c r="BQ42" s="276"/>
    </row>
    <row r="43" spans="1:69" x14ac:dyDescent="0.2">
      <c r="A43" s="176">
        <v>2032</v>
      </c>
      <c r="B43" s="1081">
        <f>+'RES Audit Alt'!M45</f>
        <v>15.616098290049605</v>
      </c>
      <c r="C43" s="1082">
        <f>+'RES Audit RCS'!M45</f>
        <v>0.97</v>
      </c>
      <c r="D43" s="1082">
        <f>+'RES Assist.'!M45</f>
        <v>6.8874135332252848</v>
      </c>
      <c r="E43" s="979">
        <f>+'RES DR'!M45</f>
        <v>33.038257883603798</v>
      </c>
      <c r="F43" s="979">
        <f>+'RES EnergyStar'!M45</f>
        <v>11.261932029403898</v>
      </c>
      <c r="G43" s="979">
        <f>+'RES WEA'!M45</f>
        <v>33.176161841632968</v>
      </c>
      <c r="H43" s="979">
        <f>+'RES HC'!M45</f>
        <v>32.546263562812243</v>
      </c>
      <c r="I43" s="981">
        <f>+'RES WF'!M45</f>
        <v>24.534821375245556</v>
      </c>
      <c r="J43" s="983">
        <f>'RES CI'!M45</f>
        <v>6.9296614999999981</v>
      </c>
      <c r="K43" s="983">
        <f>'RES WI'!M45</f>
        <v>7.285999999999998E-2</v>
      </c>
      <c r="L43" s="983">
        <f>'RES WR'!M45</f>
        <v>3.7389024999999996</v>
      </c>
      <c r="M43" s="979">
        <f>'RES Educ'!M45</f>
        <v>0.30185038243626078</v>
      </c>
      <c r="N43" s="979">
        <f>'RES ECM'!M45</f>
        <v>8.9970000000000008E-2</v>
      </c>
      <c r="O43" s="981">
        <f>'RES HVAC Re-com'!M45</f>
        <v>0.25136000000000003</v>
      </c>
      <c r="P43" s="981">
        <f>'RES Solar DHW'!M45</f>
        <v>0.06</v>
      </c>
      <c r="Q43" s="981">
        <f>'RES PV'!M45</f>
        <v>1.2093750000000001</v>
      </c>
      <c r="R43" s="811">
        <f t="shared" si="11"/>
        <v>170.68492789840963</v>
      </c>
      <c r="S43" s="1179">
        <f>+'RES Prime Time'!N45</f>
        <v>0</v>
      </c>
      <c r="T43" s="979">
        <f>+'RES EP (RSVP)'!M45</f>
        <v>48.606985090992652</v>
      </c>
      <c r="U43" s="811">
        <f t="shared" si="12"/>
        <v>48.606985090992652</v>
      </c>
      <c r="V43" s="811">
        <f t="shared" si="13"/>
        <v>219.29191298940228</v>
      </c>
      <c r="W43" s="176"/>
      <c r="X43" s="176">
        <v>2032</v>
      </c>
      <c r="Y43" s="1087">
        <f>+'RES Audit Alt'!Q45</f>
        <v>24.118562305223232</v>
      </c>
      <c r="Z43" s="1088">
        <f>+'RES Audit RCS'!Q45</f>
        <v>1.36</v>
      </c>
      <c r="AA43" s="1088">
        <f>+'RES Assist.'!Q45</f>
        <v>7.243874283994101</v>
      </c>
      <c r="AB43" s="979">
        <f>+'RES DR'!Q45</f>
        <v>39.460760115848061</v>
      </c>
      <c r="AC43" s="979">
        <f>+'RES EnergyStar'!Q45</f>
        <v>10.408257208366754</v>
      </c>
      <c r="AD43" s="979">
        <f>+'RES WEA'!Q45</f>
        <v>44.125356844287175</v>
      </c>
      <c r="AE43" s="979">
        <f>+'RES HC'!Q45</f>
        <v>352.48800867722036</v>
      </c>
      <c r="AF43" s="738">
        <f>+'RES WF'!Q45</f>
        <v>48.250807506533867</v>
      </c>
      <c r="AG43" s="979">
        <f>'RES CI'!Q45</f>
        <v>9.5644999999999971</v>
      </c>
      <c r="AH43" s="979">
        <f>'RES WI'!Q45</f>
        <v>0.12362200000000001</v>
      </c>
      <c r="AI43" s="979">
        <f>'RES WR'!Q45</f>
        <v>2.2743360000000008</v>
      </c>
      <c r="AJ43" s="979">
        <f>'RES Educ'!Q45</f>
        <v>0.52994726345609089</v>
      </c>
      <c r="AK43" s="979">
        <f>'RES ECM'!Q45</f>
        <v>8.2347999999999991E-2</v>
      </c>
      <c r="AL43" s="738">
        <f>'RES HVAC Re-com'!Q45</f>
        <v>0.12415</v>
      </c>
      <c r="AM43" s="738">
        <f>'RES Solar DHW'!Q45</f>
        <v>0.10553</v>
      </c>
      <c r="AN43" s="738">
        <f>'RES PV'!Q45</f>
        <v>0</v>
      </c>
      <c r="AO43" s="277">
        <f t="shared" si="14"/>
        <v>540.26006020492946</v>
      </c>
      <c r="AP43" s="1182">
        <f>+'RES Prime Time'!T45</f>
        <v>0</v>
      </c>
      <c r="AQ43" s="276">
        <f>+'RES EP (RSVP)'!Q45</f>
        <v>73.187555391544109</v>
      </c>
      <c r="AR43" s="277">
        <f t="shared" si="15"/>
        <v>73.187555391544109</v>
      </c>
      <c r="AS43" s="277">
        <f t="shared" si="16"/>
        <v>613.44761559647361</v>
      </c>
      <c r="AT43" s="275"/>
      <c r="AU43" s="176">
        <v>2032</v>
      </c>
      <c r="AV43" s="1081">
        <f>+'RES Audit Alt'!U45</f>
        <v>83.034094764662967</v>
      </c>
      <c r="AW43" s="1082">
        <f>+'RES Audit RCS'!U45</f>
        <v>3.27</v>
      </c>
      <c r="AX43" s="1082">
        <f>+'RES Assist.'!U45</f>
        <v>28.553922898703402</v>
      </c>
      <c r="AY43" s="979">
        <f>+'RES DR'!U45</f>
        <v>77.201261984003622</v>
      </c>
      <c r="AZ43" s="979">
        <f>+'RES EnergyStar'!U45</f>
        <v>34.710486314785122</v>
      </c>
      <c r="BA43" s="979">
        <f>+'RES WEA'!U45</f>
        <v>159.10453406066736</v>
      </c>
      <c r="BB43" s="979">
        <f>+'RES HC'!U45</f>
        <v>242.41721881957096</v>
      </c>
      <c r="BC43" s="738">
        <f>+'RES WF'!U45</f>
        <v>65.550135486212412</v>
      </c>
      <c r="BD43" s="979">
        <f>'RES CI'!U45</f>
        <v>21.754729499999996</v>
      </c>
      <c r="BE43" s="979">
        <f>'RES WI'!U45</f>
        <v>0.2787679999999999</v>
      </c>
      <c r="BF43" s="979">
        <f>'RES WR'!U45</f>
        <v>12.282517999999996</v>
      </c>
      <c r="BG43" s="979">
        <f>'RES Educ'!U45</f>
        <v>4.0614246543909331</v>
      </c>
      <c r="BH43" s="979">
        <f>'RES ECM'!U45</f>
        <v>0.23269200000000007</v>
      </c>
      <c r="BI43" s="981">
        <f>'RES HVAC Re-com'!U45</f>
        <v>0.36351999999999995</v>
      </c>
      <c r="BJ43" s="981">
        <f>'RES Solar DHW'!U45</f>
        <v>0.47519999999999996</v>
      </c>
      <c r="BK43" s="981">
        <f>'RES PV'!U45</f>
        <v>3.4044675</v>
      </c>
      <c r="BL43" s="277">
        <f t="shared" si="17"/>
        <v>736.69497398299688</v>
      </c>
      <c r="BM43" s="1182">
        <f>+'RES Prime Time'!Z45</f>
        <v>0</v>
      </c>
      <c r="BN43" s="276">
        <f>+'RES EP (RSVP)'!U45</f>
        <v>8.4432517426470604</v>
      </c>
      <c r="BO43" s="277">
        <f t="shared" si="18"/>
        <v>8.4432517426470604</v>
      </c>
      <c r="BP43" s="277">
        <f t="shared" si="19"/>
        <v>745.13822572564391</v>
      </c>
      <c r="BQ43" s="276"/>
    </row>
    <row r="44" spans="1:69" x14ac:dyDescent="0.2">
      <c r="A44" s="176">
        <v>2033</v>
      </c>
      <c r="B44" s="1081">
        <f>+'RES Audit Alt'!M46</f>
        <v>15.616098290049605</v>
      </c>
      <c r="C44" s="1082">
        <f>+'RES Audit RCS'!M46</f>
        <v>0.97</v>
      </c>
      <c r="D44" s="1082">
        <f>+'RES Assist.'!M46</f>
        <v>6.8874135332252848</v>
      </c>
      <c r="E44" s="979">
        <f>+'RES DR'!M46</f>
        <v>33.123757883603801</v>
      </c>
      <c r="F44" s="979">
        <f>+'RES EnergyStar'!M46</f>
        <v>11.394682029403898</v>
      </c>
      <c r="G44" s="979">
        <f>+'RES WEA'!M46</f>
        <v>34.863161841632966</v>
      </c>
      <c r="H44" s="979">
        <f>+'RES HC'!M46</f>
        <v>32.597263562812245</v>
      </c>
      <c r="I44" s="981">
        <f>+'RES WF'!M46</f>
        <v>24.534821375245556</v>
      </c>
      <c r="J44" s="983">
        <f>'RES CI'!M46</f>
        <v>7.3196614999999978</v>
      </c>
      <c r="K44" s="983">
        <f>'RES WI'!M46</f>
        <v>7.5771999999999978E-2</v>
      </c>
      <c r="L44" s="983">
        <f>'RES WR'!M46</f>
        <v>3.8944024999999995</v>
      </c>
      <c r="M44" s="979">
        <f>'RES Educ'!M46</f>
        <v>0.31435038243626079</v>
      </c>
      <c r="N44" s="979">
        <f>'RES ECM'!M46</f>
        <v>9.5970000000000014E-2</v>
      </c>
      <c r="O44" s="981">
        <f>'RES HVAC Re-com'!M46</f>
        <v>0.25136000000000003</v>
      </c>
      <c r="P44" s="981">
        <f>'RES Solar DHW'!M46</f>
        <v>0.06</v>
      </c>
      <c r="Q44" s="981">
        <f>'RES PV'!M46</f>
        <v>1.2093750000000001</v>
      </c>
      <c r="R44" s="811">
        <f t="shared" ref="R44:R52" si="20">SUM(B44:Q44)</f>
        <v>173.20808989840958</v>
      </c>
      <c r="S44" s="1179">
        <f>+'RES Prime Time'!N46</f>
        <v>0</v>
      </c>
      <c r="T44" s="979">
        <f>+'RES EP (RSVP)'!M46</f>
        <v>51.121985090992652</v>
      </c>
      <c r="U44" s="811">
        <f t="shared" ref="U44:U52" si="21">+S44+T44</f>
        <v>51.121985090992652</v>
      </c>
      <c r="V44" s="811">
        <f t="shared" ref="V44:V52" si="22">+U44+R44</f>
        <v>224.33007498940225</v>
      </c>
      <c r="W44" s="176"/>
      <c r="X44" s="176">
        <v>2033</v>
      </c>
      <c r="Y44" s="1087">
        <f>+'RES Audit Alt'!Q46</f>
        <v>24.118562305223232</v>
      </c>
      <c r="Z44" s="1088">
        <f>+'RES Audit RCS'!Q46</f>
        <v>1.36</v>
      </c>
      <c r="AA44" s="1088">
        <f>+'RES Assist.'!Q46</f>
        <v>7.243874283994101</v>
      </c>
      <c r="AB44" s="979">
        <f>+'RES DR'!Q46</f>
        <v>39.56926011584806</v>
      </c>
      <c r="AC44" s="979">
        <f>+'RES EnergyStar'!Q46</f>
        <v>10.530757208366754</v>
      </c>
      <c r="AD44" s="979">
        <f>+'RES WEA'!Q46</f>
        <v>46.484356844287177</v>
      </c>
      <c r="AE44" s="979">
        <f>+'RES HC'!Q46</f>
        <v>352.65450867722035</v>
      </c>
      <c r="AF44" s="738">
        <f>+'RES WF'!Q46</f>
        <v>48.250807506533867</v>
      </c>
      <c r="AG44" s="979">
        <f>'RES CI'!Q46</f>
        <v>10.119499999999997</v>
      </c>
      <c r="AH44" s="979">
        <f>'RES WI'!Q46</f>
        <v>0.12995000000000001</v>
      </c>
      <c r="AI44" s="979">
        <f>'RES WR'!Q46</f>
        <v>2.3803360000000007</v>
      </c>
      <c r="AJ44" s="979">
        <f>'RES Educ'!Q46</f>
        <v>0.55294726345609091</v>
      </c>
      <c r="AK44" s="979">
        <f>'RES ECM'!Q46</f>
        <v>8.8027999999999995E-2</v>
      </c>
      <c r="AL44" s="738">
        <f>'RES HVAC Re-com'!Q46</f>
        <v>0.12415</v>
      </c>
      <c r="AM44" s="738">
        <f>'RES Solar DHW'!Q46</f>
        <v>0.10553</v>
      </c>
      <c r="AN44" s="738">
        <f>'RES PV'!Q46</f>
        <v>0</v>
      </c>
      <c r="AO44" s="277">
        <f t="shared" ref="AO44:AO52" si="23">SUM(Y44:AN44)</f>
        <v>543.71256820492977</v>
      </c>
      <c r="AP44" s="1182">
        <f>+'RES Prime Time'!T46</f>
        <v>0</v>
      </c>
      <c r="AQ44" s="276">
        <f>+'RES EP (RSVP)'!Q46</f>
        <v>77.105055391544113</v>
      </c>
      <c r="AR44" s="277">
        <f t="shared" ref="AR44:AR52" si="24">+AP44+AQ44</f>
        <v>77.105055391544113</v>
      </c>
      <c r="AS44" s="277">
        <f t="shared" ref="AS44:AS52" si="25">+AR44+AO44</f>
        <v>620.81762359647382</v>
      </c>
      <c r="AT44" s="275"/>
      <c r="AU44" s="176">
        <v>2033</v>
      </c>
      <c r="AV44" s="1081">
        <f>+'RES Audit Alt'!U46</f>
        <v>83.034094764662967</v>
      </c>
      <c r="AW44" s="1082">
        <f>+'RES Audit RCS'!U46</f>
        <v>3.27</v>
      </c>
      <c r="AX44" s="1082">
        <f>+'RES Assist.'!U46</f>
        <v>28.553922898703402</v>
      </c>
      <c r="AY44" s="979">
        <f>+'RES DR'!U46</f>
        <v>77.350261984003623</v>
      </c>
      <c r="AZ44" s="979">
        <f>+'RES EnergyStar'!U46</f>
        <v>35.332736314785123</v>
      </c>
      <c r="BA44" s="979">
        <f>+'RES WEA'!U46</f>
        <v>167.65853406066736</v>
      </c>
      <c r="BB44" s="979">
        <f>+'RES HC'!U46</f>
        <v>242.60271881957095</v>
      </c>
      <c r="BC44" s="738">
        <f>+'RES WF'!U46</f>
        <v>65.550135486212412</v>
      </c>
      <c r="BD44" s="979">
        <f>'RES CI'!U46</f>
        <v>23.026729499999995</v>
      </c>
      <c r="BE44" s="979">
        <f>'RES WI'!U46</f>
        <v>0.28993999999999992</v>
      </c>
      <c r="BF44" s="979">
        <f>'RES WR'!U46</f>
        <v>12.843017999999995</v>
      </c>
      <c r="BG44" s="979">
        <f>'RES Educ'!U46</f>
        <v>4.2324246543909334</v>
      </c>
      <c r="BH44" s="979">
        <f>'RES ECM'!U46</f>
        <v>0.24821200000000007</v>
      </c>
      <c r="BI44" s="981">
        <f>'RES HVAC Re-com'!U46</f>
        <v>0.36351999999999995</v>
      </c>
      <c r="BJ44" s="981">
        <f>'RES Solar DHW'!U46</f>
        <v>0.47519999999999996</v>
      </c>
      <c r="BK44" s="981">
        <f>'RES PV'!U46</f>
        <v>3.4044675</v>
      </c>
      <c r="BL44" s="277">
        <f t="shared" ref="BL44:BL52" si="26">SUM(AV44:BK44)</f>
        <v>748.23591598299674</v>
      </c>
      <c r="BM44" s="1182">
        <f>+'RES Prime Time'!Z46</f>
        <v>0</v>
      </c>
      <c r="BN44" s="276">
        <f>+'RES EP (RSVP)'!U46</f>
        <v>8.7457517426470606</v>
      </c>
      <c r="BO44" s="277">
        <f t="shared" ref="BO44:BO52" si="27">+BM44+BN44</f>
        <v>8.7457517426470606</v>
      </c>
      <c r="BP44" s="277">
        <f t="shared" ref="BP44:BP52" si="28">+BO44+BL44</f>
        <v>756.98166772564377</v>
      </c>
      <c r="BQ44" s="276"/>
    </row>
    <row r="45" spans="1:69" x14ac:dyDescent="0.2">
      <c r="A45" s="176">
        <v>2034</v>
      </c>
      <c r="B45" s="1081">
        <f>+'RES Audit Alt'!M47</f>
        <v>15.616098290049605</v>
      </c>
      <c r="C45" s="1082">
        <f>+'RES Audit RCS'!M47</f>
        <v>0.97</v>
      </c>
      <c r="D45" s="1082">
        <f>+'RES Assist.'!M47</f>
        <v>6.8874135332252848</v>
      </c>
      <c r="E45" s="979">
        <f>+'RES DR'!M47</f>
        <v>33.209257883603804</v>
      </c>
      <c r="F45" s="979">
        <f>+'RES EnergyStar'!M47</f>
        <v>11.527432029403897</v>
      </c>
      <c r="G45" s="979">
        <f>+'RES WEA'!M47</f>
        <v>36.550161841632963</v>
      </c>
      <c r="H45" s="979">
        <f>+'RES HC'!M47</f>
        <v>32.648263562812247</v>
      </c>
      <c r="I45" s="981">
        <f>+'RES WF'!M47</f>
        <v>24.534821375245556</v>
      </c>
      <c r="J45" s="983">
        <f>'RES CI'!M47</f>
        <v>7.7096614999999975</v>
      </c>
      <c r="K45" s="983">
        <f>'RES WI'!M47</f>
        <v>7.8683999999999976E-2</v>
      </c>
      <c r="L45" s="983">
        <f>'RES WR'!M47</f>
        <v>4.0499025</v>
      </c>
      <c r="M45" s="979">
        <f>'RES Educ'!M47</f>
        <v>0.3268503824362608</v>
      </c>
      <c r="N45" s="979">
        <f>'RES ECM'!M47</f>
        <v>0.10197000000000002</v>
      </c>
      <c r="O45" s="981">
        <f>'RES HVAC Re-com'!M47</f>
        <v>0.25136000000000003</v>
      </c>
      <c r="P45" s="981">
        <f>'RES Solar DHW'!M47</f>
        <v>0.06</v>
      </c>
      <c r="Q45" s="981">
        <f>'RES PV'!M47</f>
        <v>1.2093750000000001</v>
      </c>
      <c r="R45" s="811">
        <f t="shared" si="20"/>
        <v>175.7312518984096</v>
      </c>
      <c r="S45" s="1179">
        <f>+'RES Prime Time'!N47</f>
        <v>0</v>
      </c>
      <c r="T45" s="979">
        <f>+'RES EP (RSVP)'!M47</f>
        <v>53.636985090992653</v>
      </c>
      <c r="U45" s="811">
        <f t="shared" si="21"/>
        <v>53.636985090992653</v>
      </c>
      <c r="V45" s="811">
        <f t="shared" si="22"/>
        <v>229.36823698940225</v>
      </c>
      <c r="W45" s="176"/>
      <c r="X45" s="176">
        <v>2034</v>
      </c>
      <c r="Y45" s="1087">
        <f>+'RES Audit Alt'!Q47</f>
        <v>24.118562305223232</v>
      </c>
      <c r="Z45" s="1088">
        <f>+'RES Audit RCS'!Q47</f>
        <v>1.36</v>
      </c>
      <c r="AA45" s="1088">
        <f>+'RES Assist.'!Q47</f>
        <v>7.243874283994101</v>
      </c>
      <c r="AB45" s="979">
        <f>+'RES DR'!Q47</f>
        <v>39.677760115848059</v>
      </c>
      <c r="AC45" s="979">
        <f>+'RES EnergyStar'!Q47</f>
        <v>10.653257208366755</v>
      </c>
      <c r="AD45" s="979">
        <f>+'RES WEA'!Q47</f>
        <v>48.843356844287179</v>
      </c>
      <c r="AE45" s="979">
        <f>+'RES HC'!Q47</f>
        <v>352.82100867722033</v>
      </c>
      <c r="AF45" s="738">
        <f>+'RES WF'!Q47</f>
        <v>48.250807506533867</v>
      </c>
      <c r="AG45" s="979">
        <f>'RES CI'!Q47</f>
        <v>10.674499999999997</v>
      </c>
      <c r="AH45" s="979">
        <f>'RES WI'!Q47</f>
        <v>0.13627800000000001</v>
      </c>
      <c r="AI45" s="979">
        <f>'RES WR'!Q47</f>
        <v>2.4863360000000005</v>
      </c>
      <c r="AJ45" s="979">
        <f>'RES Educ'!Q47</f>
        <v>0.57594726345609093</v>
      </c>
      <c r="AK45" s="979">
        <f>'RES ECM'!Q47</f>
        <v>9.3708E-2</v>
      </c>
      <c r="AL45" s="738">
        <f>'RES HVAC Re-com'!Q47</f>
        <v>0.12415</v>
      </c>
      <c r="AM45" s="738">
        <f>'RES Solar DHW'!Q47</f>
        <v>0.10553</v>
      </c>
      <c r="AN45" s="738">
        <f>'RES PV'!Q47</f>
        <v>0</v>
      </c>
      <c r="AO45" s="277">
        <f t="shared" si="23"/>
        <v>547.16507620492962</v>
      </c>
      <c r="AP45" s="1182">
        <f>+'RES Prime Time'!T47</f>
        <v>0</v>
      </c>
      <c r="AQ45" s="276">
        <f>+'RES EP (RSVP)'!Q47</f>
        <v>81.022555391544117</v>
      </c>
      <c r="AR45" s="277">
        <f t="shared" si="24"/>
        <v>81.022555391544117</v>
      </c>
      <c r="AS45" s="277">
        <f t="shared" si="25"/>
        <v>628.18763159647369</v>
      </c>
      <c r="AT45" s="275"/>
      <c r="AU45" s="176">
        <v>2034</v>
      </c>
      <c r="AV45" s="1081">
        <f>+'RES Audit Alt'!U47</f>
        <v>83.034094764662967</v>
      </c>
      <c r="AW45" s="1082">
        <f>+'RES Audit RCS'!U47</f>
        <v>3.27</v>
      </c>
      <c r="AX45" s="1082">
        <f>+'RES Assist.'!U47</f>
        <v>28.553922898703402</v>
      </c>
      <c r="AY45" s="979">
        <f>+'RES DR'!U47</f>
        <v>77.499261984003624</v>
      </c>
      <c r="AZ45" s="979">
        <f>+'RES EnergyStar'!U47</f>
        <v>35.954986314785124</v>
      </c>
      <c r="BA45" s="979">
        <f>+'RES WEA'!U47</f>
        <v>176.21253406066737</v>
      </c>
      <c r="BB45" s="979">
        <f>+'RES HC'!U47</f>
        <v>242.78821881957094</v>
      </c>
      <c r="BC45" s="738">
        <f>+'RES WF'!U47</f>
        <v>65.550135486212412</v>
      </c>
      <c r="BD45" s="979">
        <f>'RES CI'!U47</f>
        <v>24.298729499999993</v>
      </c>
      <c r="BE45" s="979">
        <f>'RES WI'!U47</f>
        <v>0.30111199999999994</v>
      </c>
      <c r="BF45" s="979">
        <f>'RES WR'!U47</f>
        <v>13.403517999999995</v>
      </c>
      <c r="BG45" s="979">
        <f>'RES Educ'!U47</f>
        <v>4.4034246543909337</v>
      </c>
      <c r="BH45" s="979">
        <f>'RES ECM'!U47</f>
        <v>0.26373200000000008</v>
      </c>
      <c r="BI45" s="981">
        <f>'RES HVAC Re-com'!U47</f>
        <v>0.36351999999999995</v>
      </c>
      <c r="BJ45" s="981">
        <f>'RES Solar DHW'!U47</f>
        <v>0.47519999999999996</v>
      </c>
      <c r="BK45" s="981">
        <f>'RES PV'!U47</f>
        <v>3.4044675</v>
      </c>
      <c r="BL45" s="277">
        <f t="shared" si="26"/>
        <v>759.77685798299672</v>
      </c>
      <c r="BM45" s="1182">
        <f>+'RES Prime Time'!Z47</f>
        <v>0</v>
      </c>
      <c r="BN45" s="276">
        <f>+'RES EP (RSVP)'!U47</f>
        <v>9.0482517426470608</v>
      </c>
      <c r="BO45" s="277">
        <f t="shared" si="27"/>
        <v>9.0482517426470608</v>
      </c>
      <c r="BP45" s="277">
        <f t="shared" si="28"/>
        <v>768.82510972564376</v>
      </c>
      <c r="BQ45" s="276"/>
    </row>
    <row r="46" spans="1:69" x14ac:dyDescent="0.2">
      <c r="A46" s="1221">
        <v>2035</v>
      </c>
      <c r="B46" s="1081">
        <f>+'RES Audit Alt'!M48</f>
        <v>15.616098290049605</v>
      </c>
      <c r="C46" s="1082">
        <f>+'RES Audit RCS'!M48</f>
        <v>0.97</v>
      </c>
      <c r="D46" s="1082">
        <f>+'RES Assist.'!M48</f>
        <v>6.8874135332252848</v>
      </c>
      <c r="E46" s="979">
        <f>+'RES DR'!M48</f>
        <v>33.294757883603808</v>
      </c>
      <c r="F46" s="979">
        <f>+'RES EnergyStar'!M48</f>
        <v>11.660182029403897</v>
      </c>
      <c r="G46" s="979">
        <f>+'RES WEA'!M48</f>
        <v>38.237161841632961</v>
      </c>
      <c r="H46" s="979">
        <f>+'RES HC'!M48</f>
        <v>32.699263562812249</v>
      </c>
      <c r="I46" s="981">
        <f>+'RES WF'!M48</f>
        <v>24.534821375245556</v>
      </c>
      <c r="J46" s="983">
        <f>'RES CI'!M48</f>
        <v>8.0996614999999981</v>
      </c>
      <c r="K46" s="983">
        <f>'RES WI'!M48</f>
        <v>8.1595999999999974E-2</v>
      </c>
      <c r="L46" s="983">
        <f>'RES WR'!M48</f>
        <v>4.2054024999999999</v>
      </c>
      <c r="M46" s="979">
        <f>'RES Educ'!M48</f>
        <v>0.33935038243626081</v>
      </c>
      <c r="N46" s="979">
        <f>'RES ECM'!M48</f>
        <v>0.10797000000000002</v>
      </c>
      <c r="O46" s="981">
        <f>'RES HVAC Re-com'!M48</f>
        <v>0.25136000000000003</v>
      </c>
      <c r="P46" s="981">
        <f>'RES Solar DHW'!M48</f>
        <v>0.06</v>
      </c>
      <c r="Q46" s="981">
        <f>'RES PV'!M48</f>
        <v>1.2093750000000001</v>
      </c>
      <c r="R46" s="811">
        <f t="shared" si="20"/>
        <v>178.25441389840958</v>
      </c>
      <c r="S46" s="1179">
        <f>+'RES Prime Time'!N48</f>
        <v>0</v>
      </c>
      <c r="T46" s="979">
        <f>+'RES EP (RSVP)'!M48</f>
        <v>56.151985090992653</v>
      </c>
      <c r="U46" s="811">
        <f t="shared" si="21"/>
        <v>56.151985090992653</v>
      </c>
      <c r="V46" s="811">
        <f t="shared" si="22"/>
        <v>234.40639898940225</v>
      </c>
      <c r="W46" s="176"/>
      <c r="X46" s="176">
        <v>2035</v>
      </c>
      <c r="Y46" s="1087">
        <f>+'RES Audit Alt'!Q48</f>
        <v>24.118562305223232</v>
      </c>
      <c r="Z46" s="1088">
        <f>+'RES Audit RCS'!Q48</f>
        <v>1.36</v>
      </c>
      <c r="AA46" s="1088">
        <f>+'RES Assist.'!Q48</f>
        <v>7.243874283994101</v>
      </c>
      <c r="AB46" s="979">
        <f>+'RES DR'!Q48</f>
        <v>39.786260115848059</v>
      </c>
      <c r="AC46" s="979">
        <f>+'RES EnergyStar'!Q48</f>
        <v>10.775757208366755</v>
      </c>
      <c r="AD46" s="979">
        <f>+'RES WEA'!Q48</f>
        <v>51.202356844287181</v>
      </c>
      <c r="AE46" s="979">
        <f>+'RES HC'!Q48</f>
        <v>352.98750867722032</v>
      </c>
      <c r="AF46" s="738">
        <f>+'RES WF'!Q48</f>
        <v>48.250807506533867</v>
      </c>
      <c r="AG46" s="979">
        <f>'RES CI'!Q48</f>
        <v>11.229499999999996</v>
      </c>
      <c r="AH46" s="979">
        <f>'RES WI'!Q48</f>
        <v>0.14260600000000001</v>
      </c>
      <c r="AI46" s="979">
        <f>'RES WR'!Q48</f>
        <v>2.5923360000000004</v>
      </c>
      <c r="AJ46" s="979">
        <f>'RES Educ'!Q48</f>
        <v>0.59894726345609095</v>
      </c>
      <c r="AK46" s="979">
        <f>'RES ECM'!Q48</f>
        <v>9.9388000000000004E-2</v>
      </c>
      <c r="AL46" s="738">
        <f>'RES HVAC Re-com'!Q48</f>
        <v>0.12415</v>
      </c>
      <c r="AM46" s="738">
        <f>'RES Solar DHW'!Q48</f>
        <v>0.10553</v>
      </c>
      <c r="AN46" s="738">
        <f>'RES PV'!Q48</f>
        <v>0</v>
      </c>
      <c r="AO46" s="1220">
        <f t="shared" si="23"/>
        <v>550.6175842049297</v>
      </c>
      <c r="AP46" s="1182">
        <f>+'RES Prime Time'!T48</f>
        <v>0</v>
      </c>
      <c r="AQ46" s="276">
        <f>+'RES EP (RSVP)'!Q48</f>
        <v>84.940055391544121</v>
      </c>
      <c r="AR46" s="277">
        <f t="shared" si="24"/>
        <v>84.940055391544121</v>
      </c>
      <c r="AS46" s="277">
        <f t="shared" si="25"/>
        <v>635.55763959647379</v>
      </c>
      <c r="AT46" s="275">
        <f>AO47-AO27</f>
        <v>70.138936999999657</v>
      </c>
      <c r="AU46" s="176">
        <v>2035</v>
      </c>
      <c r="AV46" s="1081">
        <f>+'RES Audit Alt'!U48</f>
        <v>83.034094764662967</v>
      </c>
      <c r="AW46" s="1082">
        <f>+'RES Audit RCS'!U48</f>
        <v>3.27</v>
      </c>
      <c r="AX46" s="1082">
        <f>+'RES Assist.'!U48</f>
        <v>28.553922898703402</v>
      </c>
      <c r="AY46" s="979">
        <f>+'RES DR'!U48</f>
        <v>77.648261984003625</v>
      </c>
      <c r="AZ46" s="979">
        <f>+'RES EnergyStar'!U48</f>
        <v>36.577236314785125</v>
      </c>
      <c r="BA46" s="979">
        <f>+'RES WEA'!U48</f>
        <v>184.76653406066737</v>
      </c>
      <c r="BB46" s="979">
        <f>+'RES HC'!U48</f>
        <v>242.97371881957093</v>
      </c>
      <c r="BC46" s="738">
        <f>+'RES WF'!U48</f>
        <v>65.550135486212412</v>
      </c>
      <c r="BD46" s="979">
        <f>'RES CI'!U48</f>
        <v>25.570729499999992</v>
      </c>
      <c r="BE46" s="979">
        <f>'RES WI'!U48</f>
        <v>0.31228399999999995</v>
      </c>
      <c r="BF46" s="979">
        <f>'RES WR'!U48</f>
        <v>13.964017999999994</v>
      </c>
      <c r="BG46" s="979">
        <f>'RES Educ'!U48</f>
        <v>4.5744246543909339</v>
      </c>
      <c r="BH46" s="979">
        <f>'RES ECM'!U48</f>
        <v>0.27925200000000006</v>
      </c>
      <c r="BI46" s="981">
        <f>'RES HVAC Re-com'!U48</f>
        <v>0.36351999999999995</v>
      </c>
      <c r="BJ46" s="981">
        <f>'RES Solar DHW'!U48</f>
        <v>0.47519999999999996</v>
      </c>
      <c r="BK46" s="981">
        <f>'RES PV'!U48</f>
        <v>3.4044675</v>
      </c>
      <c r="BL46" s="277">
        <f t="shared" si="26"/>
        <v>771.31779998299669</v>
      </c>
      <c r="BM46" s="1182">
        <f>+'RES Prime Time'!Z48</f>
        <v>0</v>
      </c>
      <c r="BN46" s="276">
        <f>+'RES EP (RSVP)'!U48</f>
        <v>9.350751742647061</v>
      </c>
      <c r="BO46" s="277">
        <f t="shared" si="27"/>
        <v>9.350751742647061</v>
      </c>
      <c r="BP46" s="277">
        <f t="shared" si="28"/>
        <v>780.66855172564374</v>
      </c>
      <c r="BQ46" s="276"/>
    </row>
    <row r="47" spans="1:69" x14ac:dyDescent="0.2">
      <c r="A47" s="176">
        <v>2036</v>
      </c>
      <c r="B47" s="1081">
        <f>+'RES Audit Alt'!M49</f>
        <v>15.616098290049605</v>
      </c>
      <c r="C47" s="1082">
        <f>+'RES Audit RCS'!M49</f>
        <v>0.97</v>
      </c>
      <c r="D47" s="1082">
        <f>+'RES Assist.'!M49</f>
        <v>6.8874135332252848</v>
      </c>
      <c r="E47" s="979">
        <f>+'RES DR'!M49</f>
        <v>33.380257883603811</v>
      </c>
      <c r="F47" s="979">
        <f>+'RES EnergyStar'!M49</f>
        <v>11.792932029403897</v>
      </c>
      <c r="G47" s="979">
        <f>+'RES WEA'!M49</f>
        <v>39.924161841632959</v>
      </c>
      <c r="H47" s="979">
        <f>+'RES HC'!M49</f>
        <v>32.75026356281225</v>
      </c>
      <c r="I47" s="981">
        <f>+'RES WF'!M49</f>
        <v>24.534821375245556</v>
      </c>
      <c r="J47" s="983">
        <f>'RES CI'!M49</f>
        <v>8.4896614999999986</v>
      </c>
      <c r="K47" s="983">
        <f>'RES WI'!M49</f>
        <v>8.4507999999999972E-2</v>
      </c>
      <c r="L47" s="983">
        <f>'RES WR'!M49</f>
        <v>4.3609024999999999</v>
      </c>
      <c r="M47" s="979">
        <f>'RES Educ'!M49</f>
        <v>0.35185038243626082</v>
      </c>
      <c r="N47" s="979">
        <f>'RES ECM'!M49</f>
        <v>0.11397000000000003</v>
      </c>
      <c r="O47" s="981">
        <f>'RES HVAC Re-com'!M49</f>
        <v>0.25136000000000003</v>
      </c>
      <c r="P47" s="981">
        <f>'RES Solar DHW'!M49</f>
        <v>0.06</v>
      </c>
      <c r="Q47" s="981">
        <f>'RES PV'!M49</f>
        <v>1.2093750000000001</v>
      </c>
      <c r="R47" s="811">
        <f t="shared" si="20"/>
        <v>180.77757589840962</v>
      </c>
      <c r="S47" s="1179">
        <f>+'RES Prime Time'!N49</f>
        <v>0</v>
      </c>
      <c r="T47" s="979">
        <f>+'RES EP (RSVP)'!M49</f>
        <v>58.666985090992654</v>
      </c>
      <c r="U47" s="811">
        <f t="shared" si="21"/>
        <v>58.666985090992654</v>
      </c>
      <c r="V47" s="811">
        <f t="shared" si="22"/>
        <v>239.44456098940228</v>
      </c>
      <c r="W47" s="176"/>
      <c r="X47" s="176">
        <v>2036</v>
      </c>
      <c r="Y47" s="1087">
        <f>+'RES Audit Alt'!Q49</f>
        <v>24.118562305223232</v>
      </c>
      <c r="Z47" s="1088">
        <f>+'RES Audit RCS'!Q49</f>
        <v>1.36</v>
      </c>
      <c r="AA47" s="1088">
        <f>+'RES Assist.'!Q49</f>
        <v>7.243874283994101</v>
      </c>
      <c r="AB47" s="979">
        <f>+'RES DR'!Q49</f>
        <v>39.894760115848058</v>
      </c>
      <c r="AC47" s="979">
        <f>+'RES EnergyStar'!Q49</f>
        <v>10.898257208366756</v>
      </c>
      <c r="AD47" s="979">
        <f>+'RES WEA'!Q49</f>
        <v>53.561356844287182</v>
      </c>
      <c r="AE47" s="979">
        <f>+'RES HC'!Q49</f>
        <v>353.1540086772203</v>
      </c>
      <c r="AF47" s="738">
        <f>+'RES WF'!Q49</f>
        <v>48.250807506533867</v>
      </c>
      <c r="AG47" s="979">
        <f>'RES CI'!Q49</f>
        <v>11.784499999999996</v>
      </c>
      <c r="AH47" s="979">
        <f>'RES WI'!Q49</f>
        <v>0.14893400000000001</v>
      </c>
      <c r="AI47" s="979">
        <f>'RES WR'!Q49</f>
        <v>2.6983360000000003</v>
      </c>
      <c r="AJ47" s="979">
        <f>'RES Educ'!Q49</f>
        <v>0.62194726345609097</v>
      </c>
      <c r="AK47" s="979">
        <f>'RES ECM'!Q49</f>
        <v>0.10506800000000001</v>
      </c>
      <c r="AL47" s="738">
        <f>'RES HVAC Re-com'!Q49</f>
        <v>0.12415</v>
      </c>
      <c r="AM47" s="738">
        <f>'RES Solar DHW'!Q49</f>
        <v>0.10553</v>
      </c>
      <c r="AN47" s="738">
        <f>'RES PV'!Q49</f>
        <v>0</v>
      </c>
      <c r="AO47" s="277">
        <f t="shared" si="23"/>
        <v>554.07009220492955</v>
      </c>
      <c r="AP47" s="1182">
        <f>+'RES Prime Time'!T49</f>
        <v>0</v>
      </c>
      <c r="AQ47" s="276">
        <f>+'RES EP (RSVP)'!Q49</f>
        <v>88.857555391544125</v>
      </c>
      <c r="AR47" s="277">
        <f t="shared" si="24"/>
        <v>88.857555391544125</v>
      </c>
      <c r="AS47" s="277">
        <f t="shared" si="25"/>
        <v>642.92764759647366</v>
      </c>
      <c r="AT47" s="275"/>
      <c r="AU47" s="176">
        <v>2036</v>
      </c>
      <c r="AV47" s="1081">
        <f>+'RES Audit Alt'!U49</f>
        <v>83.034094764662967</v>
      </c>
      <c r="AW47" s="1082">
        <f>+'RES Audit RCS'!U49</f>
        <v>3.27</v>
      </c>
      <c r="AX47" s="1082">
        <f>+'RES Assist.'!U49</f>
        <v>28.553922898703402</v>
      </c>
      <c r="AY47" s="979">
        <f>+'RES DR'!U49</f>
        <v>77.797261984003626</v>
      </c>
      <c r="AZ47" s="979">
        <f>+'RES EnergyStar'!U49</f>
        <v>37.199486314785126</v>
      </c>
      <c r="BA47" s="979">
        <f>+'RES WEA'!U49</f>
        <v>193.32053406066737</v>
      </c>
      <c r="BB47" s="979">
        <f>+'RES HC'!U49</f>
        <v>243.15921881957092</v>
      </c>
      <c r="BC47" s="738">
        <f>+'RES WF'!U49</f>
        <v>65.550135486212412</v>
      </c>
      <c r="BD47" s="979">
        <f>'RES CI'!U49</f>
        <v>26.84272949999999</v>
      </c>
      <c r="BE47" s="979">
        <f>'RES WI'!U49</f>
        <v>0.32345599999999997</v>
      </c>
      <c r="BF47" s="979">
        <f>'RES WR'!U49</f>
        <v>14.524517999999993</v>
      </c>
      <c r="BG47" s="979">
        <f>'RES Educ'!U49</f>
        <v>4.7454246543909342</v>
      </c>
      <c r="BH47" s="979">
        <f>'RES ECM'!U49</f>
        <v>0.29477200000000003</v>
      </c>
      <c r="BI47" s="981">
        <f>'RES HVAC Re-com'!U49</f>
        <v>0.36351999999999995</v>
      </c>
      <c r="BJ47" s="981">
        <f>'RES Solar DHW'!U49</f>
        <v>0.47519999999999996</v>
      </c>
      <c r="BK47" s="981">
        <f>'RES PV'!U49</f>
        <v>3.4044675</v>
      </c>
      <c r="BL47" s="277">
        <f t="shared" si="26"/>
        <v>782.85874198299666</v>
      </c>
      <c r="BM47" s="1182">
        <f>+'RES Prime Time'!Z49</f>
        <v>0</v>
      </c>
      <c r="BN47" s="276">
        <f>+'RES EP (RSVP)'!U49</f>
        <v>9.6532517426470612</v>
      </c>
      <c r="BO47" s="277">
        <f t="shared" si="27"/>
        <v>9.6532517426470612</v>
      </c>
      <c r="BP47" s="277">
        <f t="shared" si="28"/>
        <v>792.51199372564372</v>
      </c>
      <c r="BQ47" s="276"/>
    </row>
    <row r="48" spans="1:69" x14ac:dyDescent="0.2">
      <c r="A48" s="176">
        <v>2037</v>
      </c>
      <c r="B48" s="1081">
        <f>+'RES Audit Alt'!M50</f>
        <v>15.616098290049605</v>
      </c>
      <c r="C48" s="1082">
        <f>+'RES Audit RCS'!M50</f>
        <v>0.97</v>
      </c>
      <c r="D48" s="1082">
        <f>+'RES Assist.'!M50</f>
        <v>6.8874135332252848</v>
      </c>
      <c r="E48" s="979">
        <f>+'RES DR'!M50</f>
        <v>33.465757883603814</v>
      </c>
      <c r="F48" s="979">
        <f>+'RES EnergyStar'!M50</f>
        <v>11.925682029403896</v>
      </c>
      <c r="G48" s="979">
        <f>+'RES WEA'!M50</f>
        <v>41.611161841632956</v>
      </c>
      <c r="H48" s="979">
        <f>+'RES HC'!M50</f>
        <v>32.801263562812252</v>
      </c>
      <c r="I48" s="981">
        <f>+'RES WF'!M50</f>
        <v>24.534821375245556</v>
      </c>
      <c r="J48" s="983">
        <f>'RES CI'!M50</f>
        <v>8.8796614999999992</v>
      </c>
      <c r="K48" s="983">
        <f>'RES WI'!M50</f>
        <v>8.741999999999997E-2</v>
      </c>
      <c r="L48" s="983">
        <f>'RES WR'!M50</f>
        <v>4.5164024999999999</v>
      </c>
      <c r="M48" s="979">
        <f>'RES Educ'!M50</f>
        <v>0.36435038243626083</v>
      </c>
      <c r="N48" s="979">
        <f>'RES ECM'!M50</f>
        <v>0.11997000000000003</v>
      </c>
      <c r="O48" s="981">
        <f>'RES HVAC Re-com'!M50</f>
        <v>0.25136000000000003</v>
      </c>
      <c r="P48" s="981">
        <f>'RES Solar DHW'!M50</f>
        <v>0.06</v>
      </c>
      <c r="Q48" s="981">
        <f>'RES PV'!M50</f>
        <v>1.2093750000000001</v>
      </c>
      <c r="R48" s="811">
        <f t="shared" si="20"/>
        <v>183.30073789840964</v>
      </c>
      <c r="S48" s="1179">
        <f>+'RES Prime Time'!N50</f>
        <v>0</v>
      </c>
      <c r="T48" s="979">
        <f>+'RES EP (RSVP)'!M50</f>
        <v>61.181985090992654</v>
      </c>
      <c r="U48" s="811">
        <f t="shared" si="21"/>
        <v>61.181985090992654</v>
      </c>
      <c r="V48" s="811">
        <f t="shared" si="22"/>
        <v>244.4827229894023</v>
      </c>
      <c r="W48" s="176"/>
      <c r="X48" s="176">
        <v>2037</v>
      </c>
      <c r="Y48" s="1087">
        <f>+'RES Audit Alt'!Q50</f>
        <v>24.118562305223232</v>
      </c>
      <c r="Z48" s="1088">
        <f>+'RES Audit RCS'!Q50</f>
        <v>1.36</v>
      </c>
      <c r="AA48" s="1088">
        <f>+'RES Assist.'!Q50</f>
        <v>7.243874283994101</v>
      </c>
      <c r="AB48" s="979">
        <f>+'RES DR'!Q50</f>
        <v>40.003260115848057</v>
      </c>
      <c r="AC48" s="979">
        <f>+'RES EnergyStar'!Q50</f>
        <v>11.020757208366756</v>
      </c>
      <c r="AD48" s="979">
        <f>+'RES WEA'!Q50</f>
        <v>55.920356844287184</v>
      </c>
      <c r="AE48" s="979">
        <f>+'RES HC'!Q50</f>
        <v>353.32050867722029</v>
      </c>
      <c r="AF48" s="738">
        <f>+'RES WF'!Q50</f>
        <v>48.250807506533867</v>
      </c>
      <c r="AG48" s="979">
        <f>'RES CI'!Q50</f>
        <v>12.339499999999996</v>
      </c>
      <c r="AH48" s="979">
        <f>'RES WI'!Q50</f>
        <v>0.15526200000000001</v>
      </c>
      <c r="AI48" s="979">
        <f>'RES WR'!Q50</f>
        <v>2.8043360000000002</v>
      </c>
      <c r="AJ48" s="979">
        <f>'RES Educ'!Q50</f>
        <v>0.64494726345609099</v>
      </c>
      <c r="AK48" s="979">
        <f>'RES ECM'!Q50</f>
        <v>0.11074800000000001</v>
      </c>
      <c r="AL48" s="738">
        <f>'RES HVAC Re-com'!Q50</f>
        <v>0.12415</v>
      </c>
      <c r="AM48" s="738">
        <f>'RES Solar DHW'!Q50</f>
        <v>0.10553</v>
      </c>
      <c r="AN48" s="738">
        <f>'RES PV'!Q50</f>
        <v>0</v>
      </c>
      <c r="AO48" s="277">
        <f t="shared" si="23"/>
        <v>557.52260020492963</v>
      </c>
      <c r="AP48" s="1182">
        <f>+'RES Prime Time'!T50</f>
        <v>0</v>
      </c>
      <c r="AQ48" s="276">
        <f>+'RES EP (RSVP)'!Q50</f>
        <v>92.775055391544129</v>
      </c>
      <c r="AR48" s="277">
        <f t="shared" si="24"/>
        <v>92.775055391544129</v>
      </c>
      <c r="AS48" s="277">
        <f t="shared" si="25"/>
        <v>650.29765559647376</v>
      </c>
      <c r="AT48" s="275"/>
      <c r="AU48" s="176">
        <v>2037</v>
      </c>
      <c r="AV48" s="1081">
        <f>+'RES Audit Alt'!U50</f>
        <v>83.034094764662967</v>
      </c>
      <c r="AW48" s="1082">
        <f>+'RES Audit RCS'!U50</f>
        <v>3.27</v>
      </c>
      <c r="AX48" s="1082">
        <f>+'RES Assist.'!U50</f>
        <v>28.553922898703402</v>
      </c>
      <c r="AY48" s="979">
        <f>+'RES DR'!U50</f>
        <v>77.946261984003627</v>
      </c>
      <c r="AZ48" s="979">
        <f>+'RES EnergyStar'!U50</f>
        <v>37.821736314785127</v>
      </c>
      <c r="BA48" s="979">
        <f>+'RES WEA'!U50</f>
        <v>201.87453406066737</v>
      </c>
      <c r="BB48" s="979">
        <f>+'RES HC'!U50</f>
        <v>243.34471881957091</v>
      </c>
      <c r="BC48" s="738">
        <f>+'RES WF'!U50</f>
        <v>65.550135486212412</v>
      </c>
      <c r="BD48" s="979">
        <f>'RES CI'!U50</f>
        <v>28.114729499999989</v>
      </c>
      <c r="BE48" s="979">
        <f>'RES WI'!U50</f>
        <v>0.33462799999999998</v>
      </c>
      <c r="BF48" s="979">
        <f>'RES WR'!U50</f>
        <v>15.085017999999993</v>
      </c>
      <c r="BG48" s="979">
        <f>'RES Educ'!U50</f>
        <v>4.9164246543909345</v>
      </c>
      <c r="BH48" s="979">
        <f>'RES ECM'!U50</f>
        <v>0.31029200000000001</v>
      </c>
      <c r="BI48" s="981">
        <f>'RES HVAC Re-com'!U50</f>
        <v>0.36351999999999995</v>
      </c>
      <c r="BJ48" s="981">
        <f>'RES Solar DHW'!U50</f>
        <v>0.47519999999999996</v>
      </c>
      <c r="BK48" s="981">
        <f>'RES PV'!U50</f>
        <v>3.4044675</v>
      </c>
      <c r="BL48" s="277">
        <f t="shared" si="26"/>
        <v>794.39968398299652</v>
      </c>
      <c r="BM48" s="1182">
        <f>+'RES Prime Time'!Z50</f>
        <v>0</v>
      </c>
      <c r="BN48" s="276">
        <f>+'RES EP (RSVP)'!U50</f>
        <v>9.9557517426470614</v>
      </c>
      <c r="BO48" s="277">
        <f t="shared" si="27"/>
        <v>9.9557517426470614</v>
      </c>
      <c r="BP48" s="277">
        <f t="shared" si="28"/>
        <v>804.35543572564359</v>
      </c>
      <c r="BQ48" s="276"/>
    </row>
    <row r="49" spans="1:75" x14ac:dyDescent="0.2">
      <c r="A49" s="176">
        <v>2038</v>
      </c>
      <c r="B49" s="1081">
        <f>+'RES Audit Alt'!M51</f>
        <v>15.616098290049605</v>
      </c>
      <c r="C49" s="1082">
        <f>+'RES Audit RCS'!M51</f>
        <v>0.97</v>
      </c>
      <c r="D49" s="1082">
        <f>+'RES Assist.'!M51</f>
        <v>6.8874135332252848</v>
      </c>
      <c r="E49" s="979">
        <f>+'RES DR'!M51</f>
        <v>33.551257883603817</v>
      </c>
      <c r="F49" s="979">
        <f>+'RES EnergyStar'!M51</f>
        <v>12.058432029403896</v>
      </c>
      <c r="G49" s="979">
        <f>+'RES WEA'!M51</f>
        <v>43.298161841632954</v>
      </c>
      <c r="H49" s="979">
        <f>+'RES HC'!M51</f>
        <v>32.852263562812254</v>
      </c>
      <c r="I49" s="981">
        <f>+'RES WF'!M51</f>
        <v>24.534821375245556</v>
      </c>
      <c r="J49" s="983">
        <f>'RES CI'!M51</f>
        <v>9.2696614999999998</v>
      </c>
      <c r="K49" s="983">
        <f>'RES WI'!M51</f>
        <v>9.0331999999999968E-2</v>
      </c>
      <c r="L49" s="983">
        <f>'RES WR'!M51</f>
        <v>4.6719024999999998</v>
      </c>
      <c r="M49" s="979">
        <f>'RES Educ'!M51</f>
        <v>0.37685038243626084</v>
      </c>
      <c r="N49" s="979">
        <f>'RES ECM'!M51</f>
        <v>0.12597000000000003</v>
      </c>
      <c r="O49" s="981">
        <f>'RES HVAC Re-com'!M51</f>
        <v>0.25136000000000003</v>
      </c>
      <c r="P49" s="981">
        <f>'RES Solar DHW'!M51</f>
        <v>0.06</v>
      </c>
      <c r="Q49" s="981">
        <f>'RES PV'!M51</f>
        <v>1.2093750000000001</v>
      </c>
      <c r="R49" s="811">
        <f t="shared" si="20"/>
        <v>185.82389989840962</v>
      </c>
      <c r="S49" s="1179">
        <f>+'RES Prime Time'!N51</f>
        <v>0</v>
      </c>
      <c r="T49" s="979">
        <f>+'RES EP (RSVP)'!M51</f>
        <v>63.696985090992655</v>
      </c>
      <c r="U49" s="811">
        <f t="shared" si="21"/>
        <v>63.696985090992655</v>
      </c>
      <c r="V49" s="811">
        <f t="shared" si="22"/>
        <v>249.52088498940228</v>
      </c>
      <c r="W49" s="176"/>
      <c r="X49" s="176">
        <v>2038</v>
      </c>
      <c r="Y49" s="1087">
        <f>+'RES Audit Alt'!Q51</f>
        <v>24.118562305223232</v>
      </c>
      <c r="Z49" s="1088">
        <f>+'RES Audit RCS'!Q51</f>
        <v>1.36</v>
      </c>
      <c r="AA49" s="1088">
        <f>+'RES Assist.'!Q51</f>
        <v>7.243874283994101</v>
      </c>
      <c r="AB49" s="979">
        <f>+'RES DR'!Q51</f>
        <v>40.111760115848057</v>
      </c>
      <c r="AC49" s="979">
        <f>+'RES EnergyStar'!Q51</f>
        <v>11.143257208366757</v>
      </c>
      <c r="AD49" s="979">
        <f>+'RES WEA'!Q51</f>
        <v>58.279356844287186</v>
      </c>
      <c r="AE49" s="979">
        <f>+'RES HC'!Q51</f>
        <v>353.48700867722027</v>
      </c>
      <c r="AF49" s="738">
        <f>+'RES WF'!Q51</f>
        <v>48.250807506533867</v>
      </c>
      <c r="AG49" s="979">
        <f>'RES CI'!Q51</f>
        <v>12.894499999999995</v>
      </c>
      <c r="AH49" s="979">
        <f>'RES WI'!Q51</f>
        <v>0.16159000000000001</v>
      </c>
      <c r="AI49" s="979">
        <f>'RES WR'!Q51</f>
        <v>2.910336</v>
      </c>
      <c r="AJ49" s="979">
        <f>'RES Educ'!Q51</f>
        <v>0.66794726345609101</v>
      </c>
      <c r="AK49" s="979">
        <f>'RES ECM'!Q51</f>
        <v>0.11642800000000002</v>
      </c>
      <c r="AL49" s="738">
        <f>'RES HVAC Re-com'!Q51</f>
        <v>0.12415</v>
      </c>
      <c r="AM49" s="738">
        <f>'RES Solar DHW'!Q51</f>
        <v>0.10553</v>
      </c>
      <c r="AN49" s="738">
        <f>'RES PV'!Q51</f>
        <v>0</v>
      </c>
      <c r="AO49" s="277">
        <f t="shared" si="23"/>
        <v>560.97510820492971</v>
      </c>
      <c r="AP49" s="1182">
        <f>+'RES Prime Time'!T51</f>
        <v>0</v>
      </c>
      <c r="AQ49" s="276">
        <f>+'RES EP (RSVP)'!Q51</f>
        <v>96.692555391544133</v>
      </c>
      <c r="AR49" s="277">
        <f t="shared" si="24"/>
        <v>96.692555391544133</v>
      </c>
      <c r="AS49" s="277">
        <f t="shared" si="25"/>
        <v>657.66766359647386</v>
      </c>
      <c r="AT49" s="275"/>
      <c r="AU49" s="176">
        <v>2038</v>
      </c>
      <c r="AV49" s="1081">
        <f>+'RES Audit Alt'!U51</f>
        <v>83.034094764662967</v>
      </c>
      <c r="AW49" s="1082">
        <f>+'RES Audit RCS'!U51</f>
        <v>3.27</v>
      </c>
      <c r="AX49" s="1082">
        <f>+'RES Assist.'!U51</f>
        <v>28.553922898703402</v>
      </c>
      <c r="AY49" s="979">
        <f>+'RES DR'!U51</f>
        <v>78.095261984003628</v>
      </c>
      <c r="AZ49" s="979">
        <f>+'RES EnergyStar'!U51</f>
        <v>38.443986314785128</v>
      </c>
      <c r="BA49" s="979">
        <f>+'RES WEA'!U51</f>
        <v>210.42853406066737</v>
      </c>
      <c r="BB49" s="979">
        <f>+'RES HC'!U51</f>
        <v>243.5302188195709</v>
      </c>
      <c r="BC49" s="738">
        <f>+'RES WF'!U51</f>
        <v>65.550135486212412</v>
      </c>
      <c r="BD49" s="979">
        <f>'RES CI'!U51</f>
        <v>29.386729499999987</v>
      </c>
      <c r="BE49" s="979">
        <f>'RES WI'!U51</f>
        <v>0.3458</v>
      </c>
      <c r="BF49" s="979">
        <f>'RES WR'!U51</f>
        <v>15.645517999999992</v>
      </c>
      <c r="BG49" s="979">
        <f>'RES Educ'!U51</f>
        <v>5.0874246543909347</v>
      </c>
      <c r="BH49" s="979">
        <f>'RES ECM'!U51</f>
        <v>0.32581199999999999</v>
      </c>
      <c r="BI49" s="981">
        <f>'RES HVAC Re-com'!U51</f>
        <v>0.36351999999999995</v>
      </c>
      <c r="BJ49" s="981">
        <f>'RES Solar DHW'!U51</f>
        <v>0.47519999999999996</v>
      </c>
      <c r="BK49" s="981">
        <f>'RES PV'!U51</f>
        <v>3.4044675</v>
      </c>
      <c r="BL49" s="277">
        <f t="shared" si="26"/>
        <v>805.94062598299683</v>
      </c>
      <c r="BM49" s="1182">
        <f>+'RES Prime Time'!Z51</f>
        <v>0</v>
      </c>
      <c r="BN49" s="276">
        <f>+'RES EP (RSVP)'!U51</f>
        <v>10.258251742647062</v>
      </c>
      <c r="BO49" s="277">
        <f t="shared" si="27"/>
        <v>10.258251742647062</v>
      </c>
      <c r="BP49" s="277">
        <f t="shared" si="28"/>
        <v>816.19887772564391</v>
      </c>
      <c r="BQ49" s="276"/>
    </row>
    <row r="50" spans="1:75" x14ac:dyDescent="0.2">
      <c r="A50" s="176">
        <v>2039</v>
      </c>
      <c r="B50" s="1081">
        <f>+'RES Audit Alt'!M52</f>
        <v>15.616098290049605</v>
      </c>
      <c r="C50" s="1082">
        <f>+'RES Audit RCS'!M52</f>
        <v>0.97</v>
      </c>
      <c r="D50" s="1082">
        <f>+'RES Assist.'!M52</f>
        <v>6.8874135332252848</v>
      </c>
      <c r="E50" s="979">
        <f>+'RES DR'!M52</f>
        <v>33.636757883603821</v>
      </c>
      <c r="F50" s="979">
        <f>+'RES EnergyStar'!M52</f>
        <v>12.191182029403896</v>
      </c>
      <c r="G50" s="979">
        <f>+'RES WEA'!M52</f>
        <v>44.985161841632952</v>
      </c>
      <c r="H50" s="979">
        <f>+'RES HC'!M52</f>
        <v>32.903263562812256</v>
      </c>
      <c r="I50" s="981">
        <f>+'RES WF'!M52</f>
        <v>24.534821375245556</v>
      </c>
      <c r="J50" s="983">
        <f>'RES CI'!M52</f>
        <v>9.6596615000000003</v>
      </c>
      <c r="K50" s="983">
        <f>'RES WI'!M52</f>
        <v>9.3243999999999966E-2</v>
      </c>
      <c r="L50" s="983">
        <f>'RES WR'!M52</f>
        <v>4.8274024999999998</v>
      </c>
      <c r="M50" s="979">
        <f>'RES Educ'!M52</f>
        <v>0.38935038243626086</v>
      </c>
      <c r="N50" s="979">
        <f>'RES ECM'!M52</f>
        <v>0.13197000000000003</v>
      </c>
      <c r="O50" s="981">
        <f>'RES HVAC Re-com'!M52</f>
        <v>0.25136000000000003</v>
      </c>
      <c r="P50" s="981">
        <f>'RES Solar DHW'!M52</f>
        <v>0.06</v>
      </c>
      <c r="Q50" s="981">
        <f>'RES PV'!M52</f>
        <v>1.2093750000000001</v>
      </c>
      <c r="R50" s="811">
        <f t="shared" si="20"/>
        <v>188.34706189840958</v>
      </c>
      <c r="S50" s="1179">
        <f>+'RES Prime Time'!N52</f>
        <v>0</v>
      </c>
      <c r="T50" s="979">
        <f>+'RES EP (RSVP)'!M52</f>
        <v>66.211985090992656</v>
      </c>
      <c r="U50" s="811">
        <f t="shared" si="21"/>
        <v>66.211985090992656</v>
      </c>
      <c r="V50" s="811">
        <f t="shared" si="22"/>
        <v>254.55904698940225</v>
      </c>
      <c r="W50" s="176"/>
      <c r="X50" s="176">
        <v>2039</v>
      </c>
      <c r="Y50" s="1087">
        <f>+'RES Audit Alt'!Q52</f>
        <v>24.118562305223232</v>
      </c>
      <c r="Z50" s="1088">
        <f>+'RES Audit RCS'!Q52</f>
        <v>1.36</v>
      </c>
      <c r="AA50" s="1088">
        <f>+'RES Assist.'!Q52</f>
        <v>7.243874283994101</v>
      </c>
      <c r="AB50" s="979">
        <f>+'RES DR'!Q52</f>
        <v>40.220260115848056</v>
      </c>
      <c r="AC50" s="979">
        <f>+'RES EnergyStar'!Q52</f>
        <v>11.265757208366757</v>
      </c>
      <c r="AD50" s="979">
        <f>+'RES WEA'!Q52</f>
        <v>60.638356844287188</v>
      </c>
      <c r="AE50" s="979">
        <f>+'RES HC'!Q52</f>
        <v>353.65350867722026</v>
      </c>
      <c r="AF50" s="738">
        <f>+'RES WF'!Q52</f>
        <v>48.250807506533867</v>
      </c>
      <c r="AG50" s="979">
        <f>'RES CI'!Q52</f>
        <v>13.449499999999995</v>
      </c>
      <c r="AH50" s="979">
        <f>'RES WI'!Q52</f>
        <v>0.16791800000000001</v>
      </c>
      <c r="AI50" s="979">
        <f>'RES WR'!Q52</f>
        <v>3.0163359999999999</v>
      </c>
      <c r="AJ50" s="979">
        <f>'RES Educ'!Q52</f>
        <v>0.69094726345609103</v>
      </c>
      <c r="AK50" s="979">
        <f>'RES ECM'!Q52</f>
        <v>0.12210800000000002</v>
      </c>
      <c r="AL50" s="738">
        <f>'RES HVAC Re-com'!Q52</f>
        <v>0.12415</v>
      </c>
      <c r="AM50" s="738">
        <f>'RES Solar DHW'!Q52</f>
        <v>0.10553</v>
      </c>
      <c r="AN50" s="738">
        <f>'RES PV'!Q52</f>
        <v>0</v>
      </c>
      <c r="AO50" s="277">
        <f t="shared" si="23"/>
        <v>564.42761620492956</v>
      </c>
      <c r="AP50" s="1182">
        <f>+'RES Prime Time'!T52</f>
        <v>0</v>
      </c>
      <c r="AQ50" s="276">
        <f>+'RES EP (RSVP)'!Q52</f>
        <v>100.61005539154414</v>
      </c>
      <c r="AR50" s="277">
        <f t="shared" si="24"/>
        <v>100.61005539154414</v>
      </c>
      <c r="AS50" s="277">
        <f t="shared" si="25"/>
        <v>665.03767159647373</v>
      </c>
      <c r="AT50" s="275"/>
      <c r="AU50" s="176">
        <v>2039</v>
      </c>
      <c r="AV50" s="1081">
        <f>+'RES Audit Alt'!U52</f>
        <v>83.034094764662967</v>
      </c>
      <c r="AW50" s="1082">
        <f>+'RES Audit RCS'!U52</f>
        <v>3.27</v>
      </c>
      <c r="AX50" s="1082">
        <f>+'RES Assist.'!U52</f>
        <v>28.553922898703402</v>
      </c>
      <c r="AY50" s="979">
        <f>+'RES DR'!U52</f>
        <v>78.244261984003629</v>
      </c>
      <c r="AZ50" s="979">
        <f>+'RES EnergyStar'!U52</f>
        <v>39.066236314785129</v>
      </c>
      <c r="BA50" s="979">
        <f>+'RES WEA'!U52</f>
        <v>218.98253406066738</v>
      </c>
      <c r="BB50" s="979">
        <f>+'RES HC'!U52</f>
        <v>243.7157188195709</v>
      </c>
      <c r="BC50" s="738">
        <f>+'RES WF'!U52</f>
        <v>65.550135486212412</v>
      </c>
      <c r="BD50" s="979">
        <f>'RES CI'!U52</f>
        <v>30.658729499999986</v>
      </c>
      <c r="BE50" s="979">
        <f>'RES WI'!U52</f>
        <v>0.35697200000000001</v>
      </c>
      <c r="BF50" s="979">
        <f>'RES WR'!U52</f>
        <v>16.206017999999993</v>
      </c>
      <c r="BG50" s="979">
        <f>'RES Educ'!U52</f>
        <v>5.258424654390935</v>
      </c>
      <c r="BH50" s="979">
        <f>'RES ECM'!U52</f>
        <v>0.34133199999999997</v>
      </c>
      <c r="BI50" s="981">
        <f>'RES HVAC Re-com'!U52</f>
        <v>0.36351999999999995</v>
      </c>
      <c r="BJ50" s="981">
        <f>'RES Solar DHW'!U52</f>
        <v>0.47519999999999996</v>
      </c>
      <c r="BK50" s="981">
        <f>'RES PV'!U52</f>
        <v>3.4044675</v>
      </c>
      <c r="BL50" s="277">
        <f t="shared" si="26"/>
        <v>817.48156798299669</v>
      </c>
      <c r="BM50" s="1182">
        <f>+'RES Prime Time'!Z52</f>
        <v>0</v>
      </c>
      <c r="BN50" s="276">
        <f>+'RES EP (RSVP)'!U52</f>
        <v>10.560751742647062</v>
      </c>
      <c r="BO50" s="277">
        <f t="shared" si="27"/>
        <v>10.560751742647062</v>
      </c>
      <c r="BP50" s="277">
        <f t="shared" si="28"/>
        <v>828.04231972564378</v>
      </c>
      <c r="BQ50" s="276"/>
    </row>
    <row r="51" spans="1:75" x14ac:dyDescent="0.2">
      <c r="A51" s="176">
        <v>2040</v>
      </c>
      <c r="B51" s="1081">
        <f>+'RES Audit Alt'!M53</f>
        <v>15.616098290049605</v>
      </c>
      <c r="C51" s="1082">
        <f>+'RES Audit RCS'!M53</f>
        <v>0.97</v>
      </c>
      <c r="D51" s="1082">
        <f>+'RES Assist.'!M53</f>
        <v>6.8874135332252848</v>
      </c>
      <c r="E51" s="979">
        <f>+'RES DR'!M53</f>
        <v>33.722257883603824</v>
      </c>
      <c r="F51" s="979">
        <f>+'RES EnergyStar'!M53</f>
        <v>12.323932029403895</v>
      </c>
      <c r="G51" s="979">
        <f>+'RES WEA'!M53</f>
        <v>46.672161841632949</v>
      </c>
      <c r="H51" s="979">
        <f>+'RES HC'!M53</f>
        <v>32.954263562812258</v>
      </c>
      <c r="I51" s="981">
        <f>+'RES WF'!M53</f>
        <v>24.534821375245556</v>
      </c>
      <c r="J51" s="983">
        <f>'RES CI'!M53</f>
        <v>10.049661500000001</v>
      </c>
      <c r="K51" s="983">
        <f>'RES WI'!M53</f>
        <v>9.6155999999999964E-2</v>
      </c>
      <c r="L51" s="983">
        <f>'RES WR'!M53</f>
        <v>4.9829024999999998</v>
      </c>
      <c r="M51" s="979">
        <f>'RES Educ'!M53</f>
        <v>0.40185038243626087</v>
      </c>
      <c r="N51" s="979">
        <f>'RES ECM'!M53</f>
        <v>0.13797000000000004</v>
      </c>
      <c r="O51" s="981">
        <f>'RES HVAC Re-com'!M53</f>
        <v>0.25136000000000003</v>
      </c>
      <c r="P51" s="981">
        <f>'RES Solar DHW'!M53</f>
        <v>0.06</v>
      </c>
      <c r="Q51" s="981">
        <f>'RES PV'!M53</f>
        <v>1.2093750000000001</v>
      </c>
      <c r="R51" s="811">
        <f t="shared" si="20"/>
        <v>190.87022389840968</v>
      </c>
      <c r="S51" s="1179">
        <f>+'RES Prime Time'!N53</f>
        <v>0</v>
      </c>
      <c r="T51" s="979">
        <f>+'RES EP (RSVP)'!M53</f>
        <v>68.726985090992656</v>
      </c>
      <c r="U51" s="811">
        <f t="shared" si="21"/>
        <v>68.726985090992656</v>
      </c>
      <c r="V51" s="811">
        <f t="shared" si="22"/>
        <v>259.59720898940236</v>
      </c>
      <c r="W51" s="176"/>
      <c r="X51" s="176">
        <v>2040</v>
      </c>
      <c r="Y51" s="1087">
        <f>+'RES Audit Alt'!Q53</f>
        <v>24.118562305223232</v>
      </c>
      <c r="Z51" s="1088">
        <f>+'RES Audit RCS'!Q53</f>
        <v>1.36</v>
      </c>
      <c r="AA51" s="1088">
        <f>+'RES Assist.'!Q53</f>
        <v>7.243874283994101</v>
      </c>
      <c r="AB51" s="979">
        <f>+'RES DR'!Q53</f>
        <v>40.328760115848056</v>
      </c>
      <c r="AC51" s="979">
        <f>+'RES EnergyStar'!Q53</f>
        <v>11.388257208366758</v>
      </c>
      <c r="AD51" s="979">
        <f>+'RES WEA'!Q53</f>
        <v>62.997356844287189</v>
      </c>
      <c r="AE51" s="979">
        <f>+'RES HC'!Q53</f>
        <v>353.82000867722024</v>
      </c>
      <c r="AF51" s="738">
        <f>+'RES WF'!Q53</f>
        <v>48.250807506533867</v>
      </c>
      <c r="AG51" s="979">
        <f>'RES CI'!Q53</f>
        <v>14.004499999999995</v>
      </c>
      <c r="AH51" s="979">
        <f>'RES WI'!Q53</f>
        <v>0.17424600000000001</v>
      </c>
      <c r="AI51" s="979">
        <f>'RES WR'!Q53</f>
        <v>3.1223359999999998</v>
      </c>
      <c r="AJ51" s="979">
        <f>'RES Educ'!Q53</f>
        <v>0.71394726345609105</v>
      </c>
      <c r="AK51" s="979">
        <f>'RES ECM'!Q53</f>
        <v>0.12778800000000001</v>
      </c>
      <c r="AL51" s="738">
        <f>'RES HVAC Re-com'!Q53</f>
        <v>0.12415</v>
      </c>
      <c r="AM51" s="738">
        <f>'RES Solar DHW'!Q53</f>
        <v>0.10553</v>
      </c>
      <c r="AN51" s="738">
        <f>'RES PV'!Q53</f>
        <v>0</v>
      </c>
      <c r="AO51" s="277">
        <f t="shared" si="23"/>
        <v>567.88012420492964</v>
      </c>
      <c r="AP51" s="1182">
        <f>+'RES Prime Time'!T53</f>
        <v>0</v>
      </c>
      <c r="AQ51" s="276">
        <f>+'RES EP (RSVP)'!Q53</f>
        <v>104.52755539154414</v>
      </c>
      <c r="AR51" s="277">
        <f t="shared" si="24"/>
        <v>104.52755539154414</v>
      </c>
      <c r="AS51" s="277">
        <f t="shared" si="25"/>
        <v>672.40767959647383</v>
      </c>
      <c r="AT51" s="275"/>
      <c r="AU51" s="176">
        <v>2040</v>
      </c>
      <c r="AV51" s="1081">
        <f>+'RES Audit Alt'!U53</f>
        <v>83.034094764662967</v>
      </c>
      <c r="AW51" s="1082">
        <f>+'RES Audit RCS'!U53</f>
        <v>3.27</v>
      </c>
      <c r="AX51" s="1082">
        <f>+'RES Assist.'!U53</f>
        <v>28.553922898703402</v>
      </c>
      <c r="AY51" s="979">
        <f>+'RES DR'!U53</f>
        <v>78.39326198400363</v>
      </c>
      <c r="AZ51" s="979">
        <f>+'RES EnergyStar'!U53</f>
        <v>39.688486314785131</v>
      </c>
      <c r="BA51" s="979">
        <f>+'RES WEA'!U53</f>
        <v>227.53653406066738</v>
      </c>
      <c r="BB51" s="979">
        <f>+'RES HC'!U53</f>
        <v>243.90121881957089</v>
      </c>
      <c r="BC51" s="738">
        <f>+'RES WF'!U53</f>
        <v>65.550135486212412</v>
      </c>
      <c r="BD51" s="979">
        <f>'RES CI'!U53</f>
        <v>31.930729499999984</v>
      </c>
      <c r="BE51" s="979">
        <f>'RES WI'!U53</f>
        <v>0.36814400000000003</v>
      </c>
      <c r="BF51" s="979">
        <f>'RES WR'!U53</f>
        <v>16.766517999999994</v>
      </c>
      <c r="BG51" s="979">
        <f>'RES Educ'!U53</f>
        <v>5.4294246543909352</v>
      </c>
      <c r="BH51" s="979">
        <f>'RES ECM'!U53</f>
        <v>0.35685199999999995</v>
      </c>
      <c r="BI51" s="981">
        <f>'RES HVAC Re-com'!U53</f>
        <v>0.36351999999999995</v>
      </c>
      <c r="BJ51" s="981">
        <f>'RES Solar DHW'!U53</f>
        <v>0.47519999999999996</v>
      </c>
      <c r="BK51" s="981">
        <f>'RES PV'!U53</f>
        <v>3.4044675</v>
      </c>
      <c r="BL51" s="277">
        <f t="shared" si="26"/>
        <v>829.02250998299667</v>
      </c>
      <c r="BM51" s="1182">
        <f>+'RES Prime Time'!Z53</f>
        <v>0</v>
      </c>
      <c r="BN51" s="276">
        <f>+'RES EP (RSVP)'!U53</f>
        <v>10.863251742647062</v>
      </c>
      <c r="BO51" s="277">
        <f t="shared" si="27"/>
        <v>10.863251742647062</v>
      </c>
      <c r="BP51" s="277">
        <f t="shared" si="28"/>
        <v>839.88576172564376</v>
      </c>
      <c r="BQ51" s="276"/>
    </row>
    <row r="52" spans="1:75" x14ac:dyDescent="0.2">
      <c r="A52" s="176">
        <v>2041</v>
      </c>
      <c r="B52" s="1081">
        <f>+'RES Audit Alt'!M54</f>
        <v>15.616098290049605</v>
      </c>
      <c r="C52" s="1082">
        <f>+'RES Audit RCS'!M54</f>
        <v>0.97</v>
      </c>
      <c r="D52" s="1082">
        <f>+'RES Assist.'!M54</f>
        <v>6.8874135332252848</v>
      </c>
      <c r="E52" s="979">
        <f>+'RES DR'!M54</f>
        <v>33.807757883603827</v>
      </c>
      <c r="F52" s="979">
        <f>+'RES EnergyStar'!M54</f>
        <v>12.456682029403895</v>
      </c>
      <c r="G52" s="979">
        <f>+'RES WEA'!M54</f>
        <v>48.359161841632947</v>
      </c>
      <c r="H52" s="979">
        <f>+'RES HC'!M54</f>
        <v>33.00526356281226</v>
      </c>
      <c r="I52" s="981">
        <f>+'RES WF'!M54</f>
        <v>24.534821375245556</v>
      </c>
      <c r="J52" s="983">
        <f>'RES CI'!M54</f>
        <v>10.439661500000001</v>
      </c>
      <c r="K52" s="983">
        <f>'RES WI'!M54</f>
        <v>9.9067999999999962E-2</v>
      </c>
      <c r="L52" s="983">
        <f>'RES WR'!M54</f>
        <v>5.1384024999999998</v>
      </c>
      <c r="M52" s="979">
        <f>'RES Educ'!M54</f>
        <v>0.41435038243626088</v>
      </c>
      <c r="N52" s="979">
        <f>'RES ECM'!M54</f>
        <v>0.14397000000000004</v>
      </c>
      <c r="O52" s="981">
        <f>'RES HVAC Re-com'!M54</f>
        <v>0.25136000000000003</v>
      </c>
      <c r="P52" s="981">
        <f>'RES Solar DHW'!M54</f>
        <v>0.06</v>
      </c>
      <c r="Q52" s="981">
        <f>'RES PV'!M54</f>
        <v>1.2093750000000001</v>
      </c>
      <c r="R52" s="811">
        <f t="shared" si="20"/>
        <v>193.3933858984096</v>
      </c>
      <c r="S52" s="1179">
        <f>+'RES Prime Time'!N54</f>
        <v>0</v>
      </c>
      <c r="T52" s="979">
        <f>+'RES EP (RSVP)'!M54</f>
        <v>71.241985090992657</v>
      </c>
      <c r="U52" s="811">
        <f t="shared" si="21"/>
        <v>71.241985090992657</v>
      </c>
      <c r="V52" s="811">
        <f t="shared" si="22"/>
        <v>264.63537098940225</v>
      </c>
      <c r="W52" s="176"/>
      <c r="X52" s="176">
        <v>2041</v>
      </c>
      <c r="Y52" s="1087">
        <f>+'RES Audit Alt'!Q54</f>
        <v>24.118562305223232</v>
      </c>
      <c r="Z52" s="1088">
        <f>+'RES Audit RCS'!Q54</f>
        <v>1.36</v>
      </c>
      <c r="AA52" s="1088">
        <f>+'RES Assist.'!Q54</f>
        <v>7.243874283994101</v>
      </c>
      <c r="AB52" s="979">
        <f>+'RES DR'!Q54</f>
        <v>40.437260115848055</v>
      </c>
      <c r="AC52" s="979">
        <f>+'RES EnergyStar'!Q54</f>
        <v>11.510757208366758</v>
      </c>
      <c r="AD52" s="979">
        <f>+'RES WEA'!Q54</f>
        <v>65.356356844287191</v>
      </c>
      <c r="AE52" s="979">
        <f>+'RES HC'!Q54</f>
        <v>353.98650867722023</v>
      </c>
      <c r="AF52" s="738">
        <f>+'RES WF'!Q54</f>
        <v>48.250807506533867</v>
      </c>
      <c r="AG52" s="979">
        <f>'RES CI'!Q54</f>
        <v>14.559499999999995</v>
      </c>
      <c r="AH52" s="979">
        <f>'RES WI'!Q54</f>
        <v>0.18057400000000001</v>
      </c>
      <c r="AI52" s="979">
        <f>'RES WR'!Q54</f>
        <v>3.2283359999999997</v>
      </c>
      <c r="AJ52" s="979">
        <f>'RES Educ'!Q54</f>
        <v>0.73694726345609107</v>
      </c>
      <c r="AK52" s="979">
        <f>'RES ECM'!Q54</f>
        <v>0.133468</v>
      </c>
      <c r="AL52" s="738">
        <f>'RES HVAC Re-com'!Q54</f>
        <v>0.12415</v>
      </c>
      <c r="AM52" s="738">
        <f>'RES Solar DHW'!Q54</f>
        <v>0.10553</v>
      </c>
      <c r="AN52" s="738">
        <f>'RES PV'!Q54</f>
        <v>0</v>
      </c>
      <c r="AO52" s="277">
        <f t="shared" si="23"/>
        <v>571.33263220492938</v>
      </c>
      <c r="AP52" s="1182">
        <f>+'RES Prime Time'!T54</f>
        <v>0</v>
      </c>
      <c r="AQ52" s="276">
        <f>+'RES EP (RSVP)'!Q54</f>
        <v>108.44505539154414</v>
      </c>
      <c r="AR52" s="277">
        <f t="shared" si="24"/>
        <v>108.44505539154414</v>
      </c>
      <c r="AS52" s="277">
        <f t="shared" si="25"/>
        <v>679.77768759647347</v>
      </c>
      <c r="AT52" s="275"/>
      <c r="AU52" s="176">
        <v>2041</v>
      </c>
      <c r="AV52" s="1081">
        <f>+'RES Audit Alt'!U54</f>
        <v>83.034094764662967</v>
      </c>
      <c r="AW52" s="1082">
        <f>+'RES Audit RCS'!U54</f>
        <v>3.27</v>
      </c>
      <c r="AX52" s="1082">
        <f>+'RES Assist.'!U54</f>
        <v>28.553922898703402</v>
      </c>
      <c r="AY52" s="979">
        <f>+'RES DR'!U54</f>
        <v>78.54226198400363</v>
      </c>
      <c r="AZ52" s="979">
        <f>+'RES EnergyStar'!U54</f>
        <v>40.310736314785132</v>
      </c>
      <c r="BA52" s="979">
        <f>+'RES WEA'!U54</f>
        <v>236.09053406066738</v>
      </c>
      <c r="BB52" s="979">
        <f>+'RES HC'!U54</f>
        <v>244.08671881957088</v>
      </c>
      <c r="BC52" s="738">
        <f>+'RES WF'!U54</f>
        <v>65.550135486212412</v>
      </c>
      <c r="BD52" s="979">
        <f>'RES CI'!U54</f>
        <v>33.202729499999982</v>
      </c>
      <c r="BE52" s="979">
        <f>'RES WI'!U54</f>
        <v>0.37931600000000004</v>
      </c>
      <c r="BF52" s="979">
        <f>'RES WR'!U54</f>
        <v>17.327017999999995</v>
      </c>
      <c r="BG52" s="979">
        <f>'RES Educ'!U54</f>
        <v>5.6004246543909355</v>
      </c>
      <c r="BH52" s="979">
        <f>'RES ECM'!U54</f>
        <v>0.37237199999999993</v>
      </c>
      <c r="BI52" s="981">
        <f>'RES HVAC Re-com'!U54</f>
        <v>0.36351999999999995</v>
      </c>
      <c r="BJ52" s="981">
        <f>'RES Solar DHW'!U54</f>
        <v>0.47519999999999996</v>
      </c>
      <c r="BK52" s="981">
        <f>'RES PV'!U54</f>
        <v>3.4044675</v>
      </c>
      <c r="BL52" s="277">
        <f t="shared" si="26"/>
        <v>840.56345198299675</v>
      </c>
      <c r="BM52" s="1182">
        <f>+'RES Prime Time'!Z54</f>
        <v>0</v>
      </c>
      <c r="BN52" s="276">
        <f>+'RES EP (RSVP)'!U54</f>
        <v>11.165751742647062</v>
      </c>
      <c r="BO52" s="277">
        <f t="shared" si="27"/>
        <v>11.165751742647062</v>
      </c>
      <c r="BP52" s="277">
        <f t="shared" si="28"/>
        <v>851.72920372564386</v>
      </c>
      <c r="BQ52" s="276"/>
    </row>
    <row r="53" spans="1:75" x14ac:dyDescent="0.2">
      <c r="A53" s="176"/>
      <c r="B53" s="276"/>
      <c r="C53" s="276"/>
      <c r="D53" s="176"/>
      <c r="E53" s="276"/>
      <c r="F53" s="276"/>
      <c r="G53" s="276"/>
      <c r="H53" s="276"/>
      <c r="I53" s="276"/>
      <c r="J53" s="276"/>
      <c r="K53" s="276"/>
      <c r="L53" s="276"/>
      <c r="M53" s="276"/>
      <c r="N53" s="276"/>
      <c r="O53" s="276"/>
      <c r="P53" s="276"/>
      <c r="Q53" s="276"/>
      <c r="R53" s="276"/>
      <c r="S53" s="276"/>
      <c r="T53" s="276"/>
      <c r="U53" s="502"/>
      <c r="V53" s="276"/>
      <c r="W53" s="276"/>
      <c r="X53" s="502"/>
      <c r="Y53" s="505"/>
      <c r="Z53" s="299"/>
      <c r="AA53" s="276"/>
      <c r="AB53" s="276"/>
      <c r="AC53" s="276"/>
      <c r="AD53" s="276"/>
      <c r="AE53" s="276"/>
      <c r="AF53" s="276"/>
      <c r="AG53" s="276"/>
      <c r="AH53" s="276"/>
      <c r="AI53" s="276"/>
      <c r="AJ53" s="276"/>
      <c r="AK53" s="276"/>
      <c r="AL53" s="276"/>
      <c r="AM53" s="276"/>
      <c r="AN53" s="276"/>
      <c r="AO53" s="276"/>
      <c r="AP53" s="276"/>
      <c r="AQ53" s="276"/>
      <c r="AR53" s="276"/>
      <c r="AS53" s="502"/>
      <c r="AT53" s="276"/>
      <c r="AU53" s="276"/>
      <c r="AV53" s="502"/>
      <c r="AW53" s="502"/>
      <c r="AX53" s="176"/>
      <c r="AY53" s="276"/>
      <c r="AZ53" s="276"/>
      <c r="BA53" s="276"/>
      <c r="BB53" s="276"/>
      <c r="BC53" s="276"/>
      <c r="BD53" s="276"/>
      <c r="BE53" s="276"/>
      <c r="BF53" s="276"/>
      <c r="BG53" s="276"/>
      <c r="BH53" s="276"/>
      <c r="BI53" s="276"/>
      <c r="BJ53" s="276"/>
      <c r="BK53" s="276"/>
      <c r="BL53" s="276"/>
      <c r="BM53" s="276"/>
      <c r="BN53" s="276"/>
      <c r="BO53" s="276"/>
      <c r="BP53" s="276"/>
      <c r="BQ53" s="276"/>
    </row>
    <row r="54" spans="1:75" ht="13.5" thickBot="1" x14ac:dyDescent="0.25">
      <c r="A54" s="1083" t="s">
        <v>344</v>
      </c>
      <c r="B54" s="1431" t="s">
        <v>138</v>
      </c>
      <c r="C54" s="1431"/>
      <c r="D54" s="1431"/>
      <c r="E54" s="1431"/>
      <c r="F54" s="1431"/>
      <c r="G54" s="1431"/>
      <c r="H54" s="1431"/>
      <c r="I54" s="1431"/>
      <c r="J54" s="1431"/>
      <c r="K54" s="1431"/>
      <c r="L54" s="1431"/>
      <c r="M54" s="1431"/>
      <c r="N54" s="1431"/>
      <c r="O54" s="1431"/>
      <c r="P54" s="1431"/>
      <c r="Q54" s="1431"/>
      <c r="R54" s="1431"/>
      <c r="S54" s="1431"/>
      <c r="T54" s="1431"/>
      <c r="U54" s="1431"/>
      <c r="W54" s="1083" t="s">
        <v>344</v>
      </c>
      <c r="Y54" s="1431" t="s">
        <v>139</v>
      </c>
      <c r="Z54" s="1431"/>
      <c r="AA54" s="1431"/>
      <c r="AB54" s="1431"/>
      <c r="AC54" s="1431"/>
      <c r="AD54" s="1431"/>
      <c r="AE54" s="1431"/>
      <c r="AF54" s="1431"/>
      <c r="AG54" s="1431"/>
      <c r="AH54" s="1431"/>
      <c r="AI54" s="1431"/>
      <c r="AJ54" s="1431"/>
      <c r="AK54" s="1431"/>
      <c r="AL54" s="1431"/>
      <c r="AM54" s="1431"/>
      <c r="AN54" s="1431"/>
      <c r="AO54" s="1431"/>
      <c r="AP54" s="1431"/>
      <c r="AQ54" s="1431"/>
      <c r="AR54" s="1431"/>
      <c r="AT54" s="1083" t="s">
        <v>344</v>
      </c>
      <c r="AV54" s="1431" t="s">
        <v>140</v>
      </c>
      <c r="AW54" s="1431"/>
      <c r="AX54" s="1431"/>
      <c r="AY54" s="1431"/>
      <c r="AZ54" s="1431"/>
      <c r="BA54" s="1431"/>
      <c r="BB54" s="1431"/>
      <c r="BC54" s="1431"/>
      <c r="BD54" s="1431"/>
      <c r="BE54" s="1431"/>
      <c r="BF54" s="1431"/>
      <c r="BG54" s="1431"/>
      <c r="BH54" s="1431"/>
      <c r="BI54" s="1431"/>
      <c r="BJ54" s="1431"/>
      <c r="BK54" s="1431"/>
      <c r="BL54" s="1431"/>
      <c r="BM54" s="1431"/>
      <c r="BN54" s="1431"/>
      <c r="BO54" s="1431"/>
      <c r="BT54" s="1177" t="s">
        <v>420</v>
      </c>
      <c r="BU54" s="1174"/>
    </row>
    <row r="55" spans="1:75" ht="13.5" thickBot="1" x14ac:dyDescent="0.25">
      <c r="A55" s="1084" t="s">
        <v>394</v>
      </c>
      <c r="B55" s="1431" t="s">
        <v>122</v>
      </c>
      <c r="C55" s="1431"/>
      <c r="D55" s="1431"/>
      <c r="E55" s="1431"/>
      <c r="F55" s="1431"/>
      <c r="G55" s="1431"/>
      <c r="H55" s="1431"/>
      <c r="I55" s="1431"/>
      <c r="J55" s="1431"/>
      <c r="K55" s="1431"/>
      <c r="L55" s="1431"/>
      <c r="M55" s="1431"/>
      <c r="N55" s="1431"/>
      <c r="O55" s="1431"/>
      <c r="P55" s="1431"/>
      <c r="Q55" s="1431"/>
      <c r="R55" s="1431"/>
      <c r="S55" s="1432" t="s">
        <v>123</v>
      </c>
      <c r="T55" s="1432"/>
      <c r="U55" s="1432"/>
      <c r="V55" s="268" t="s">
        <v>124</v>
      </c>
      <c r="W55" s="1084" t="s">
        <v>394</v>
      </c>
      <c r="Y55" s="1431" t="s">
        <v>122</v>
      </c>
      <c r="Z55" s="1431"/>
      <c r="AA55" s="1431"/>
      <c r="AB55" s="1431"/>
      <c r="AC55" s="1431"/>
      <c r="AD55" s="1431"/>
      <c r="AE55" s="1431"/>
      <c r="AF55" s="1431"/>
      <c r="AG55" s="1431"/>
      <c r="AH55" s="1431"/>
      <c r="AI55" s="1431"/>
      <c r="AJ55" s="1431"/>
      <c r="AK55" s="1431"/>
      <c r="AL55" s="1431"/>
      <c r="AM55" s="1431"/>
      <c r="AN55" s="1431"/>
      <c r="AO55" s="1431"/>
      <c r="AP55" s="1432" t="s">
        <v>123</v>
      </c>
      <c r="AQ55" s="1432"/>
      <c r="AR55" s="1432"/>
      <c r="AS55" s="268" t="s">
        <v>124</v>
      </c>
      <c r="AT55" s="1084" t="s">
        <v>394</v>
      </c>
      <c r="AV55" s="1431" t="s">
        <v>122</v>
      </c>
      <c r="AW55" s="1431"/>
      <c r="AX55" s="1431"/>
      <c r="AY55" s="1431"/>
      <c r="AZ55" s="1431"/>
      <c r="BA55" s="1431"/>
      <c r="BB55" s="1431"/>
      <c r="BC55" s="1431"/>
      <c r="BD55" s="1431"/>
      <c r="BE55" s="1431"/>
      <c r="BF55" s="1431"/>
      <c r="BG55" s="1431"/>
      <c r="BH55" s="1431"/>
      <c r="BI55" s="1431"/>
      <c r="BJ55" s="1431"/>
      <c r="BK55" s="1431"/>
      <c r="BL55" s="1431"/>
      <c r="BM55" s="1432" t="s">
        <v>123</v>
      </c>
      <c r="BN55" s="1432"/>
      <c r="BO55" s="1432"/>
      <c r="BP55" s="268" t="s">
        <v>124</v>
      </c>
      <c r="BT55" s="1174" t="s">
        <v>271</v>
      </c>
      <c r="BU55" s="1174"/>
      <c r="BV55" s="1174"/>
      <c r="BW55" s="1174"/>
    </row>
    <row r="56" spans="1:75" ht="13.5" thickBot="1" x14ac:dyDescent="0.25">
      <c r="A56" s="269"/>
      <c r="B56" s="1184" t="s">
        <v>335</v>
      </c>
      <c r="C56" s="1185" t="s">
        <v>336</v>
      </c>
      <c r="D56" s="1185" t="s">
        <v>127</v>
      </c>
      <c r="E56" s="477" t="s">
        <v>337</v>
      </c>
      <c r="F56" s="477" t="s">
        <v>338</v>
      </c>
      <c r="G56" s="477" t="s">
        <v>129</v>
      </c>
      <c r="H56" s="477" t="s">
        <v>339</v>
      </c>
      <c r="I56" s="980" t="s">
        <v>131</v>
      </c>
      <c r="J56" s="477" t="s">
        <v>342</v>
      </c>
      <c r="K56" s="477" t="s">
        <v>343</v>
      </c>
      <c r="L56" s="477" t="s">
        <v>341</v>
      </c>
      <c r="M56" s="477" t="s">
        <v>340</v>
      </c>
      <c r="N56" s="477" t="s">
        <v>249</v>
      </c>
      <c r="O56" s="980" t="s">
        <v>250</v>
      </c>
      <c r="P56" s="980" t="s">
        <v>251</v>
      </c>
      <c r="Q56" s="980" t="s">
        <v>252</v>
      </c>
      <c r="R56" s="272" t="s">
        <v>132</v>
      </c>
      <c r="S56" s="1180" t="s">
        <v>133</v>
      </c>
      <c r="T56" s="271" t="s">
        <v>134</v>
      </c>
      <c r="U56" s="273" t="s">
        <v>135</v>
      </c>
      <c r="V56" s="504" t="s">
        <v>135</v>
      </c>
      <c r="W56" s="269"/>
      <c r="X56" s="269"/>
      <c r="Y56" s="1184" t="str">
        <f>Y3</f>
        <v>FREE</v>
      </c>
      <c r="Z56" s="1185" t="str">
        <f t="shared" ref="Z56:AN56" si="29">Z3</f>
        <v>RCS</v>
      </c>
      <c r="AA56" s="1185" t="str">
        <f t="shared" si="29"/>
        <v>Assited Aud</v>
      </c>
      <c r="AB56" s="477" t="str">
        <f t="shared" si="29"/>
        <v>DS</v>
      </c>
      <c r="AC56" s="477" t="str">
        <f t="shared" si="29"/>
        <v>EnergyStar</v>
      </c>
      <c r="AD56" s="477" t="str">
        <f t="shared" si="29"/>
        <v>LowInc</v>
      </c>
      <c r="AE56" s="477" t="str">
        <f t="shared" si="29"/>
        <v>HC</v>
      </c>
      <c r="AF56" s="980" t="str">
        <f t="shared" si="29"/>
        <v>Bld Envel</v>
      </c>
      <c r="AG56" s="477" t="str">
        <f t="shared" si="29"/>
        <v>Ceiling Ins</v>
      </c>
      <c r="AH56" s="477" t="str">
        <f t="shared" si="29"/>
        <v>Wall Ins</v>
      </c>
      <c r="AI56" s="477" t="str">
        <f t="shared" si="29"/>
        <v>Wind Repl</v>
      </c>
      <c r="AJ56" s="477" t="str">
        <f t="shared" si="29"/>
        <v>Educate</v>
      </c>
      <c r="AK56" s="477" t="str">
        <f t="shared" si="29"/>
        <v>ECM</v>
      </c>
      <c r="AL56" s="980" t="str">
        <f t="shared" si="29"/>
        <v>Maint</v>
      </c>
      <c r="AM56" s="980" t="str">
        <f t="shared" si="29"/>
        <v>Solar DHW</v>
      </c>
      <c r="AN56" s="980" t="str">
        <f t="shared" si="29"/>
        <v>PV</v>
      </c>
      <c r="AO56" s="272" t="s">
        <v>132</v>
      </c>
      <c r="AP56" s="1180" t="s">
        <v>133</v>
      </c>
      <c r="AQ56" s="271" t="s">
        <v>134</v>
      </c>
      <c r="AR56" s="273" t="s">
        <v>135</v>
      </c>
      <c r="AS56" s="504" t="s">
        <v>135</v>
      </c>
      <c r="AT56" s="269"/>
      <c r="AU56" s="269"/>
      <c r="AV56" s="1184" t="str">
        <f>AV3</f>
        <v>FREE</v>
      </c>
      <c r="AW56" s="1185" t="str">
        <f t="shared" ref="AW56:BK56" si="30">AW3</f>
        <v>RCS</v>
      </c>
      <c r="AX56" s="1185" t="str">
        <f t="shared" si="30"/>
        <v>Assited Aud</v>
      </c>
      <c r="AY56" s="477" t="str">
        <f t="shared" si="30"/>
        <v>DS</v>
      </c>
      <c r="AZ56" s="477" t="str">
        <f t="shared" si="30"/>
        <v>EnergyStar</v>
      </c>
      <c r="BA56" s="477" t="str">
        <f t="shared" si="30"/>
        <v>LowInc</v>
      </c>
      <c r="BB56" s="477" t="str">
        <f t="shared" si="30"/>
        <v>HC</v>
      </c>
      <c r="BC56" s="980" t="str">
        <f t="shared" si="30"/>
        <v>Bld Envel</v>
      </c>
      <c r="BD56" s="477" t="str">
        <f t="shared" si="30"/>
        <v>Ceiling Ins</v>
      </c>
      <c r="BE56" s="477" t="str">
        <f t="shared" si="30"/>
        <v>Wall Ins</v>
      </c>
      <c r="BF56" s="477" t="str">
        <f t="shared" si="30"/>
        <v>Wind Repl</v>
      </c>
      <c r="BG56" s="477" t="str">
        <f t="shared" si="30"/>
        <v>Educate</v>
      </c>
      <c r="BH56" s="477" t="str">
        <f t="shared" si="30"/>
        <v>ECM</v>
      </c>
      <c r="BI56" s="980" t="str">
        <f t="shared" si="30"/>
        <v>Maint</v>
      </c>
      <c r="BJ56" s="980" t="str">
        <f t="shared" si="30"/>
        <v>Solar DHW</v>
      </c>
      <c r="BK56" s="980" t="str">
        <f t="shared" si="30"/>
        <v>PV</v>
      </c>
      <c r="BL56" s="272" t="s">
        <v>132</v>
      </c>
      <c r="BM56" s="1180" t="s">
        <v>133</v>
      </c>
      <c r="BN56" s="271" t="s">
        <v>134</v>
      </c>
      <c r="BO56" s="273" t="s">
        <v>135</v>
      </c>
      <c r="BP56" s="504" t="s">
        <v>135</v>
      </c>
      <c r="BT56" s="1174" t="s">
        <v>272</v>
      </c>
      <c r="BU56" s="1174" t="s">
        <v>273</v>
      </c>
      <c r="BV56" s="1174"/>
      <c r="BW56" s="1174"/>
    </row>
    <row r="57" spans="1:75" x14ac:dyDescent="0.2">
      <c r="A57" s="274" t="s">
        <v>136</v>
      </c>
      <c r="B57" s="275">
        <f>+B4</f>
        <v>8.34</v>
      </c>
      <c r="C57" s="276">
        <f t="shared" ref="C57:Q57" si="31">+C4</f>
        <v>0.97</v>
      </c>
      <c r="D57" s="276">
        <f t="shared" si="31"/>
        <v>0</v>
      </c>
      <c r="E57" s="276">
        <f t="shared" si="31"/>
        <v>0</v>
      </c>
      <c r="F57" s="276">
        <f t="shared" si="31"/>
        <v>0</v>
      </c>
      <c r="G57" s="276">
        <f t="shared" si="31"/>
        <v>0</v>
      </c>
      <c r="H57" s="276">
        <f t="shared" si="31"/>
        <v>12.76</v>
      </c>
      <c r="I57" s="724">
        <f t="shared" si="31"/>
        <v>2.6</v>
      </c>
      <c r="J57" s="276">
        <f t="shared" si="31"/>
        <v>0</v>
      </c>
      <c r="K57" s="276"/>
      <c r="L57" s="276"/>
      <c r="M57" s="276">
        <f t="shared" si="31"/>
        <v>0</v>
      </c>
      <c r="N57" s="276">
        <f t="shared" si="31"/>
        <v>0</v>
      </c>
      <c r="O57" s="724">
        <f t="shared" si="31"/>
        <v>0</v>
      </c>
      <c r="P57" s="724">
        <f t="shared" si="31"/>
        <v>0</v>
      </c>
      <c r="Q57" s="724">
        <f t="shared" si="31"/>
        <v>0</v>
      </c>
      <c r="R57" s="784">
        <f t="shared" ref="R57:R92" si="32">SUM(B57:Q57)</f>
        <v>24.67</v>
      </c>
      <c r="S57" s="275">
        <f>+S4</f>
        <v>78.069999999999993</v>
      </c>
      <c r="T57" s="276">
        <f>+T4</f>
        <v>0</v>
      </c>
      <c r="U57" s="784">
        <f>+S57+T57</f>
        <v>78.069999999999993</v>
      </c>
      <c r="V57" s="1243">
        <f>+U57+R57</f>
        <v>102.74</v>
      </c>
      <c r="W57" s="162"/>
      <c r="X57" s="274" t="s">
        <v>136</v>
      </c>
      <c r="Y57" s="275">
        <f>+Y4</f>
        <v>11.9</v>
      </c>
      <c r="Z57" s="276">
        <f t="shared" ref="Z57:AF57" si="33">+Z4</f>
        <v>1.36</v>
      </c>
      <c r="AA57" s="276">
        <f t="shared" si="33"/>
        <v>0</v>
      </c>
      <c r="AB57" s="276">
        <f t="shared" si="33"/>
        <v>0</v>
      </c>
      <c r="AC57" s="276">
        <f t="shared" si="33"/>
        <v>0</v>
      </c>
      <c r="AD57" s="276">
        <f t="shared" si="33"/>
        <v>0</v>
      </c>
      <c r="AE57" s="276">
        <f t="shared" si="33"/>
        <v>195.73</v>
      </c>
      <c r="AF57" s="724">
        <f t="shared" si="33"/>
        <v>3.59</v>
      </c>
      <c r="AG57" s="276">
        <f t="shared" ref="AG57:AI57" si="34">+AG4</f>
        <v>0</v>
      </c>
      <c r="AH57" s="276">
        <f t="shared" si="34"/>
        <v>0</v>
      </c>
      <c r="AI57" s="276">
        <f t="shared" si="34"/>
        <v>0</v>
      </c>
      <c r="AJ57" s="276">
        <f>+AJ4</f>
        <v>0</v>
      </c>
      <c r="AK57" s="276">
        <f>+AK4</f>
        <v>0</v>
      </c>
      <c r="AL57" s="724">
        <f>+AL4</f>
        <v>0</v>
      </c>
      <c r="AM57" s="724">
        <f>+AM4</f>
        <v>0</v>
      </c>
      <c r="AN57" s="724">
        <f>+AN4</f>
        <v>0</v>
      </c>
      <c r="AO57" s="277">
        <f>SUM(Y57:AN57)</f>
        <v>212.57999999999998</v>
      </c>
      <c r="AP57" s="275">
        <f>+AP4</f>
        <v>163.07</v>
      </c>
      <c r="AQ57" s="276">
        <f>+AQ4</f>
        <v>0</v>
      </c>
      <c r="AR57" s="277">
        <f>+AP57+AQ57</f>
        <v>163.07</v>
      </c>
      <c r="AS57" s="278">
        <f>+AR57+AO57</f>
        <v>375.65</v>
      </c>
      <c r="AU57" s="274" t="s">
        <v>136</v>
      </c>
      <c r="AV57" s="275">
        <f>+AV4</f>
        <v>28.46</v>
      </c>
      <c r="AW57" s="276">
        <f t="shared" ref="AW57:BF57" si="35">+AW4</f>
        <v>3.27</v>
      </c>
      <c r="AX57" s="276">
        <f t="shared" si="35"/>
        <v>0</v>
      </c>
      <c r="AY57" s="276">
        <f t="shared" si="35"/>
        <v>0</v>
      </c>
      <c r="AZ57" s="276">
        <f t="shared" si="35"/>
        <v>0</v>
      </c>
      <c r="BA57" s="276">
        <f t="shared" si="35"/>
        <v>0</v>
      </c>
      <c r="BB57" s="276">
        <f t="shared" si="35"/>
        <v>160.74</v>
      </c>
      <c r="BC57" s="724">
        <f t="shared" si="35"/>
        <v>6.16</v>
      </c>
      <c r="BD57" s="276">
        <f t="shared" si="35"/>
        <v>0</v>
      </c>
      <c r="BE57" s="276">
        <f t="shared" si="35"/>
        <v>0</v>
      </c>
      <c r="BF57" s="276">
        <f t="shared" si="35"/>
        <v>0</v>
      </c>
      <c r="BG57" s="276">
        <f>+BG4</f>
        <v>0</v>
      </c>
      <c r="BH57" s="276">
        <f>+BH4</f>
        <v>0</v>
      </c>
      <c r="BI57" s="724">
        <f>+BI4</f>
        <v>0</v>
      </c>
      <c r="BJ57" s="724">
        <f>+BJ4</f>
        <v>0</v>
      </c>
      <c r="BK57" s="724">
        <f>+BK4</f>
        <v>0</v>
      </c>
      <c r="BL57" s="277">
        <f>SUM(AV57:BK57)</f>
        <v>198.63</v>
      </c>
      <c r="BM57" s="275">
        <f>+BM4</f>
        <v>0</v>
      </c>
      <c r="BN57" s="276">
        <f>+BN4</f>
        <v>0</v>
      </c>
      <c r="BO57" s="277">
        <f>+BM57+BN57</f>
        <v>0</v>
      </c>
      <c r="BP57" s="278">
        <f>+BO57+BL57</f>
        <v>198.63</v>
      </c>
      <c r="BT57" s="1176">
        <f t="shared" ref="BT57:BT92" si="36">+AV57+AW57+AX57+AY57+BB57+BC57+AZ57</f>
        <v>198.63</v>
      </c>
      <c r="BU57" s="1176">
        <f t="shared" ref="BU57:BU92" si="37">+BP57-BT57</f>
        <v>0</v>
      </c>
      <c r="BV57" s="1176">
        <f>+BT57+'ComInd Summary'!DA57</f>
        <v>202.44</v>
      </c>
      <c r="BW57" s="1176">
        <f>+BU57+'ComInd Summary'!DB57</f>
        <v>0</v>
      </c>
    </row>
    <row r="58" spans="1:75" x14ac:dyDescent="0.2">
      <c r="A58" s="274" t="s">
        <v>137</v>
      </c>
      <c r="B58" s="275">
        <f>+B5*(1+'Conversion Factors'!$B5)</f>
        <v>10.519200000000001</v>
      </c>
      <c r="C58" s="276">
        <f>+C5*(1+'Conversion Factors'!$B5)</f>
        <v>1.0476000000000001</v>
      </c>
      <c r="D58" s="276">
        <f>+D5*(1+'Conversion Factors'!$B5)</f>
        <v>0</v>
      </c>
      <c r="E58" s="276">
        <f>+E5*(1+'Conversion Factors'!$B5)</f>
        <v>0.57240000000000002</v>
      </c>
      <c r="F58" s="276">
        <f>+F5*(1+'Conversion Factors'!$B5)</f>
        <v>0</v>
      </c>
      <c r="G58" s="276">
        <f>+G5*(1+'Conversion Factors'!$B5)</f>
        <v>0</v>
      </c>
      <c r="H58" s="276">
        <f>+H5*(1+'Conversion Factors'!$B5)</f>
        <v>13.780800000000001</v>
      </c>
      <c r="I58" s="724">
        <f>+I5*(1+'Conversion Factors'!$B5)</f>
        <v>4.4496000000000002</v>
      </c>
      <c r="J58" s="276">
        <f>+J5*(1+'Conversion Factors'!$B5)</f>
        <v>0</v>
      </c>
      <c r="K58" s="276">
        <f>+K5*(1+'Conversion Factors'!$B5)</f>
        <v>0</v>
      </c>
      <c r="L58" s="276">
        <f>+L5*(1+'Conversion Factors'!$B5)</f>
        <v>0</v>
      </c>
      <c r="M58" s="276">
        <f>+M5*(1+'Conversion Factors'!$B5)</f>
        <v>0</v>
      </c>
      <c r="N58" s="276">
        <f>+N5*(1+'Conversion Factors'!$B5)</f>
        <v>0</v>
      </c>
      <c r="O58" s="724">
        <f>+O5*(1+'Conversion Factors'!$B5)</f>
        <v>0</v>
      </c>
      <c r="P58" s="724">
        <f>+P5*(1+'Conversion Factors'!$B5)</f>
        <v>0</v>
      </c>
      <c r="Q58" s="724">
        <f>+Q5*(1+'Conversion Factors'!$B5)</f>
        <v>0</v>
      </c>
      <c r="R58" s="784">
        <f t="shared" si="32"/>
        <v>30.369600000000002</v>
      </c>
      <c r="S58" s="275">
        <f>+S5</f>
        <v>96.2</v>
      </c>
      <c r="T58" s="276">
        <f>+T5</f>
        <v>0</v>
      </c>
      <c r="U58" s="784">
        <f t="shared" ref="U58:U91" si="38">+S58+T58</f>
        <v>96.2</v>
      </c>
      <c r="V58" s="784">
        <f t="shared" ref="V58:V91" si="39">+U58+R58</f>
        <v>126.56960000000001</v>
      </c>
      <c r="W58" s="162"/>
      <c r="X58" s="274" t="s">
        <v>137</v>
      </c>
      <c r="Y58" s="275">
        <f>+Y5*(1+'Conversion Factors'!$C5)</f>
        <v>14.979600000000001</v>
      </c>
      <c r="Z58" s="276">
        <f>+Z5*(1+'Conversion Factors'!$C5)</f>
        <v>1.4688000000000001</v>
      </c>
      <c r="AA58" s="276">
        <f>+AA5*(1+'Conversion Factors'!$C5)</f>
        <v>0</v>
      </c>
      <c r="AB58" s="276">
        <f>+AB5*(1+'Conversion Factors'!$C5)</f>
        <v>2.0304000000000002</v>
      </c>
      <c r="AC58" s="276">
        <f>+AC5*(1+'Conversion Factors'!$C5)</f>
        <v>0</v>
      </c>
      <c r="AD58" s="276">
        <f>+AD5*(1+'Conversion Factors'!$C5)</f>
        <v>0</v>
      </c>
      <c r="AE58" s="276">
        <f>+AE5*(1+'Conversion Factors'!$C5)</f>
        <v>268.69319999999999</v>
      </c>
      <c r="AF58" s="724">
        <f>+AF5*(1+'Conversion Factors'!$C5)</f>
        <v>6.4908000000000001</v>
      </c>
      <c r="AG58" s="276">
        <f>+AG5*(1+'Conversion Factors'!$C5)</f>
        <v>0</v>
      </c>
      <c r="AH58" s="276">
        <f>+AH5*(1+'Conversion Factors'!$C5)</f>
        <v>0</v>
      </c>
      <c r="AI58" s="276">
        <f>+AI5*(1+'Conversion Factors'!$C5)</f>
        <v>0</v>
      </c>
      <c r="AJ58" s="276">
        <f>+AJ5*(1+'Conversion Factors'!$C5)</f>
        <v>0</v>
      </c>
      <c r="AK58" s="276">
        <f>+AK5*(1+'Conversion Factors'!$C5)</f>
        <v>0</v>
      </c>
      <c r="AL58" s="724">
        <f>+AL5*(1+'Conversion Factors'!$C5)</f>
        <v>0</v>
      </c>
      <c r="AM58" s="724">
        <f>+AM5*(1+'Conversion Factors'!$C5)</f>
        <v>0</v>
      </c>
      <c r="AN58" s="724">
        <f>+AN5*(1+'Conversion Factors'!$C5)</f>
        <v>0</v>
      </c>
      <c r="AO58" s="277">
        <f t="shared" ref="AO58:AO92" si="40">SUM(Y58:AN58)</f>
        <v>293.66279999999995</v>
      </c>
      <c r="AP58" s="275">
        <f>+AP5</f>
        <v>181.8</v>
      </c>
      <c r="AQ58" s="276">
        <f>+AQ5</f>
        <v>0</v>
      </c>
      <c r="AR58" s="277">
        <f t="shared" ref="AR58:AR91" si="41">+AP58+AQ58</f>
        <v>181.8</v>
      </c>
      <c r="AS58" s="277">
        <f t="shared" ref="AS58:AS91" si="42">+AR58+AO58</f>
        <v>475.46279999999996</v>
      </c>
      <c r="AU58" s="274" t="s">
        <v>137</v>
      </c>
      <c r="AV58" s="275">
        <f>+AV5*(1+'Conversion Factors'!$D5)</f>
        <v>38.010000000000005</v>
      </c>
      <c r="AW58" s="276">
        <f>+AW5*(1+'Conversion Factors'!$D5)</f>
        <v>3.4335</v>
      </c>
      <c r="AX58" s="276">
        <f>+AX5*(1+'Conversion Factors'!$D5)</f>
        <v>0</v>
      </c>
      <c r="AY58" s="276">
        <f>+AY5*(1+'Conversion Factors'!$D5)</f>
        <v>2.1566999999999998</v>
      </c>
      <c r="AZ58" s="276">
        <f>+AZ5*(1+'Conversion Factors'!$D5)</f>
        <v>0</v>
      </c>
      <c r="BA58" s="276">
        <f>+BA5*(1+'Conversion Factors'!$D5)</f>
        <v>0</v>
      </c>
      <c r="BB58" s="276">
        <f>+BB5*(1+'Conversion Factors'!$D5)</f>
        <v>182.10150000000002</v>
      </c>
      <c r="BC58" s="724">
        <f>+BC5*(1+'Conversion Factors'!$D5)</f>
        <v>9.282</v>
      </c>
      <c r="BD58" s="276">
        <f>+BD5*(1+'Conversion Factors'!$D5)</f>
        <v>0</v>
      </c>
      <c r="BE58" s="276">
        <f>+BE5*(1+'Conversion Factors'!$D5)</f>
        <v>0</v>
      </c>
      <c r="BF58" s="276">
        <f>+BF5*(1+'Conversion Factors'!$D5)</f>
        <v>0</v>
      </c>
      <c r="BG58" s="276">
        <f>+BG5*(1+'Conversion Factors'!$D5)</f>
        <v>0</v>
      </c>
      <c r="BH58" s="276">
        <f>+BH5*(1+'Conversion Factors'!$D5)</f>
        <v>0</v>
      </c>
      <c r="BI58" s="724">
        <f>+BI5*(1+'Conversion Factors'!$D5)</f>
        <v>0</v>
      </c>
      <c r="BJ58" s="724">
        <f>+BJ5*(1+'Conversion Factors'!$D5)</f>
        <v>0</v>
      </c>
      <c r="BK58" s="724">
        <f>+BK5*(1+'Conversion Factors'!$D5)</f>
        <v>0</v>
      </c>
      <c r="BL58" s="277">
        <f t="shared" ref="BL58:BL92" si="43">SUM(AV58:BK58)</f>
        <v>234.98370000000003</v>
      </c>
      <c r="BM58" s="275">
        <f>+BM5</f>
        <v>0</v>
      </c>
      <c r="BN58" s="276">
        <f>+BN5</f>
        <v>0</v>
      </c>
      <c r="BO58" s="277">
        <f t="shared" ref="BO58:BO91" si="44">+BM58+BN58</f>
        <v>0</v>
      </c>
      <c r="BP58" s="277">
        <f t="shared" ref="BP58:BP91" si="45">+BO58+BL58</f>
        <v>234.98370000000003</v>
      </c>
      <c r="BT58" s="1176">
        <f t="shared" si="36"/>
        <v>234.98370000000003</v>
      </c>
      <c r="BU58" s="1176">
        <f t="shared" si="37"/>
        <v>0</v>
      </c>
      <c r="BV58" s="1176">
        <f>+BT58+'ComInd Summary'!DA58</f>
        <v>253.82170000000002</v>
      </c>
      <c r="BW58" s="1176">
        <f>+BU58+'ComInd Summary'!DB58</f>
        <v>0</v>
      </c>
    </row>
    <row r="59" spans="1:75" x14ac:dyDescent="0.2">
      <c r="A59">
        <v>1995</v>
      </c>
      <c r="B59" s="275">
        <f>+B6*(1+'Conversion Factors'!$B6)</f>
        <v>10.988244000000002</v>
      </c>
      <c r="C59" s="276">
        <f>+C6*(1+'Conversion Factors'!$B6)</f>
        <v>1.0476000000000001</v>
      </c>
      <c r="D59" s="276">
        <f>+D6*(1+'Conversion Factors'!$B6)</f>
        <v>0</v>
      </c>
      <c r="E59" s="276">
        <f>+E6*(1+'Conversion Factors'!$B6)</f>
        <v>1.31274</v>
      </c>
      <c r="F59" s="276">
        <f>+F6*(1+'Conversion Factors'!$B6)</f>
        <v>0</v>
      </c>
      <c r="G59" s="276">
        <f>+G6*(1+'Conversion Factors'!$B6)</f>
        <v>0</v>
      </c>
      <c r="H59" s="276">
        <f>+H6*(1+'Conversion Factors'!$B6)</f>
        <v>13.780800000000001</v>
      </c>
      <c r="I59" s="724">
        <f>+I6*(1+'Conversion Factors'!$B6)</f>
        <v>4.7695028831562984</v>
      </c>
      <c r="J59" s="276">
        <f>+J6*(1+'Conversion Factors'!$B6)</f>
        <v>0</v>
      </c>
      <c r="K59" s="276">
        <f>+K6*(1+'Conversion Factors'!$B6)</f>
        <v>0</v>
      </c>
      <c r="L59" s="276">
        <f>+L6*(1+'Conversion Factors'!$B6)</f>
        <v>0</v>
      </c>
      <c r="M59" s="276">
        <f>+M6*(1+'Conversion Factors'!$B6)</f>
        <v>0</v>
      </c>
      <c r="N59" s="276">
        <f>+N6*(1+'Conversion Factors'!$B6)</f>
        <v>0</v>
      </c>
      <c r="O59" s="724">
        <f>+O6*(1+'Conversion Factors'!$B6)</f>
        <v>0</v>
      </c>
      <c r="P59" s="724">
        <f>+P6*(1+'Conversion Factors'!$B6)</f>
        <v>0</v>
      </c>
      <c r="Q59" s="724">
        <f>+Q6*(1+'Conversion Factors'!$B6)</f>
        <v>0</v>
      </c>
      <c r="R59" s="784">
        <f t="shared" si="32"/>
        <v>31.898886883156301</v>
      </c>
      <c r="S59" s="275">
        <f>+S6*(1+'Conversion Factors'!$B6)</f>
        <v>105.19200000000001</v>
      </c>
      <c r="T59" s="276">
        <f>+T6*(1+'Conversion Factors'!$B6)</f>
        <v>0</v>
      </c>
      <c r="U59" s="784">
        <f t="shared" si="38"/>
        <v>105.19200000000001</v>
      </c>
      <c r="V59" s="784">
        <f t="shared" si="39"/>
        <v>137.09088688315632</v>
      </c>
      <c r="W59" s="162"/>
      <c r="X59">
        <v>1995</v>
      </c>
      <c r="Y59" s="275">
        <f>+Y6*(1+'Conversion Factors'!$C6)</f>
        <v>15.491563200000003</v>
      </c>
      <c r="Z59" s="276">
        <f>+Z6*(1+'Conversion Factors'!$C6)</f>
        <v>1.4688000000000001</v>
      </c>
      <c r="AA59" s="276">
        <f>+AA6*(1+'Conversion Factors'!$C6)</f>
        <v>0</v>
      </c>
      <c r="AB59" s="276">
        <f>+AB6*(1+'Conversion Factors'!$C6)</f>
        <v>2.6983260000000002</v>
      </c>
      <c r="AC59" s="276">
        <f>+AC6*(1+'Conversion Factors'!$C6)</f>
        <v>0</v>
      </c>
      <c r="AD59" s="276">
        <f>+AD6*(1+'Conversion Factors'!$C6)</f>
        <v>0</v>
      </c>
      <c r="AE59" s="276">
        <f>+AE6*(1+'Conversion Factors'!$C6)</f>
        <v>287.17454880000003</v>
      </c>
      <c r="AF59" s="724">
        <f>+AF6*(1+'Conversion Factors'!$C6)</f>
        <v>6.9504965098634299</v>
      </c>
      <c r="AG59" s="276">
        <f>+AG6*(1+'Conversion Factors'!$C6)</f>
        <v>0</v>
      </c>
      <c r="AH59" s="276">
        <f>+AH6*(1+'Conversion Factors'!$C6)</f>
        <v>0</v>
      </c>
      <c r="AI59" s="276">
        <f>+AI6*(1+'Conversion Factors'!$C6)</f>
        <v>0</v>
      </c>
      <c r="AJ59" s="276">
        <f>+AJ6*(1+'Conversion Factors'!$C6)</f>
        <v>0</v>
      </c>
      <c r="AK59" s="276">
        <f>+AK6*(1+'Conversion Factors'!$C6)</f>
        <v>0</v>
      </c>
      <c r="AL59" s="724">
        <f>+AL6*(1+'Conversion Factors'!$C6)</f>
        <v>0</v>
      </c>
      <c r="AM59" s="724">
        <f>+AM6*(1+'Conversion Factors'!$C6)</f>
        <v>0</v>
      </c>
      <c r="AN59" s="724">
        <f>+AN6*(1+'Conversion Factors'!$C6)</f>
        <v>0</v>
      </c>
      <c r="AO59" s="277">
        <f t="shared" si="40"/>
        <v>313.78373450986351</v>
      </c>
      <c r="AP59" s="275">
        <f>+AP6*(1+'Conversion Factors'!$C6)</f>
        <v>245.376</v>
      </c>
      <c r="AQ59" s="276">
        <f>+AQ6*(1+'Conversion Factors'!$C6)</f>
        <v>0</v>
      </c>
      <c r="AR59" s="277">
        <f t="shared" si="41"/>
        <v>245.376</v>
      </c>
      <c r="AS59" s="277">
        <f t="shared" si="42"/>
        <v>559.15973450986348</v>
      </c>
      <c r="AU59">
        <v>1995</v>
      </c>
      <c r="AV59" s="275">
        <f>+AV6*(1+'Conversion Factors'!$D6)</f>
        <v>40.527202800000005</v>
      </c>
      <c r="AW59" s="276">
        <f>+AW6*(1+'Conversion Factors'!$D6)</f>
        <v>3.4335</v>
      </c>
      <c r="AX59" s="276">
        <f>+AX6*(1+'Conversion Factors'!$D6)</f>
        <v>0</v>
      </c>
      <c r="AY59" s="276">
        <f>+AY6*(1+'Conversion Factors'!$D6)</f>
        <v>5.0357999999999992</v>
      </c>
      <c r="AZ59" s="276">
        <f>+AZ6*(1+'Conversion Factors'!$D6)</f>
        <v>0</v>
      </c>
      <c r="BA59" s="276">
        <f>+BA6*(1+'Conversion Factors'!$D6)</f>
        <v>0</v>
      </c>
      <c r="BB59" s="276">
        <f>+BB6*(1+'Conversion Factors'!$D6)</f>
        <v>186.34135590000002</v>
      </c>
      <c r="BC59" s="724">
        <f>+BC6*(1+'Conversion Factors'!$D6)</f>
        <v>9.8651562974203344</v>
      </c>
      <c r="BD59" s="276">
        <f>+BD6*(1+'Conversion Factors'!$D6)</f>
        <v>0</v>
      </c>
      <c r="BE59" s="276">
        <f>+BE6*(1+'Conversion Factors'!$D6)</f>
        <v>0</v>
      </c>
      <c r="BF59" s="276">
        <f>+BF6*(1+'Conversion Factors'!$D6)</f>
        <v>0</v>
      </c>
      <c r="BG59" s="276">
        <f>+BG6*(1+'Conversion Factors'!$D6)</f>
        <v>0</v>
      </c>
      <c r="BH59" s="276">
        <f>+BH6*(1+'Conversion Factors'!$D6)</f>
        <v>0</v>
      </c>
      <c r="BI59" s="724">
        <f>+BI6*(1+'Conversion Factors'!$D6)</f>
        <v>0</v>
      </c>
      <c r="BJ59" s="724">
        <f>+BJ6*(1+'Conversion Factors'!$D6)</f>
        <v>0</v>
      </c>
      <c r="BK59" s="724">
        <f>+BK6*(1+'Conversion Factors'!$D6)</f>
        <v>0</v>
      </c>
      <c r="BL59" s="277">
        <f t="shared" si="43"/>
        <v>245.20301499742035</v>
      </c>
      <c r="BM59" s="275">
        <f>+BM6*(1+'Conversion Factors'!$D6)</f>
        <v>0</v>
      </c>
      <c r="BN59" s="276">
        <f>+BN6*(1+'Conversion Factors'!$D6)</f>
        <v>0</v>
      </c>
      <c r="BO59" s="277">
        <f t="shared" si="44"/>
        <v>0</v>
      </c>
      <c r="BP59" s="277">
        <f t="shared" si="45"/>
        <v>245.20301499742035</v>
      </c>
      <c r="BT59" s="1176">
        <f t="shared" si="36"/>
        <v>245.20301499742035</v>
      </c>
      <c r="BU59" s="1176">
        <f t="shared" si="37"/>
        <v>0</v>
      </c>
      <c r="BV59" s="1176">
        <f>+BT59+'ComInd Summary'!DA59</f>
        <v>272.32627013275379</v>
      </c>
      <c r="BW59" s="1176">
        <f>+BU59+'ComInd Summary'!DB59</f>
        <v>0</v>
      </c>
    </row>
    <row r="60" spans="1:75" x14ac:dyDescent="0.2">
      <c r="A60">
        <v>1996</v>
      </c>
      <c r="B60" s="275">
        <f>+B7*(1+'Conversion Factors'!$B7)</f>
        <v>11.163680280000001</v>
      </c>
      <c r="C60" s="276">
        <f>+C7*(1+'Conversion Factors'!$B7)</f>
        <v>1.0301400000000001</v>
      </c>
      <c r="D60" s="276">
        <f>+D7*(1+'Conversion Factors'!$B7)</f>
        <v>4.4126100000000001E-2</v>
      </c>
      <c r="E60" s="276">
        <f>+E7*(1+'Conversion Factors'!$B7)</f>
        <v>2.7004666324604147</v>
      </c>
      <c r="F60" s="276">
        <f>+F7*(1+'Conversion Factors'!$B7)</f>
        <v>0</v>
      </c>
      <c r="G60" s="276">
        <f>+G7*(1+'Conversion Factors'!$B7)</f>
        <v>0</v>
      </c>
      <c r="H60" s="276">
        <f>+H7*(1+'Conversion Factors'!$B7)</f>
        <v>14.869615640387515</v>
      </c>
      <c r="I60" s="724">
        <f>+I7*(1+'Conversion Factors'!$B7)</f>
        <v>4.8420152284370266</v>
      </c>
      <c r="J60" s="276">
        <f>+J7*(1+'Conversion Factors'!$B7)</f>
        <v>0</v>
      </c>
      <c r="K60" s="276">
        <f>+K7*(1+'Conversion Factors'!$B7)</f>
        <v>0</v>
      </c>
      <c r="L60" s="276">
        <f>+L7*(1+'Conversion Factors'!$B7)</f>
        <v>0</v>
      </c>
      <c r="M60" s="276">
        <f>+M7*(1+'Conversion Factors'!$B7)</f>
        <v>0</v>
      </c>
      <c r="N60" s="276">
        <f>+N7*(1+'Conversion Factors'!$B7)</f>
        <v>0</v>
      </c>
      <c r="O60" s="724">
        <f>+O7*(1+'Conversion Factors'!$B7)</f>
        <v>0</v>
      </c>
      <c r="P60" s="724">
        <f>+P7*(1+'Conversion Factors'!$B7)</f>
        <v>0</v>
      </c>
      <c r="Q60" s="724">
        <f>+Q7*(1+'Conversion Factors'!$B7)</f>
        <v>0</v>
      </c>
      <c r="R60" s="784">
        <f t="shared" si="32"/>
        <v>34.650043881284958</v>
      </c>
      <c r="S60" s="275">
        <f>+S7*(1+'Conversion Factors'!$B7)</f>
        <v>103.96980000000001</v>
      </c>
      <c r="T60" s="276">
        <f>+T7*(1+'Conversion Factors'!$B7)</f>
        <v>0</v>
      </c>
      <c r="U60" s="784">
        <f t="shared" si="38"/>
        <v>103.96980000000001</v>
      </c>
      <c r="V60" s="784">
        <f t="shared" si="39"/>
        <v>138.61984388128496</v>
      </c>
      <c r="W60" s="162"/>
      <c r="X60">
        <v>1996</v>
      </c>
      <c r="Y60" s="275">
        <f>+Y7*(1+'Conversion Factors'!$C7)</f>
        <v>16.246518480000002</v>
      </c>
      <c r="Z60" s="276">
        <f>+Z7*(1+'Conversion Factors'!$C7)</f>
        <v>1.4443200000000003</v>
      </c>
      <c r="AA60" s="276">
        <f>+AA7*(1+'Conversion Factors'!$C7)</f>
        <v>0</v>
      </c>
      <c r="AB60" s="276">
        <f>+AB7*(1+'Conversion Factors'!$C7)</f>
        <v>7.13275141132765</v>
      </c>
      <c r="AC60" s="276">
        <f>+AC7*(1+'Conversion Factors'!$C7)</f>
        <v>0</v>
      </c>
      <c r="AD60" s="276">
        <f>+AD7*(1+'Conversion Factors'!$C7)</f>
        <v>0</v>
      </c>
      <c r="AE60" s="276">
        <f>+AE7*(1+'Conversion Factors'!$C7)</f>
        <v>298.95291815127052</v>
      </c>
      <c r="AF60" s="724">
        <f>+AF7*(1+'Conversion Factors'!$C7)</f>
        <v>7.4421308346411195</v>
      </c>
      <c r="AG60" s="276">
        <f>+AG7*(1+'Conversion Factors'!$C7)</f>
        <v>0</v>
      </c>
      <c r="AH60" s="276">
        <f>+AH7*(1+'Conversion Factors'!$C7)</f>
        <v>0</v>
      </c>
      <c r="AI60" s="276">
        <f>+AI7*(1+'Conversion Factors'!$C7)</f>
        <v>0</v>
      </c>
      <c r="AJ60" s="276">
        <f>+AJ7*(1+'Conversion Factors'!$C7)</f>
        <v>0</v>
      </c>
      <c r="AK60" s="276">
        <f>+AK7*(1+'Conversion Factors'!$C7)</f>
        <v>0</v>
      </c>
      <c r="AL60" s="724">
        <f>+AL7*(1+'Conversion Factors'!$C7)</f>
        <v>0</v>
      </c>
      <c r="AM60" s="724">
        <f>+AM7*(1+'Conversion Factors'!$C7)</f>
        <v>0</v>
      </c>
      <c r="AN60" s="724">
        <f>+AN7*(1+'Conversion Factors'!$C7)</f>
        <v>0</v>
      </c>
      <c r="AO60" s="277">
        <f t="shared" si="40"/>
        <v>331.2186388772393</v>
      </c>
      <c r="AP60" s="275">
        <f>+AP7*(1+'Conversion Factors'!$C7)</f>
        <v>259.76519999999999</v>
      </c>
      <c r="AQ60" s="276">
        <f>+AQ7*(1+'Conversion Factors'!$C7)</f>
        <v>0</v>
      </c>
      <c r="AR60" s="277">
        <f t="shared" si="41"/>
        <v>259.76519999999999</v>
      </c>
      <c r="AS60" s="277">
        <f t="shared" si="42"/>
        <v>590.98383887723935</v>
      </c>
      <c r="AU60">
        <v>1996</v>
      </c>
      <c r="AV60" s="275">
        <f>+AV7*(1+'Conversion Factors'!$D7)</f>
        <v>43.520006639000002</v>
      </c>
      <c r="AW60" s="276">
        <f>+AW7*(1+'Conversion Factors'!$D7)</f>
        <v>3.4367699999999997</v>
      </c>
      <c r="AX60" s="276">
        <f>+AX7*(1+'Conversion Factors'!$D7)</f>
        <v>0.36390875</v>
      </c>
      <c r="AY60" s="276">
        <f>+AY7*(1+'Conversion Factors'!$D7)</f>
        <v>10.568048449236295</v>
      </c>
      <c r="AZ60" s="276">
        <f>+AZ7*(1+'Conversion Factors'!$D7)</f>
        <v>0</v>
      </c>
      <c r="BA60" s="276">
        <f>+BA7*(1+'Conversion Factors'!$D7)</f>
        <v>0</v>
      </c>
      <c r="BB60" s="276">
        <f>+BB7*(1+'Conversion Factors'!$D7)</f>
        <v>192.79699747523341</v>
      </c>
      <c r="BC60" s="724">
        <f>+BC7*(1+'Conversion Factors'!$D7)</f>
        <v>11.223404033370256</v>
      </c>
      <c r="BD60" s="276">
        <f>+BD7*(1+'Conversion Factors'!$D7)</f>
        <v>0</v>
      </c>
      <c r="BE60" s="276">
        <f>+BE7*(1+'Conversion Factors'!$D7)</f>
        <v>0</v>
      </c>
      <c r="BF60" s="276">
        <f>+BF7*(1+'Conversion Factors'!$D7)</f>
        <v>0</v>
      </c>
      <c r="BG60" s="276">
        <f>+BG7*(1+'Conversion Factors'!$D7)</f>
        <v>0</v>
      </c>
      <c r="BH60" s="276">
        <f>+BH7*(1+'Conversion Factors'!$D7)</f>
        <v>0</v>
      </c>
      <c r="BI60" s="724">
        <f>+BI7*(1+'Conversion Factors'!$D7)</f>
        <v>0</v>
      </c>
      <c r="BJ60" s="724">
        <f>+BJ7*(1+'Conversion Factors'!$D7)</f>
        <v>0</v>
      </c>
      <c r="BK60" s="724">
        <f>+BK7*(1+'Conversion Factors'!$D7)</f>
        <v>0</v>
      </c>
      <c r="BL60" s="277">
        <f t="shared" si="43"/>
        <v>261.90913534683995</v>
      </c>
      <c r="BM60" s="275">
        <f>+BM7*(1+'Conversion Factors'!$D7)</f>
        <v>0</v>
      </c>
      <c r="BN60" s="276">
        <f>+BN7*(1+'Conversion Factors'!$D7)</f>
        <v>0</v>
      </c>
      <c r="BO60" s="277">
        <f t="shared" si="44"/>
        <v>0</v>
      </c>
      <c r="BP60" s="277">
        <f t="shared" si="45"/>
        <v>261.90913534683995</v>
      </c>
      <c r="BT60" s="1176">
        <f t="shared" si="36"/>
        <v>261.90913534683995</v>
      </c>
      <c r="BU60" s="1176">
        <f t="shared" si="37"/>
        <v>0</v>
      </c>
      <c r="BV60" s="1176">
        <f>+BT60+'ComInd Summary'!DA60</f>
        <v>304.10126412051847</v>
      </c>
      <c r="BW60" s="1176">
        <f>+BU60+'ComInd Summary'!DB60</f>
        <v>0</v>
      </c>
    </row>
    <row r="61" spans="1:75" x14ac:dyDescent="0.2">
      <c r="A61">
        <v>1997</v>
      </c>
      <c r="B61" s="275">
        <f>+B8*(1+'Conversion Factors'!$B8)</f>
        <v>11.387611784032682</v>
      </c>
      <c r="C61" s="276">
        <f>+C8*(1+'Conversion Factors'!$B8)</f>
        <v>1.0301400000000001</v>
      </c>
      <c r="D61" s="276">
        <f>+D8*(1+'Conversion Factors'!$B8)</f>
        <v>0.38102966999999999</v>
      </c>
      <c r="E61" s="276">
        <f>+E8*(1+'Conversion Factors'!$B8)</f>
        <v>4.3129541475235396</v>
      </c>
      <c r="F61" s="276">
        <f>+F8*(1+'Conversion Factors'!$B8)</f>
        <v>0</v>
      </c>
      <c r="G61" s="276">
        <f>+G8*(1+'Conversion Factors'!$B8)</f>
        <v>0</v>
      </c>
      <c r="H61" s="276">
        <f>+H8*(1+'Conversion Factors'!$B8)</f>
        <v>16.3794541945873</v>
      </c>
      <c r="I61" s="724">
        <f>+I8*(1+'Conversion Factors'!$B8)</f>
        <v>5.0981696284370273</v>
      </c>
      <c r="J61" s="276">
        <f>+J8*(1+'Conversion Factors'!$B8)</f>
        <v>0</v>
      </c>
      <c r="K61" s="276">
        <f>+K8*(1+'Conversion Factors'!$B8)</f>
        <v>0</v>
      </c>
      <c r="L61" s="276">
        <f>+L8*(1+'Conversion Factors'!$B8)</f>
        <v>0</v>
      </c>
      <c r="M61" s="276">
        <f>+M8*(1+'Conversion Factors'!$B8)</f>
        <v>0</v>
      </c>
      <c r="N61" s="276">
        <f>+N8*(1+'Conversion Factors'!$B8)</f>
        <v>0</v>
      </c>
      <c r="O61" s="724">
        <f>+O8*(1+'Conversion Factors'!$B8)</f>
        <v>0</v>
      </c>
      <c r="P61" s="724">
        <f>+P8*(1+'Conversion Factors'!$B8)</f>
        <v>0</v>
      </c>
      <c r="Q61" s="724">
        <f>+Q8*(1+'Conversion Factors'!$B8)</f>
        <v>0</v>
      </c>
      <c r="R61" s="784">
        <f t="shared" si="32"/>
        <v>38.589359424580543</v>
      </c>
      <c r="S61" s="275">
        <f>+S8*(1+'Conversion Factors'!$B8)</f>
        <v>94.942800000000005</v>
      </c>
      <c r="T61" s="276">
        <f>+T8*(1+'Conversion Factors'!$B8)</f>
        <v>0</v>
      </c>
      <c r="U61" s="784">
        <f t="shared" si="38"/>
        <v>94.942800000000005</v>
      </c>
      <c r="V61" s="784">
        <f t="shared" si="39"/>
        <v>133.53215942458056</v>
      </c>
      <c r="W61" s="162"/>
      <c r="X61">
        <v>1997</v>
      </c>
      <c r="Y61" s="275">
        <f>+Y8*(1+'Conversion Factors'!$C8)</f>
        <v>16.728424668147071</v>
      </c>
      <c r="Z61" s="276">
        <f>+Z8*(1+'Conversion Factors'!$C8)</f>
        <v>1.4443200000000003</v>
      </c>
      <c r="AA61" s="276">
        <f>+AA8*(1+'Conversion Factors'!$C8)</f>
        <v>0.20003786174935745</v>
      </c>
      <c r="AB61" s="276">
        <f>+AB8*(1+'Conversion Factors'!$C8)</f>
        <v>11.650623411501789</v>
      </c>
      <c r="AC61" s="276">
        <f>+AC8*(1+'Conversion Factors'!$C8)</f>
        <v>0</v>
      </c>
      <c r="AD61" s="276">
        <f>+AD8*(1+'Conversion Factors'!$C8)</f>
        <v>0</v>
      </c>
      <c r="AE61" s="276">
        <f>+AE8*(1+'Conversion Factors'!$C8)</f>
        <v>314.14508877660882</v>
      </c>
      <c r="AF61" s="724">
        <f>+AF8*(1+'Conversion Factors'!$C8)</f>
        <v>9.0336477575449781</v>
      </c>
      <c r="AG61" s="276">
        <f>+AG8*(1+'Conversion Factors'!$C8)</f>
        <v>0</v>
      </c>
      <c r="AH61" s="276">
        <f>+AH8*(1+'Conversion Factors'!$C8)</f>
        <v>0</v>
      </c>
      <c r="AI61" s="276">
        <f>+AI8*(1+'Conversion Factors'!$C8)</f>
        <v>0</v>
      </c>
      <c r="AJ61" s="276">
        <f>+AJ8*(1+'Conversion Factors'!$C8)</f>
        <v>0</v>
      </c>
      <c r="AK61" s="276">
        <f>+AK8*(1+'Conversion Factors'!$C8)</f>
        <v>0</v>
      </c>
      <c r="AL61" s="724">
        <f>+AL8*(1+'Conversion Factors'!$C8)</f>
        <v>0</v>
      </c>
      <c r="AM61" s="724">
        <f>+AM8*(1+'Conversion Factors'!$C8)</f>
        <v>0</v>
      </c>
      <c r="AN61" s="724">
        <f>+AN8*(1+'Conversion Factors'!$C8)</f>
        <v>0</v>
      </c>
      <c r="AO61" s="277">
        <f t="shared" si="40"/>
        <v>353.20214247555202</v>
      </c>
      <c r="AP61" s="275">
        <f>+AP8*(1+'Conversion Factors'!$C8)</f>
        <v>163.7604</v>
      </c>
      <c r="AQ61" s="299">
        <f>+AQ8*(1+'Conversion Factors'!$C8)</f>
        <v>0</v>
      </c>
      <c r="AR61" s="282">
        <f t="shared" si="41"/>
        <v>163.7604</v>
      </c>
      <c r="AS61" s="277">
        <f t="shared" si="42"/>
        <v>516.96254247555203</v>
      </c>
      <c r="AU61">
        <v>1997</v>
      </c>
      <c r="AV61" s="275">
        <f>+AV8*(1+'Conversion Factors'!$D8)</f>
        <v>45.364927062160788</v>
      </c>
      <c r="AW61" s="276">
        <f>+AW8*(1+'Conversion Factors'!$D8)</f>
        <v>3.4367699999999997</v>
      </c>
      <c r="AX61" s="276">
        <f>+AX8*(1+'Conversion Factors'!$D8)</f>
        <v>2.414541125</v>
      </c>
      <c r="AY61" s="276">
        <f>+AY8*(1+'Conversion Factors'!$D8)</f>
        <v>15.412654837672516</v>
      </c>
      <c r="AZ61" s="276">
        <f>+AZ8*(1+'Conversion Factors'!$D8)</f>
        <v>0</v>
      </c>
      <c r="BA61" s="276">
        <f>+BA8*(1+'Conversion Factors'!$D8)</f>
        <v>0</v>
      </c>
      <c r="BB61" s="276">
        <f>+BB8*(1+'Conversion Factors'!$D8)</f>
        <v>198.97275758395534</v>
      </c>
      <c r="BC61" s="724">
        <f>+BC8*(1+'Conversion Factors'!$D8)</f>
        <v>13.496464793370256</v>
      </c>
      <c r="BD61" s="276">
        <f>+BD8*(1+'Conversion Factors'!$D8)</f>
        <v>0</v>
      </c>
      <c r="BE61" s="276">
        <f>+BE8*(1+'Conversion Factors'!$D8)</f>
        <v>0</v>
      </c>
      <c r="BF61" s="276">
        <f>+BF8*(1+'Conversion Factors'!$D8)</f>
        <v>0</v>
      </c>
      <c r="BG61" s="276">
        <f>+BG8*(1+'Conversion Factors'!$D8)</f>
        <v>0</v>
      </c>
      <c r="BH61" s="276">
        <f>+BH8*(1+'Conversion Factors'!$D8)</f>
        <v>0</v>
      </c>
      <c r="BI61" s="724">
        <f>+BI8*(1+'Conversion Factors'!$D8)</f>
        <v>0</v>
      </c>
      <c r="BJ61" s="724">
        <f>+BJ8*(1+'Conversion Factors'!$D8)</f>
        <v>0</v>
      </c>
      <c r="BK61" s="724">
        <f>+BK8*(1+'Conversion Factors'!$D8)</f>
        <v>0</v>
      </c>
      <c r="BL61" s="277">
        <f t="shared" si="43"/>
        <v>279.0981154021589</v>
      </c>
      <c r="BM61" s="275">
        <f>+BM8*(1+'Conversion Factors'!$D8)</f>
        <v>0</v>
      </c>
      <c r="BN61" s="276">
        <f>+BN8*(1+'Conversion Factors'!$D8)</f>
        <v>0</v>
      </c>
      <c r="BO61" s="277">
        <f t="shared" si="44"/>
        <v>0</v>
      </c>
      <c r="BP61" s="277">
        <f t="shared" si="45"/>
        <v>279.0981154021589</v>
      </c>
      <c r="BT61" s="1176">
        <f t="shared" si="36"/>
        <v>279.0981154021589</v>
      </c>
      <c r="BU61" s="1176">
        <f t="shared" si="37"/>
        <v>0</v>
      </c>
      <c r="BV61" s="1176">
        <f>+BT61+'ComInd Summary'!DA61</f>
        <v>342.06839875544125</v>
      </c>
      <c r="BW61" s="1176">
        <f>+BU61+'ComInd Summary'!DB61</f>
        <v>0</v>
      </c>
    </row>
    <row r="62" spans="1:75" x14ac:dyDescent="0.2">
      <c r="A62">
        <v>1998</v>
      </c>
      <c r="B62" s="275">
        <f>+B9*(1+'Conversion Factors'!$B9)</f>
        <v>11.631829304032683</v>
      </c>
      <c r="C62" s="276">
        <f>+C9*(1+'Conversion Factors'!$B9)</f>
        <v>1.0301400000000001</v>
      </c>
      <c r="D62" s="276">
        <f>+D9*(1+'Conversion Factors'!$B9)</f>
        <v>1.18786824</v>
      </c>
      <c r="E62" s="276">
        <f>+E9*(1+'Conversion Factors'!$B9)</f>
        <v>5.7007876139222544</v>
      </c>
      <c r="F62" s="276">
        <f>+F9*(1+'Conversion Factors'!$B9)</f>
        <v>0</v>
      </c>
      <c r="G62" s="276">
        <f>+G9*(1+'Conversion Factors'!$B9)</f>
        <v>0</v>
      </c>
      <c r="H62" s="276">
        <f>+H9*(1+'Conversion Factors'!$B9)</f>
        <v>17.76370822974355</v>
      </c>
      <c r="I62" s="724">
        <f>+I9*(1+'Conversion Factors'!$B9)</f>
        <v>6.0612869359806565</v>
      </c>
      <c r="J62" s="276">
        <f>+J9*(1+'Conversion Factors'!$B9)</f>
        <v>0</v>
      </c>
      <c r="K62" s="276">
        <f>+K9*(1+'Conversion Factors'!$B9)</f>
        <v>0</v>
      </c>
      <c r="L62" s="276">
        <f>+L9*(1+'Conversion Factors'!$B9)</f>
        <v>0</v>
      </c>
      <c r="M62" s="276">
        <f>+M9*(1+'Conversion Factors'!$B9)</f>
        <v>0</v>
      </c>
      <c r="N62" s="276">
        <f>+N9*(1+'Conversion Factors'!$B9)</f>
        <v>0</v>
      </c>
      <c r="O62" s="724">
        <f>+O9*(1+'Conversion Factors'!$B9)</f>
        <v>0</v>
      </c>
      <c r="P62" s="724">
        <f>+P9*(1+'Conversion Factors'!$B9)</f>
        <v>0</v>
      </c>
      <c r="Q62" s="724">
        <f>+Q9*(1+'Conversion Factors'!$B9)</f>
        <v>0</v>
      </c>
      <c r="R62" s="784">
        <f t="shared" si="32"/>
        <v>43.375620323679136</v>
      </c>
      <c r="S62" s="275">
        <f>+S9*(1+'Conversion Factors'!$B9)</f>
        <v>106.8372</v>
      </c>
      <c r="T62" s="276">
        <f>+T9*(1+'Conversion Factors'!$B9)</f>
        <v>0</v>
      </c>
      <c r="U62" s="784">
        <f t="shared" si="38"/>
        <v>106.8372</v>
      </c>
      <c r="V62" s="784">
        <f t="shared" si="39"/>
        <v>150.21282032367913</v>
      </c>
      <c r="W62" s="162"/>
      <c r="X62">
        <v>1998</v>
      </c>
      <c r="Y62" s="275">
        <f>+Y9*(1+'Conversion Factors'!$C9)</f>
        <v>17.383529988147068</v>
      </c>
      <c r="Z62" s="276">
        <f>+Z9*(1+'Conversion Factors'!$C9)</f>
        <v>1.4443200000000003</v>
      </c>
      <c r="AA62" s="276">
        <f>+AA9*(1+'Conversion Factors'!$C9)</f>
        <v>1.1272235813042539</v>
      </c>
      <c r="AB62" s="276">
        <f>+AB9*(1+'Conversion Factors'!$C9)</f>
        <v>13.839075832948737</v>
      </c>
      <c r="AC62" s="276">
        <f>+AC9*(1+'Conversion Factors'!$C9)</f>
        <v>0</v>
      </c>
      <c r="AD62" s="276">
        <f>+AD9*(1+'Conversion Factors'!$C9)</f>
        <v>0</v>
      </c>
      <c r="AE62" s="276">
        <f>+AE9*(1+'Conversion Factors'!$C9)</f>
        <v>324.01527295223383</v>
      </c>
      <c r="AF62" s="724">
        <f>+AF9*(1+'Conversion Factors'!$C9)</f>
        <v>11.690038376694913</v>
      </c>
      <c r="AG62" s="276">
        <f>+AG9*(1+'Conversion Factors'!$C9)</f>
        <v>0</v>
      </c>
      <c r="AH62" s="276">
        <f>+AH9*(1+'Conversion Factors'!$C9)</f>
        <v>0</v>
      </c>
      <c r="AI62" s="276">
        <f>+AI9*(1+'Conversion Factors'!$C9)</f>
        <v>0</v>
      </c>
      <c r="AJ62" s="276">
        <f>+AJ9*(1+'Conversion Factors'!$C9)</f>
        <v>0</v>
      </c>
      <c r="AK62" s="276">
        <f>+AK9*(1+'Conversion Factors'!$C9)</f>
        <v>0</v>
      </c>
      <c r="AL62" s="724">
        <f>+AL9*(1+'Conversion Factors'!$C9)</f>
        <v>0</v>
      </c>
      <c r="AM62" s="724">
        <f>+AM9*(1+'Conversion Factors'!$C9)</f>
        <v>0</v>
      </c>
      <c r="AN62" s="724">
        <f>+AN9*(1+'Conversion Factors'!$C9)</f>
        <v>0</v>
      </c>
      <c r="AO62" s="277">
        <f t="shared" si="40"/>
        <v>369.49946073132884</v>
      </c>
      <c r="AP62" s="275">
        <f>+AP9*(1+'Conversion Factors'!$C9)</f>
        <v>159.61860000000001</v>
      </c>
      <c r="AQ62" s="299">
        <f>+AQ9*(1+'Conversion Factors'!$C9)</f>
        <v>0</v>
      </c>
      <c r="AR62" s="282">
        <f t="shared" si="41"/>
        <v>159.61860000000001</v>
      </c>
      <c r="AS62" s="277">
        <f t="shared" si="42"/>
        <v>529.1180607313288</v>
      </c>
      <c r="AU62">
        <v>1998</v>
      </c>
      <c r="AV62" s="275">
        <f>+AV9*(1+'Conversion Factors'!$D9)</f>
        <v>47.37697932916079</v>
      </c>
      <c r="AW62" s="276">
        <f>+AW9*(1+'Conversion Factors'!$D9)</f>
        <v>3.4367699999999997</v>
      </c>
      <c r="AX62" s="276">
        <f>+AX9*(1+'Conversion Factors'!$D9)</f>
        <v>5.6951062500000003</v>
      </c>
      <c r="AY62" s="276">
        <f>+AY9*(1+'Conversion Factors'!$D9)</f>
        <v>18.720827636164074</v>
      </c>
      <c r="AZ62" s="276">
        <f>+AZ9*(1+'Conversion Factors'!$D9)</f>
        <v>0</v>
      </c>
      <c r="BA62" s="276">
        <f>+BA9*(1+'Conversion Factors'!$D9)</f>
        <v>0</v>
      </c>
      <c r="BB62" s="276">
        <f>+BB9*(1+'Conversion Factors'!$D9)</f>
        <v>204.36227026638187</v>
      </c>
      <c r="BC62" s="724">
        <f>+BC9*(1+'Conversion Factors'!$D9)</f>
        <v>17.753830232497673</v>
      </c>
      <c r="BD62" s="276">
        <f>+BD9*(1+'Conversion Factors'!$D9)</f>
        <v>0</v>
      </c>
      <c r="BE62" s="276">
        <f>+BE9*(1+'Conversion Factors'!$D9)</f>
        <v>0</v>
      </c>
      <c r="BF62" s="276">
        <f>+BF9*(1+'Conversion Factors'!$D9)</f>
        <v>0</v>
      </c>
      <c r="BG62" s="276">
        <f>+BG9*(1+'Conversion Factors'!$D9)</f>
        <v>0</v>
      </c>
      <c r="BH62" s="276">
        <f>+BH9*(1+'Conversion Factors'!$D9)</f>
        <v>0</v>
      </c>
      <c r="BI62" s="724">
        <f>+BI9*(1+'Conversion Factors'!$D9)</f>
        <v>0</v>
      </c>
      <c r="BJ62" s="724">
        <f>+BJ9*(1+'Conversion Factors'!$D9)</f>
        <v>0</v>
      </c>
      <c r="BK62" s="724">
        <f>+BK9*(1+'Conversion Factors'!$D9)</f>
        <v>0</v>
      </c>
      <c r="BL62" s="277">
        <f t="shared" si="43"/>
        <v>297.3457837142044</v>
      </c>
      <c r="BM62" s="275">
        <f>+BM9*(1+'Conversion Factors'!$D9)</f>
        <v>0</v>
      </c>
      <c r="BN62" s="276">
        <f>+BN9*(1+'Conversion Factors'!$D9)</f>
        <v>0</v>
      </c>
      <c r="BO62" s="277">
        <f t="shared" si="44"/>
        <v>0</v>
      </c>
      <c r="BP62" s="277">
        <f t="shared" si="45"/>
        <v>297.3457837142044</v>
      </c>
      <c r="BT62" s="1176">
        <f t="shared" si="36"/>
        <v>297.3457837142044</v>
      </c>
      <c r="BU62" s="1176">
        <f t="shared" si="37"/>
        <v>0</v>
      </c>
      <c r="BV62" s="1176">
        <f>+BT62+'ComInd Summary'!DA62</f>
        <v>374.85686351298671</v>
      </c>
      <c r="BW62" s="1176">
        <f>+BU62+'ComInd Summary'!DB62</f>
        <v>0</v>
      </c>
    </row>
    <row r="63" spans="1:75" x14ac:dyDescent="0.2">
      <c r="A63">
        <v>1999</v>
      </c>
      <c r="B63" s="275">
        <f>+B10*(1+'Conversion Factors'!$B10)</f>
        <v>11.836646624032683</v>
      </c>
      <c r="C63" s="276">
        <f>+C10*(1+'Conversion Factors'!$B10)</f>
        <v>1.0301400000000001</v>
      </c>
      <c r="D63" s="276">
        <f>+D10*(1+'Conversion Factors'!$B10)</f>
        <v>1.9918553400000001</v>
      </c>
      <c r="E63" s="276">
        <f>+E10*(1+'Conversion Factors'!$B10)</f>
        <v>6.5733566273334016</v>
      </c>
      <c r="F63" s="276">
        <f>+F10*(1+'Conversion Factors'!$B10)</f>
        <v>0</v>
      </c>
      <c r="G63" s="276">
        <f>+G10*(1+'Conversion Factors'!$B10)</f>
        <v>0</v>
      </c>
      <c r="H63" s="276">
        <f>+H10*(1+'Conversion Factors'!$B10)</f>
        <v>18.55383091974355</v>
      </c>
      <c r="I63" s="724">
        <f>+I10*(1+'Conversion Factors'!$B10)</f>
        <v>7.6713638959806572</v>
      </c>
      <c r="J63" s="276">
        <f>+J10*(1+'Conversion Factors'!$B10)</f>
        <v>0</v>
      </c>
      <c r="K63" s="276">
        <f>+K10*(1+'Conversion Factors'!$B10)</f>
        <v>0</v>
      </c>
      <c r="L63" s="276">
        <f>+L10*(1+'Conversion Factors'!$B10)</f>
        <v>0</v>
      </c>
      <c r="M63" s="276">
        <f>+M10*(1+'Conversion Factors'!$B10)</f>
        <v>0</v>
      </c>
      <c r="N63" s="276">
        <f>+N10*(1+'Conversion Factors'!$B10)</f>
        <v>0</v>
      </c>
      <c r="O63" s="724">
        <f>+O10*(1+'Conversion Factors'!$B10)</f>
        <v>0</v>
      </c>
      <c r="P63" s="724">
        <f>+P10*(1+'Conversion Factors'!$B10)</f>
        <v>0</v>
      </c>
      <c r="Q63" s="724">
        <f>+Q10*(1+'Conversion Factors'!$B10)</f>
        <v>0</v>
      </c>
      <c r="R63" s="784">
        <f t="shared" si="32"/>
        <v>47.65719340709029</v>
      </c>
      <c r="S63" s="275">
        <f>+S10*(1+'Conversion Factors'!$B10)</f>
        <v>97.704000000000008</v>
      </c>
      <c r="T63" s="276">
        <f>+T10*(1+'Conversion Factors'!$B10)</f>
        <v>0</v>
      </c>
      <c r="U63" s="784">
        <f t="shared" si="38"/>
        <v>97.704000000000008</v>
      </c>
      <c r="V63" s="784">
        <f t="shared" si="39"/>
        <v>145.3611934070903</v>
      </c>
      <c r="W63" s="162"/>
      <c r="X63">
        <v>1999</v>
      </c>
      <c r="Y63" s="275">
        <f>+Y10*(1+'Conversion Factors'!$C10)</f>
        <v>17.827403508147071</v>
      </c>
      <c r="Z63" s="276">
        <f>+Z10*(1+'Conversion Factors'!$C10)</f>
        <v>1.4443200000000003</v>
      </c>
      <c r="AA63" s="276">
        <f>+AA10*(1+'Conversion Factors'!$C10)</f>
        <v>2.0033462623842597</v>
      </c>
      <c r="AB63" s="276">
        <f>+AB10*(1+'Conversion Factors'!$C10)</f>
        <v>15.035543227098332</v>
      </c>
      <c r="AC63" s="276">
        <f>+AC10*(1+'Conversion Factors'!$C10)</f>
        <v>0</v>
      </c>
      <c r="AD63" s="276">
        <f>+AD10*(1+'Conversion Factors'!$C10)</f>
        <v>0</v>
      </c>
      <c r="AE63" s="276">
        <f>+AE10*(1+'Conversion Factors'!$C10)</f>
        <v>333.4791372722338</v>
      </c>
      <c r="AF63" s="724">
        <f>+AF10*(1+'Conversion Factors'!$C10)</f>
        <v>17.915376176694913</v>
      </c>
      <c r="AG63" s="276">
        <f>+AG10*(1+'Conversion Factors'!$C10)</f>
        <v>0</v>
      </c>
      <c r="AH63" s="276">
        <f>+AH10*(1+'Conversion Factors'!$C10)</f>
        <v>0</v>
      </c>
      <c r="AI63" s="276">
        <f>+AI10*(1+'Conversion Factors'!$C10)</f>
        <v>0</v>
      </c>
      <c r="AJ63" s="276">
        <f>+AJ10*(1+'Conversion Factors'!$C10)</f>
        <v>0</v>
      </c>
      <c r="AK63" s="276">
        <f>+AK10*(1+'Conversion Factors'!$C10)</f>
        <v>0</v>
      </c>
      <c r="AL63" s="724">
        <f>+AL10*(1+'Conversion Factors'!$C10)</f>
        <v>0</v>
      </c>
      <c r="AM63" s="724">
        <f>+AM10*(1+'Conversion Factors'!$C10)</f>
        <v>0</v>
      </c>
      <c r="AN63" s="724">
        <f>+AN10*(1+'Conversion Factors'!$C10)</f>
        <v>0</v>
      </c>
      <c r="AO63" s="277">
        <f t="shared" si="40"/>
        <v>387.70512644655838</v>
      </c>
      <c r="AP63" s="275">
        <f>+AP10*(1+'Conversion Factors'!$C10)</f>
        <v>265.6062</v>
      </c>
      <c r="AQ63" s="299">
        <f>+AQ10*(1+'Conversion Factors'!$C10)</f>
        <v>0</v>
      </c>
      <c r="AR63" s="282">
        <f t="shared" si="41"/>
        <v>265.6062</v>
      </c>
      <c r="AS63" s="277">
        <f t="shared" si="42"/>
        <v>653.31132644655838</v>
      </c>
      <c r="AU63">
        <v>1999</v>
      </c>
      <c r="AV63" s="275">
        <f>+AV10*(1+'Conversion Factors'!$D10)</f>
        <v>49.064422363660789</v>
      </c>
      <c r="AW63" s="276">
        <f>+AW10*(1+'Conversion Factors'!$D10)</f>
        <v>3.4367699999999997</v>
      </c>
      <c r="AX63" s="276">
        <f>+AX10*(1+'Conversion Factors'!$D10)</f>
        <v>9.1379194999999989</v>
      </c>
      <c r="AY63" s="276">
        <f>+AY10*(1+'Conversion Factors'!$D10)</f>
        <v>20.828023828483037</v>
      </c>
      <c r="AZ63" s="276">
        <f>+AZ10*(1+'Conversion Factors'!$D10)</f>
        <v>0</v>
      </c>
      <c r="BA63" s="276">
        <f>+BA10*(1+'Conversion Factors'!$D10)</f>
        <v>0</v>
      </c>
      <c r="BB63" s="276">
        <f>+BB10*(1+'Conversion Factors'!$D10)</f>
        <v>207.58978984488186</v>
      </c>
      <c r="BC63" s="724">
        <f>+BC10*(1+'Conversion Factors'!$D10)</f>
        <v>24.871017256497669</v>
      </c>
      <c r="BD63" s="276">
        <f>+BD10*(1+'Conversion Factors'!$D10)</f>
        <v>0</v>
      </c>
      <c r="BE63" s="276">
        <f>+BE10*(1+'Conversion Factors'!$D10)</f>
        <v>0</v>
      </c>
      <c r="BF63" s="276">
        <f>+BF10*(1+'Conversion Factors'!$D10)</f>
        <v>0</v>
      </c>
      <c r="BG63" s="276">
        <f>+BG10*(1+'Conversion Factors'!$D10)</f>
        <v>0</v>
      </c>
      <c r="BH63" s="276">
        <f>+BH10*(1+'Conversion Factors'!$D10)</f>
        <v>0</v>
      </c>
      <c r="BI63" s="724">
        <f>+BI10*(1+'Conversion Factors'!$D10)</f>
        <v>0</v>
      </c>
      <c r="BJ63" s="724">
        <f>+BJ10*(1+'Conversion Factors'!$D10)</f>
        <v>0</v>
      </c>
      <c r="BK63" s="724">
        <f>+BK10*(1+'Conversion Factors'!$D10)</f>
        <v>0</v>
      </c>
      <c r="BL63" s="277">
        <f t="shared" si="43"/>
        <v>314.92794279352336</v>
      </c>
      <c r="BM63" s="275">
        <f>+BM10*(1+'Conversion Factors'!$D10)</f>
        <v>0</v>
      </c>
      <c r="BN63" s="276">
        <f>+BN10*(1+'Conversion Factors'!$D10)</f>
        <v>0</v>
      </c>
      <c r="BO63" s="277">
        <f t="shared" si="44"/>
        <v>0</v>
      </c>
      <c r="BP63" s="277">
        <f t="shared" si="45"/>
        <v>314.92794279352336</v>
      </c>
      <c r="BT63" s="1176">
        <f t="shared" si="36"/>
        <v>314.92794279352336</v>
      </c>
      <c r="BU63" s="1176">
        <f t="shared" si="37"/>
        <v>0</v>
      </c>
      <c r="BV63" s="1176">
        <f>+BT63+'ComInd Summary'!DA63</f>
        <v>409.05453619530567</v>
      </c>
      <c r="BW63" s="1176">
        <f>+BU63+'ComInd Summary'!DB63</f>
        <v>0</v>
      </c>
    </row>
    <row r="64" spans="1:75" x14ac:dyDescent="0.2">
      <c r="A64">
        <v>2000</v>
      </c>
      <c r="B64" s="275">
        <f>+B11*(1+'Conversion Factors'!$B11)</f>
        <v>12.116154177192881</v>
      </c>
      <c r="C64" s="276">
        <f>+C11*(1+'Conversion Factors'!$B11)</f>
        <v>1.0340199999999999</v>
      </c>
      <c r="D64" s="276">
        <f>+D11*(1+'Conversion Factors'!$B11)</f>
        <v>2.86753467</v>
      </c>
      <c r="E64" s="276">
        <f>+E11*(1+'Conversion Factors'!$B11)</f>
        <v>7.4953382918312528</v>
      </c>
      <c r="F64" s="276">
        <f>+F11*(1+'Conversion Factors'!$B11)</f>
        <v>0</v>
      </c>
      <c r="G64" s="276">
        <f>+G11*(1+'Conversion Factors'!$B11)</f>
        <v>0</v>
      </c>
      <c r="H64" s="276">
        <f>+H11*(1+'Conversion Factors'!$B11)</f>
        <v>19.097244897743295</v>
      </c>
      <c r="I64" s="724">
        <f>+I11*(1+'Conversion Factors'!$B11)</f>
        <v>9.030753841954219</v>
      </c>
      <c r="J64" s="276">
        <f>+J11*(1+'Conversion Factors'!$B11)</f>
        <v>0</v>
      </c>
      <c r="K64" s="276">
        <f>+K11*(1+'Conversion Factors'!$B11)</f>
        <v>0</v>
      </c>
      <c r="L64" s="276">
        <f>+L11*(1+'Conversion Factors'!$B11)</f>
        <v>0</v>
      </c>
      <c r="M64" s="276">
        <f>+M11*(1+'Conversion Factors'!$B11)</f>
        <v>0</v>
      </c>
      <c r="N64" s="276">
        <f>+N11*(1+'Conversion Factors'!$B11)</f>
        <v>0</v>
      </c>
      <c r="O64" s="724">
        <f>+O11*(1+'Conversion Factors'!$B11)</f>
        <v>0</v>
      </c>
      <c r="P64" s="724">
        <f>+P11*(1+'Conversion Factors'!$B11)</f>
        <v>0</v>
      </c>
      <c r="Q64" s="724">
        <f>+Q11*(1+'Conversion Factors'!$B11)</f>
        <v>0</v>
      </c>
      <c r="R64" s="784">
        <f t="shared" si="32"/>
        <v>51.641045878721656</v>
      </c>
      <c r="S64" s="275">
        <f>+S11*(1+'Conversion Factors'!$B11)</f>
        <v>78.350999999999999</v>
      </c>
      <c r="T64" s="276">
        <f>+T11*(1+'Conversion Factors'!$B11)</f>
        <v>0</v>
      </c>
      <c r="U64" s="784">
        <f t="shared" si="38"/>
        <v>78.350999999999999</v>
      </c>
      <c r="V64" s="784">
        <f t="shared" si="39"/>
        <v>129.99204587872165</v>
      </c>
      <c r="W64" s="162"/>
      <c r="X64">
        <v>2000</v>
      </c>
      <c r="Y64" s="275">
        <f>+Y11*(1+'Conversion Factors'!$C11)</f>
        <v>18.374154097367963</v>
      </c>
      <c r="Z64" s="276">
        <f>+Z11*(1+'Conversion Factors'!$C11)</f>
        <v>1.4497600000000002</v>
      </c>
      <c r="AA64" s="276">
        <f>+AA11*(1+'Conversion Factors'!$C11)</f>
        <v>3.0310829639717887</v>
      </c>
      <c r="AB64" s="276">
        <f>+AB11*(1+'Conversion Factors'!$C11)</f>
        <v>15.980476656791012</v>
      </c>
      <c r="AC64" s="276">
        <f>+AC11*(1+'Conversion Factors'!$C11)</f>
        <v>0</v>
      </c>
      <c r="AD64" s="276">
        <f>+AD11*(1+'Conversion Factors'!$C11)</f>
        <v>0</v>
      </c>
      <c r="AE64" s="276">
        <f>+AE11*(1+'Conversion Factors'!$C11)</f>
        <v>337.25426343919747</v>
      </c>
      <c r="AF64" s="724">
        <f>+AF11*(1+'Conversion Factors'!$C11)</f>
        <v>26.112607712175173</v>
      </c>
      <c r="AG64" s="276">
        <f>+AG11*(1+'Conversion Factors'!$C11)</f>
        <v>0</v>
      </c>
      <c r="AH64" s="276">
        <f>+AH11*(1+'Conversion Factors'!$C11)</f>
        <v>0</v>
      </c>
      <c r="AI64" s="276">
        <f>+AI11*(1+'Conversion Factors'!$C11)</f>
        <v>0</v>
      </c>
      <c r="AJ64" s="276">
        <f>+AJ11*(1+'Conversion Factors'!$C11)</f>
        <v>0</v>
      </c>
      <c r="AK64" s="276">
        <f>+AK11*(1+'Conversion Factors'!$C11)</f>
        <v>0</v>
      </c>
      <c r="AL64" s="724">
        <f>+AL11*(1+'Conversion Factors'!$C11)</f>
        <v>0</v>
      </c>
      <c r="AM64" s="724">
        <f>+AM11*(1+'Conversion Factors'!$C11)</f>
        <v>0</v>
      </c>
      <c r="AN64" s="724">
        <f>+AN11*(1+'Conversion Factors'!$C11)</f>
        <v>0</v>
      </c>
      <c r="AO64" s="277">
        <f t="shared" si="40"/>
        <v>402.20234486950341</v>
      </c>
      <c r="AP64" s="275">
        <f>+AP11*(1+'Conversion Factors'!$C11)</f>
        <v>209.46900000000002</v>
      </c>
      <c r="AQ64" s="299">
        <f>+AQ11*(1+'Conversion Factors'!$C11)</f>
        <v>0</v>
      </c>
      <c r="AR64" s="282">
        <f t="shared" si="41"/>
        <v>209.46900000000002</v>
      </c>
      <c r="AS64" s="277">
        <f t="shared" si="42"/>
        <v>611.6713448695034</v>
      </c>
      <c r="AU64">
        <v>2000</v>
      </c>
      <c r="AV64" s="275">
        <f>+AV11*(1+'Conversion Factors'!$D11)</f>
        <v>51.429317720542755</v>
      </c>
      <c r="AW64" s="276">
        <f>+AW11*(1+'Conversion Factors'!$D11)</f>
        <v>3.4662000000000002</v>
      </c>
      <c r="AX64" s="276">
        <f>+AX11*(1+'Conversion Factors'!$D11)</f>
        <v>12.680647500000001</v>
      </c>
      <c r="AY64" s="276">
        <f>+AY11*(1+'Conversion Factors'!$D11)</f>
        <v>22.96601248410278</v>
      </c>
      <c r="AZ64" s="276">
        <f>+AZ11*(1+'Conversion Factors'!$D11)</f>
        <v>0</v>
      </c>
      <c r="BA64" s="276">
        <f>+BA11*(1+'Conversion Factors'!$D11)</f>
        <v>0</v>
      </c>
      <c r="BB64" s="276">
        <f>+BB11*(1+'Conversion Factors'!$D11)</f>
        <v>211.00979925254501</v>
      </c>
      <c r="BC64" s="724">
        <f>+BC11*(1+'Conversion Factors'!$D11)</f>
        <v>30.949326488874913</v>
      </c>
      <c r="BD64" s="276">
        <f>+BD11*(1+'Conversion Factors'!$D11)</f>
        <v>0</v>
      </c>
      <c r="BE64" s="276">
        <f>+BE11*(1+'Conversion Factors'!$D11)</f>
        <v>0</v>
      </c>
      <c r="BF64" s="276">
        <f>+BF11*(1+'Conversion Factors'!$D11)</f>
        <v>0</v>
      </c>
      <c r="BG64" s="276">
        <f>+BG11*(1+'Conversion Factors'!$D11)</f>
        <v>0</v>
      </c>
      <c r="BH64" s="276">
        <f>+BH11*(1+'Conversion Factors'!$D11)</f>
        <v>0</v>
      </c>
      <c r="BI64" s="724">
        <f>+BI11*(1+'Conversion Factors'!$D11)</f>
        <v>0</v>
      </c>
      <c r="BJ64" s="724">
        <f>+BJ11*(1+'Conversion Factors'!$D11)</f>
        <v>0</v>
      </c>
      <c r="BK64" s="724">
        <f>+BK11*(1+'Conversion Factors'!$D11)</f>
        <v>0</v>
      </c>
      <c r="BL64" s="277">
        <f t="shared" si="43"/>
        <v>332.50130344606549</v>
      </c>
      <c r="BM64" s="275">
        <f>+BM11*(1+'Conversion Factors'!$D11)</f>
        <v>0</v>
      </c>
      <c r="BN64" s="276">
        <f>+BN11*(1+'Conversion Factors'!$D11)</f>
        <v>0</v>
      </c>
      <c r="BO64" s="277">
        <f t="shared" si="44"/>
        <v>0</v>
      </c>
      <c r="BP64" s="277">
        <f t="shared" si="45"/>
        <v>332.50130344606549</v>
      </c>
      <c r="BT64" s="1176">
        <f t="shared" si="36"/>
        <v>332.50130344606549</v>
      </c>
      <c r="BU64" s="1176">
        <f t="shared" si="37"/>
        <v>0</v>
      </c>
      <c r="BV64" s="1176">
        <f>+BT64+'ComInd Summary'!DA64</f>
        <v>451.04780002960729</v>
      </c>
      <c r="BW64" s="1176">
        <f>+BU64+'ComInd Summary'!DB64</f>
        <v>0</v>
      </c>
    </row>
    <row r="65" spans="1:6143 6145:16384" x14ac:dyDescent="0.2">
      <c r="A65">
        <v>2001</v>
      </c>
      <c r="B65" s="275">
        <f>+B12*(1+'Conversion Factors'!$B12)</f>
        <v>12.395702017192882</v>
      </c>
      <c r="C65" s="276">
        <f>+C12*(1+'Conversion Factors'!$B12)</f>
        <v>1.0340199999999999</v>
      </c>
      <c r="D65" s="276">
        <f>+D12*(1+'Conversion Factors'!$B12)</f>
        <v>3.6596952599999999</v>
      </c>
      <c r="E65" s="276">
        <f>+E12*(1+'Conversion Factors'!$B12)</f>
        <v>8.4145366291325239</v>
      </c>
      <c r="F65" s="276">
        <f>+F12*(1+'Conversion Factors'!$B12)</f>
        <v>1.7962100000000001E-3</v>
      </c>
      <c r="G65" s="276">
        <f>+G12*(1+'Conversion Factors'!$B12)</f>
        <v>0</v>
      </c>
      <c r="H65" s="276">
        <f>+H12*(1+'Conversion Factors'!$B12)</f>
        <v>19.896178065440946</v>
      </c>
      <c r="I65" s="724">
        <f>+I12*(1+'Conversion Factors'!$B12)</f>
        <v>9.8601231619542187</v>
      </c>
      <c r="J65" s="276">
        <f>+J12*(1+'Conversion Factors'!$B12)</f>
        <v>0</v>
      </c>
      <c r="K65" s="276">
        <f>+K12*(1+'Conversion Factors'!$B12)</f>
        <v>0</v>
      </c>
      <c r="L65" s="276">
        <f>+L12*(1+'Conversion Factors'!$B12)</f>
        <v>0</v>
      </c>
      <c r="M65" s="276">
        <f>+M12*(1+'Conversion Factors'!$B12)</f>
        <v>0</v>
      </c>
      <c r="N65" s="276">
        <f>+N12*(1+'Conversion Factors'!$B12)</f>
        <v>0</v>
      </c>
      <c r="O65" s="724">
        <f>+O12*(1+'Conversion Factors'!$B12)</f>
        <v>0</v>
      </c>
      <c r="P65" s="724">
        <f>+P12*(1+'Conversion Factors'!$B12)</f>
        <v>0</v>
      </c>
      <c r="Q65" s="724">
        <f>+Q12*(1+'Conversion Factors'!$B12)</f>
        <v>0</v>
      </c>
      <c r="R65" s="784">
        <f t="shared" si="32"/>
        <v>55.262051343720572</v>
      </c>
      <c r="S65" s="275">
        <f>+S12*(1+'Conversion Factors'!$B12)</f>
        <v>90.183599999999998</v>
      </c>
      <c r="T65" s="276">
        <f>+T12*(1+'Conversion Factors'!$B12)</f>
        <v>0</v>
      </c>
      <c r="U65" s="784">
        <f t="shared" si="38"/>
        <v>90.183599999999998</v>
      </c>
      <c r="V65" s="784">
        <f t="shared" si="39"/>
        <v>145.44565134372056</v>
      </c>
      <c r="W65" s="162"/>
      <c r="X65">
        <v>2001</v>
      </c>
      <c r="Y65" s="275">
        <f>+Y12*(1+'Conversion Factors'!$C12)</f>
        <v>18.951712897367962</v>
      </c>
      <c r="Z65" s="276">
        <f>+Z12*(1+'Conversion Factors'!$C12)</f>
        <v>1.4497600000000002</v>
      </c>
      <c r="AA65" s="276">
        <f>+AA12*(1+'Conversion Factors'!$C12)</f>
        <v>3.9062344522017844</v>
      </c>
      <c r="AB65" s="276">
        <f>+AB12*(1+'Conversion Factors'!$C12)</f>
        <v>16.615527082339501</v>
      </c>
      <c r="AC65" s="276">
        <f>+AC12*(1+'Conversion Factors'!$C12)</f>
        <v>0</v>
      </c>
      <c r="AD65" s="276">
        <f>+AD12*(1+'Conversion Factors'!$C12)</f>
        <v>0</v>
      </c>
      <c r="AE65" s="276">
        <f>+AE12*(1+'Conversion Factors'!$C12)</f>
        <v>339.10950712997072</v>
      </c>
      <c r="AF65" s="724">
        <f>+AF12*(1+'Conversion Factors'!$C12)</f>
        <v>29.558158496175171</v>
      </c>
      <c r="AG65" s="276">
        <f>+AG12*(1+'Conversion Factors'!$C12)</f>
        <v>0</v>
      </c>
      <c r="AH65" s="276">
        <f>+AH12*(1+'Conversion Factors'!$C12)</f>
        <v>0</v>
      </c>
      <c r="AI65" s="276">
        <f>+AI12*(1+'Conversion Factors'!$C12)</f>
        <v>0</v>
      </c>
      <c r="AJ65" s="276">
        <f>+AJ12*(1+'Conversion Factors'!$C12)</f>
        <v>0</v>
      </c>
      <c r="AK65" s="276">
        <f>+AK12*(1+'Conversion Factors'!$C12)</f>
        <v>0</v>
      </c>
      <c r="AL65" s="724">
        <f>+AL12*(1+'Conversion Factors'!$C12)</f>
        <v>0</v>
      </c>
      <c r="AM65" s="724">
        <f>+AM12*(1+'Conversion Factors'!$C12)</f>
        <v>0</v>
      </c>
      <c r="AN65" s="724">
        <f>+AN12*(1+'Conversion Factors'!$C12)</f>
        <v>0</v>
      </c>
      <c r="AO65" s="277">
        <f t="shared" si="40"/>
        <v>409.59090005805513</v>
      </c>
      <c r="AP65" s="275">
        <f>+AP12*(1+'Conversion Factors'!$C12)</f>
        <v>196.46380000000002</v>
      </c>
      <c r="AQ65" s="299">
        <f>+AQ12*(1+'Conversion Factors'!$C12)</f>
        <v>0</v>
      </c>
      <c r="AR65" s="282">
        <f t="shared" si="41"/>
        <v>196.46380000000002</v>
      </c>
      <c r="AS65" s="277">
        <f t="shared" si="42"/>
        <v>606.05470005805512</v>
      </c>
      <c r="AU65">
        <v>2001</v>
      </c>
      <c r="AV65" s="275">
        <f>+AV12*(1+'Conversion Factors'!$D12)</f>
        <v>53.743454600542762</v>
      </c>
      <c r="AW65" s="276">
        <f>+AW12*(1+'Conversion Factors'!$D12)</f>
        <v>3.4662000000000002</v>
      </c>
      <c r="AX65" s="276">
        <f>+AX12*(1+'Conversion Factors'!$D12)</f>
        <v>16.045484999999999</v>
      </c>
      <c r="AY65" s="276">
        <f>+AY12*(1+'Conversion Factors'!$D12)</f>
        <v>24.974170310322968</v>
      </c>
      <c r="AZ65" s="276">
        <f>+AZ12*(1+'Conversion Factors'!$D12)</f>
        <v>3.6580600000000003E-3</v>
      </c>
      <c r="BA65" s="276">
        <f>+BA12*(1+'Conversion Factors'!$D12)</f>
        <v>0</v>
      </c>
      <c r="BB65" s="276">
        <f>+BB12*(1+'Conversion Factors'!$D12)</f>
        <v>213.20396697826175</v>
      </c>
      <c r="BC65" s="724">
        <f>+BC12*(1+'Conversion Factors'!$D12)</f>
        <v>34.605501808874912</v>
      </c>
      <c r="BD65" s="276">
        <f>+BD12*(1+'Conversion Factors'!$D12)</f>
        <v>0</v>
      </c>
      <c r="BE65" s="276">
        <f>+BE12*(1+'Conversion Factors'!$D12)</f>
        <v>0</v>
      </c>
      <c r="BF65" s="276">
        <f>+BF12*(1+'Conversion Factors'!$D12)</f>
        <v>0</v>
      </c>
      <c r="BG65" s="276">
        <f>+BG12*(1+'Conversion Factors'!$D12)</f>
        <v>0</v>
      </c>
      <c r="BH65" s="276">
        <f>+BH12*(1+'Conversion Factors'!$D12)</f>
        <v>0</v>
      </c>
      <c r="BI65" s="724">
        <f>+BI12*(1+'Conversion Factors'!$D12)</f>
        <v>0</v>
      </c>
      <c r="BJ65" s="724">
        <f>+BJ12*(1+'Conversion Factors'!$D12)</f>
        <v>0</v>
      </c>
      <c r="BK65" s="724">
        <f>+BK12*(1+'Conversion Factors'!$D12)</f>
        <v>0</v>
      </c>
      <c r="BL65" s="277">
        <f t="shared" si="43"/>
        <v>346.0424367580024</v>
      </c>
      <c r="BM65" s="275">
        <f>+BM12*(1+'Conversion Factors'!$D12)</f>
        <v>0</v>
      </c>
      <c r="BN65" s="276">
        <f>+BN12*(1+'Conversion Factors'!$D12)</f>
        <v>0</v>
      </c>
      <c r="BO65" s="277">
        <f t="shared" si="44"/>
        <v>0</v>
      </c>
      <c r="BP65" s="277">
        <f t="shared" si="45"/>
        <v>346.0424367580024</v>
      </c>
      <c r="BT65" s="1176">
        <f t="shared" si="36"/>
        <v>346.0424367580024</v>
      </c>
      <c r="BU65" s="1176">
        <f t="shared" si="37"/>
        <v>0</v>
      </c>
      <c r="BV65" s="1176">
        <f>+BT65+'ComInd Summary'!DA65</f>
        <v>472.51647738631084</v>
      </c>
      <c r="BW65" s="1176">
        <f>+BU65+'ComInd Summary'!DB65</f>
        <v>0</v>
      </c>
    </row>
    <row r="66" spans="1:6143 6145:16384" x14ac:dyDescent="0.2">
      <c r="A66">
        <v>2002</v>
      </c>
      <c r="B66" s="275">
        <f>+B13*(1+'Conversion Factors'!$B13)</f>
        <v>12.73130013719288</v>
      </c>
      <c r="C66" s="276">
        <f>+C13*(1+'Conversion Factors'!$B13)</f>
        <v>1.0340199999999999</v>
      </c>
      <c r="D66" s="276">
        <f>+D13*(1+'Conversion Factors'!$B13)</f>
        <v>4.48879275</v>
      </c>
      <c r="E66" s="276">
        <f>+E13*(1+'Conversion Factors'!$B13)</f>
        <v>9.887703036058122</v>
      </c>
      <c r="F66" s="276">
        <f>+F13*(1+'Conversion Factors'!$B13)</f>
        <v>8.7181033333333345E-3</v>
      </c>
      <c r="G66" s="276">
        <f>+G13*(1+'Conversion Factors'!$B13)</f>
        <v>0</v>
      </c>
      <c r="H66" s="276">
        <f>+H13*(1+'Conversion Factors'!$B13)</f>
        <v>20.96933997844441</v>
      </c>
      <c r="I66" s="724">
        <f>+I13*(1+'Conversion Factors'!$B13)</f>
        <v>10.59393624195422</v>
      </c>
      <c r="J66" s="276">
        <f>+J13*(1+'Conversion Factors'!$B13)</f>
        <v>0</v>
      </c>
      <c r="K66" s="276">
        <f>+K13*(1+'Conversion Factors'!$B13)</f>
        <v>0</v>
      </c>
      <c r="L66" s="276">
        <f>+L13*(1+'Conversion Factors'!$B13)</f>
        <v>0</v>
      </c>
      <c r="M66" s="276">
        <f>+M13*(1+'Conversion Factors'!$B13)</f>
        <v>0</v>
      </c>
      <c r="N66" s="276">
        <f>+N13*(1+'Conversion Factors'!$B13)</f>
        <v>0</v>
      </c>
      <c r="O66" s="724">
        <f>+O13*(1+'Conversion Factors'!$B13)</f>
        <v>0</v>
      </c>
      <c r="P66" s="724">
        <f>+P13*(1+'Conversion Factors'!$B13)</f>
        <v>0</v>
      </c>
      <c r="Q66" s="724">
        <f>+Q13*(1+'Conversion Factors'!$B13)</f>
        <v>0</v>
      </c>
      <c r="R66" s="785">
        <f t="shared" si="32"/>
        <v>59.713810246982966</v>
      </c>
      <c r="S66" s="275">
        <f>+S13*(1+'Conversion Factors'!$B13)</f>
        <v>99.031400000000005</v>
      </c>
      <c r="T66" s="276">
        <f>+T13*(1+'Conversion Factors'!$B13)</f>
        <v>0</v>
      </c>
      <c r="U66" s="784">
        <f t="shared" si="38"/>
        <v>99.031400000000005</v>
      </c>
      <c r="V66" s="784">
        <f t="shared" si="39"/>
        <v>158.74521024698296</v>
      </c>
      <c r="X66">
        <v>2002</v>
      </c>
      <c r="Y66" s="275">
        <f>+Y13*(1+'Conversion Factors'!$C13)</f>
        <v>19.632119377367964</v>
      </c>
      <c r="Z66" s="276">
        <f>+Z13*(1+'Conversion Factors'!$C13)</f>
        <v>1.4497600000000002</v>
      </c>
      <c r="AA66" s="276">
        <f>+AA13*(1+'Conversion Factors'!$C13)</f>
        <v>4.8719195882017843</v>
      </c>
      <c r="AB66" s="276">
        <f>+AB13*(1+'Conversion Factors'!$C13)</f>
        <v>17.581726147065755</v>
      </c>
      <c r="AC66" s="276">
        <f>+AC13*(1+'Conversion Factors'!$C13)</f>
        <v>2.8320066666666665E-3</v>
      </c>
      <c r="AD66" s="276">
        <f>+AD13*(1+'Conversion Factors'!$C13)</f>
        <v>0</v>
      </c>
      <c r="AE66" s="276">
        <f>+AE13*(1+'Conversion Factors'!$C13)</f>
        <v>342.39621132742025</v>
      </c>
      <c r="AF66" s="724">
        <f>+AF13*(1+'Conversion Factors'!$C13)</f>
        <v>33.328126945302458</v>
      </c>
      <c r="AG66" s="276">
        <f>+AG13*(1+'Conversion Factors'!$C13)</f>
        <v>0</v>
      </c>
      <c r="AH66" s="276">
        <f>+AH13*(1+'Conversion Factors'!$C13)</f>
        <v>0</v>
      </c>
      <c r="AI66" s="276">
        <f>+AI13*(1+'Conversion Factors'!$C13)</f>
        <v>0</v>
      </c>
      <c r="AJ66" s="276">
        <f>+AJ13*(1+'Conversion Factors'!$C13)</f>
        <v>0</v>
      </c>
      <c r="AK66" s="276">
        <f>+AK13*(1+'Conversion Factors'!$C13)</f>
        <v>0</v>
      </c>
      <c r="AL66" s="724">
        <f>+AL13*(1+'Conversion Factors'!$C13)</f>
        <v>0</v>
      </c>
      <c r="AM66" s="724">
        <f>+AM13*(1+'Conversion Factors'!$C13)</f>
        <v>0</v>
      </c>
      <c r="AN66" s="724">
        <f>+AN13*(1+'Conversion Factors'!$C13)</f>
        <v>0</v>
      </c>
      <c r="AO66" s="277">
        <f t="shared" si="40"/>
        <v>419.26269539202491</v>
      </c>
      <c r="AP66" s="275">
        <f>+AP13*(1+'Conversion Factors'!$C13)</f>
        <v>176.10319999999999</v>
      </c>
      <c r="AQ66" s="299">
        <f>+AQ13*(1+'Conversion Factors'!$C13)</f>
        <v>0</v>
      </c>
      <c r="AR66" s="282">
        <f t="shared" si="41"/>
        <v>176.10319999999999</v>
      </c>
      <c r="AS66" s="277">
        <f t="shared" si="42"/>
        <v>595.36589539202487</v>
      </c>
      <c r="AU66">
        <v>2002</v>
      </c>
      <c r="AV66" s="275">
        <f>+AV13*(1+'Conversion Factors'!$D13)</f>
        <v>56.521583690542762</v>
      </c>
      <c r="AW66" s="276">
        <f>+AW13*(1+'Conversion Factors'!$D13)</f>
        <v>3.4662000000000002</v>
      </c>
      <c r="AX66" s="276">
        <f>+AX13*(1+'Conversion Factors'!$D13)</f>
        <v>19.385412500000001</v>
      </c>
      <c r="AY66" s="276">
        <f>+AY13*(1+'Conversion Factors'!$D13)</f>
        <v>28.192826877169015</v>
      </c>
      <c r="AZ66" s="276">
        <f>+AZ13*(1+'Conversion Factors'!$D13)</f>
        <v>1.7512966666666668E-2</v>
      </c>
      <c r="BA66" s="276">
        <f>+BA13*(1+'Conversion Factors'!$D13)</f>
        <v>0</v>
      </c>
      <c r="BB66" s="276">
        <f>+BB13*(1+'Conversion Factors'!$D13)</f>
        <v>216.00891897817809</v>
      </c>
      <c r="BC66" s="724">
        <f>+BC13*(1+'Conversion Factors'!$D13)</f>
        <v>37.840428888874911</v>
      </c>
      <c r="BD66" s="276">
        <f>+BD13*(1+'Conversion Factors'!$D13)</f>
        <v>0</v>
      </c>
      <c r="BE66" s="276">
        <f>+BE13*(1+'Conversion Factors'!$D13)</f>
        <v>0</v>
      </c>
      <c r="BF66" s="276">
        <f>+BF13*(1+'Conversion Factors'!$D13)</f>
        <v>0</v>
      </c>
      <c r="BG66" s="276">
        <f>+BG13*(1+'Conversion Factors'!$D13)</f>
        <v>0</v>
      </c>
      <c r="BH66" s="276">
        <f>+BH13*(1+'Conversion Factors'!$D13)</f>
        <v>0</v>
      </c>
      <c r="BI66" s="724">
        <f>+BI13*(1+'Conversion Factors'!$D13)</f>
        <v>0</v>
      </c>
      <c r="BJ66" s="724">
        <f>+BJ13*(1+'Conversion Factors'!$D13)</f>
        <v>0</v>
      </c>
      <c r="BK66" s="724">
        <f>+BK13*(1+'Conversion Factors'!$D13)</f>
        <v>0</v>
      </c>
      <c r="BL66" s="277">
        <f t="shared" si="43"/>
        <v>361.43288390143141</v>
      </c>
      <c r="BM66" s="275">
        <f>+BM13*(1+'Conversion Factors'!$D13)</f>
        <v>0</v>
      </c>
      <c r="BN66" s="276">
        <f>+BN13*(1+'Conversion Factors'!$D13)</f>
        <v>0</v>
      </c>
      <c r="BO66" s="277">
        <f t="shared" si="44"/>
        <v>0</v>
      </c>
      <c r="BP66" s="277">
        <f t="shared" si="45"/>
        <v>361.43288390143141</v>
      </c>
      <c r="BT66" s="1176">
        <f t="shared" si="36"/>
        <v>361.43288390143147</v>
      </c>
      <c r="BU66" s="1176">
        <f t="shared" si="37"/>
        <v>0</v>
      </c>
      <c r="BV66" s="1176">
        <f>+BT66+'ComInd Summary'!DA66</f>
        <v>503.62984614002062</v>
      </c>
      <c r="BW66" s="1176">
        <f>+BU66+'ComInd Summary'!DB66</f>
        <v>0</v>
      </c>
    </row>
    <row r="67" spans="1:6143 6145:16384" x14ac:dyDescent="0.2">
      <c r="A67">
        <v>2003</v>
      </c>
      <c r="B67" s="275">
        <f>+B14*(1+'Conversion Factors'!$B14)</f>
        <v>13.12152009719288</v>
      </c>
      <c r="C67" s="276">
        <f>+C14*(1+'Conversion Factors'!$B14)</f>
        <v>1.0340199999999999</v>
      </c>
      <c r="D67" s="276">
        <f>+D14*(1+'Conversion Factors'!$B14)</f>
        <v>5.2810332899999999</v>
      </c>
      <c r="E67" s="276">
        <f>+E14*(1+'Conversion Factors'!$B14)</f>
        <v>12.081823103257813</v>
      </c>
      <c r="F67" s="276">
        <f>+F14*(1+'Conversion Factors'!$B14)</f>
        <v>1.5169535333333335E-2</v>
      </c>
      <c r="G67" s="276">
        <f>+G14*(1+'Conversion Factors'!$B14)</f>
        <v>0</v>
      </c>
      <c r="H67" s="276">
        <f>+H14*(1+'Conversion Factors'!$B14)</f>
        <v>22.082359106444411</v>
      </c>
      <c r="I67" s="724">
        <f>+I14*(1+'Conversion Factors'!$B14)</f>
        <v>11.095574521954219</v>
      </c>
      <c r="J67" s="276">
        <f>+J14*(1+'Conversion Factors'!$B14)</f>
        <v>0</v>
      </c>
      <c r="K67" s="276">
        <f>+K14*(1+'Conversion Factors'!$B14)</f>
        <v>0</v>
      </c>
      <c r="L67" s="276">
        <f>+L14*(1+'Conversion Factors'!$B14)</f>
        <v>0</v>
      </c>
      <c r="M67" s="276">
        <f>+M14*(1+'Conversion Factors'!$B14)</f>
        <v>0</v>
      </c>
      <c r="N67" s="276">
        <f>+N14*(1+'Conversion Factors'!$B14)</f>
        <v>0</v>
      </c>
      <c r="O67" s="724">
        <f>+O14*(1+'Conversion Factors'!$B14)</f>
        <v>0</v>
      </c>
      <c r="P67" s="724">
        <f>+P14*(1+'Conversion Factors'!$B14)</f>
        <v>0</v>
      </c>
      <c r="Q67" s="724">
        <f>+Q14*(1+'Conversion Factors'!$B14)</f>
        <v>0</v>
      </c>
      <c r="R67" s="785">
        <f t="shared" si="32"/>
        <v>64.71149965418266</v>
      </c>
      <c r="S67" s="327">
        <f>+S14*(1+'Conversion Factors'!$B14)</f>
        <v>63.427000000000007</v>
      </c>
      <c r="T67" s="299">
        <f>+T14*(1+'Conversion Factors'!$B14)</f>
        <v>0</v>
      </c>
      <c r="U67" s="785">
        <f t="shared" si="38"/>
        <v>63.427000000000007</v>
      </c>
      <c r="V67" s="784">
        <f t="shared" si="39"/>
        <v>128.13849965418268</v>
      </c>
      <c r="X67">
        <v>2003</v>
      </c>
      <c r="Y67" s="275">
        <f>+Y14*(1+'Conversion Factors'!$C14)</f>
        <v>20.461904437367963</v>
      </c>
      <c r="Z67" s="276">
        <f>+Z14*(1+'Conversion Factors'!$C14)</f>
        <v>1.4497600000000002</v>
      </c>
      <c r="AA67" s="276">
        <f>+AA14*(1+'Conversion Factors'!$C14)</f>
        <v>5.7334412923195588</v>
      </c>
      <c r="AB67" s="276">
        <f>+AB14*(1+'Conversion Factors'!$C14)</f>
        <v>19.322600326777458</v>
      </c>
      <c r="AC67" s="276">
        <f>+AC14*(1+'Conversion Factors'!$C14)</f>
        <v>9.6373506666666657E-3</v>
      </c>
      <c r="AD67" s="276">
        <f>+AD14*(1+'Conversion Factors'!$C14)</f>
        <v>0</v>
      </c>
      <c r="AE67" s="276">
        <f>+AE14*(1+'Conversion Factors'!$C14)</f>
        <v>345.44938440076794</v>
      </c>
      <c r="AF67" s="724">
        <f>+AF14*(1+'Conversion Factors'!$C14)</f>
        <v>35.942338441302461</v>
      </c>
      <c r="AG67" s="276">
        <f>+AG14*(1+'Conversion Factors'!$C14)</f>
        <v>0</v>
      </c>
      <c r="AH67" s="276">
        <f>+AH14*(1+'Conversion Factors'!$C14)</f>
        <v>0</v>
      </c>
      <c r="AI67" s="276">
        <f>+AI14*(1+'Conversion Factors'!$C14)</f>
        <v>0</v>
      </c>
      <c r="AJ67" s="276">
        <f>+AJ14*(1+'Conversion Factors'!$C14)</f>
        <v>0</v>
      </c>
      <c r="AK67" s="276">
        <f>+AK14*(1+'Conversion Factors'!$C14)</f>
        <v>0</v>
      </c>
      <c r="AL67" s="724">
        <f>+AL14*(1+'Conversion Factors'!$C14)</f>
        <v>0</v>
      </c>
      <c r="AM67" s="724">
        <f>+AM14*(1+'Conversion Factors'!$C14)</f>
        <v>0</v>
      </c>
      <c r="AN67" s="724">
        <f>+AN14*(1+'Conversion Factors'!$C14)</f>
        <v>0</v>
      </c>
      <c r="AO67" s="277">
        <f t="shared" si="40"/>
        <v>428.36906624920204</v>
      </c>
      <c r="AP67" s="327">
        <f>+AP14*(1+'Conversion Factors'!$C14)</f>
        <v>210.1086</v>
      </c>
      <c r="AQ67" s="299">
        <f>+AQ14*(1+'Conversion Factors'!$C14)</f>
        <v>0</v>
      </c>
      <c r="AR67" s="282">
        <f t="shared" si="41"/>
        <v>210.1086</v>
      </c>
      <c r="AS67" s="277">
        <f t="shared" si="42"/>
        <v>638.477666249202</v>
      </c>
      <c r="AU67">
        <v>2003</v>
      </c>
      <c r="AV67" s="275">
        <f>+AV14*(1+'Conversion Factors'!$D14)</f>
        <v>59.751880160542761</v>
      </c>
      <c r="AW67" s="276">
        <f>+AW14*(1+'Conversion Factors'!$D14)</f>
        <v>3.4662000000000002</v>
      </c>
      <c r="AX67" s="276">
        <f>+AX14*(1+'Conversion Factors'!$D14)</f>
        <v>22.800732500000002</v>
      </c>
      <c r="AY67" s="276">
        <f>+AY14*(1+'Conversion Factors'!$D14)</f>
        <v>32.985653383503823</v>
      </c>
      <c r="AZ67" s="276">
        <f>+AZ14*(1+'Conversion Factors'!$D14)</f>
        <v>3.0941470666666668E-2</v>
      </c>
      <c r="BA67" s="276">
        <f>+BA14*(1+'Conversion Factors'!$D14)</f>
        <v>0</v>
      </c>
      <c r="BB67" s="276">
        <f>+BB14*(1+'Conversion Factors'!$D14)</f>
        <v>218.84365835874951</v>
      </c>
      <c r="BC67" s="724">
        <f>+BC14*(1+'Conversion Factors'!$D14)</f>
        <v>40.051841168874908</v>
      </c>
      <c r="BD67" s="276">
        <f>+BD14*(1+'Conversion Factors'!$D14)</f>
        <v>0</v>
      </c>
      <c r="BE67" s="276">
        <f>+BE14*(1+'Conversion Factors'!$D14)</f>
        <v>0</v>
      </c>
      <c r="BF67" s="276">
        <f>+BF14*(1+'Conversion Factors'!$D14)</f>
        <v>0</v>
      </c>
      <c r="BG67" s="276">
        <f>+BG14*(1+'Conversion Factors'!$D14)</f>
        <v>0</v>
      </c>
      <c r="BH67" s="276">
        <f>+BH14*(1+'Conversion Factors'!$D14)</f>
        <v>0</v>
      </c>
      <c r="BI67" s="724">
        <f>+BI14*(1+'Conversion Factors'!$D14)</f>
        <v>0</v>
      </c>
      <c r="BJ67" s="724">
        <f>+BJ14*(1+'Conversion Factors'!$D14)</f>
        <v>0</v>
      </c>
      <c r="BK67" s="724">
        <f>+BK14*(1+'Conversion Factors'!$D14)</f>
        <v>0</v>
      </c>
      <c r="BL67" s="277">
        <f t="shared" si="43"/>
        <v>377.93090704233765</v>
      </c>
      <c r="BM67" s="327">
        <f>+BM14*(1+'Conversion Factors'!$D14)</f>
        <v>0</v>
      </c>
      <c r="BN67" s="276">
        <f>+BN14*(1+'Conversion Factors'!$D14)</f>
        <v>0</v>
      </c>
      <c r="BO67" s="277">
        <f t="shared" si="44"/>
        <v>0</v>
      </c>
      <c r="BP67" s="282">
        <f t="shared" si="45"/>
        <v>377.93090704233765</v>
      </c>
      <c r="BT67" s="1176">
        <f t="shared" si="36"/>
        <v>377.93090704233765</v>
      </c>
      <c r="BU67" s="1176">
        <f t="shared" si="37"/>
        <v>0</v>
      </c>
      <c r="BV67" s="1176">
        <f>+BT67+'ComInd Summary'!DA67</f>
        <v>534.65674902951935</v>
      </c>
      <c r="BW67" s="1176">
        <f>+BU67+'ComInd Summary'!DB67</f>
        <v>0</v>
      </c>
    </row>
    <row r="68" spans="1:6143 6145:16384" x14ac:dyDescent="0.2">
      <c r="A68">
        <v>2004</v>
      </c>
      <c r="B68" s="275">
        <f>+B15*(1+'Conversion Factors'!$B15)</f>
        <v>13.505685177192879</v>
      </c>
      <c r="C68" s="276">
        <f>+C15*(1+'Conversion Factors'!$B15)</f>
        <v>1.0340199999999999</v>
      </c>
      <c r="D68" s="276">
        <f>+D15*(1+'Conversion Factors'!$B15)</f>
        <v>6.1491783600000005</v>
      </c>
      <c r="E68" s="276">
        <f>+E15*(1+'Conversion Factors'!$B15)</f>
        <v>14.124865403257814</v>
      </c>
      <c r="F68" s="276">
        <f>+F15*(1+'Conversion Factors'!$B15)</f>
        <v>1.7781235333333336E-2</v>
      </c>
      <c r="G68" s="276">
        <f>+G15*(1+'Conversion Factors'!$B15)</f>
        <v>0</v>
      </c>
      <c r="H68" s="276">
        <f>+H15*(1+'Conversion Factors'!$B15)</f>
        <v>23.193871976444409</v>
      </c>
      <c r="I68" s="724">
        <f>+I15*(1+'Conversion Factors'!$B15)</f>
        <v>11.553400201954219</v>
      </c>
      <c r="J68" s="276">
        <f>+J15*(1+'Conversion Factors'!$B15)</f>
        <v>0</v>
      </c>
      <c r="K68" s="276">
        <f>+K15*(1+'Conversion Factors'!$B15)</f>
        <v>0</v>
      </c>
      <c r="L68" s="276">
        <f>+L15*(1+'Conversion Factors'!$B15)</f>
        <v>0</v>
      </c>
      <c r="M68" s="276">
        <f>+M15*(1+'Conversion Factors'!$B15)</f>
        <v>0</v>
      </c>
      <c r="N68" s="276">
        <f>+N15*(1+'Conversion Factors'!$B15)</f>
        <v>0</v>
      </c>
      <c r="O68" s="724">
        <f>+O15*(1+'Conversion Factors'!$B15)</f>
        <v>0</v>
      </c>
      <c r="P68" s="724">
        <f>+P15*(1+'Conversion Factors'!$B15)</f>
        <v>0</v>
      </c>
      <c r="Q68" s="724">
        <f>+Q15*(1+'Conversion Factors'!$B15)</f>
        <v>0</v>
      </c>
      <c r="R68" s="785">
        <f t="shared" si="32"/>
        <v>69.578802354182656</v>
      </c>
      <c r="S68" s="327">
        <f>+S15*(1+'Conversion Factors'!$B15)</f>
        <v>94.767400000000009</v>
      </c>
      <c r="T68" s="299">
        <f>+T15*(1+'Conversion Factors'!$B15)</f>
        <v>0</v>
      </c>
      <c r="U68" s="785">
        <f t="shared" si="38"/>
        <v>94.767400000000009</v>
      </c>
      <c r="V68" s="784">
        <f t="shared" si="39"/>
        <v>164.34620235418265</v>
      </c>
      <c r="X68">
        <v>2004</v>
      </c>
      <c r="Y68" s="275">
        <f>+Y15*(1+'Conversion Factors'!$C15)</f>
        <v>21.388109197367964</v>
      </c>
      <c r="Z68" s="276">
        <f>+Z15*(1+'Conversion Factors'!$C15)</f>
        <v>1.4497600000000002</v>
      </c>
      <c r="AA68" s="276">
        <f>+AA15*(1+'Conversion Factors'!$C15)</f>
        <v>6.7403721003195596</v>
      </c>
      <c r="AB68" s="276">
        <f>+AB15*(1+'Conversion Factors'!$C15)</f>
        <v>21.485695546777457</v>
      </c>
      <c r="AC68" s="276">
        <f>+AC15*(1+'Conversion Factors'!$C15)</f>
        <v>1.3155150666666667E-2</v>
      </c>
      <c r="AD68" s="276">
        <f>+AD15*(1+'Conversion Factors'!$C15)</f>
        <v>0</v>
      </c>
      <c r="AE68" s="276">
        <f>+AE15*(1+'Conversion Factors'!$C15)</f>
        <v>348.53417520076795</v>
      </c>
      <c r="AF68" s="724">
        <f>+AF15*(1+'Conversion Factors'!$C15)</f>
        <v>37.692383323011903</v>
      </c>
      <c r="AG68" s="276">
        <f>+AG15*(1+'Conversion Factors'!$C15)</f>
        <v>0</v>
      </c>
      <c r="AH68" s="276">
        <f>+AH15*(1+'Conversion Factors'!$C15)</f>
        <v>0</v>
      </c>
      <c r="AI68" s="276">
        <f>+AI15*(1+'Conversion Factors'!$C15)</f>
        <v>0</v>
      </c>
      <c r="AJ68" s="276">
        <f>+AJ15*(1+'Conversion Factors'!$C15)</f>
        <v>0</v>
      </c>
      <c r="AK68" s="276">
        <f>+AK15*(1+'Conversion Factors'!$C15)</f>
        <v>0</v>
      </c>
      <c r="AL68" s="724">
        <f>+AL15*(1+'Conversion Factors'!$C15)</f>
        <v>0</v>
      </c>
      <c r="AM68" s="724">
        <f>+AM15*(1+'Conversion Factors'!$C15)</f>
        <v>0</v>
      </c>
      <c r="AN68" s="724">
        <f>+AN15*(1+'Conversion Factors'!$C15)</f>
        <v>0</v>
      </c>
      <c r="AO68" s="277">
        <f t="shared" si="40"/>
        <v>437.30365051891147</v>
      </c>
      <c r="AP68" s="327">
        <f>+AP15*(1+'Conversion Factors'!$C15)</f>
        <v>136.23480000000001</v>
      </c>
      <c r="AQ68" s="299">
        <f>+AQ15*(1+'Conversion Factors'!$C15)</f>
        <v>0</v>
      </c>
      <c r="AR68" s="678">
        <f t="shared" si="41"/>
        <v>136.23480000000001</v>
      </c>
      <c r="AS68" s="277">
        <f t="shared" si="42"/>
        <v>573.53845051891153</v>
      </c>
      <c r="AT68" s="782" t="s">
        <v>302</v>
      </c>
      <c r="AU68">
        <v>2004</v>
      </c>
      <c r="AV68" s="275">
        <f>+AV15*(1+'Conversion Factors'!$D15)</f>
        <v>62.932053470542762</v>
      </c>
      <c r="AW68" s="276">
        <f>+AW15*(1+'Conversion Factors'!$D15)</f>
        <v>3.4662000000000002</v>
      </c>
      <c r="AX68" s="276">
        <f>+AX15*(1+'Conversion Factors'!$D15)</f>
        <v>26.313440000000003</v>
      </c>
      <c r="AY68" s="276">
        <f>+AY15*(1+'Conversion Factors'!$D15)</f>
        <v>37.44601890350382</v>
      </c>
      <c r="AZ68" s="276">
        <f>+AZ15*(1+'Conversion Factors'!$D15)</f>
        <v>3.5812700666666669E-2</v>
      </c>
      <c r="BA68" s="276">
        <f>+BA15*(1+'Conversion Factors'!$D15)</f>
        <v>0</v>
      </c>
      <c r="BB68" s="276">
        <f>+BB15*(1+'Conversion Factors'!$D15)</f>
        <v>221.63728994874953</v>
      </c>
      <c r="BC68" s="724">
        <f>+BC15*(1+'Conversion Factors'!$D15)</f>
        <v>42.070110848874904</v>
      </c>
      <c r="BD68" s="276">
        <f>+BD15*(1+'Conversion Factors'!$D15)</f>
        <v>0</v>
      </c>
      <c r="BE68" s="276">
        <f>+BE15*(1+'Conversion Factors'!$D15)</f>
        <v>0</v>
      </c>
      <c r="BF68" s="276">
        <f>+BF15*(1+'Conversion Factors'!$D15)</f>
        <v>0</v>
      </c>
      <c r="BG68" s="276">
        <f>+BG15*(1+'Conversion Factors'!$D15)</f>
        <v>0</v>
      </c>
      <c r="BH68" s="276">
        <f>+BH15*(1+'Conversion Factors'!$D15)</f>
        <v>0</v>
      </c>
      <c r="BI68" s="724">
        <f>+BI15*(1+'Conversion Factors'!$D15)</f>
        <v>0</v>
      </c>
      <c r="BJ68" s="724">
        <f>+BJ15*(1+'Conversion Factors'!$D15)</f>
        <v>0</v>
      </c>
      <c r="BK68" s="724">
        <f>+BK15*(1+'Conversion Factors'!$D15)</f>
        <v>0</v>
      </c>
      <c r="BL68" s="277">
        <f t="shared" si="43"/>
        <v>393.90092587233767</v>
      </c>
      <c r="BM68" s="327">
        <f>+BM15*(1+'Conversion Factors'!$D15)</f>
        <v>0</v>
      </c>
      <c r="BN68" s="276">
        <f>+BN15*(1+'Conversion Factors'!$D15)</f>
        <v>0</v>
      </c>
      <c r="BO68" s="277">
        <f t="shared" si="44"/>
        <v>0</v>
      </c>
      <c r="BP68" s="282">
        <f t="shared" si="45"/>
        <v>393.90092587233767</v>
      </c>
      <c r="BQ68" s="782" t="s">
        <v>302</v>
      </c>
      <c r="BT68" s="1176">
        <f t="shared" si="36"/>
        <v>393.90092587233767</v>
      </c>
      <c r="BU68" s="1176">
        <f t="shared" si="37"/>
        <v>0</v>
      </c>
      <c r="BV68" s="1176">
        <f>+BT68+'ComInd Summary'!DA68</f>
        <v>566.25648741918599</v>
      </c>
      <c r="BW68" s="1176">
        <f>+BU68+'ComInd Summary'!DB68</f>
        <v>0</v>
      </c>
    </row>
    <row r="69" spans="1:6143 6145:16384" x14ac:dyDescent="0.2">
      <c r="A69">
        <v>2005</v>
      </c>
      <c r="B69" s="275">
        <f>+B16*(1+'Conversion Factors'!$B16)</f>
        <v>13.756952037192878</v>
      </c>
      <c r="C69" s="276">
        <f>+C16*(1+'Conversion Factors'!$B16)</f>
        <v>1.0340199999999999</v>
      </c>
      <c r="D69" s="276">
        <f>+D16*(1+'Conversion Factors'!$B16)</f>
        <v>6.5741499200000009</v>
      </c>
      <c r="E69" s="276">
        <f>+E16*(1+'Conversion Factors'!$B16)</f>
        <v>15.668868057331046</v>
      </c>
      <c r="F69" s="276">
        <f>+F16*(1+'Conversion Factors'!$B16)</f>
        <v>2.2018585333333337E-2</v>
      </c>
      <c r="G69" s="276">
        <f>+G16*(1+'Conversion Factors'!$B16)</f>
        <v>0</v>
      </c>
      <c r="H69" s="276">
        <f>+H16*(1+'Conversion Factors'!$B16)</f>
        <v>24.200953457457025</v>
      </c>
      <c r="I69" s="724">
        <f>+I16*(1+'Conversion Factors'!$B16)</f>
        <v>12.103232341954218</v>
      </c>
      <c r="J69" s="276">
        <f>+J16*(1+'Conversion Factors'!$B16)</f>
        <v>0</v>
      </c>
      <c r="K69" s="276">
        <f>+K16*(1+'Conversion Factors'!$B16)</f>
        <v>0</v>
      </c>
      <c r="L69" s="276">
        <f>+L16*(1+'Conversion Factors'!$B16)</f>
        <v>0</v>
      </c>
      <c r="M69" s="276">
        <f>+M16*(1+'Conversion Factors'!$B16)</f>
        <v>0</v>
      </c>
      <c r="N69" s="276">
        <f>+N16*(1+'Conversion Factors'!$B16)</f>
        <v>0</v>
      </c>
      <c r="O69" s="724">
        <f>+O16*(1+'Conversion Factors'!$B16)</f>
        <v>0</v>
      </c>
      <c r="P69" s="724">
        <f>+P16*(1+'Conversion Factors'!$B16)</f>
        <v>0</v>
      </c>
      <c r="Q69" s="724">
        <f>+Q16*(1+'Conversion Factors'!$B16)</f>
        <v>0</v>
      </c>
      <c r="R69" s="785">
        <f t="shared" si="32"/>
        <v>73.360194399268494</v>
      </c>
      <c r="S69" s="327">
        <f>+S16*(1+'Conversion Factors'!$B16)</f>
        <v>77</v>
      </c>
      <c r="T69" s="276">
        <f>+T16*(1+'Conversion Factors'!$B16)</f>
        <v>0</v>
      </c>
      <c r="U69" s="785">
        <f t="shared" si="38"/>
        <v>77</v>
      </c>
      <c r="V69" s="784">
        <f t="shared" si="39"/>
        <v>150.36019439926849</v>
      </c>
      <c r="W69" s="782" t="s">
        <v>302</v>
      </c>
      <c r="X69">
        <v>2005</v>
      </c>
      <c r="Y69" s="275">
        <f>+Y16*(1+'Conversion Factors'!$C16)</f>
        <v>21.744792797367964</v>
      </c>
      <c r="Z69" s="276">
        <f>+Z16*(1+'Conversion Factors'!$C16)</f>
        <v>1.4497600000000002</v>
      </c>
      <c r="AA69" s="276">
        <f>+AA16*(1+'Conversion Factors'!$C16)</f>
        <v>7.1439597003195594</v>
      </c>
      <c r="AB69" s="276">
        <f>+AB16*(1+'Conversion Factors'!$C16)</f>
        <v>22.887359723543501</v>
      </c>
      <c r="AC69" s="276">
        <f>+AC16*(1+'Conversion Factors'!$C16)</f>
        <v>1.4570265666666669E-2</v>
      </c>
      <c r="AD69" s="276">
        <f>+AD16*(1+'Conversion Factors'!$C16)</f>
        <v>0</v>
      </c>
      <c r="AE69" s="276">
        <f>+AE16*(1+'Conversion Factors'!$C16)</f>
        <v>351.27574136568165</v>
      </c>
      <c r="AF69" s="724">
        <f>+AF16*(1+'Conversion Factors'!$C16)</f>
        <v>38.744741371056143</v>
      </c>
      <c r="AG69" s="276">
        <f>+AG16*(1+'Conversion Factors'!$C16)</f>
        <v>0</v>
      </c>
      <c r="AH69" s="276">
        <f>+AH16*(1+'Conversion Factors'!$C16)</f>
        <v>0</v>
      </c>
      <c r="AI69" s="276">
        <f>+AI16*(1+'Conversion Factors'!$C16)</f>
        <v>0</v>
      </c>
      <c r="AJ69" s="276">
        <f>+AJ16*(1+'Conversion Factors'!$C16)</f>
        <v>0</v>
      </c>
      <c r="AK69" s="276">
        <f>+AK16*(1+'Conversion Factors'!$C16)</f>
        <v>0</v>
      </c>
      <c r="AL69" s="724">
        <f>+AL16*(1+'Conversion Factors'!$C16)</f>
        <v>0</v>
      </c>
      <c r="AM69" s="724">
        <f>+AM16*(1+'Conversion Factors'!$C16)</f>
        <v>0</v>
      </c>
      <c r="AN69" s="724">
        <f>+AN16*(1+'Conversion Factors'!$C16)</f>
        <v>0</v>
      </c>
      <c r="AO69" s="277">
        <f t="shared" si="40"/>
        <v>443.26092522363547</v>
      </c>
      <c r="AP69" s="327">
        <f>+AP16*(1+'Conversion Factors'!$C16)</f>
        <v>189.10840000000002</v>
      </c>
      <c r="AQ69" s="276">
        <f>+AQ16*(1+'Conversion Factors'!$C16)</f>
        <v>0</v>
      </c>
      <c r="AR69" s="678">
        <f t="shared" si="41"/>
        <v>189.10840000000002</v>
      </c>
      <c r="AS69" s="277">
        <f t="shared" si="42"/>
        <v>632.36932522363554</v>
      </c>
      <c r="AT69" s="782" t="s">
        <v>301</v>
      </c>
      <c r="AU69">
        <v>2005</v>
      </c>
      <c r="AV69" s="275">
        <f>+AV16*(1+'Conversion Factors'!$D16)</f>
        <v>64.073047010542751</v>
      </c>
      <c r="AW69" s="276">
        <f>+AW16*(1+'Conversion Factors'!$D16)</f>
        <v>3.4662000000000002</v>
      </c>
      <c r="AX69" s="276">
        <f>+AX16*(1+'Conversion Factors'!$D16)</f>
        <v>27.111873340000002</v>
      </c>
      <c r="AY69" s="276">
        <f>+AY16*(1+'Conversion Factors'!$D16)</f>
        <v>40.818300358439011</v>
      </c>
      <c r="AZ69" s="276">
        <f>+AZ16*(1+'Conversion Factors'!$D16)</f>
        <v>4.4229100666666674E-2</v>
      </c>
      <c r="BA69" s="276">
        <f>+BA16*(1+'Conversion Factors'!$D16)</f>
        <v>0</v>
      </c>
      <c r="BB69" s="276">
        <f>+BB16*(1+'Conversion Factors'!$D16)</f>
        <v>224.11368199267383</v>
      </c>
      <c r="BC69" s="724">
        <f>+BC16*(1+'Conversion Factors'!$D16)</f>
        <v>44.214536428874908</v>
      </c>
      <c r="BD69" s="276">
        <f>+BD16*(1+'Conversion Factors'!$D16)</f>
        <v>0</v>
      </c>
      <c r="BE69" s="276">
        <f>+BE16*(1+'Conversion Factors'!$D16)</f>
        <v>0</v>
      </c>
      <c r="BF69" s="276">
        <f>+BF16*(1+'Conversion Factors'!$D16)</f>
        <v>0</v>
      </c>
      <c r="BG69" s="276">
        <f>+BG16*(1+'Conversion Factors'!$D16)</f>
        <v>0</v>
      </c>
      <c r="BH69" s="276">
        <f>+BH16*(1+'Conversion Factors'!$D16)</f>
        <v>0</v>
      </c>
      <c r="BI69" s="724">
        <f>+BI16*(1+'Conversion Factors'!$D16)</f>
        <v>0</v>
      </c>
      <c r="BJ69" s="724">
        <f>+BJ16*(1+'Conversion Factors'!$D16)</f>
        <v>0</v>
      </c>
      <c r="BK69" s="724">
        <f>+BK16*(1+'Conversion Factors'!$D16)</f>
        <v>0</v>
      </c>
      <c r="BL69" s="277">
        <f t="shared" si="43"/>
        <v>403.84186823119717</v>
      </c>
      <c r="BM69" s="327">
        <f>+BM16*(1+'Conversion Factors'!$D16)</f>
        <v>0</v>
      </c>
      <c r="BN69" s="276">
        <f>+BN16*(1+'Conversion Factors'!$D16)</f>
        <v>0</v>
      </c>
      <c r="BO69" s="277">
        <f t="shared" si="44"/>
        <v>0</v>
      </c>
      <c r="BP69" s="282">
        <f t="shared" si="45"/>
        <v>403.84186823119717</v>
      </c>
      <c r="BQ69" s="782" t="s">
        <v>301</v>
      </c>
      <c r="BT69" s="1176">
        <f t="shared" si="36"/>
        <v>403.84186823119717</v>
      </c>
      <c r="BU69" s="1176">
        <f t="shared" si="37"/>
        <v>0</v>
      </c>
      <c r="BV69" s="1176">
        <f>+BT69+'ComInd Summary'!DA69</f>
        <v>587.41159345030508</v>
      </c>
      <c r="BW69" s="1176">
        <f>+BU69+'ComInd Summary'!DB69</f>
        <v>0</v>
      </c>
    </row>
    <row r="70" spans="1:6143 6145:16384" x14ac:dyDescent="0.2">
      <c r="A70">
        <v>2006</v>
      </c>
      <c r="B70" s="275">
        <f>+B17*(1+'Conversion Factors'!$B17)</f>
        <v>13.98137168719288</v>
      </c>
      <c r="C70" s="276">
        <f>+C17*(1+'Conversion Factors'!$B17)</f>
        <v>1.0340199999999999</v>
      </c>
      <c r="D70" s="276">
        <f>+D17*(1+'Conversion Factors'!$B17)</f>
        <v>6.6563278600000011</v>
      </c>
      <c r="E70" s="276">
        <f>+E17*(1+'Conversion Factors'!$B17)</f>
        <v>17.458540969095754</v>
      </c>
      <c r="F70" s="276">
        <f>+F17*(1+'Conversion Factors'!$B17)</f>
        <v>2.6799595333333336E-2</v>
      </c>
      <c r="G70" s="276">
        <f>+G17*(1+'Conversion Factors'!$B17)</f>
        <v>0</v>
      </c>
      <c r="H70" s="276">
        <f>+H17*(1+'Conversion Factors'!$B17)</f>
        <v>24.932735307574259</v>
      </c>
      <c r="I70" s="724">
        <f>+I17*(1+'Conversion Factors'!$B17)</f>
        <v>12.436336021954219</v>
      </c>
      <c r="J70" s="276">
        <f>+J17*(1+'Conversion Factors'!$B17)</f>
        <v>0</v>
      </c>
      <c r="K70" s="276">
        <f>+K17*(1+'Conversion Factors'!$B17)</f>
        <v>0</v>
      </c>
      <c r="L70" s="276">
        <f>+L17*(1+'Conversion Factors'!$B17)</f>
        <v>0</v>
      </c>
      <c r="M70" s="276">
        <f>+M17*(1+'Conversion Factors'!$B17)</f>
        <v>0</v>
      </c>
      <c r="N70" s="276">
        <f>+N17*(1+'Conversion Factors'!$B17)</f>
        <v>0</v>
      </c>
      <c r="O70" s="724">
        <f>+O17*(1+'Conversion Factors'!$B17)</f>
        <v>0</v>
      </c>
      <c r="P70" s="724">
        <f>+P17*(1+'Conversion Factors'!$B17)</f>
        <v>0</v>
      </c>
      <c r="Q70" s="724">
        <f>+Q17*(1+'Conversion Factors'!$B17)</f>
        <v>0</v>
      </c>
      <c r="R70" s="785">
        <f t="shared" si="32"/>
        <v>76.52613144115044</v>
      </c>
      <c r="S70" s="1242">
        <f>+S17*(1+'Conversion Factors'!$B17)</f>
        <v>76.645400000000009</v>
      </c>
      <c r="T70" s="276">
        <f>+T17*(1+'Conversion Factors'!$B17)</f>
        <v>0</v>
      </c>
      <c r="U70" s="785">
        <f t="shared" si="38"/>
        <v>76.645400000000009</v>
      </c>
      <c r="V70" s="784">
        <f t="shared" si="39"/>
        <v>153.17153144115045</v>
      </c>
      <c r="W70" s="782" t="s">
        <v>301</v>
      </c>
      <c r="X70">
        <v>2006</v>
      </c>
      <c r="Y70" s="275">
        <f>+Y17*(1+'Conversion Factors'!$C17)</f>
        <v>22.058154157367962</v>
      </c>
      <c r="Z70" s="276">
        <f>+Z17*(1+'Conversion Factors'!$C17)</f>
        <v>1.4497600000000002</v>
      </c>
      <c r="AA70" s="276">
        <f>+AA17*(1+'Conversion Factors'!$C17)</f>
        <v>7.2081115803195592</v>
      </c>
      <c r="AB70" s="276">
        <f>+AB17*(1+'Conversion Factors'!$C17)</f>
        <v>23.910682164327813</v>
      </c>
      <c r="AC70" s="276">
        <f>+AC17*(1+'Conversion Factors'!$C17)</f>
        <v>2.0241385666666667E-2</v>
      </c>
      <c r="AD70" s="276">
        <f>+AD17*(1+'Conversion Factors'!$C17)</f>
        <v>0</v>
      </c>
      <c r="AE70" s="276">
        <f>+AE17*(1+'Conversion Factors'!$C17)</f>
        <v>353.43363449318457</v>
      </c>
      <c r="AF70" s="724">
        <f>+AF17*(1+'Conversion Factors'!$C17)</f>
        <v>39.195258642572675</v>
      </c>
      <c r="AG70" s="276">
        <f>+AG17*(1+'Conversion Factors'!$C17)</f>
        <v>0</v>
      </c>
      <c r="AH70" s="276">
        <f>+AH17*(1+'Conversion Factors'!$C17)</f>
        <v>0</v>
      </c>
      <c r="AI70" s="276">
        <f>+AI17*(1+'Conversion Factors'!$C17)</f>
        <v>0</v>
      </c>
      <c r="AJ70" s="276">
        <f>+AJ17*(1+'Conversion Factors'!$C17)</f>
        <v>0</v>
      </c>
      <c r="AK70" s="276">
        <f>+AK17*(1+'Conversion Factors'!$C17)</f>
        <v>0</v>
      </c>
      <c r="AL70" s="724">
        <f>+AL17*(1+'Conversion Factors'!$C17)</f>
        <v>0</v>
      </c>
      <c r="AM70" s="724">
        <f>+AM17*(1+'Conversion Factors'!$C17)</f>
        <v>0</v>
      </c>
      <c r="AN70" s="724">
        <f>+AN17*(1+'Conversion Factors'!$C17)</f>
        <v>0</v>
      </c>
      <c r="AO70" s="277">
        <f t="shared" si="40"/>
        <v>447.27584242343926</v>
      </c>
      <c r="AP70" s="780">
        <f>+AP17*(1+'Conversion Factors'!$C17)</f>
        <v>128.98600000000002</v>
      </c>
      <c r="AQ70" s="276">
        <f>+AQ17*(1+'Conversion Factors'!$C17)</f>
        <v>0</v>
      </c>
      <c r="AR70" s="678">
        <f t="shared" si="41"/>
        <v>128.98600000000002</v>
      </c>
      <c r="AS70" s="277">
        <f t="shared" si="42"/>
        <v>576.26184242343925</v>
      </c>
      <c r="AT70" s="783">
        <f t="shared" ref="AT70:AT80" si="46">AO70+AQ70</f>
        <v>447.27584242343926</v>
      </c>
      <c r="AU70">
        <v>2006</v>
      </c>
      <c r="AV70" s="275">
        <f>+AV17*(1+'Conversion Factors'!$D17)</f>
        <v>65.092128360542759</v>
      </c>
      <c r="AW70" s="276">
        <f>+AW17*(1+'Conversion Factors'!$D17)</f>
        <v>3.4662000000000002</v>
      </c>
      <c r="AX70" s="276">
        <f>+AX17*(1+'Conversion Factors'!$D17)</f>
        <v>27.313692570000004</v>
      </c>
      <c r="AY70" s="276">
        <f>+AY17*(1+'Conversion Factors'!$D17)</f>
        <v>44.730853515012157</v>
      </c>
      <c r="AZ70" s="276">
        <f>+AZ17*(1+'Conversion Factors'!$D17)</f>
        <v>5.345428066666668E-2</v>
      </c>
      <c r="BA70" s="276">
        <f>+BA17*(1+'Conversion Factors'!$D17)</f>
        <v>0</v>
      </c>
      <c r="BB70" s="276">
        <f>+BB17*(1+'Conversion Factors'!$D17)</f>
        <v>225.86404533534673</v>
      </c>
      <c r="BC70" s="724">
        <f>+BC17*(1+'Conversion Factors'!$D17)</f>
        <v>45.513689388874909</v>
      </c>
      <c r="BD70" s="276">
        <f>+BD17*(1+'Conversion Factors'!$D17)</f>
        <v>0</v>
      </c>
      <c r="BE70" s="276">
        <f>+BE17*(1+'Conversion Factors'!$D17)</f>
        <v>0</v>
      </c>
      <c r="BF70" s="276">
        <f>+BF17*(1+'Conversion Factors'!$D17)</f>
        <v>0</v>
      </c>
      <c r="BG70" s="276">
        <f>+BG17*(1+'Conversion Factors'!$D17)</f>
        <v>0</v>
      </c>
      <c r="BH70" s="276">
        <f>+BH17*(1+'Conversion Factors'!$D17)</f>
        <v>0</v>
      </c>
      <c r="BI70" s="724">
        <f>+BI17*(1+'Conversion Factors'!$D17)</f>
        <v>0</v>
      </c>
      <c r="BJ70" s="724">
        <f>+BJ17*(1+'Conversion Factors'!$D17)</f>
        <v>0</v>
      </c>
      <c r="BK70" s="724">
        <f>+BK17*(1+'Conversion Factors'!$D17)</f>
        <v>0</v>
      </c>
      <c r="BL70" s="277">
        <f t="shared" si="43"/>
        <v>412.03406345044323</v>
      </c>
      <c r="BM70" s="781">
        <f>+BM17*(1+'Conversion Factors'!$D17)</f>
        <v>0</v>
      </c>
      <c r="BN70" s="276">
        <f>+BN17*(1+'Conversion Factors'!$D17)</f>
        <v>0</v>
      </c>
      <c r="BO70" s="277">
        <f t="shared" si="44"/>
        <v>0</v>
      </c>
      <c r="BP70" s="282">
        <f t="shared" si="45"/>
        <v>412.03406345044323</v>
      </c>
      <c r="BQ70" s="783">
        <f t="shared" ref="BQ70:BQ80" si="47">BL70+BN70</f>
        <v>412.03406345044323</v>
      </c>
      <c r="BT70" s="1176">
        <f t="shared" si="36"/>
        <v>412.03406345044323</v>
      </c>
      <c r="BU70" s="1176">
        <f t="shared" si="37"/>
        <v>0</v>
      </c>
      <c r="BV70" s="1176">
        <f>+BT70+'ComInd Summary'!DA70</f>
        <v>604.53642893196786</v>
      </c>
      <c r="BW70" s="1176">
        <f>+BU70+'ComInd Summary'!DB70</f>
        <v>0</v>
      </c>
    </row>
    <row r="71" spans="1:6143 6145:16384" x14ac:dyDescent="0.2">
      <c r="A71">
        <v>2007</v>
      </c>
      <c r="B71" s="275">
        <f>+B18*(1+'Conversion Factors'!$B18)</f>
        <v>14.19240770719288</v>
      </c>
      <c r="C71" s="276">
        <f>+C18*(1+'Conversion Factors'!$B18)</f>
        <v>1.0340199999999999</v>
      </c>
      <c r="D71" s="276">
        <f>+D18*(1+'Conversion Factors'!$B18)</f>
        <v>6.7274940200000017</v>
      </c>
      <c r="E71" s="276">
        <f>+E18*(1+'Conversion Factors'!$B18)</f>
        <v>20.065934329095754</v>
      </c>
      <c r="F71" s="276">
        <f>+F18*(1+'Conversion Factors'!$B18)</f>
        <v>2.9635155333333336E-2</v>
      </c>
      <c r="G71" s="276">
        <f>+G18*(1+'Conversion Factors'!$B18)</f>
        <v>0</v>
      </c>
      <c r="H71" s="276">
        <f>+H18*(1+'Conversion Factors'!$B18)</f>
        <v>25.16698880757426</v>
      </c>
      <c r="I71" s="724">
        <f>+I18*(1+'Conversion Factors'!$B18)</f>
        <v>12.72108594195422</v>
      </c>
      <c r="J71" s="276">
        <f>+J18*(1+'Conversion Factors'!$B18)</f>
        <v>0</v>
      </c>
      <c r="K71" s="276">
        <f>+K18*(1+'Conversion Factors'!$B18)</f>
        <v>0</v>
      </c>
      <c r="L71" s="276">
        <f>+L18*(1+'Conversion Factors'!$B18)</f>
        <v>0</v>
      </c>
      <c r="M71" s="276">
        <f>+M18*(1+'Conversion Factors'!$B18)</f>
        <v>0</v>
      </c>
      <c r="N71" s="276">
        <f>+N18*(1+'Conversion Factors'!$B18)</f>
        <v>0</v>
      </c>
      <c r="O71" s="724">
        <f>+O18*(1+'Conversion Factors'!$B18)</f>
        <v>0</v>
      </c>
      <c r="P71" s="724">
        <f>+P18*(1+'Conversion Factors'!$B18)</f>
        <v>0</v>
      </c>
      <c r="Q71" s="724">
        <f>+Q18*(1+'Conversion Factors'!$B18)</f>
        <v>0</v>
      </c>
      <c r="R71" s="785">
        <f t="shared" si="32"/>
        <v>79.93756596115044</v>
      </c>
      <c r="S71" s="1242">
        <f>+S18*(1+'Conversion Factors'!$B18)</f>
        <v>69.183400000000006</v>
      </c>
      <c r="T71" s="276">
        <f>+T18*(1+'Conversion Factors'!$B18)</f>
        <v>0.21746399999999999</v>
      </c>
      <c r="U71" s="785">
        <f t="shared" si="38"/>
        <v>69.400864000000013</v>
      </c>
      <c r="V71" s="784">
        <f t="shared" si="39"/>
        <v>149.33842996115044</v>
      </c>
      <c r="W71" s="783">
        <f t="shared" ref="W71:W80" si="48">R71+T71</f>
        <v>80.155029961150447</v>
      </c>
      <c r="X71">
        <v>2007</v>
      </c>
      <c r="Y71" s="275">
        <f>+Y18*(1+'Conversion Factors'!$C18)</f>
        <v>22.343245197367963</v>
      </c>
      <c r="Z71" s="276">
        <f>+Z18*(1+'Conversion Factors'!$C18)</f>
        <v>1.4497600000000002</v>
      </c>
      <c r="AA71" s="276">
        <f>+AA18*(1+'Conversion Factors'!$C18)</f>
        <v>7.2621897603195587</v>
      </c>
      <c r="AB71" s="276">
        <f>+AB18*(1+'Conversion Factors'!$C18)</f>
        <v>26.101631964327812</v>
      </c>
      <c r="AC71" s="276">
        <f>+AC18*(1+'Conversion Factors'!$C18)</f>
        <v>2.305562566666667E-2</v>
      </c>
      <c r="AD71" s="276">
        <f>+AD18*(1+'Conversion Factors'!$C18)</f>
        <v>0</v>
      </c>
      <c r="AE71" s="276">
        <f>+AE18*(1+'Conversion Factors'!$C18)</f>
        <v>354.57934997318455</v>
      </c>
      <c r="AF71" s="724">
        <f>+AF18*(1+'Conversion Factors'!$C18)</f>
        <v>39.943164242572678</v>
      </c>
      <c r="AG71" s="276">
        <f>+AG18*(1+'Conversion Factors'!$C18)</f>
        <v>0</v>
      </c>
      <c r="AH71" s="276">
        <f>+AH18*(1+'Conversion Factors'!$C18)</f>
        <v>0</v>
      </c>
      <c r="AI71" s="276">
        <f>+AI18*(1+'Conversion Factors'!$C18)</f>
        <v>0</v>
      </c>
      <c r="AJ71" s="276">
        <f>+AJ18*(1+'Conversion Factors'!$C18)</f>
        <v>0</v>
      </c>
      <c r="AK71" s="276">
        <f>+AK18*(1+'Conversion Factors'!$C18)</f>
        <v>0</v>
      </c>
      <c r="AL71" s="724">
        <f>+AL18*(1+'Conversion Factors'!$C18)</f>
        <v>0</v>
      </c>
      <c r="AM71" s="724">
        <f>+AM18*(1+'Conversion Factors'!$C18)</f>
        <v>0</v>
      </c>
      <c r="AN71" s="724">
        <f>+AN18*(1+'Conversion Factors'!$C18)</f>
        <v>0</v>
      </c>
      <c r="AO71" s="277">
        <f t="shared" si="40"/>
        <v>451.7023967634392</v>
      </c>
      <c r="AP71" s="780">
        <f>+AP18*(1+'Conversion Factors'!$C18)</f>
        <v>96.153200000000012</v>
      </c>
      <c r="AQ71" s="276">
        <f>+AQ18*(1+'Conversion Factors'!$C18)</f>
        <v>0</v>
      </c>
      <c r="AR71" s="678">
        <f t="shared" si="41"/>
        <v>96.153200000000012</v>
      </c>
      <c r="AS71" s="277">
        <f t="shared" si="42"/>
        <v>547.85559676343917</v>
      </c>
      <c r="AT71" s="783">
        <f t="shared" si="46"/>
        <v>451.7023967634392</v>
      </c>
      <c r="AU71">
        <v>2007</v>
      </c>
      <c r="AV71" s="275">
        <f>+AV18*(1+'Conversion Factors'!$D18)</f>
        <v>66.05043514054276</v>
      </c>
      <c r="AW71" s="276">
        <f>+AW18*(1+'Conversion Factors'!$D18)</f>
        <v>3.4662000000000002</v>
      </c>
      <c r="AX71" s="276">
        <f>+AX18*(1+'Conversion Factors'!$D18)</f>
        <v>27.493512030000005</v>
      </c>
      <c r="AY71" s="276">
        <f>+AY18*(1+'Conversion Factors'!$D18)</f>
        <v>50.511088635012158</v>
      </c>
      <c r="AZ71" s="276">
        <f>+AZ18*(1+'Conversion Factors'!$D18)</f>
        <v>5.9004440666666678E-2</v>
      </c>
      <c r="BA71" s="276">
        <f>+BA18*(1+'Conversion Factors'!$D18)</f>
        <v>0</v>
      </c>
      <c r="BB71" s="276">
        <f>+BB18*(1+'Conversion Factors'!$D18)</f>
        <v>226.87964193534674</v>
      </c>
      <c r="BC71" s="724">
        <f>+BC18*(1+'Conversion Factors'!$D18)</f>
        <v>46.061107308874909</v>
      </c>
      <c r="BD71" s="276">
        <f>+BD18*(1+'Conversion Factors'!$D18)</f>
        <v>0</v>
      </c>
      <c r="BE71" s="276">
        <f>+BE18*(1+'Conversion Factors'!$D18)</f>
        <v>0</v>
      </c>
      <c r="BF71" s="276">
        <f>+BF18*(1+'Conversion Factors'!$D18)</f>
        <v>0</v>
      </c>
      <c r="BG71" s="276">
        <f>+BG18*(1+'Conversion Factors'!$D18)</f>
        <v>0</v>
      </c>
      <c r="BH71" s="276">
        <f>+BH18*(1+'Conversion Factors'!$D18)</f>
        <v>0</v>
      </c>
      <c r="BI71" s="724">
        <f>+BI18*(1+'Conversion Factors'!$D18)</f>
        <v>0</v>
      </c>
      <c r="BJ71" s="724">
        <f>+BJ18*(1+'Conversion Factors'!$D18)</f>
        <v>0</v>
      </c>
      <c r="BK71" s="724">
        <f>+BK18*(1+'Conversion Factors'!$D18)</f>
        <v>0</v>
      </c>
      <c r="BL71" s="277">
        <f t="shared" si="43"/>
        <v>420.52098949044324</v>
      </c>
      <c r="BM71" s="781">
        <f>+BM18*(1+'Conversion Factors'!$D18)</f>
        <v>0</v>
      </c>
      <c r="BN71" s="276">
        <f>+BN18*(1+'Conversion Factors'!$D18)</f>
        <v>9.6497100000000016E-2</v>
      </c>
      <c r="BO71" s="277">
        <f t="shared" si="44"/>
        <v>9.6497100000000016E-2</v>
      </c>
      <c r="BP71" s="282">
        <f t="shared" si="45"/>
        <v>420.61748659044326</v>
      </c>
      <c r="BQ71" s="783">
        <f t="shared" si="47"/>
        <v>420.61748659044326</v>
      </c>
      <c r="BT71" s="1176">
        <f t="shared" si="36"/>
        <v>420.52098949044324</v>
      </c>
      <c r="BU71" s="1176">
        <f t="shared" si="37"/>
        <v>9.6497100000021874E-2</v>
      </c>
      <c r="BV71" s="1176">
        <f>+BT71+'ComInd Summary'!DA71</f>
        <v>623.13900917563456</v>
      </c>
      <c r="BW71" s="1176">
        <f>+BU71+'ComInd Summary'!DB71</f>
        <v>9.6497100000021874E-2</v>
      </c>
    </row>
    <row r="72" spans="1:6143 6145:16384" x14ac:dyDescent="0.2">
      <c r="A72">
        <v>2008</v>
      </c>
      <c r="B72" s="275">
        <f>+B19*(1+'Conversion Factors'!$B19)</f>
        <v>14.389388517192879</v>
      </c>
      <c r="C72" s="276">
        <f>+C19*(1+'Conversion Factors'!$B19)</f>
        <v>1.0340199999999999</v>
      </c>
      <c r="D72" s="276">
        <f>+D19*(1+'Conversion Factors'!$B19)</f>
        <v>6.799410146418154</v>
      </c>
      <c r="E72" s="276">
        <f>+E19*(1+'Conversion Factors'!$B19)</f>
        <v>23.202586029095752</v>
      </c>
      <c r="F72" s="276">
        <f>+F19*(1+'Conversion Factors'!$B19)</f>
        <v>3.1500655333333336E-2</v>
      </c>
      <c r="G72" s="276">
        <f>+G19*(1+'Conversion Factors'!$B19)</f>
        <v>4.70106E-3</v>
      </c>
      <c r="H72" s="276">
        <f>+H19*(1+'Conversion Factors'!$B19)</f>
        <v>25.418191707574259</v>
      </c>
      <c r="I72" s="724">
        <f>+I19*(1+'Conversion Factors'!$B19)</f>
        <v>13.123500941954219</v>
      </c>
      <c r="J72" s="276">
        <f>+J19*(1+'Conversion Factors'!$B19)</f>
        <v>0</v>
      </c>
      <c r="K72" s="276">
        <f>+K19*(1+'Conversion Factors'!$B19)</f>
        <v>0</v>
      </c>
      <c r="L72" s="276">
        <f>+L19*(1+'Conversion Factors'!$B19)</f>
        <v>0</v>
      </c>
      <c r="M72" s="276">
        <f>+M19*(1+'Conversion Factors'!$B19)</f>
        <v>0</v>
      </c>
      <c r="N72" s="276">
        <f>+N19*(1+'Conversion Factors'!$B19)</f>
        <v>0</v>
      </c>
      <c r="O72" s="724">
        <f>+O19*(1+'Conversion Factors'!$B19)</f>
        <v>0</v>
      </c>
      <c r="P72" s="724">
        <f>+P19*(1+'Conversion Factors'!$B19)</f>
        <v>0</v>
      </c>
      <c r="Q72" s="724">
        <f>+Q19*(1+'Conversion Factors'!$B19)</f>
        <v>0</v>
      </c>
      <c r="R72" s="785">
        <f t="shared" si="32"/>
        <v>84.003299057568597</v>
      </c>
      <c r="S72" s="1242">
        <f>+S19*(1+'Conversion Factors'!$B19)</f>
        <v>68.56711412097043</v>
      </c>
      <c r="T72" s="276">
        <f>+T19*(1+'Conversion Factors'!$B19)</f>
        <v>0.41829840000000001</v>
      </c>
      <c r="U72" s="785">
        <f t="shared" si="38"/>
        <v>68.985412520970428</v>
      </c>
      <c r="V72" s="784">
        <f t="shared" si="39"/>
        <v>152.98871157853904</v>
      </c>
      <c r="W72" s="783">
        <f t="shared" si="48"/>
        <v>84.421597457568595</v>
      </c>
      <c r="X72">
        <v>2008</v>
      </c>
      <c r="Y72" s="275">
        <f>+Y19*(1+'Conversion Factors'!$C19)</f>
        <v>22.620916877367964</v>
      </c>
      <c r="Z72" s="276">
        <f>+Z19*(1+'Conversion Factors'!$C19)</f>
        <v>1.4497600000000002</v>
      </c>
      <c r="AA72" s="276">
        <f>+AA19*(1+'Conversion Factors'!$C19)</f>
        <v>7.3141183867377109</v>
      </c>
      <c r="AB72" s="276">
        <f>+AB19*(1+'Conversion Factors'!$C19)</f>
        <v>28.74804092432781</v>
      </c>
      <c r="AC72" s="276">
        <f>+AC19*(1+'Conversion Factors'!$C19)</f>
        <v>2.5166305666666666E-2</v>
      </c>
      <c r="AD72" s="276">
        <f>+AD19*(1+'Conversion Factors'!$C19)</f>
        <v>0</v>
      </c>
      <c r="AE72" s="276">
        <f>+AE19*(1+'Conversion Factors'!$C19)</f>
        <v>355.36222037318458</v>
      </c>
      <c r="AF72" s="724">
        <f>+AF19*(1+'Conversion Factors'!$C19)</f>
        <v>40.383166402572677</v>
      </c>
      <c r="AG72" s="276">
        <f>+AG19*(1+'Conversion Factors'!$C19)</f>
        <v>0</v>
      </c>
      <c r="AH72" s="276">
        <f>+AH19*(1+'Conversion Factors'!$C19)</f>
        <v>0</v>
      </c>
      <c r="AI72" s="276">
        <f>+AI19*(1+'Conversion Factors'!$C19)</f>
        <v>0</v>
      </c>
      <c r="AJ72" s="276">
        <f>+AJ19*(1+'Conversion Factors'!$C19)</f>
        <v>0</v>
      </c>
      <c r="AK72" s="276">
        <f>+AK19*(1+'Conversion Factors'!$C19)</f>
        <v>0</v>
      </c>
      <c r="AL72" s="724">
        <f>+AL19*(1+'Conversion Factors'!$C19)</f>
        <v>0</v>
      </c>
      <c r="AM72" s="724">
        <f>+AM19*(1+'Conversion Factors'!$C19)</f>
        <v>0</v>
      </c>
      <c r="AN72" s="724">
        <f>+AN19*(1+'Conversion Factors'!$C19)</f>
        <v>0</v>
      </c>
      <c r="AO72" s="277">
        <f t="shared" si="40"/>
        <v>455.90338926985743</v>
      </c>
      <c r="AP72" s="780">
        <f>+AP19*(1+'Conversion Factors'!$C19)</f>
        <v>128.98600000000002</v>
      </c>
      <c r="AQ72" s="276">
        <f>+AQ19*(1+'Conversion Factors'!$C19)</f>
        <v>0.561782</v>
      </c>
      <c r="AR72" s="678">
        <f t="shared" si="41"/>
        <v>129.54778200000001</v>
      </c>
      <c r="AS72" s="277">
        <f t="shared" si="42"/>
        <v>585.45117126985747</v>
      </c>
      <c r="AT72" s="783">
        <f t="shared" si="46"/>
        <v>456.46517126985742</v>
      </c>
      <c r="AU72">
        <v>2008</v>
      </c>
      <c r="AV72" s="275">
        <f>+AV19*(1+'Conversion Factors'!$D19)</f>
        <v>66.944917730542755</v>
      </c>
      <c r="AW72" s="276">
        <f>+AW19*(1+'Conversion Factors'!$D19)</f>
        <v>3.4662000000000002</v>
      </c>
      <c r="AX72" s="276">
        <f>+AX19*(1+'Conversion Factors'!$D19)</f>
        <v>27.68451067262561</v>
      </c>
      <c r="AY72" s="276">
        <f>+AY19*(1+'Conversion Factors'!$D19)</f>
        <v>57.399616295012159</v>
      </c>
      <c r="AZ72" s="276">
        <f>+AZ19*(1+'Conversion Factors'!$D19)</f>
        <v>6.2483890666666674E-2</v>
      </c>
      <c r="BA72" s="276">
        <f>+BA19*(1+'Conversion Factors'!$D19)</f>
        <v>2.7313020000000004E-2</v>
      </c>
      <c r="BB72" s="276">
        <f>+BB19*(1+'Conversion Factors'!$D19)</f>
        <v>227.94873885534673</v>
      </c>
      <c r="BC72" s="724">
        <f>+BC19*(1+'Conversion Factors'!$D19)</f>
        <v>46.939836708874907</v>
      </c>
      <c r="BD72" s="276">
        <f>+BD19*(1+'Conversion Factors'!$D19)</f>
        <v>0</v>
      </c>
      <c r="BE72" s="276">
        <f>+BE19*(1+'Conversion Factors'!$D19)</f>
        <v>0</v>
      </c>
      <c r="BF72" s="276">
        <f>+BF19*(1+'Conversion Factors'!$D19)</f>
        <v>0</v>
      </c>
      <c r="BG72" s="276">
        <f>+BG19*(1+'Conversion Factors'!$D19)</f>
        <v>0</v>
      </c>
      <c r="BH72" s="276">
        <f>+BH19*(1+'Conversion Factors'!$D19)</f>
        <v>0</v>
      </c>
      <c r="BI72" s="724">
        <f>+BI19*(1+'Conversion Factors'!$D19)</f>
        <v>0</v>
      </c>
      <c r="BJ72" s="724">
        <f>+BJ19*(1+'Conversion Factors'!$D19)</f>
        <v>0</v>
      </c>
      <c r="BK72" s="724">
        <f>+BK19*(1+'Conversion Factors'!$D19)</f>
        <v>0</v>
      </c>
      <c r="BL72" s="277">
        <f t="shared" si="43"/>
        <v>430.47361717306882</v>
      </c>
      <c r="BM72" s="781">
        <f>+BM19*(1+'Conversion Factors'!$D19)</f>
        <v>0</v>
      </c>
      <c r="BN72" s="276">
        <f>+BN19*(1+'Conversion Factors'!$D19)</f>
        <v>0.18561501</v>
      </c>
      <c r="BO72" s="277">
        <f t="shared" si="44"/>
        <v>0.18561501</v>
      </c>
      <c r="BP72" s="282">
        <f t="shared" si="45"/>
        <v>430.65923218306881</v>
      </c>
      <c r="BQ72" s="783">
        <f t="shared" si="47"/>
        <v>430.65923218306881</v>
      </c>
      <c r="BT72" s="1176">
        <f t="shared" si="36"/>
        <v>430.44630415306881</v>
      </c>
      <c r="BU72" s="1176">
        <f t="shared" si="37"/>
        <v>0.21292803000000049</v>
      </c>
      <c r="BV72" s="1176">
        <f>+BT72+'ComInd Summary'!DA72</f>
        <v>647.21552669752668</v>
      </c>
      <c r="BW72" s="1176">
        <f>+BU72+'ComInd Summary'!DB72</f>
        <v>1.7575498399999958</v>
      </c>
    </row>
    <row r="73" spans="1:6143 6145:16384" x14ac:dyDescent="0.2">
      <c r="A73">
        <v>2009</v>
      </c>
      <c r="B73" s="275">
        <f>+B20*(1+'Conversion Factors'!$B20)</f>
        <v>14.621051637192879</v>
      </c>
      <c r="C73" s="276">
        <f>+C20*(1+'Conversion Factors'!$B20)</f>
        <v>1.0340199999999999</v>
      </c>
      <c r="D73" s="276">
        <f>+D20*(1+'Conversion Factors'!$B20)</f>
        <v>6.8789124264181538</v>
      </c>
      <c r="E73" s="276">
        <f>+E20*(1+'Conversion Factors'!$B20)</f>
        <v>26.714949429095753</v>
      </c>
      <c r="F73" s="276">
        <f>+F20*(1+'Conversion Factors'!$B20)</f>
        <v>0.11570932533333335</v>
      </c>
      <c r="G73" s="276">
        <f>+G20*(1+'Conversion Factors'!$B20)</f>
        <v>3.7117239391304346E-2</v>
      </c>
      <c r="H73" s="276">
        <f>+H20*(1+'Conversion Factors'!$B20)</f>
        <v>25.853679357574258</v>
      </c>
      <c r="I73" s="724">
        <f>+I20*(1+'Conversion Factors'!$B20)</f>
        <v>13.863430202652722</v>
      </c>
      <c r="J73" s="276">
        <f>+J20*(1+'Conversion Factors'!$B20)</f>
        <v>0</v>
      </c>
      <c r="K73" s="276">
        <f>+K20*(1+'Conversion Factors'!$B20)</f>
        <v>0</v>
      </c>
      <c r="L73" s="276">
        <f>+L20*(1+'Conversion Factors'!$B20)</f>
        <v>0</v>
      </c>
      <c r="M73" s="276">
        <f>+M20*(1+'Conversion Factors'!$B20)</f>
        <v>0</v>
      </c>
      <c r="N73" s="276">
        <f>+N20*(1+'Conversion Factors'!$B20)</f>
        <v>0</v>
      </c>
      <c r="O73" s="724">
        <f>+O20*(1+'Conversion Factors'!$B20)</f>
        <v>0</v>
      </c>
      <c r="P73" s="724">
        <f>+P20*(1+'Conversion Factors'!$B20)</f>
        <v>0</v>
      </c>
      <c r="Q73" s="724">
        <f>+Q20*(1+'Conversion Factors'!$B20)</f>
        <v>0</v>
      </c>
      <c r="R73" s="785">
        <f t="shared" si="32"/>
        <v>89.118869617658405</v>
      </c>
      <c r="S73" s="1242">
        <f>+S20*(1+'Conversion Factors'!$B20)</f>
        <v>55.767206780461031</v>
      </c>
      <c r="T73" s="276">
        <f>+T20*(1+'Conversion Factors'!$B20)</f>
        <v>0.98135107200000005</v>
      </c>
      <c r="U73" s="785">
        <f t="shared" si="38"/>
        <v>56.748557852461033</v>
      </c>
      <c r="V73" s="784">
        <f t="shared" si="39"/>
        <v>145.86742747011942</v>
      </c>
      <c r="W73" s="783">
        <f t="shared" si="48"/>
        <v>90.1002206896584</v>
      </c>
      <c r="X73">
        <v>2009</v>
      </c>
      <c r="Y73" s="275">
        <f>+Y20*(1+'Conversion Factors'!$C20)</f>
        <v>22.868527357367963</v>
      </c>
      <c r="Z73" s="276">
        <f>+Z20*(1+'Conversion Factors'!$C20)</f>
        <v>1.4497600000000002</v>
      </c>
      <c r="AA73" s="276">
        <f>+AA20*(1+'Conversion Factors'!$C20)</f>
        <v>7.3733133667377109</v>
      </c>
      <c r="AB73" s="276">
        <f>+AB20*(1+'Conversion Factors'!$C20)</f>
        <v>31.740686684327812</v>
      </c>
      <c r="AC73" s="276">
        <f>+AC20*(1+'Conversion Factors'!$C20)</f>
        <v>2.6402865666666667E-2</v>
      </c>
      <c r="AD73" s="276">
        <f>+AD20*(1+'Conversion Factors'!$C20)</f>
        <v>3.0797945043478266E-2</v>
      </c>
      <c r="AE73" s="276">
        <f>+AE20*(1+'Conversion Factors'!$C20)</f>
        <v>356.67075669318461</v>
      </c>
      <c r="AF73" s="724">
        <f>+AF20*(1+'Conversion Factors'!$C20)</f>
        <v>41.007805369899827</v>
      </c>
      <c r="AG73" s="276">
        <f>+AG20*(1+'Conversion Factors'!$C20)</f>
        <v>0</v>
      </c>
      <c r="AH73" s="276">
        <f>+AH20*(1+'Conversion Factors'!$C20)</f>
        <v>0</v>
      </c>
      <c r="AI73" s="276">
        <f>+AI20*(1+'Conversion Factors'!$C20)</f>
        <v>0</v>
      </c>
      <c r="AJ73" s="276">
        <f>+AJ20*(1+'Conversion Factors'!$C20)</f>
        <v>0</v>
      </c>
      <c r="AK73" s="276">
        <f>+AK20*(1+'Conversion Factors'!$C20)</f>
        <v>0</v>
      </c>
      <c r="AL73" s="724">
        <f>+AL20*(1+'Conversion Factors'!$C20)</f>
        <v>0</v>
      </c>
      <c r="AM73" s="724">
        <f>+AM20*(1+'Conversion Factors'!$C20)</f>
        <v>0</v>
      </c>
      <c r="AN73" s="724">
        <f>+AN20*(1+'Conversion Factors'!$C20)</f>
        <v>0</v>
      </c>
      <c r="AO73" s="277">
        <f t="shared" si="40"/>
        <v>461.16805028222808</v>
      </c>
      <c r="AP73" s="780">
        <f>+AP20*(1+'Conversion Factors'!$C20)</f>
        <v>105.09148034412758</v>
      </c>
      <c r="AQ73" s="276">
        <f>+AQ20*(1+'Conversion Factors'!$C20)</f>
        <v>0.52401895000000009</v>
      </c>
      <c r="AR73" s="678">
        <f t="shared" si="41"/>
        <v>105.61549929412757</v>
      </c>
      <c r="AS73" s="277">
        <f t="shared" si="42"/>
        <v>566.78354957635565</v>
      </c>
      <c r="AT73" s="783">
        <f t="shared" si="46"/>
        <v>461.69206923222811</v>
      </c>
      <c r="AU73">
        <v>2009</v>
      </c>
      <c r="AV73" s="275">
        <f>+AV20*(1+'Conversion Factors'!$D20)</f>
        <v>67.996891410542759</v>
      </c>
      <c r="AW73" s="276">
        <f>+AW20*(1+'Conversion Factors'!$D20)</f>
        <v>3.4662000000000002</v>
      </c>
      <c r="AX73" s="276">
        <f>+AX20*(1+'Conversion Factors'!$D20)</f>
        <v>27.88955071262561</v>
      </c>
      <c r="AY73" s="276">
        <f>+AY20*(1+'Conversion Factors'!$D20)</f>
        <v>65.043407735012153</v>
      </c>
      <c r="AZ73" s="276">
        <f>+AZ20*(1+'Conversion Factors'!$D20)</f>
        <v>0.22045762506355385</v>
      </c>
      <c r="BA73" s="276">
        <f>+BA20*(1+'Conversion Factors'!$D20)</f>
        <v>9.6355566956521754E-2</v>
      </c>
      <c r="BB73" s="276">
        <f>+BB20*(1+'Conversion Factors'!$D20)</f>
        <v>229.84255181534672</v>
      </c>
      <c r="BC73" s="724">
        <f>+BC20*(1+'Conversion Factors'!$D20)</f>
        <v>48.550124628361722</v>
      </c>
      <c r="BD73" s="276">
        <f>+BD20*(1+'Conversion Factors'!$D20)</f>
        <v>0</v>
      </c>
      <c r="BE73" s="276">
        <f>+BE20*(1+'Conversion Factors'!$D20)</f>
        <v>0</v>
      </c>
      <c r="BF73" s="276">
        <f>+BF20*(1+'Conversion Factors'!$D20)</f>
        <v>0</v>
      </c>
      <c r="BG73" s="276">
        <f>+BG20*(1+'Conversion Factors'!$D20)</f>
        <v>0</v>
      </c>
      <c r="BH73" s="276">
        <f>+BH20*(1+'Conversion Factors'!$D20)</f>
        <v>0</v>
      </c>
      <c r="BI73" s="724">
        <f>+BI20*(1+'Conversion Factors'!$D20)</f>
        <v>0</v>
      </c>
      <c r="BJ73" s="724">
        <f>+BJ20*(1+'Conversion Factors'!$D20)</f>
        <v>0</v>
      </c>
      <c r="BK73" s="724">
        <f>+BK20*(1+'Conversion Factors'!$D20)</f>
        <v>0</v>
      </c>
      <c r="BL73" s="277">
        <f t="shared" si="43"/>
        <v>443.10553949390902</v>
      </c>
      <c r="BM73" s="781">
        <f>+BM20*(1+'Conversion Factors'!$D20)</f>
        <v>0</v>
      </c>
      <c r="BN73" s="299">
        <f>+BN20*(1+'Conversion Factors'!$D20)</f>
        <v>0.47170053000000006</v>
      </c>
      <c r="BO73" s="282">
        <f t="shared" si="44"/>
        <v>0.47170053000000006</v>
      </c>
      <c r="BP73" s="282">
        <f t="shared" si="45"/>
        <v>443.57724002390904</v>
      </c>
      <c r="BQ73" s="783">
        <f t="shared" si="47"/>
        <v>443.57724002390904</v>
      </c>
      <c r="BT73" s="1176">
        <f t="shared" si="36"/>
        <v>443.00918392695252</v>
      </c>
      <c r="BU73" s="1176">
        <f t="shared" si="37"/>
        <v>0.56805609695652493</v>
      </c>
      <c r="BV73" s="1176">
        <f>+BT73+'ComInd Summary'!DA73</f>
        <v>677.60763808046227</v>
      </c>
      <c r="BW73" s="1176">
        <f>+BU73+'ComInd Summary'!DB73</f>
        <v>5.3174811040887562</v>
      </c>
    </row>
    <row r="74" spans="1:6143 6145:16384" x14ac:dyDescent="0.2">
      <c r="A74">
        <v>2010</v>
      </c>
      <c r="B74" s="275">
        <f>+B21*(1+'Conversion Factors'!$B21)</f>
        <v>14.924413917192879</v>
      </c>
      <c r="C74" s="276">
        <f>+C21*(1+'Conversion Factors'!$B21)</f>
        <v>1.0340199999999999</v>
      </c>
      <c r="D74" s="276">
        <f>+D21*(1+'Conversion Factors'!$B21)</f>
        <v>6.9606959464181539</v>
      </c>
      <c r="E74" s="276">
        <f>+E21*(1+'Conversion Factors'!$B21)</f>
        <v>30.114652619095754</v>
      </c>
      <c r="F74" s="276">
        <f>+F21*(1+'Conversion Factors'!$B21)</f>
        <v>0.53022342533333333</v>
      </c>
      <c r="G74" s="276">
        <f>+G21*(1+'Conversion Factors'!$B21)</f>
        <v>5.4439739391304351E-2</v>
      </c>
      <c r="H74" s="276">
        <f>+H21*(1+'Conversion Factors'!$B21)</f>
        <v>26.609606607574261</v>
      </c>
      <c r="I74" s="724">
        <f>+I21*(1+'Conversion Factors'!$B21)</f>
        <v>14.216391330652723</v>
      </c>
      <c r="J74" s="276">
        <f>+J21*(1+'Conversion Factors'!$B21)</f>
        <v>0</v>
      </c>
      <c r="K74" s="276">
        <f>+K21*(1+'Conversion Factors'!$B21)</f>
        <v>0</v>
      </c>
      <c r="L74" s="276">
        <f>+L21*(1+'Conversion Factors'!$B21)</f>
        <v>0</v>
      </c>
      <c r="M74" s="276">
        <f>+M21*(1+'Conversion Factors'!$B21)</f>
        <v>0</v>
      </c>
      <c r="N74" s="276">
        <f>+N21*(1+'Conversion Factors'!$B21)</f>
        <v>0</v>
      </c>
      <c r="O74" s="724">
        <f>+O21*(1+'Conversion Factors'!$B21)</f>
        <v>0</v>
      </c>
      <c r="P74" s="724">
        <f>+P21*(1+'Conversion Factors'!$B21)</f>
        <v>0</v>
      </c>
      <c r="Q74" s="724">
        <f>+Q21*(1+'Conversion Factors'!$B21)</f>
        <v>0</v>
      </c>
      <c r="R74" s="785">
        <f t="shared" si="32"/>
        <v>94.444443585658405</v>
      </c>
      <c r="S74" s="1242">
        <f>+S21*(1+'Conversion Factors'!$B21)</f>
        <v>49.683103629302124</v>
      </c>
      <c r="T74" s="276">
        <f>+T21*(1+'Conversion Factors'!$B21)</f>
        <v>2.3118981600000006</v>
      </c>
      <c r="U74" s="785">
        <f t="shared" si="38"/>
        <v>51.995001789302123</v>
      </c>
      <c r="V74" s="784">
        <f t="shared" si="39"/>
        <v>146.43944537496054</v>
      </c>
      <c r="W74" s="783">
        <f t="shared" si="48"/>
        <v>96.756341745658403</v>
      </c>
      <c r="X74">
        <v>2010</v>
      </c>
      <c r="Y74" s="275">
        <f>+Y21*(1+'Conversion Factors'!$C21)</f>
        <v>23.23868519736796</v>
      </c>
      <c r="Z74" s="276">
        <f>+Z21*(1+'Conversion Factors'!$C21)</f>
        <v>1.4497600000000002</v>
      </c>
      <c r="AA74" s="276">
        <f>+AA21*(1+'Conversion Factors'!$C21)</f>
        <v>7.4342352667377112</v>
      </c>
      <c r="AB74" s="276">
        <f>+AB21*(1+'Conversion Factors'!$C21)</f>
        <v>35.178280844327816</v>
      </c>
      <c r="AC74" s="276">
        <f>+AC21*(1+'Conversion Factors'!$C21)</f>
        <v>0.20721778566666668</v>
      </c>
      <c r="AD74" s="276">
        <f>+AD21*(1+'Conversion Factors'!$C21)</f>
        <v>6.610386504347826E-2</v>
      </c>
      <c r="AE74" s="276">
        <f>+AE21*(1+'Conversion Factors'!$C21)</f>
        <v>359.04076251318463</v>
      </c>
      <c r="AF74" s="724">
        <f>+AF21*(1+'Conversion Factors'!$C21)</f>
        <v>41.848331445899824</v>
      </c>
      <c r="AG74" s="276">
        <f>+AG21*(1+'Conversion Factors'!$C21)</f>
        <v>0</v>
      </c>
      <c r="AH74" s="276">
        <f>+AH21*(1+'Conversion Factors'!$C21)</f>
        <v>0</v>
      </c>
      <c r="AI74" s="276">
        <f>+AI21*(1+'Conversion Factors'!$C21)</f>
        <v>0</v>
      </c>
      <c r="AJ74" s="276">
        <f>+AJ21*(1+'Conversion Factors'!$C21)</f>
        <v>0</v>
      </c>
      <c r="AK74" s="276">
        <f>+AK21*(1+'Conversion Factors'!$C21)</f>
        <v>0</v>
      </c>
      <c r="AL74" s="724">
        <f>+AL21*(1+'Conversion Factors'!$C21)</f>
        <v>0</v>
      </c>
      <c r="AM74" s="724">
        <f>+AM21*(1+'Conversion Factors'!$C21)</f>
        <v>0</v>
      </c>
      <c r="AN74" s="724">
        <f>+AN21*(1+'Conversion Factors'!$C21)</f>
        <v>0</v>
      </c>
      <c r="AO74" s="277">
        <f t="shared" si="40"/>
        <v>468.46337691822805</v>
      </c>
      <c r="AP74" s="780">
        <f>+AP21*(1+'Conversion Factors'!$C21)</f>
        <v>109.35315816013548</v>
      </c>
      <c r="AQ74" s="276">
        <f>+AQ21*(1+'Conversion Factors'!$C21)</f>
        <v>2.0258264000000001</v>
      </c>
      <c r="AR74" s="678">
        <f t="shared" si="41"/>
        <v>111.37898456013548</v>
      </c>
      <c r="AS74" s="277">
        <f t="shared" si="42"/>
        <v>579.8423614783635</v>
      </c>
      <c r="AT74" s="783">
        <f t="shared" si="46"/>
        <v>470.48920331822808</v>
      </c>
      <c r="AU74">
        <v>2010</v>
      </c>
      <c r="AV74" s="275">
        <f>+AV21*(1+'Conversion Factors'!$D21)</f>
        <v>69.374448330542748</v>
      </c>
      <c r="AW74" s="276">
        <f>+AW21*(1+'Conversion Factors'!$D21)</f>
        <v>3.4662000000000002</v>
      </c>
      <c r="AX74" s="276">
        <f>+AX21*(1+'Conversion Factors'!$D21)</f>
        <v>28.100377292625609</v>
      </c>
      <c r="AY74" s="276">
        <f>+AY21*(1+'Conversion Factors'!$D21)</f>
        <v>72.562887145012169</v>
      </c>
      <c r="AZ74" s="276">
        <f>+AZ21*(1+'Conversion Factors'!$D21)</f>
        <v>0.99359141506355386</v>
      </c>
      <c r="BA74" s="276">
        <f>+BA21*(1+'Conversion Factors'!$D21)</f>
        <v>0.15412556695652177</v>
      </c>
      <c r="BB74" s="276">
        <f>+BB21*(1+'Conversion Factors'!$D21)</f>
        <v>233.10982161534673</v>
      </c>
      <c r="BC74" s="724">
        <f>+BC21*(1+'Conversion Factors'!$D21)</f>
        <v>49.330894128361727</v>
      </c>
      <c r="BD74" s="276">
        <f>+BD21*(1+'Conversion Factors'!$D21)</f>
        <v>0</v>
      </c>
      <c r="BE74" s="276">
        <f>+BE21*(1+'Conversion Factors'!$D21)</f>
        <v>0</v>
      </c>
      <c r="BF74" s="276">
        <f>+BF21*(1+'Conversion Factors'!$D21)</f>
        <v>0</v>
      </c>
      <c r="BG74" s="276">
        <f>+BG21*(1+'Conversion Factors'!$D21)</f>
        <v>0</v>
      </c>
      <c r="BH74" s="276">
        <f>+BH21*(1+'Conversion Factors'!$D21)</f>
        <v>0</v>
      </c>
      <c r="BI74" s="724">
        <f>+BI21*(1+'Conversion Factors'!$D21)</f>
        <v>0</v>
      </c>
      <c r="BJ74" s="724">
        <f>+BJ21*(1+'Conversion Factors'!$D21)</f>
        <v>0</v>
      </c>
      <c r="BK74" s="724">
        <f>+BK21*(1+'Conversion Factors'!$D21)</f>
        <v>0</v>
      </c>
      <c r="BL74" s="277">
        <f t="shared" si="43"/>
        <v>457.09234549390902</v>
      </c>
      <c r="BM74" s="781">
        <f>+BM21*(1+'Conversion Factors'!$D21)</f>
        <v>0</v>
      </c>
      <c r="BN74" s="299">
        <f>+BN21*(1+'Conversion Factors'!$D21)</f>
        <v>1.14774786</v>
      </c>
      <c r="BO74" s="282">
        <f t="shared" si="44"/>
        <v>1.14774786</v>
      </c>
      <c r="BP74" s="282">
        <f t="shared" si="45"/>
        <v>458.240093353909</v>
      </c>
      <c r="BQ74" s="783">
        <f t="shared" si="47"/>
        <v>458.240093353909</v>
      </c>
      <c r="BT74" s="1176">
        <f t="shared" si="36"/>
        <v>456.93821992695251</v>
      </c>
      <c r="BU74" s="1176">
        <f t="shared" si="37"/>
        <v>1.3018734269564902</v>
      </c>
      <c r="BV74" s="1176">
        <f>+BT74+'ComInd Summary'!DA74</f>
        <v>700.19766645079562</v>
      </c>
      <c r="BW74" s="1176">
        <f>+BU74+'ComInd Summary'!DB74</f>
        <v>10.307472676088764</v>
      </c>
    </row>
    <row r="75" spans="1:6143 6145:16384" x14ac:dyDescent="0.2">
      <c r="A75">
        <v>2011</v>
      </c>
      <c r="B75" s="275">
        <f>+B22*(1+'Conversion Factors'!$B22)</f>
        <v>15.328278677192879</v>
      </c>
      <c r="C75" s="276">
        <f>+C22*(1+'Conversion Factors'!$B22)</f>
        <v>1.0340199999999999</v>
      </c>
      <c r="D75" s="276">
        <f>+D22*(1+'Conversion Factors'!$B22)</f>
        <v>7.0777427464181537</v>
      </c>
      <c r="E75" s="276">
        <f>+E22*(1+'Conversion Factors'!$B22)</f>
        <v>31.795809239095753</v>
      </c>
      <c r="F75" s="276">
        <f>+F22*(1+'Conversion Factors'!$B22)</f>
        <v>1.4722049853333334</v>
      </c>
      <c r="G75" s="276">
        <f>+G22*(1+'Conversion Factors'!$B22)</f>
        <v>7.1133299391304347E-2</v>
      </c>
      <c r="H75" s="276">
        <f>+H22*(1+'Conversion Factors'!$B22)</f>
        <v>28.110156177574257</v>
      </c>
      <c r="I75" s="724">
        <f>+I22*(1+'Conversion Factors'!$B22)</f>
        <v>14.216391330652723</v>
      </c>
      <c r="J75" s="276">
        <f>+J22*(1+'Conversion Factors'!$B22)</f>
        <v>0</v>
      </c>
      <c r="K75" s="276">
        <f>+K22*(1+'Conversion Factors'!$B22)</f>
        <v>0</v>
      </c>
      <c r="L75" s="276">
        <f>+L22*(1+'Conversion Factors'!$B22)</f>
        <v>0</v>
      </c>
      <c r="M75" s="276">
        <f>+M22*(1+'Conversion Factors'!$B22)</f>
        <v>2.7716000000000004E-4</v>
      </c>
      <c r="N75" s="276">
        <f>+N22*(1+'Conversion Factors'!$B22)</f>
        <v>0</v>
      </c>
      <c r="O75" s="724">
        <f>+O22*(1+'Conversion Factors'!$B22)</f>
        <v>0</v>
      </c>
      <c r="P75" s="724">
        <f>+P22*(1+'Conversion Factors'!$B22)</f>
        <v>7.1955000000000005E-3</v>
      </c>
      <c r="Q75" s="724">
        <f>+Q22*(1+'Conversion Factors'!$B22)</f>
        <v>9.2715350000000002E-2</v>
      </c>
      <c r="R75" s="785">
        <f t="shared" si="32"/>
        <v>99.205924465658399</v>
      </c>
      <c r="S75" s="1242">
        <f>+S22*(1+'Conversion Factors'!$B22)</f>
        <v>48.230654778607395</v>
      </c>
      <c r="T75" s="276">
        <f>+T22*(1+'Conversion Factors'!$B22)</f>
        <v>3.5516561600000003</v>
      </c>
      <c r="U75" s="785">
        <f t="shared" si="38"/>
        <v>51.782310938607395</v>
      </c>
      <c r="V75" s="784">
        <f t="shared" si="39"/>
        <v>150.98823540426579</v>
      </c>
      <c r="W75" s="783">
        <f t="shared" si="48"/>
        <v>102.75758062565839</v>
      </c>
      <c r="X75">
        <v>2011</v>
      </c>
      <c r="Y75" s="275">
        <f>+Y22*(1+'Conversion Factors'!$C22)</f>
        <v>23.896897557367964</v>
      </c>
      <c r="Z75" s="276">
        <f>+Z22*(1+'Conversion Factors'!$C22)</f>
        <v>1.4497600000000002</v>
      </c>
      <c r="AA75" s="276">
        <f>+AA22*(1+'Conversion Factors'!$C22)</f>
        <v>7.5176817467377113</v>
      </c>
      <c r="AB75" s="276">
        <f>+AB22*(1+'Conversion Factors'!$C22)</f>
        <v>37.327432784327812</v>
      </c>
      <c r="AC75" s="276">
        <f>+AC22*(1+'Conversion Factors'!$C22)</f>
        <v>0.81716166566666681</v>
      </c>
      <c r="AD75" s="276">
        <f>+AD22*(1+'Conversion Factors'!$C22)</f>
        <v>7.2979565043478259E-2</v>
      </c>
      <c r="AE75" s="276">
        <f>+AE22*(1+'Conversion Factors'!$C22)</f>
        <v>362.51517631318461</v>
      </c>
      <c r="AF75" s="724">
        <f>+AF22*(1+'Conversion Factors'!$C22)</f>
        <v>41.848331445899824</v>
      </c>
      <c r="AG75" s="276">
        <f>+AG22*(1+'Conversion Factors'!$C22)</f>
        <v>0</v>
      </c>
      <c r="AH75" s="276">
        <f>+AH22*(1+'Conversion Factors'!$C22)</f>
        <v>0</v>
      </c>
      <c r="AI75" s="276">
        <f>+AI22*(1+'Conversion Factors'!$C22)</f>
        <v>0</v>
      </c>
      <c r="AJ75" s="276">
        <f>+AJ22*(1+'Conversion Factors'!$C22)</f>
        <v>0</v>
      </c>
      <c r="AK75" s="276">
        <f>+AK22*(1+'Conversion Factors'!$C22)</f>
        <v>0</v>
      </c>
      <c r="AL75" s="724">
        <f>+AL22*(1+'Conversion Factors'!$C22)</f>
        <v>0</v>
      </c>
      <c r="AM75" s="724">
        <f>+AM22*(1+'Conversion Factors'!$C22)</f>
        <v>0</v>
      </c>
      <c r="AN75" s="724">
        <f>+AN22*(1+'Conversion Factors'!$C22)</f>
        <v>0</v>
      </c>
      <c r="AO75" s="277">
        <f t="shared" si="40"/>
        <v>475.44542107822804</v>
      </c>
      <c r="AP75" s="780">
        <f>+AP22*(1+'Conversion Factors'!$C22)</f>
        <v>88.072195557286861</v>
      </c>
      <c r="AQ75" s="276">
        <f>+AQ22*(1+'Conversion Factors'!$C22)</f>
        <v>4.2531268000000004</v>
      </c>
      <c r="AR75" s="678">
        <f t="shared" si="41"/>
        <v>92.325322357286865</v>
      </c>
      <c r="AS75" s="277">
        <f t="shared" si="42"/>
        <v>567.77074343551487</v>
      </c>
      <c r="AT75" s="783">
        <f t="shared" si="46"/>
        <v>479.69854787822806</v>
      </c>
      <c r="AU75">
        <v>2011</v>
      </c>
      <c r="AV75" s="275">
        <f>+AV22*(1+'Conversion Factors'!$D22)</f>
        <v>73.751796770542754</v>
      </c>
      <c r="AW75" s="276">
        <f>+AW22*(1+'Conversion Factors'!$D22)</f>
        <v>3.4662000000000002</v>
      </c>
      <c r="AX75" s="276">
        <f>+AX22*(1+'Conversion Factors'!$D22)</f>
        <v>28.643736472625609</v>
      </c>
      <c r="AY75" s="276">
        <f>+AY22*(1+'Conversion Factors'!$D22)</f>
        <v>75.955807225012165</v>
      </c>
      <c r="AZ75" s="276">
        <f>+AZ22*(1+'Conversion Factors'!$D22)</f>
        <v>2.9082747150635542</v>
      </c>
      <c r="BA75" s="276">
        <f>+BA22*(1+'Conversion Factors'!$D22)</f>
        <v>0.24542336695652175</v>
      </c>
      <c r="BB75" s="276">
        <f>+BB22*(1+'Conversion Factors'!$D22)</f>
        <v>237.85692190534675</v>
      </c>
      <c r="BC75" s="724">
        <f>+BC22*(1+'Conversion Factors'!$D22)</f>
        <v>49.330894128361727</v>
      </c>
      <c r="BD75" s="276">
        <f>+BD22*(1+'Conversion Factors'!$D22)</f>
        <v>0</v>
      </c>
      <c r="BE75" s="276">
        <f>+BE22*(1+'Conversion Factors'!$D22)</f>
        <v>0</v>
      </c>
      <c r="BF75" s="276">
        <f>+BF22*(1+'Conversion Factors'!$D22)</f>
        <v>0</v>
      </c>
      <c r="BG75" s="276">
        <f>+BG22*(1+'Conversion Factors'!$D22)</f>
        <v>3.5138999999999999E-3</v>
      </c>
      <c r="BH75" s="276">
        <f>+BH22*(1+'Conversion Factors'!$D22)</f>
        <v>0</v>
      </c>
      <c r="BI75" s="724">
        <f>+BI22*(1+'Conversion Factors'!$D22)</f>
        <v>0</v>
      </c>
      <c r="BJ75" s="724">
        <f>+BJ22*(1+'Conversion Factors'!$D22)</f>
        <v>5.6667600000000005E-2</v>
      </c>
      <c r="BK75" s="724">
        <f>+BK22*(1+'Conversion Factors'!$D22)</f>
        <v>0.25982985000000003</v>
      </c>
      <c r="BL75" s="277">
        <f t="shared" si="43"/>
        <v>472.47906593390911</v>
      </c>
      <c r="BM75" s="781">
        <f>+BM22*(1+'Conversion Factors'!$D22)</f>
        <v>0</v>
      </c>
      <c r="BN75" s="299">
        <f>+BN22*(1+'Conversion Factors'!$D22)</f>
        <v>1.8590619200000003</v>
      </c>
      <c r="BO75" s="282">
        <f t="shared" si="44"/>
        <v>1.8590619200000003</v>
      </c>
      <c r="BP75" s="282">
        <f t="shared" si="45"/>
        <v>474.3381278539091</v>
      </c>
      <c r="BQ75" s="783">
        <f t="shared" si="47"/>
        <v>474.3381278539091</v>
      </c>
      <c r="BT75" s="1176">
        <f t="shared" si="36"/>
        <v>471.91363121695252</v>
      </c>
      <c r="BU75" s="1176">
        <f t="shared" si="37"/>
        <v>2.4244966369565759</v>
      </c>
      <c r="BV75" s="1176">
        <f>+BT75+'ComInd Summary'!DA75</f>
        <v>716.64978600179563</v>
      </c>
      <c r="BW75" s="1176">
        <f>+BU75+'ComInd Summary'!DB75</f>
        <v>24.642029586088768</v>
      </c>
    </row>
    <row r="76" spans="1:6143 6145:16384" x14ac:dyDescent="0.2">
      <c r="A76">
        <v>2012</v>
      </c>
      <c r="B76" s="275">
        <f>+B23*(1+'Conversion Factors'!$B23)</f>
        <v>15.769602677192879</v>
      </c>
      <c r="C76" s="276">
        <f>+C23*(1+'Conversion Factors'!$B23)</f>
        <v>1.0340199999999999</v>
      </c>
      <c r="D76" s="276">
        <f>+D23*(1+'Conversion Factors'!$B23)</f>
        <v>7.1931265864181544</v>
      </c>
      <c r="E76" s="276">
        <f>+E23*(1+'Conversion Factors'!$B23)</f>
        <v>32.349020599095752</v>
      </c>
      <c r="F76" s="276">
        <f>+F23*(1+'Conversion Factors'!$B23)</f>
        <v>3.0235547853333338</v>
      </c>
      <c r="G76" s="276">
        <f>+G23*(1+'Conversion Factors'!$B23)</f>
        <v>0.66148409939130426</v>
      </c>
      <c r="H76" s="276">
        <f>+H23*(1+'Conversion Factors'!$B23)</f>
        <v>29.575927497574259</v>
      </c>
      <c r="I76" s="724">
        <f>+I23*(1+'Conversion Factors'!$B23)</f>
        <v>16.364690470652722</v>
      </c>
      <c r="J76" s="276">
        <f>+J23*(1+'Conversion Factors'!$B23)</f>
        <v>0</v>
      </c>
      <c r="K76" s="276">
        <f>+K23*(1+'Conversion Factors'!$B23)</f>
        <v>0</v>
      </c>
      <c r="L76" s="276">
        <f>+L23*(1+'Conversion Factors'!$B23)</f>
        <v>0</v>
      </c>
      <c r="M76" s="276">
        <f>+M23*(1+'Conversion Factors'!$B23)</f>
        <v>5.1807600000000013E-3</v>
      </c>
      <c r="N76" s="276">
        <f>+N23*(1+'Conversion Factors'!$B23)</f>
        <v>0</v>
      </c>
      <c r="O76" s="724">
        <f>+O23*(1+'Conversion Factors'!$B23)</f>
        <v>5.0070020000000007E-2</v>
      </c>
      <c r="P76" s="724">
        <f>+P23*(1+'Conversion Factors'!$B23)</f>
        <v>1.8388500000000002E-2</v>
      </c>
      <c r="Q76" s="724">
        <f>+Q23*(1+'Conversion Factors'!$B23)</f>
        <v>0.36075039000000003</v>
      </c>
      <c r="R76" s="785">
        <f t="shared" si="32"/>
        <v>106.40581638565841</v>
      </c>
      <c r="S76" s="1242">
        <f>+S23*(1+'Conversion Factors'!$B23)</f>
        <v>45.292356797660318</v>
      </c>
      <c r="T76" s="276">
        <f>+T23*(1+'Conversion Factors'!$B23)</f>
        <v>4.1891241600000004</v>
      </c>
      <c r="U76" s="785">
        <f t="shared" si="38"/>
        <v>49.481480957660317</v>
      </c>
      <c r="V76" s="784">
        <f t="shared" si="39"/>
        <v>155.88729734331872</v>
      </c>
      <c r="W76" s="783">
        <f t="shared" si="48"/>
        <v>110.59494054565842</v>
      </c>
      <c r="X76">
        <v>2012</v>
      </c>
      <c r="Y76" s="275">
        <f>+Y23*(1+'Conversion Factors'!$C23)</f>
        <v>24.542509797367966</v>
      </c>
      <c r="Z76" s="276">
        <f>+Z23*(1+'Conversion Factors'!$C23)</f>
        <v>1.4497600000000002</v>
      </c>
      <c r="AA76" s="276">
        <f>+AA23*(1+'Conversion Factors'!$C23)</f>
        <v>7.6103597867377122</v>
      </c>
      <c r="AB76" s="276">
        <f>+AB23*(1+'Conversion Factors'!$C23)</f>
        <v>38.226070784327817</v>
      </c>
      <c r="AC76" s="276">
        <f>+AC23*(1+'Conversion Factors'!$C23)</f>
        <v>2.2308908656666668</v>
      </c>
      <c r="AD76" s="276">
        <f>+AD23*(1+'Conversion Factors'!$C23)</f>
        <v>0.16726726504347827</v>
      </c>
      <c r="AE76" s="276">
        <f>+AE23*(1+'Conversion Factors'!$C23)</f>
        <v>365.01017063318466</v>
      </c>
      <c r="AF76" s="724">
        <f>+AF23*(1+'Conversion Factors'!$C23)</f>
        <v>41.848331445899824</v>
      </c>
      <c r="AG76" s="276">
        <f>+AG23*(1+'Conversion Factors'!$C23)</f>
        <v>0</v>
      </c>
      <c r="AH76" s="276">
        <f>+AH23*(1+'Conversion Factors'!$C23)</f>
        <v>0</v>
      </c>
      <c r="AI76" s="276">
        <f>+AI23*(1+'Conversion Factors'!$C23)</f>
        <v>0</v>
      </c>
      <c r="AJ76" s="276">
        <f>+AJ23*(1+'Conversion Factors'!$C23)</f>
        <v>8.3148E-4</v>
      </c>
      <c r="AK76" s="276">
        <f>+AK23*(1+'Conversion Factors'!$C23)</f>
        <v>0</v>
      </c>
      <c r="AL76" s="724">
        <f>+AL23*(1+'Conversion Factors'!$C23)</f>
        <v>0</v>
      </c>
      <c r="AM76" s="724">
        <f>+AM23*(1+'Conversion Factors'!$C23)</f>
        <v>2.9261700000000002E-2</v>
      </c>
      <c r="AN76" s="724">
        <f>+AN23*(1+'Conversion Factors'!$C23)</f>
        <v>0</v>
      </c>
      <c r="AO76" s="277">
        <f t="shared" si="40"/>
        <v>481.11545375822811</v>
      </c>
      <c r="AP76" s="780">
        <f>+AP23*(1+'Conversion Factors'!$C23)</f>
        <v>84.4635895310725</v>
      </c>
      <c r="AQ76" s="276">
        <f>+AQ23*(1+'Conversion Factors'!$C23)</f>
        <v>5.8690762000000003</v>
      </c>
      <c r="AR76" s="678">
        <f t="shared" si="41"/>
        <v>90.332665731072495</v>
      </c>
      <c r="AS76" s="277">
        <f t="shared" si="42"/>
        <v>571.44811948930055</v>
      </c>
      <c r="AT76" s="783">
        <f t="shared" si="46"/>
        <v>486.98452995822811</v>
      </c>
      <c r="AU76">
        <v>2012</v>
      </c>
      <c r="AV76" s="275">
        <f>+AV23*(1+'Conversion Factors'!$D23)</f>
        <v>78.526375970542745</v>
      </c>
      <c r="AW76" s="276">
        <f>+AW23*(1+'Conversion Factors'!$D23)</f>
        <v>3.4662000000000002</v>
      </c>
      <c r="AX76" s="276">
        <f>+AX23*(1+'Conversion Factors'!$D23)</f>
        <v>29.323270672625608</v>
      </c>
      <c r="AY76" s="276">
        <f>+AY23*(1+'Conversion Factors'!$D23)</f>
        <v>76.887535035012164</v>
      </c>
      <c r="AZ76" s="276">
        <f>+AZ23*(1+'Conversion Factors'!$D23)</f>
        <v>6.4856793150635541</v>
      </c>
      <c r="BA76" s="276">
        <f>+BA23*(1+'Conversion Factors'!$D23)</f>
        <v>1.4507875269565216</v>
      </c>
      <c r="BB76" s="276">
        <f>+BB23*(1+'Conversion Factors'!$D23)</f>
        <v>241.68696372534674</v>
      </c>
      <c r="BC76" s="724">
        <f>+BC23*(1+'Conversion Factors'!$D23)</f>
        <v>51.751274808361721</v>
      </c>
      <c r="BD76" s="276">
        <f>+BD23*(1+'Conversion Factors'!$D23)</f>
        <v>0</v>
      </c>
      <c r="BE76" s="276">
        <f>+BE23*(1+'Conversion Factors'!$D23)</f>
        <v>0</v>
      </c>
      <c r="BF76" s="276">
        <f>+BF23*(1+'Conversion Factors'!$D23)</f>
        <v>0</v>
      </c>
      <c r="BG76" s="276">
        <f>+BG23*(1+'Conversion Factors'!$D23)</f>
        <v>6.5682900000000002E-2</v>
      </c>
      <c r="BH76" s="276">
        <f>+BH23*(1+'Conversion Factors'!$D23)</f>
        <v>0</v>
      </c>
      <c r="BI76" s="724">
        <f>+BI23*(1+'Conversion Factors'!$D23)</f>
        <v>0.12624865000000002</v>
      </c>
      <c r="BJ76" s="724">
        <f>+BJ23*(1+'Conversion Factors'!$D23)</f>
        <v>0.14481720000000001</v>
      </c>
      <c r="BK76" s="724">
        <f>+BK23*(1+'Conversion Factors'!$D23)</f>
        <v>1.01008089</v>
      </c>
      <c r="BL76" s="277">
        <f t="shared" si="43"/>
        <v>490.92491669390898</v>
      </c>
      <c r="BM76" s="781">
        <f>+BM23*(1+'Conversion Factors'!$D23)</f>
        <v>0</v>
      </c>
      <c r="BN76" s="299">
        <f>+BN23*(1+'Conversion Factors'!$D23)</f>
        <v>2.22481068</v>
      </c>
      <c r="BO76" s="812">
        <f t="shared" si="44"/>
        <v>2.22481068</v>
      </c>
      <c r="BP76" s="282">
        <f t="shared" si="45"/>
        <v>493.149727373909</v>
      </c>
      <c r="BQ76" s="783">
        <f t="shared" si="47"/>
        <v>493.149727373909</v>
      </c>
      <c r="BT76" s="1176">
        <f t="shared" si="36"/>
        <v>488.12729952695253</v>
      </c>
      <c r="BU76" s="1176">
        <f t="shared" si="37"/>
        <v>5.0224278469564752</v>
      </c>
      <c r="BV76" s="1176">
        <f>+BT76+'ComInd Summary'!DA76</f>
        <v>742.26621436146229</v>
      </c>
      <c r="BW76" s="1176">
        <f>+BU76+'ComInd Summary'!DB76</f>
        <v>33.142240208088651</v>
      </c>
    </row>
    <row r="77" spans="1:6143 6145:16384" s="2" customFormat="1" x14ac:dyDescent="0.2">
      <c r="A77">
        <v>2013</v>
      </c>
      <c r="B77" s="275">
        <f>+B24*(1+'Conversion Factors'!$B24)</f>
        <v>16.292993490223225</v>
      </c>
      <c r="C77" s="276">
        <f>+C24*(1+'Conversion Factors'!$B24)</f>
        <v>1.04081</v>
      </c>
      <c r="D77" s="276">
        <f>+D24*(1+'Conversion Factors'!$B24)</f>
        <v>7.3235185011507298</v>
      </c>
      <c r="E77" s="276">
        <f>+E24*(1+'Conversion Factors'!$B24)</f>
        <v>32.903087011284931</v>
      </c>
      <c r="F77" s="276">
        <f>+F24*(1+'Conversion Factors'!$B24)</f>
        <v>4.9575715276666665</v>
      </c>
      <c r="G77" s="276">
        <f>+G24*(1+'Conversion Factors'!$B24)</f>
        <v>2.2613788036086957</v>
      </c>
      <c r="H77" s="276">
        <f>+H24*(1+'Conversion Factors'!$B24)</f>
        <v>30.968810665156823</v>
      </c>
      <c r="I77" s="724">
        <f>+I24*(1+'Conversion Factors'!$B24)</f>
        <v>20.776659287777544</v>
      </c>
      <c r="J77" s="276">
        <f>+J24*(1+'Conversion Factors'!$B24)</f>
        <v>0</v>
      </c>
      <c r="K77" s="276">
        <f>+K24*(1+'Conversion Factors'!$B24)</f>
        <v>0</v>
      </c>
      <c r="L77" s="276">
        <f>+L24*(1+'Conversion Factors'!$B24)</f>
        <v>0</v>
      </c>
      <c r="M77" s="276">
        <f>+M24*(1+'Conversion Factors'!$B24)</f>
        <v>2.7007409999999996E-2</v>
      </c>
      <c r="N77" s="276">
        <f>+N24*(1+'Conversion Factors'!$B24)</f>
        <v>7.5110000000000004E-5</v>
      </c>
      <c r="O77" s="724">
        <f>+O24*(1+'Conversion Factors'!$B24)</f>
        <v>0.11627028</v>
      </c>
      <c r="P77" s="724">
        <f>+P24*(1+'Conversion Factors'!$B24)</f>
        <v>3.041955E-2</v>
      </c>
      <c r="Q77" s="724">
        <f>+Q24*(1+'Conversion Factors'!$B24)</f>
        <v>0.66892966000000009</v>
      </c>
      <c r="R77" s="785">
        <f t="shared" si="32"/>
        <v>117.36753129686862</v>
      </c>
      <c r="S77" s="1242">
        <f>+S24*(1+'Conversion Factors'!$B24)</f>
        <v>38.847696145844985</v>
      </c>
      <c r="T77" s="276">
        <f>+T24*(1+'Conversion Factors'!$B24)</f>
        <v>4.6698676799999994</v>
      </c>
      <c r="U77" s="785">
        <f t="shared" si="38"/>
        <v>43.517563825844988</v>
      </c>
      <c r="V77" s="784">
        <f t="shared" si="39"/>
        <v>160.88509512271361</v>
      </c>
      <c r="W77" s="783">
        <f t="shared" si="48"/>
        <v>122.03739897686862</v>
      </c>
      <c r="X77">
        <v>2013</v>
      </c>
      <c r="Y77" s="275">
        <f>+Y24*(1+'Conversion Factors'!$C24)</f>
        <v>25.297640623504527</v>
      </c>
      <c r="Z77" s="276">
        <f>+Z24*(1+'Conversion Factors'!$C24)</f>
        <v>1.4592800000000001</v>
      </c>
      <c r="AA77" s="276">
        <f>+AA24*(1+'Conversion Factors'!$C24)</f>
        <v>7.72889870672567</v>
      </c>
      <c r="AB77" s="276">
        <f>+AB24*(1+'Conversion Factors'!$C24)</f>
        <v>38.964657458521337</v>
      </c>
      <c r="AC77" s="276">
        <f>+AC24*(1+'Conversion Factors'!$C24)</f>
        <v>3.7404438428333333</v>
      </c>
      <c r="AD77" s="276">
        <f>+AD24*(1+'Conversion Factors'!$C24)</f>
        <v>1.6947510629565214</v>
      </c>
      <c r="AE77" s="276">
        <f>+AE24*(1+'Conversion Factors'!$C24)</f>
        <v>368.24881642627304</v>
      </c>
      <c r="AF77" s="724">
        <f>+AF24*(1+'Conversion Factors'!$C24)</f>
        <v>47.248125343031695</v>
      </c>
      <c r="AG77" s="276">
        <f>+AG24*(1+'Conversion Factors'!$C24)</f>
        <v>0</v>
      </c>
      <c r="AH77" s="276">
        <f>+AH24*(1+'Conversion Factors'!$C24)</f>
        <v>0</v>
      </c>
      <c r="AI77" s="276">
        <f>+AI24*(1+'Conversion Factors'!$C24)</f>
        <v>0</v>
      </c>
      <c r="AJ77" s="276">
        <f>+AJ24*(1+'Conversion Factors'!$C24)</f>
        <v>1.4807399999999998E-2</v>
      </c>
      <c r="AK77" s="276">
        <f>+AK24*(1+'Conversion Factors'!$C24)</f>
        <v>0</v>
      </c>
      <c r="AL77" s="724">
        <f>+AL24*(1+'Conversion Factors'!$C24)</f>
        <v>9.359779E-2</v>
      </c>
      <c r="AM77" s="724">
        <f>+AM24*(1+'Conversion Factors'!$C24)</f>
        <v>4.5817099999999999E-2</v>
      </c>
      <c r="AN77" s="724">
        <f>+AN24*(1+'Conversion Factors'!$C24)</f>
        <v>0</v>
      </c>
      <c r="AO77" s="277">
        <f t="shared" si="40"/>
        <v>494.53683575384611</v>
      </c>
      <c r="AP77" s="780">
        <f>+AP24*(1+'Conversion Factors'!$C24)</f>
        <v>68.954762568050995</v>
      </c>
      <c r="AQ77" s="276">
        <f>+AQ24*(1+'Conversion Factors'!$C24)</f>
        <v>6.2701827999999997</v>
      </c>
      <c r="AR77" s="678">
        <f t="shared" si="41"/>
        <v>75.224945368050996</v>
      </c>
      <c r="AS77" s="277">
        <f t="shared" si="42"/>
        <v>569.76178112189712</v>
      </c>
      <c r="AT77" s="783">
        <f t="shared" si="46"/>
        <v>500.80701855384609</v>
      </c>
      <c r="AU77">
        <v>2013</v>
      </c>
      <c r="AV77" s="275">
        <f>+AV24*(1+'Conversion Factors'!$D24)</f>
        <v>82.725518055484088</v>
      </c>
      <c r="AW77" s="276">
        <f>+AW24*(1+'Conversion Factors'!$D24)</f>
        <v>3.4531200000000002</v>
      </c>
      <c r="AX77" s="276">
        <f>+AX24*(1+'Conversion Factors'!$D24)</f>
        <v>29.682510421030791</v>
      </c>
      <c r="AY77" s="276">
        <f>+AY24*(1+'Conversion Factors'!$D24)</f>
        <v>77.166883633370603</v>
      </c>
      <c r="AZ77" s="276">
        <f>+AZ24*(1+'Conversion Factors'!$D24)</f>
        <v>10.928276717497278</v>
      </c>
      <c r="BA77" s="276">
        <f>+BA24*(1+'Conversion Factors'!$D24)</f>
        <v>4.5034175770434786</v>
      </c>
      <c r="BB77" s="276">
        <f>+BB24*(1+'Conversion Factors'!$D24)</f>
        <v>243.3554846471379</v>
      </c>
      <c r="BC77" s="724">
        <f>+BC24*(1+'Conversion Factors'!$D24)</f>
        <v>56.473245495290115</v>
      </c>
      <c r="BD77" s="276">
        <f>+BD24*(1+'Conversion Factors'!$D24)</f>
        <v>0</v>
      </c>
      <c r="BE77" s="276">
        <f>+BE24*(1+'Conversion Factors'!$D24)</f>
        <v>0</v>
      </c>
      <c r="BF77" s="276">
        <f>+BF24*(1+'Conversion Factors'!$D24)</f>
        <v>0</v>
      </c>
      <c r="BG77" s="276">
        <f>+BG24*(1+'Conversion Factors'!$D24)</f>
        <v>0.33888888</v>
      </c>
      <c r="BH77" s="276">
        <f>+BH24*(1+'Conversion Factors'!$D24)</f>
        <v>1.85856E-4</v>
      </c>
      <c r="BI77" s="724">
        <f>+BI24*(1+'Conversion Factors'!$D24)</f>
        <v>0.29015711999999999</v>
      </c>
      <c r="BJ77" s="724">
        <f>+BJ24*(1+'Conversion Factors'!$D24)</f>
        <v>0.23710579200000001</v>
      </c>
      <c r="BK77" s="724">
        <f>+BK24*(1+'Conversion Factors'!$D24)</f>
        <v>1.8538729440000001</v>
      </c>
      <c r="BL77" s="277">
        <f t="shared" si="43"/>
        <v>511.00866713885426</v>
      </c>
      <c r="BM77" s="781">
        <f>+BM24*(1+'Conversion Factors'!$D24)</f>
        <v>0</v>
      </c>
      <c r="BN77" s="299">
        <f>+BN24*(1+'Conversion Factors'!$D24)</f>
        <v>2.4154669439999998</v>
      </c>
      <c r="BO77" s="282">
        <f t="shared" si="44"/>
        <v>2.4154669439999998</v>
      </c>
      <c r="BP77" s="282">
        <f t="shared" si="45"/>
        <v>513.42413408285427</v>
      </c>
      <c r="BQ77" s="783">
        <f t="shared" si="47"/>
        <v>513.42413408285427</v>
      </c>
      <c r="BR77"/>
      <c r="BT77" s="1176">
        <f t="shared" si="36"/>
        <v>503.78503896981078</v>
      </c>
      <c r="BU77" s="1176">
        <f t="shared" si="37"/>
        <v>9.6390951130434814</v>
      </c>
      <c r="BV77" s="1176">
        <f>+BT77+'ComInd Summary'!DA77</f>
        <v>771.52775548999375</v>
      </c>
      <c r="BW77" s="1176">
        <f>+BU77+'ComInd Summary'!DB77</f>
        <v>45.472376057780366</v>
      </c>
      <c r="BX77" s="589"/>
      <c r="BY77" s="589"/>
      <c r="BZ77" s="589"/>
      <c r="CA77" s="589"/>
      <c r="CB77" s="589"/>
      <c r="CC77" s="589"/>
      <c r="CD77" s="589"/>
      <c r="CE77" s="589"/>
      <c r="CF77" s="589"/>
      <c r="CG77" s="589"/>
      <c r="CH77" s="589"/>
      <c r="CI77" s="589"/>
      <c r="CJ77" s="589"/>
      <c r="CK77" s="589"/>
      <c r="CL77" s="589"/>
      <c r="CM77" s="589"/>
      <c r="CN77" s="589"/>
      <c r="CO77" s="589"/>
      <c r="CP77" s="589"/>
      <c r="CQ77" s="589"/>
      <c r="CR77" s="589"/>
      <c r="CS77" s="589"/>
      <c r="CT77" s="589"/>
    </row>
    <row r="78" spans="1:6143 6145:16384" s="804" customFormat="1" x14ac:dyDescent="0.2">
      <c r="A78" s="2">
        <v>2014</v>
      </c>
      <c r="B78" s="327">
        <f>+B25*(1+'Conversion Factors'!$B25)</f>
        <v>16.756073465223224</v>
      </c>
      <c r="C78" s="299">
        <f>+C25*(1+'Conversion Factors'!$B25)</f>
        <v>1.04081</v>
      </c>
      <c r="D78" s="299">
        <f>+D25*(1+'Conversion Factors'!$B25)</f>
        <v>7.3901947211507304</v>
      </c>
      <c r="E78" s="299">
        <f>+E25*(1+'Conversion Factors'!$B25)</f>
        <v>33.214460881284936</v>
      </c>
      <c r="F78" s="299">
        <f>+F25*(1+'Conversion Factors'!$B25)</f>
        <v>7.0317556376666657</v>
      </c>
      <c r="G78" s="299">
        <f>+G25*(1+'Conversion Factors'!$B25)</f>
        <v>3.7945241236086957</v>
      </c>
      <c r="H78" s="299">
        <f>+H25*(1+'Conversion Factors'!$B25)</f>
        <v>31.405307065156826</v>
      </c>
      <c r="I78" s="724">
        <f>+I25*(1+'Conversion Factors'!$B25)</f>
        <v>24.694935525638481</v>
      </c>
      <c r="J78" s="299">
        <f>+J25*(1+'Conversion Factors'!$B25)</f>
        <v>0</v>
      </c>
      <c r="K78" s="299">
        <f>+K25*(1+'Conversion Factors'!$B25)</f>
        <v>0</v>
      </c>
      <c r="L78" s="299">
        <f>+L25*(1+'Conversion Factors'!$B25)</f>
        <v>0</v>
      </c>
      <c r="M78" s="299">
        <f>+M25*(1+'Conversion Factors'!$B25)</f>
        <v>5.6203739999999995E-2</v>
      </c>
      <c r="N78" s="299">
        <f>+N25*(1+'Conversion Factors'!$B25)</f>
        <v>1.5022000000000001E-4</v>
      </c>
      <c r="O78" s="724">
        <f>+O25*(1+'Conversion Factors'!$B25)</f>
        <v>0.13760152</v>
      </c>
      <c r="P78" s="724">
        <f>+P25*(1+'Conversion Factors'!$B25)</f>
        <v>4.6997399999999995E-2</v>
      </c>
      <c r="Q78" s="724">
        <f>+Q25*(1+'Conversion Factors'!$B25)</f>
        <v>0.97574327999999999</v>
      </c>
      <c r="R78" s="785">
        <f t="shared" si="32"/>
        <v>126.54475757972956</v>
      </c>
      <c r="S78" s="1242">
        <f>+S25*(1+'Conversion Factors'!$B25)</f>
        <v>36.184177790383302</v>
      </c>
      <c r="T78" s="276">
        <f>+T25*(1+'Conversion Factors'!$B25)</f>
        <v>6.0178239299999987</v>
      </c>
      <c r="U78" s="785">
        <f t="shared" si="38"/>
        <v>42.202001720383301</v>
      </c>
      <c r="V78" s="784">
        <f t="shared" si="39"/>
        <v>168.74675930011287</v>
      </c>
      <c r="W78" s="783">
        <f t="shared" si="48"/>
        <v>132.56258150972957</v>
      </c>
      <c r="X78" s="2">
        <v>2014</v>
      </c>
      <c r="Y78" s="327">
        <f>+Y25*(1+'Conversion Factors'!$C25)</f>
        <v>25.879217353504526</v>
      </c>
      <c r="Z78" s="299">
        <f>+Z25*(1+'Conversion Factors'!$C25)</f>
        <v>1.4592800000000001</v>
      </c>
      <c r="AA78" s="299">
        <f>+AA25*(1+'Conversion Factors'!$C25)</f>
        <v>7.7726771067256699</v>
      </c>
      <c r="AB78" s="299">
        <f>+AB25*(1+'Conversion Factors'!$C25)</f>
        <v>39.367847938521336</v>
      </c>
      <c r="AC78" s="299">
        <f>+AC25*(1+'Conversion Factors'!$C25)</f>
        <v>6.2952568428333322</v>
      </c>
      <c r="AD78" s="299">
        <f>+AD25*(1+'Conversion Factors'!$C25)</f>
        <v>3.1715424229565214</v>
      </c>
      <c r="AE78" s="299">
        <f>+AE25*(1+'Conversion Factors'!$C25)</f>
        <v>369.19747718627303</v>
      </c>
      <c r="AF78" s="724">
        <f>+AF25*(1+'Conversion Factors'!$C25)</f>
        <v>51.773116454510834</v>
      </c>
      <c r="AG78" s="299">
        <f>+AG25*(1+'Conversion Factors'!$C25)</f>
        <v>0</v>
      </c>
      <c r="AH78" s="299">
        <f>+AH25*(1+'Conversion Factors'!$C25)</f>
        <v>0</v>
      </c>
      <c r="AI78" s="299">
        <f>+AI25*(1+'Conversion Factors'!$C25)</f>
        <v>0</v>
      </c>
      <c r="AJ78" s="299">
        <f>+AJ25*(1+'Conversion Factors'!$C25)</f>
        <v>6.6214829999999988E-2</v>
      </c>
      <c r="AK78" s="299">
        <f>+AK25*(1+'Conversion Factors'!$C25)</f>
        <v>1.3949000000000001E-4</v>
      </c>
      <c r="AL78" s="724">
        <f>+AL25*(1+'Conversion Factors'!$C25)</f>
        <v>0.12233273</v>
      </c>
      <c r="AM78" s="724">
        <f>+AM25*(1+'Conversion Factors'!$C25)</f>
        <v>7.7889070000000005E-2</v>
      </c>
      <c r="AN78" s="724">
        <f>+AN25*(1+'Conversion Factors'!$C25)</f>
        <v>0</v>
      </c>
      <c r="AO78" s="277">
        <f t="shared" si="40"/>
        <v>505.18299142532521</v>
      </c>
      <c r="AP78" s="780">
        <f>+AP25*(1+'Conversion Factors'!$C25)</f>
        <v>63.647861318536982</v>
      </c>
      <c r="AQ78" s="276">
        <f>+AQ25*(1+'Conversion Factors'!$C25)</f>
        <v>7.0862958699999998</v>
      </c>
      <c r="AR78" s="678">
        <f t="shared" si="41"/>
        <v>70.734157188536983</v>
      </c>
      <c r="AS78" s="277">
        <f t="shared" si="42"/>
        <v>575.9171486138622</v>
      </c>
      <c r="AT78" s="783">
        <f t="shared" si="46"/>
        <v>512.26928729532517</v>
      </c>
      <c r="AU78" s="2">
        <v>2014</v>
      </c>
      <c r="AV78" s="327">
        <f>+AV25*(1+'Conversion Factors'!$D25)</f>
        <v>87.684004071484097</v>
      </c>
      <c r="AW78" s="299">
        <f>+AW25*(1+'Conversion Factors'!$D25)</f>
        <v>3.4531200000000002</v>
      </c>
      <c r="AX78" s="299">
        <f>+AX25*(1+'Conversion Factors'!$D25)</f>
        <v>30.152942581030793</v>
      </c>
      <c r="AY78" s="299">
        <f>+AY25*(1+'Conversion Factors'!$D25)</f>
        <v>77.704056049370607</v>
      </c>
      <c r="AZ78" s="299">
        <f>+AZ25*(1+'Conversion Factors'!$D25)</f>
        <v>17.691692717497279</v>
      </c>
      <c r="BA78" s="299">
        <f>+BA25*(1+'Conversion Factors'!$D25)</f>
        <v>12.186004489043478</v>
      </c>
      <c r="BB78" s="299">
        <f>+BB25*(1+'Conversion Factors'!$D25)</f>
        <v>245.06951203913789</v>
      </c>
      <c r="BC78" s="724">
        <f>+BC25*(1+'Conversion Factors'!$D25)</f>
        <v>66.048533217440308</v>
      </c>
      <c r="BD78" s="299">
        <f>+BD25*(1+'Conversion Factors'!$D25)</f>
        <v>0</v>
      </c>
      <c r="BE78" s="299">
        <f>+BE25*(1+'Conversion Factors'!$D25)</f>
        <v>0</v>
      </c>
      <c r="BF78" s="299">
        <f>+BF25*(1+'Conversion Factors'!$D25)</f>
        <v>0</v>
      </c>
      <c r="BG78" s="299">
        <f>+BG25*(1+'Conversion Factors'!$D25)</f>
        <v>0.70524432000000004</v>
      </c>
      <c r="BH78" s="299">
        <f>+BH25*(1+'Conversion Factors'!$D25)</f>
        <v>3.7171200000000001E-4</v>
      </c>
      <c r="BI78" s="724">
        <f>+BI25*(1+'Conversion Factors'!$D25)</f>
        <v>0.34339007999999999</v>
      </c>
      <c r="BJ78" s="724">
        <f>+BJ25*(1+'Conversion Factors'!$D25)</f>
        <v>0.366322176</v>
      </c>
      <c r="BK78" s="724">
        <f>+BK25*(1+'Conversion Factors'!$D25)</f>
        <v>2.7032602080000001</v>
      </c>
      <c r="BL78" s="277">
        <f t="shared" si="43"/>
        <v>544.10845366100432</v>
      </c>
      <c r="BM78" s="781">
        <f>+BM25*(1+'Conversion Factors'!$D25)</f>
        <v>0</v>
      </c>
      <c r="BN78" s="299">
        <f>+BN25*(1+'Conversion Factors'!$D25)</f>
        <v>2.5751869439999999</v>
      </c>
      <c r="BO78" s="282">
        <f t="shared" si="44"/>
        <v>2.5751869439999999</v>
      </c>
      <c r="BP78" s="282">
        <f t="shared" si="45"/>
        <v>546.68364060500437</v>
      </c>
      <c r="BQ78" s="783">
        <f t="shared" si="47"/>
        <v>546.68364060500437</v>
      </c>
      <c r="BR78" s="2"/>
      <c r="BS78" s="2"/>
      <c r="BT78" s="1176">
        <f t="shared" si="36"/>
        <v>527.803860675961</v>
      </c>
      <c r="BU78" s="1176">
        <f t="shared" si="37"/>
        <v>18.879779929043366</v>
      </c>
      <c r="BV78" s="1176">
        <f>+BT78+'ComInd Summary'!DA78</f>
        <v>803.80329125339915</v>
      </c>
      <c r="BW78" s="1176">
        <f>+BU78+'ComInd Summary'!DB78</f>
        <v>58.091463141780309</v>
      </c>
    </row>
    <row r="79" spans="1:6143 6145:16384" s="804" customFormat="1" x14ac:dyDescent="0.2">
      <c r="A79" s="2">
        <v>2015</v>
      </c>
      <c r="B79" s="327">
        <f>+B26*(1+'Conversion Factors'!$B26)</f>
        <v>16.756073465223224</v>
      </c>
      <c r="C79" s="299">
        <f>+C26*(1+'Conversion Factors'!$B26)</f>
        <v>1.04081</v>
      </c>
      <c r="D79" s="299">
        <f>+D26*(1+'Conversion Factors'!$B26)</f>
        <v>7.3901947211507304</v>
      </c>
      <c r="E79" s="299">
        <f>+E26*(1+'Conversion Factors'!$B26)</f>
        <v>33.525222297606831</v>
      </c>
      <c r="F79" s="299">
        <f>+F26*(1+'Conversion Factors'!$B26)</f>
        <v>8.9361124925503876</v>
      </c>
      <c r="G79" s="299">
        <f>+G26*(1+'Conversion Factors'!$B26)</f>
        <v>5.3553117130721697</v>
      </c>
      <c r="H79" s="299">
        <f>+H26*(1+'Conversion Factors'!$B26)</f>
        <v>33.127226402897527</v>
      </c>
      <c r="I79" s="724">
        <f>+I26*(1+'Conversion Factors'!$B26)</f>
        <v>26.325863335638481</v>
      </c>
      <c r="J79" s="299">
        <f>+J26*(1+'Conversion Factors'!$B26)</f>
        <v>0.44107971950000002</v>
      </c>
      <c r="K79" s="299">
        <f>+K26*(1+'Conversion Factors'!$B26)</f>
        <v>2.2382779999999998E-2</v>
      </c>
      <c r="L79" s="299">
        <f>+L26*(1+'Conversion Factors'!$B26)</f>
        <v>0.65061891499999991</v>
      </c>
      <c r="M79" s="299">
        <f>+M26*(1+'Conversion Factors'!$B26)</f>
        <v>8.4686935354107637E-2</v>
      </c>
      <c r="N79" s="299">
        <f>+N26*(1+'Conversion Factors'!$B26)</f>
        <v>4.5066000000000003E-4</v>
      </c>
      <c r="O79" s="724">
        <f>+O26*(1+'Conversion Factors'!$B26)</f>
        <v>0.26970928</v>
      </c>
      <c r="P79" s="724">
        <f>+P26*(1+'Conversion Factors'!$B26)</f>
        <v>6.4379999999999993E-2</v>
      </c>
      <c r="Q79" s="724">
        <f>+Q26*(1+'Conversion Factors'!$B26)</f>
        <v>1.2976593750000001</v>
      </c>
      <c r="R79" s="785">
        <f t="shared" si="32"/>
        <v>135.28778209299347</v>
      </c>
      <c r="S79" s="1242">
        <f>+S26*(1+'Conversion Factors'!$B26)</f>
        <v>21.418026131540088</v>
      </c>
      <c r="T79" s="276">
        <f>+T26*(1+'Conversion Factors'!$B26)</f>
        <v>8.2675047986351089</v>
      </c>
      <c r="U79" s="785">
        <f t="shared" si="38"/>
        <v>29.685530930175197</v>
      </c>
      <c r="V79" s="784">
        <f t="shared" si="39"/>
        <v>164.97331302316866</v>
      </c>
      <c r="W79" s="783">
        <f t="shared" si="48"/>
        <v>143.55528689162858</v>
      </c>
      <c r="X79" s="2">
        <v>2015</v>
      </c>
      <c r="Y79" s="327">
        <f>+Y26*(1+'Conversion Factors'!$C26)</f>
        <v>25.879217353504526</v>
      </c>
      <c r="Z79" s="299">
        <f>+Z26*(1+'Conversion Factors'!$C26)</f>
        <v>1.4592800000000001</v>
      </c>
      <c r="AA79" s="299">
        <f>+AA26*(1+'Conversion Factors'!$C26)</f>
        <v>7.7726771067256699</v>
      </c>
      <c r="AB79" s="299">
        <f>+AB26*(1+'Conversion Factors'!$C26)</f>
        <v>39.736370496304971</v>
      </c>
      <c r="AC79" s="299">
        <f>+AC26*(1+'Conversion Factors'!$C26)</f>
        <v>7.6732667945775184</v>
      </c>
      <c r="AD79" s="299">
        <f>+AD26*(1+'Conversion Factors'!$C26)</f>
        <v>4.8920192869201209</v>
      </c>
      <c r="AE79" s="299">
        <f>+AE26*(1+'Conversion Factors'!$C26)</f>
        <v>371.51758839765773</v>
      </c>
      <c r="AF79" s="724">
        <f>+AF26*(1+'Conversion Factors'!$C26)</f>
        <v>51.773116454510834</v>
      </c>
      <c r="AG79" s="299">
        <f>+AG26*(1+'Conversion Factors'!$C26)</f>
        <v>0</v>
      </c>
      <c r="AH79" s="299">
        <f>+AH26*(1+'Conversion Factors'!$C26)</f>
        <v>0</v>
      </c>
      <c r="AI79" s="299">
        <f>+AI26*(1+'Conversion Factors'!$C26)</f>
        <v>0</v>
      </c>
      <c r="AJ79" s="299">
        <f>+AJ26*(1+'Conversion Factors'!$C26)</f>
        <v>0.10600087968838527</v>
      </c>
      <c r="AK79" s="299">
        <f>+AK26*(1+'Conversion Factors'!$C26)</f>
        <v>1.3949000000000001E-4</v>
      </c>
      <c r="AL79" s="724">
        <f>+AL26*(1+'Conversion Factors'!$C26)</f>
        <v>0.13321295</v>
      </c>
      <c r="AM79" s="724">
        <f>+AM26*(1+'Conversion Factors'!$C26)</f>
        <v>0.11323369</v>
      </c>
      <c r="AN79" s="724">
        <f>+AN26*(1+'Conversion Factors'!$C26)</f>
        <v>0</v>
      </c>
      <c r="AO79" s="277">
        <f t="shared" si="40"/>
        <v>511.05612289988971</v>
      </c>
      <c r="AP79" s="780">
        <f>+AP26*(1+'Conversion Factors'!$C26)</f>
        <v>47.211999999999996</v>
      </c>
      <c r="AQ79" s="276">
        <f>+AQ26*(1+'Conversion Factors'!$C26)</f>
        <v>10.440636999126838</v>
      </c>
      <c r="AR79" s="678">
        <f t="shared" si="41"/>
        <v>57.652636999126834</v>
      </c>
      <c r="AS79" s="277">
        <f t="shared" si="42"/>
        <v>568.70875989901651</v>
      </c>
      <c r="AT79" s="783">
        <f t="shared" si="46"/>
        <v>521.49675989901652</v>
      </c>
      <c r="AU79" s="2">
        <v>2015</v>
      </c>
      <c r="AV79" s="327">
        <f>+AV26*(1+'Conversion Factors'!$D26)</f>
        <v>87.684004071484097</v>
      </c>
      <c r="AW79" s="299">
        <f>+AW26*(1+'Conversion Factors'!$D26)</f>
        <v>3.4531200000000002</v>
      </c>
      <c r="AX79" s="299">
        <f>+AX26*(1+'Conversion Factors'!$D26)</f>
        <v>30.152942581030793</v>
      </c>
      <c r="AY79" s="299">
        <f>+AY26*(1+'Conversion Factors'!$D26)</f>
        <v>78.223298191107816</v>
      </c>
      <c r="AZ79" s="299">
        <f>+AZ26*(1+'Conversion Factors'!$D26)</f>
        <v>22.132451948413074</v>
      </c>
      <c r="BA79" s="299">
        <f>+BA26*(1+'Conversion Factors'!$D26)</f>
        <v>17.097075136064714</v>
      </c>
      <c r="BB79" s="299">
        <f>+BB26*(1+'Conversion Factors'!$D26)</f>
        <v>249.56745667346701</v>
      </c>
      <c r="BC79" s="724">
        <f>+BC26*(1+'Conversion Factors'!$D26)</f>
        <v>69.22094307344031</v>
      </c>
      <c r="BD79" s="299">
        <f>+BD26*(1+'Conversion Factors'!$D26)</f>
        <v>0.52176696000000011</v>
      </c>
      <c r="BE79" s="299">
        <f>+BE26*(1+'Conversion Factors'!$D26)</f>
        <v>8.3707008000000013E-2</v>
      </c>
      <c r="BF79" s="299">
        <f>+BF26*(1+'Conversion Factors'!$D26)</f>
        <v>1.046755248</v>
      </c>
      <c r="BG79" s="299">
        <f>+BG26*(1+'Conversion Factors'!$D26)</f>
        <v>1.0684720510368273</v>
      </c>
      <c r="BH79" s="299">
        <f>+BH26*(1+'Conversion Factors'!$D26)</f>
        <v>1.1151360000000001E-3</v>
      </c>
      <c r="BI79" s="724">
        <f>+BI26*(1+'Conversion Factors'!$D26)</f>
        <v>0.38387711999999996</v>
      </c>
      <c r="BJ79" s="724">
        <f>+BJ26*(1+'Conversion Factors'!$D26)</f>
        <v>0.50181120000000001</v>
      </c>
      <c r="BK79" s="724">
        <f>+BK26*(1+'Conversion Factors'!$D26)</f>
        <v>3.59511768</v>
      </c>
      <c r="BL79" s="277">
        <f t="shared" si="43"/>
        <v>564.73391407804468</v>
      </c>
      <c r="BM79" s="781">
        <f>+BM26*(1+'Conversion Factors'!$D26)</f>
        <v>0</v>
      </c>
      <c r="BN79" s="299">
        <f>+BN26*(1+'Conversion Factors'!$D26)</f>
        <v>3.7209572322352944</v>
      </c>
      <c r="BO79" s="282">
        <f t="shared" si="44"/>
        <v>3.7209572322352944</v>
      </c>
      <c r="BP79" s="282">
        <f t="shared" si="45"/>
        <v>568.45487131027994</v>
      </c>
      <c r="BQ79" s="783">
        <f t="shared" si="47"/>
        <v>568.45487131027994</v>
      </c>
      <c r="BR79" s="2"/>
      <c r="BS79" s="2"/>
      <c r="BT79" s="1176">
        <f t="shared" si="36"/>
        <v>540.43421653894302</v>
      </c>
      <c r="BU79" s="1176">
        <f t="shared" si="37"/>
        <v>28.020654771336922</v>
      </c>
      <c r="BV79" s="1176">
        <f>+BT79+'ComInd Summary'!DA79</f>
        <v>821.06312319517315</v>
      </c>
      <c r="BW79" s="1176">
        <f>+BU79+'ComInd Summary'!DB79</f>
        <v>73.287500310893961</v>
      </c>
    </row>
    <row r="80" spans="1:6143 6145:16384" s="804" customFormat="1" ht="13.5" thickBot="1" x14ac:dyDescent="0.25">
      <c r="A80" s="1351">
        <v>2016</v>
      </c>
      <c r="B80" s="1352">
        <f>+B27*(1+'Conversion Factors'!$B27)</f>
        <v>16.756073465223224</v>
      </c>
      <c r="C80" s="1353">
        <f>+C27*(1+'Conversion Factors'!$B27)</f>
        <v>1.04081</v>
      </c>
      <c r="D80" s="1353">
        <f>+D27*(1+'Conversion Factors'!$B27)</f>
        <v>7.3901947211507304</v>
      </c>
      <c r="E80" s="1354">
        <f>+E27*(1+'Conversion Factors'!$B27)</f>
        <v>33.817694199606834</v>
      </c>
      <c r="F80" s="1354">
        <f>+F27*(1+'Conversion Factors'!$B27)</f>
        <v>9.761414198050387</v>
      </c>
      <c r="G80" s="1354">
        <f>+G27*(1+'Conversion Factors'!$B27)</f>
        <v>7.0887898885721699</v>
      </c>
      <c r="H80" s="1354">
        <f>+H27*(1+'Conversion Factors'!$B27)</f>
        <v>33.614644163897523</v>
      </c>
      <c r="I80" s="1355">
        <f>+I27*(1+'Conversion Factors'!$B27)</f>
        <v>26.325863335638481</v>
      </c>
      <c r="J80" s="1356">
        <f>+J27*(1+'Conversion Factors'!$B27)</f>
        <v>1.0478612194999999</v>
      </c>
      <c r="K80" s="1356">
        <f>+K27*(1+'Conversion Factors'!$B27)</f>
        <v>2.9468872E-2</v>
      </c>
      <c r="L80" s="1356">
        <f>+L27*(1+'Conversion Factors'!$B27)</f>
        <v>1.189215557</v>
      </c>
      <c r="M80" s="1354">
        <f>+M27*(1+'Conversion Factors'!$B27)</f>
        <v>0.10980854785410764</v>
      </c>
      <c r="N80" s="1354">
        <f>+N27*(1+'Conversion Factors'!$B27)</f>
        <v>7.7255999999999994E-4</v>
      </c>
      <c r="O80" s="1355">
        <f>+O27*(1+'Conversion Factors'!$B27)</f>
        <v>0.26970928</v>
      </c>
      <c r="P80" s="1355">
        <f>+P27*(1+'Conversion Factors'!$B27)</f>
        <v>6.4379999999999993E-2</v>
      </c>
      <c r="Q80" s="1355">
        <f>+Q27*(1+'Conversion Factors'!$B27)</f>
        <v>1.2976593750000001</v>
      </c>
      <c r="R80" s="1357">
        <f t="shared" si="32"/>
        <v>139.80435938349345</v>
      </c>
      <c r="S80" s="1358">
        <f>+S27*(1+'Conversion Factors'!$B27)</f>
        <v>0</v>
      </c>
      <c r="T80" s="1354">
        <f>+T27*(1+'Conversion Factors'!$B27)</f>
        <v>10.424221922635109</v>
      </c>
      <c r="U80" s="1357">
        <f t="shared" si="38"/>
        <v>10.424221922635109</v>
      </c>
      <c r="V80" s="1357">
        <f t="shared" si="39"/>
        <v>150.22858130612855</v>
      </c>
      <c r="W80" s="1359">
        <f t="shared" si="48"/>
        <v>150.22858130612855</v>
      </c>
      <c r="X80" s="1351">
        <v>2016</v>
      </c>
      <c r="Y80" s="1360">
        <f>+Y27*(1+'Conversion Factors'!$C27)</f>
        <v>25.879217353504526</v>
      </c>
      <c r="Z80" s="1361">
        <f>+Z27*(1+'Conversion Factors'!$C27)</f>
        <v>1.4592800000000001</v>
      </c>
      <c r="AA80" s="1361">
        <f>+AA27*(1+'Conversion Factors'!$C27)</f>
        <v>7.7726771067256699</v>
      </c>
      <c r="AB80" s="1354">
        <f>+AB27*(1+'Conversion Factors'!$C27)</f>
        <v>40.177604191304972</v>
      </c>
      <c r="AC80" s="1354">
        <f>+AC27*(1+'Conversion Factors'!$C27)</f>
        <v>8.98453717457752</v>
      </c>
      <c r="AD80" s="1354">
        <f>+AD27*(1+'Conversion Factors'!$C27)</f>
        <v>7.753006398920121</v>
      </c>
      <c r="AE80" s="1354">
        <f>+AE27*(1+'Conversion Factors'!$C27)</f>
        <v>373.38059752365774</v>
      </c>
      <c r="AF80" s="1362">
        <f>+AF27*(1+'Conversion Factors'!$C27)</f>
        <v>51.773116454510834</v>
      </c>
      <c r="AG80" s="1354">
        <f>+AG27*(1+'Conversion Factors'!$C27)</f>
        <v>1.2136595699999999</v>
      </c>
      <c r="AH80" s="1354">
        <f>+AH27*(1+'Conversion Factors'!$C27)</f>
        <v>2.9584755999999997E-2</v>
      </c>
      <c r="AI80" s="1354">
        <f>+AI27*(1+'Conversion Factors'!$C27)</f>
        <v>0.411959036</v>
      </c>
      <c r="AJ80" s="1354">
        <f>+AJ27*(1+'Conversion Factors'!$C27)</f>
        <v>0.17569437568838525</v>
      </c>
      <c r="AK80" s="1354">
        <f>+AK27*(1+'Conversion Factors'!$C27)</f>
        <v>7.4895399999999992E-4</v>
      </c>
      <c r="AL80" s="1362">
        <f>+AL27*(1+'Conversion Factors'!$C27)</f>
        <v>0.13321295</v>
      </c>
      <c r="AM80" s="1362">
        <f>+AM27*(1+'Conversion Factors'!$C27)</f>
        <v>0.11323369</v>
      </c>
      <c r="AN80" s="1362">
        <f>+AN27*(1+'Conversion Factors'!$C27)</f>
        <v>0</v>
      </c>
      <c r="AO80" s="1357">
        <f t="shared" si="40"/>
        <v>519.25812953488969</v>
      </c>
      <c r="AP80" s="1358">
        <f>+AP27*(1+'Conversion Factors'!$C27)</f>
        <v>21.258931306633848</v>
      </c>
      <c r="AQ80" s="1354">
        <f>+AQ27*(1+'Conversion Factors'!$C27)</f>
        <v>14.099343815126838</v>
      </c>
      <c r="AR80" s="1357">
        <f t="shared" si="41"/>
        <v>35.358275121760684</v>
      </c>
      <c r="AS80" s="1357">
        <f t="shared" si="42"/>
        <v>554.61640465665039</v>
      </c>
      <c r="AT80" s="783">
        <f t="shared" si="46"/>
        <v>533.35747335001656</v>
      </c>
      <c r="AU80" s="1351">
        <v>2016</v>
      </c>
      <c r="AV80" s="1352">
        <f>+AV27*(1+'Conversion Factors'!$D27)</f>
        <v>87.684004071484097</v>
      </c>
      <c r="AW80" s="1353">
        <f>+AW27*(1+'Conversion Factors'!$D27)</f>
        <v>3.4531200000000002</v>
      </c>
      <c r="AX80" s="1353">
        <f>+AX27*(1+'Conversion Factors'!$D27)</f>
        <v>30.152942581030793</v>
      </c>
      <c r="AY80" s="1354">
        <f>+AY27*(1+'Conversion Factors'!$D27)</f>
        <v>78.724910863107823</v>
      </c>
      <c r="AZ80" s="1354">
        <f>+AZ27*(1+'Conversion Factors'!$D27)</f>
        <v>25.939666172413077</v>
      </c>
      <c r="BA80" s="1354">
        <f>+BA27*(1+'Conversion Factors'!$D27)</f>
        <v>25.747486048064712</v>
      </c>
      <c r="BB80" s="1354">
        <f>+BB27*(1+'Conversion Factors'!$D27)</f>
        <v>251.31223108946705</v>
      </c>
      <c r="BC80" s="1362">
        <f>+BC27*(1+'Conversion Factors'!$D27)</f>
        <v>69.22094307344031</v>
      </c>
      <c r="BD80" s="1354">
        <f>+BD27*(1+'Conversion Factors'!$D27)</f>
        <v>2.4694533600000002</v>
      </c>
      <c r="BE80" s="1354">
        <f>+BE27*(1+'Conversion Factors'!$D27)</f>
        <v>0.11046235200000001</v>
      </c>
      <c r="BF80" s="1354">
        <f>+BF27*(1+'Conversion Factors'!$D27)</f>
        <v>2.9573697120000002</v>
      </c>
      <c r="BG80" s="1354">
        <f>+BG27*(1+'Conversion Factors'!$D27)</f>
        <v>1.4066908990368272</v>
      </c>
      <c r="BH80" s="1354">
        <f>+BH27*(1+'Conversion Factors'!$D27)</f>
        <v>1.9345920000000002E-3</v>
      </c>
      <c r="BI80" s="1362">
        <f>+BI27*(1+'Conversion Factors'!$D27)</f>
        <v>0.38387711999999996</v>
      </c>
      <c r="BJ80" s="1362">
        <f>+BJ27*(1+'Conversion Factors'!$D27)</f>
        <v>0.50181120000000001</v>
      </c>
      <c r="BK80" s="1362">
        <f>+BK27*(1+'Conversion Factors'!$D27)</f>
        <v>3.59511768</v>
      </c>
      <c r="BL80" s="1357">
        <f t="shared" si="43"/>
        <v>583.66202081404469</v>
      </c>
      <c r="BM80" s="1358">
        <f>+BM27*(1+'Conversion Factors'!$D27)</f>
        <v>0</v>
      </c>
      <c r="BN80" s="1354">
        <f>+BN27*(1+'Conversion Factors'!$D27)</f>
        <v>3.9762536802352941</v>
      </c>
      <c r="BO80" s="1357">
        <f t="shared" si="44"/>
        <v>3.9762536802352941</v>
      </c>
      <c r="BP80" s="1357">
        <f t="shared" si="45"/>
        <v>587.63827449428004</v>
      </c>
      <c r="BQ80" s="783">
        <f t="shared" si="47"/>
        <v>587.63827449428004</v>
      </c>
      <c r="BR80" s="2"/>
      <c r="BS80" s="2"/>
      <c r="BT80" s="1353">
        <f t="shared" si="36"/>
        <v>546.4878178509432</v>
      </c>
      <c r="BU80" s="1354">
        <f t="shared" si="37"/>
        <v>41.150456643336838</v>
      </c>
      <c r="BV80" s="1354">
        <f>+BT80+'ComInd Summary'!DA80</f>
        <v>827.2368953491532</v>
      </c>
      <c r="BW80" s="1354">
        <f>+BU80+'ComInd Summary'!DB80</f>
        <v>100.45643312089391</v>
      </c>
      <c r="BX80" s="7"/>
      <c r="BY80" s="1363"/>
      <c r="BZ80" s="1364"/>
      <c r="CA80" s="1364"/>
      <c r="CB80" s="1364"/>
      <c r="CC80" s="7"/>
      <c r="CD80" s="7"/>
      <c r="CE80" s="1363"/>
      <c r="CF80" s="1363"/>
      <c r="CG80" s="1363"/>
      <c r="CH80" s="1365"/>
      <c r="CI80" s="7"/>
      <c r="CJ80" s="7"/>
      <c r="CK80" s="1365"/>
      <c r="CL80" s="1365"/>
      <c r="CM80" s="299"/>
      <c r="CO80" s="1086"/>
      <c r="CP80" s="1086"/>
      <c r="CQ80" s="1086"/>
      <c r="CR80" s="7"/>
      <c r="CS80" s="7"/>
      <c r="CT80" s="7"/>
      <c r="CU80" s="7"/>
      <c r="CV80" s="1161"/>
      <c r="CW80" s="7"/>
      <c r="CX80" s="7"/>
      <c r="CY80" s="7"/>
      <c r="CZ80" s="7"/>
      <c r="DA80" s="7"/>
      <c r="DB80" s="1161"/>
      <c r="DC80" s="1161"/>
      <c r="DD80" s="1161"/>
      <c r="DE80" s="1365"/>
      <c r="DF80" s="7"/>
      <c r="DG80" s="7"/>
      <c r="DH80" s="1365"/>
      <c r="DI80" s="1365"/>
      <c r="DL80" s="1158"/>
      <c r="DM80" s="1158"/>
      <c r="DN80" s="1158"/>
      <c r="DO80" s="7"/>
      <c r="DP80" s="7"/>
      <c r="DQ80" s="7"/>
      <c r="DR80" s="7"/>
      <c r="DS80" s="1161"/>
      <c r="DT80" s="7"/>
      <c r="DU80" s="7"/>
      <c r="DV80" s="7"/>
      <c r="DW80" s="7"/>
      <c r="DX80" s="7"/>
      <c r="DY80" s="1161"/>
      <c r="DZ80" s="1161"/>
      <c r="EA80" s="1161"/>
      <c r="EB80" s="1365"/>
      <c r="EC80" s="7"/>
      <c r="ED80" s="7"/>
      <c r="EE80" s="1365"/>
      <c r="EF80" s="1365"/>
      <c r="EH80" s="1158"/>
      <c r="EI80" s="1158"/>
      <c r="EJ80" s="1158"/>
      <c r="EK80" s="7"/>
      <c r="EL80" s="7"/>
      <c r="EM80" s="7"/>
      <c r="EN80" s="7"/>
      <c r="EO80" s="1363"/>
      <c r="EP80" s="1364"/>
      <c r="EQ80" s="1364"/>
      <c r="ER80" s="1364"/>
      <c r="ES80" s="7"/>
      <c r="ET80" s="7"/>
      <c r="EU80" s="1363"/>
      <c r="EV80" s="1363"/>
      <c r="EW80" s="1363"/>
      <c r="EX80" s="1365"/>
      <c r="EY80" s="7"/>
      <c r="EZ80" s="7"/>
      <c r="FA80" s="1365"/>
      <c r="FB80" s="1365"/>
      <c r="FC80" s="299"/>
      <c r="FE80" s="1086"/>
      <c r="FF80" s="1086"/>
      <c r="FG80" s="1086"/>
      <c r="FH80" s="7"/>
      <c r="FI80" s="7"/>
      <c r="FJ80" s="7"/>
      <c r="FK80" s="7"/>
      <c r="FL80" s="1161"/>
      <c r="FM80" s="7"/>
      <c r="FN80" s="7"/>
      <c r="FO80" s="7"/>
      <c r="FP80" s="7"/>
      <c r="FQ80" s="7"/>
      <c r="FR80" s="1161"/>
      <c r="FS80" s="1161"/>
      <c r="FT80" s="1161"/>
      <c r="FU80" s="1365"/>
      <c r="FV80" s="7"/>
      <c r="FW80" s="7"/>
      <c r="FX80" s="1365"/>
      <c r="FY80" s="1365"/>
      <c r="GB80" s="1158"/>
      <c r="GC80" s="1158"/>
      <c r="GD80" s="1158"/>
      <c r="GE80" s="7"/>
      <c r="GF80" s="7"/>
      <c r="GG80" s="7"/>
      <c r="GH80" s="7"/>
      <c r="GI80" s="1161"/>
      <c r="GJ80" s="7"/>
      <c r="GK80" s="7"/>
      <c r="GL80" s="7"/>
      <c r="GM80" s="7"/>
      <c r="GN80" s="7"/>
      <c r="GO80" s="1161"/>
      <c r="GP80" s="1161"/>
      <c r="GQ80" s="1161"/>
      <c r="GR80" s="1365"/>
      <c r="GS80" s="7"/>
      <c r="GT80" s="7"/>
      <c r="GU80" s="1365"/>
      <c r="GV80" s="1365"/>
      <c r="GX80" s="1158"/>
      <c r="GY80" s="1158"/>
      <c r="GZ80" s="1158"/>
      <c r="HA80" s="7"/>
      <c r="HB80" s="7"/>
      <c r="HC80" s="7"/>
      <c r="HD80" s="7"/>
      <c r="HE80" s="1363"/>
      <c r="HF80" s="1364"/>
      <c r="HG80" s="1364"/>
      <c r="HH80" s="1364"/>
      <c r="HI80" s="7"/>
      <c r="HJ80" s="7"/>
      <c r="HK80" s="1363"/>
      <c r="HL80" s="1363"/>
      <c r="HM80" s="1363"/>
      <c r="HN80" s="1365"/>
      <c r="HO80" s="7"/>
      <c r="HP80" s="7"/>
      <c r="HQ80" s="1365"/>
      <c r="HR80" s="1365"/>
      <c r="HS80" s="299"/>
      <c r="HU80" s="1086"/>
      <c r="HV80" s="1086"/>
      <c r="HW80" s="1086"/>
      <c r="HX80" s="7"/>
      <c r="HY80" s="7"/>
      <c r="HZ80" s="7"/>
      <c r="IA80" s="7"/>
      <c r="IB80" s="1161"/>
      <c r="IC80" s="7"/>
      <c r="ID80" s="7"/>
      <c r="IE80" s="7"/>
      <c r="IF80" s="7"/>
      <c r="IG80" s="7"/>
      <c r="IH80" s="1161"/>
      <c r="II80" s="1161"/>
      <c r="IJ80" s="1161"/>
      <c r="IK80" s="1365"/>
      <c r="IL80" s="7"/>
      <c r="IM80" s="7"/>
      <c r="IN80" s="1365"/>
      <c r="IO80" s="1365"/>
      <c r="IR80" s="1158"/>
      <c r="IS80" s="1158"/>
      <c r="IT80" s="1158"/>
      <c r="IU80" s="7"/>
      <c r="IV80" s="7"/>
      <c r="IW80" s="7"/>
      <c r="IX80" s="7"/>
      <c r="IY80" s="1161"/>
      <c r="IZ80" s="7"/>
      <c r="JA80" s="7"/>
      <c r="JB80" s="7"/>
      <c r="JC80" s="7"/>
      <c r="JD80" s="7"/>
      <c r="JE80" s="1161"/>
      <c r="JF80" s="1161"/>
      <c r="JG80" s="1161"/>
      <c r="JH80" s="1365"/>
      <c r="JI80" s="7"/>
      <c r="JJ80" s="7"/>
      <c r="JK80" s="1365"/>
      <c r="JL80" s="1365"/>
      <c r="JN80" s="1158"/>
      <c r="JO80" s="1158"/>
      <c r="JP80" s="1158"/>
      <c r="JQ80" s="7"/>
      <c r="JR80" s="7"/>
      <c r="JS80" s="7"/>
      <c r="JT80" s="7"/>
      <c r="JU80" s="1363"/>
      <c r="JV80" s="1364"/>
      <c r="JW80" s="1364"/>
      <c r="JX80" s="1364"/>
      <c r="JY80" s="7"/>
      <c r="JZ80" s="7"/>
      <c r="KA80" s="1363"/>
      <c r="KB80" s="1363"/>
      <c r="KC80" s="1363"/>
      <c r="KD80" s="1365"/>
      <c r="KE80" s="7"/>
      <c r="KF80" s="7"/>
      <c r="KG80" s="1365"/>
      <c r="KH80" s="1365"/>
      <c r="KI80" s="299"/>
      <c r="KK80" s="1086"/>
      <c r="KL80" s="1086"/>
      <c r="KM80" s="1086"/>
      <c r="KN80" s="7"/>
      <c r="KO80" s="7"/>
      <c r="KP80" s="7"/>
      <c r="KQ80" s="7"/>
      <c r="KR80" s="1161"/>
      <c r="KS80" s="7"/>
      <c r="KT80" s="7"/>
      <c r="KU80" s="7"/>
      <c r="KV80" s="7"/>
      <c r="KW80" s="7"/>
      <c r="KX80" s="1161"/>
      <c r="KY80" s="1161"/>
      <c r="KZ80" s="1161"/>
      <c r="LA80" s="1365"/>
      <c r="LB80" s="7"/>
      <c r="LC80" s="7"/>
      <c r="LD80" s="1365"/>
      <c r="LE80" s="1365"/>
      <c r="LH80" s="1158"/>
      <c r="LI80" s="1158"/>
      <c r="LJ80" s="1158"/>
      <c r="LK80" s="7"/>
      <c r="LL80" s="7"/>
      <c r="LM80" s="7"/>
      <c r="LN80" s="7"/>
      <c r="LO80" s="1161"/>
      <c r="LP80" s="7"/>
      <c r="LQ80" s="7"/>
      <c r="LR80" s="7"/>
      <c r="LS80" s="7"/>
      <c r="LT80" s="7"/>
      <c r="LU80" s="1161"/>
      <c r="LV80" s="1161"/>
      <c r="LW80" s="1161"/>
      <c r="LX80" s="1365"/>
      <c r="LY80" s="7"/>
      <c r="LZ80" s="7"/>
      <c r="MA80" s="1365"/>
      <c r="MB80" s="1365"/>
      <c r="MD80" s="1158"/>
      <c r="ME80" s="1158"/>
      <c r="MF80" s="1158"/>
      <c r="MG80" s="7"/>
      <c r="MH80" s="7"/>
      <c r="MI80" s="7"/>
      <c r="MJ80" s="7"/>
      <c r="MK80" s="1363"/>
      <c r="ML80" s="1364"/>
      <c r="MM80" s="1364"/>
      <c r="MN80" s="1364"/>
      <c r="MO80" s="7"/>
      <c r="MP80" s="7"/>
      <c r="MQ80" s="1363"/>
      <c r="MR80" s="1363"/>
      <c r="MS80" s="1363"/>
      <c r="MT80" s="1365"/>
      <c r="MU80" s="7"/>
      <c r="MV80" s="7"/>
      <c r="MW80" s="1365"/>
      <c r="MX80" s="1365"/>
      <c r="MY80" s="299"/>
      <c r="NA80" s="1086"/>
      <c r="NB80" s="1086"/>
      <c r="NC80" s="1086"/>
      <c r="ND80" s="7"/>
      <c r="NE80" s="7"/>
      <c r="NF80" s="7"/>
      <c r="NG80" s="7"/>
      <c r="NH80" s="1161"/>
      <c r="NI80" s="7"/>
      <c r="NJ80" s="7"/>
      <c r="NK80" s="7"/>
      <c r="NL80" s="7"/>
      <c r="NM80" s="7"/>
      <c r="NN80" s="1161"/>
      <c r="NO80" s="1161"/>
      <c r="NP80" s="1161"/>
      <c r="NQ80" s="1365"/>
      <c r="NR80" s="7"/>
      <c r="NS80" s="7"/>
      <c r="NT80" s="1365"/>
      <c r="NU80" s="1365"/>
      <c r="NX80" s="1158"/>
      <c r="NY80" s="1158"/>
      <c r="NZ80" s="1158"/>
      <c r="OA80" s="7"/>
      <c r="OB80" s="7"/>
      <c r="OC80" s="7"/>
      <c r="OD80" s="7"/>
      <c r="OE80" s="1161"/>
      <c r="OF80" s="7"/>
      <c r="OG80" s="7"/>
      <c r="OH80" s="7"/>
      <c r="OI80" s="7"/>
      <c r="OJ80" s="7"/>
      <c r="OK80" s="1161"/>
      <c r="OL80" s="1161"/>
      <c r="OM80" s="1161"/>
      <c r="ON80" s="1365"/>
      <c r="OO80" s="7"/>
      <c r="OP80" s="7"/>
      <c r="OQ80" s="1365"/>
      <c r="OR80" s="1365"/>
      <c r="OT80" s="1158"/>
      <c r="OU80" s="1158"/>
      <c r="OV80" s="1158"/>
      <c r="OW80" s="7"/>
      <c r="OX80" s="7"/>
      <c r="OY80" s="7"/>
      <c r="OZ80" s="7"/>
      <c r="PA80" s="1363"/>
      <c r="PB80" s="1364"/>
      <c r="PC80" s="1364"/>
      <c r="PD80" s="1364"/>
      <c r="PE80" s="7"/>
      <c r="PF80" s="7"/>
      <c r="PG80" s="1363"/>
      <c r="PH80" s="1363"/>
      <c r="PI80" s="1363"/>
      <c r="PJ80" s="1365"/>
      <c r="PK80" s="7"/>
      <c r="PL80" s="7"/>
      <c r="PM80" s="1365"/>
      <c r="PN80" s="1365"/>
      <c r="PO80" s="299"/>
      <c r="PQ80" s="1086"/>
      <c r="PR80" s="1086"/>
      <c r="PS80" s="1086"/>
      <c r="PT80" s="7"/>
      <c r="PU80" s="7"/>
      <c r="PV80" s="7"/>
      <c r="PW80" s="7"/>
      <c r="PX80" s="1161"/>
      <c r="PY80" s="7"/>
      <c r="PZ80" s="7"/>
      <c r="QA80" s="7"/>
      <c r="QB80" s="7"/>
      <c r="QC80" s="7"/>
      <c r="QD80" s="1161"/>
      <c r="QE80" s="1161"/>
      <c r="QF80" s="1161"/>
      <c r="QG80" s="1365"/>
      <c r="QH80" s="7"/>
      <c r="QI80" s="7"/>
      <c r="QJ80" s="1365"/>
      <c r="QK80" s="1365"/>
      <c r="QN80" s="1158"/>
      <c r="QO80" s="1158"/>
      <c r="QP80" s="1158"/>
      <c r="QQ80" s="7"/>
      <c r="QR80" s="7"/>
      <c r="QS80" s="7"/>
      <c r="QT80" s="7"/>
      <c r="QU80" s="1161"/>
      <c r="QV80" s="7"/>
      <c r="QW80" s="7"/>
      <c r="QX80" s="7"/>
      <c r="QY80" s="7"/>
      <c r="QZ80" s="7"/>
      <c r="RA80" s="1161"/>
      <c r="RB80" s="1161"/>
      <c r="RC80" s="1161"/>
      <c r="RD80" s="1365"/>
      <c r="RE80" s="7"/>
      <c r="RF80" s="7"/>
      <c r="RG80" s="1365"/>
      <c r="RH80" s="1365"/>
      <c r="RJ80" s="1158"/>
      <c r="RK80" s="1158"/>
      <c r="RL80" s="1158"/>
      <c r="RM80" s="7"/>
      <c r="RN80" s="7"/>
      <c r="RO80" s="7"/>
      <c r="RP80" s="7"/>
      <c r="RQ80" s="1363"/>
      <c r="RR80" s="1364"/>
      <c r="RS80" s="1364"/>
      <c r="RT80" s="1364"/>
      <c r="RU80" s="7"/>
      <c r="RV80" s="7"/>
      <c r="RW80" s="1363"/>
      <c r="RX80" s="1363"/>
      <c r="RY80" s="1363"/>
      <c r="RZ80" s="1365"/>
      <c r="SA80" s="7"/>
      <c r="SB80" s="7"/>
      <c r="SC80" s="1365"/>
      <c r="SD80" s="1365"/>
      <c r="SE80" s="299"/>
      <c r="SG80" s="1086"/>
      <c r="SH80" s="1086"/>
      <c r="SI80" s="1086"/>
      <c r="SJ80" s="7"/>
      <c r="SK80" s="7"/>
      <c r="SL80" s="7"/>
      <c r="SM80" s="7"/>
      <c r="SN80" s="1161"/>
      <c r="SO80" s="7"/>
      <c r="SP80" s="7"/>
      <c r="SQ80" s="7"/>
      <c r="SR80" s="7"/>
      <c r="SS80" s="7"/>
      <c r="ST80" s="1161"/>
      <c r="SU80" s="1161"/>
      <c r="SV80" s="1161"/>
      <c r="SW80" s="1365"/>
      <c r="SX80" s="7"/>
      <c r="SY80" s="7"/>
      <c r="SZ80" s="1365"/>
      <c r="TA80" s="1365"/>
      <c r="TD80" s="1158"/>
      <c r="TE80" s="1158"/>
      <c r="TF80" s="1158"/>
      <c r="TG80" s="7"/>
      <c r="TH80" s="7"/>
      <c r="TI80" s="7"/>
      <c r="TJ80" s="7"/>
      <c r="TK80" s="1161"/>
      <c r="TL80" s="7"/>
      <c r="TM80" s="7"/>
      <c r="TN80" s="7"/>
      <c r="TO80" s="7"/>
      <c r="TP80" s="7"/>
      <c r="TQ80" s="1161"/>
      <c r="TR80" s="1161"/>
      <c r="TS80" s="1161"/>
      <c r="TT80" s="1365"/>
      <c r="TU80" s="7"/>
      <c r="TV80" s="7"/>
      <c r="TW80" s="1365"/>
      <c r="TX80" s="1365"/>
      <c r="TZ80" s="1158"/>
      <c r="UA80" s="1158"/>
      <c r="UB80" s="1158"/>
      <c r="UC80" s="7"/>
      <c r="UD80" s="7"/>
      <c r="UE80" s="7"/>
      <c r="UF80" s="7"/>
      <c r="UG80" s="1363"/>
      <c r="UH80" s="1364"/>
      <c r="UI80" s="1364"/>
      <c r="UJ80" s="1364"/>
      <c r="UK80" s="7"/>
      <c r="UL80" s="7"/>
      <c r="UM80" s="1363"/>
      <c r="UN80" s="1363"/>
      <c r="UO80" s="1363"/>
      <c r="UP80" s="1365"/>
      <c r="UQ80" s="7"/>
      <c r="UR80" s="7"/>
      <c r="US80" s="1365"/>
      <c r="UT80" s="1365"/>
      <c r="UU80" s="299"/>
      <c r="UW80" s="1086"/>
      <c r="UX80" s="1086"/>
      <c r="UY80" s="1086"/>
      <c r="UZ80" s="7"/>
      <c r="VA80" s="7"/>
      <c r="VB80" s="7"/>
      <c r="VC80" s="7"/>
      <c r="VD80" s="1161"/>
      <c r="VE80" s="7"/>
      <c r="VF80" s="7"/>
      <c r="VG80" s="7"/>
      <c r="VH80" s="7"/>
      <c r="VI80" s="7"/>
      <c r="VJ80" s="1161"/>
      <c r="VK80" s="1161"/>
      <c r="VL80" s="1161"/>
      <c r="VM80" s="1365"/>
      <c r="VN80" s="7"/>
      <c r="VO80" s="7"/>
      <c r="VP80" s="1365"/>
      <c r="VQ80" s="1365"/>
      <c r="VT80" s="1158"/>
      <c r="VU80" s="1158"/>
      <c r="VV80" s="1158"/>
      <c r="VW80" s="7"/>
      <c r="VX80" s="7"/>
      <c r="VY80" s="7"/>
      <c r="VZ80" s="7"/>
      <c r="WA80" s="1161"/>
      <c r="WB80" s="7"/>
      <c r="WC80" s="7"/>
      <c r="WD80" s="7"/>
      <c r="WE80" s="7"/>
      <c r="WF80" s="7"/>
      <c r="WG80" s="1161"/>
      <c r="WH80" s="1161"/>
      <c r="WI80" s="1161"/>
      <c r="WJ80" s="1365"/>
      <c r="WK80" s="7"/>
      <c r="WL80" s="7"/>
      <c r="WM80" s="1365"/>
      <c r="WN80" s="1365"/>
      <c r="WP80" s="1158"/>
      <c r="WQ80" s="1158"/>
      <c r="WR80" s="1158"/>
      <c r="WS80" s="7"/>
      <c r="WT80" s="7"/>
      <c r="WU80" s="7"/>
      <c r="WV80" s="7"/>
      <c r="WW80" s="1363"/>
      <c r="WX80" s="1364"/>
      <c r="WY80" s="1364"/>
      <c r="WZ80" s="1364"/>
      <c r="XA80" s="7"/>
      <c r="XB80" s="7"/>
      <c r="XC80" s="1363"/>
      <c r="XD80" s="1363"/>
      <c r="XE80" s="1363"/>
      <c r="XF80" s="1365"/>
      <c r="XG80" s="7"/>
      <c r="XH80" s="7"/>
      <c r="XI80" s="1365"/>
      <c r="XJ80" s="1365"/>
      <c r="XK80" s="299"/>
      <c r="XM80" s="1086"/>
      <c r="XN80" s="1086"/>
      <c r="XO80" s="1086"/>
      <c r="XP80" s="7"/>
      <c r="XQ80" s="7"/>
      <c r="XR80" s="7"/>
      <c r="XS80" s="7"/>
      <c r="XT80" s="1161"/>
      <c r="XU80" s="7"/>
      <c r="XV80" s="7"/>
      <c r="XW80" s="7"/>
      <c r="XX80" s="7"/>
      <c r="XY80" s="7"/>
      <c r="XZ80" s="1161"/>
      <c r="YA80" s="1161"/>
      <c r="YB80" s="1161"/>
      <c r="YC80" s="1365"/>
      <c r="YD80" s="7"/>
      <c r="YE80" s="7"/>
      <c r="YF80" s="1365"/>
      <c r="YG80" s="1365"/>
      <c r="YJ80" s="1158"/>
      <c r="YK80" s="1158"/>
      <c r="YL80" s="1158"/>
      <c r="YM80" s="7"/>
      <c r="YN80" s="7"/>
      <c r="YO80" s="7"/>
      <c r="YP80" s="7"/>
      <c r="YQ80" s="1161"/>
      <c r="YR80" s="7"/>
      <c r="YS80" s="7"/>
      <c r="YT80" s="7"/>
      <c r="YU80" s="7"/>
      <c r="YV80" s="7"/>
      <c r="YW80" s="1161"/>
      <c r="YX80" s="1161"/>
      <c r="YY80" s="1161"/>
      <c r="YZ80" s="1365"/>
      <c r="ZA80" s="7"/>
      <c r="ZB80" s="7"/>
      <c r="ZC80" s="1365"/>
      <c r="ZD80" s="1365"/>
      <c r="ZF80" s="1158"/>
      <c r="ZG80" s="1158"/>
      <c r="ZH80" s="1158"/>
      <c r="ZI80" s="7"/>
      <c r="ZJ80" s="7"/>
      <c r="ZK80" s="7"/>
      <c r="ZL80" s="7"/>
      <c r="ZM80" s="1363"/>
      <c r="ZN80" s="1364"/>
      <c r="ZO80" s="1364"/>
      <c r="ZP80" s="1364"/>
      <c r="ZQ80" s="7"/>
      <c r="ZR80" s="7"/>
      <c r="ZS80" s="1363"/>
      <c r="ZT80" s="1363"/>
      <c r="ZU80" s="1363"/>
      <c r="ZV80" s="1365"/>
      <c r="ZW80" s="7"/>
      <c r="ZX80" s="7"/>
      <c r="ZY80" s="1365"/>
      <c r="ZZ80" s="1365"/>
      <c r="AAA80" s="299"/>
      <c r="AAC80" s="1086"/>
      <c r="AAD80" s="1086"/>
      <c r="AAE80" s="1086"/>
      <c r="AAF80" s="7"/>
      <c r="AAG80" s="7"/>
      <c r="AAH80" s="7"/>
      <c r="AAI80" s="7"/>
      <c r="AAJ80" s="1161"/>
      <c r="AAK80" s="7"/>
      <c r="AAL80" s="7"/>
      <c r="AAM80" s="7"/>
      <c r="AAN80" s="7"/>
      <c r="AAO80" s="7"/>
      <c r="AAP80" s="1161"/>
      <c r="AAQ80" s="1161"/>
      <c r="AAR80" s="1161"/>
      <c r="AAS80" s="1365"/>
      <c r="AAT80" s="7"/>
      <c r="AAU80" s="7"/>
      <c r="AAV80" s="1365"/>
      <c r="AAW80" s="1365"/>
      <c r="AAZ80" s="1158"/>
      <c r="ABA80" s="1158"/>
      <c r="ABB80" s="1158"/>
      <c r="ABC80" s="7"/>
      <c r="ABD80" s="7"/>
      <c r="ABE80" s="7"/>
      <c r="ABF80" s="7"/>
      <c r="ABG80" s="1161"/>
      <c r="ABH80" s="7"/>
      <c r="ABI80" s="7"/>
      <c r="ABJ80" s="7"/>
      <c r="ABK80" s="7"/>
      <c r="ABL80" s="7"/>
      <c r="ABM80" s="1161"/>
      <c r="ABN80" s="1161"/>
      <c r="ABO80" s="1161"/>
      <c r="ABP80" s="1365"/>
      <c r="ABQ80" s="7"/>
      <c r="ABR80" s="7"/>
      <c r="ABS80" s="1365"/>
      <c r="ABT80" s="1365"/>
      <c r="ABV80" s="1158"/>
      <c r="ABW80" s="1158"/>
      <c r="ABX80" s="1158"/>
      <c r="ABY80" s="7"/>
      <c r="ABZ80" s="7"/>
      <c r="ACA80" s="7"/>
      <c r="ACB80" s="7"/>
      <c r="ACC80" s="1363"/>
      <c r="ACD80" s="1364"/>
      <c r="ACE80" s="1364"/>
      <c r="ACF80" s="1364"/>
      <c r="ACG80" s="7"/>
      <c r="ACH80" s="7"/>
      <c r="ACI80" s="1363"/>
      <c r="ACJ80" s="1363"/>
      <c r="ACK80" s="1363"/>
      <c r="ACL80" s="1365"/>
      <c r="ACM80" s="7"/>
      <c r="ACN80" s="7"/>
      <c r="ACO80" s="1365"/>
      <c r="ACP80" s="1365"/>
      <c r="ACQ80" s="299"/>
      <c r="ACS80" s="1086"/>
      <c r="ACT80" s="1086"/>
      <c r="ACU80" s="1086"/>
      <c r="ACV80" s="7"/>
      <c r="ACW80" s="7"/>
      <c r="ACX80" s="7"/>
      <c r="ACY80" s="7"/>
      <c r="ACZ80" s="1161"/>
      <c r="ADA80" s="7"/>
      <c r="ADB80" s="7"/>
      <c r="ADC80" s="7"/>
      <c r="ADD80" s="7"/>
      <c r="ADE80" s="7"/>
      <c r="ADF80" s="1161"/>
      <c r="ADG80" s="1161"/>
      <c r="ADH80" s="1161"/>
      <c r="ADI80" s="1365"/>
      <c r="ADJ80" s="7"/>
      <c r="ADK80" s="7"/>
      <c r="ADL80" s="1365"/>
      <c r="ADM80" s="1365"/>
      <c r="ADP80" s="1158"/>
      <c r="ADQ80" s="1158"/>
      <c r="ADR80" s="1158"/>
      <c r="ADS80" s="7"/>
      <c r="ADT80" s="7"/>
      <c r="ADU80" s="7"/>
      <c r="ADV80" s="7"/>
      <c r="ADW80" s="1161"/>
      <c r="ADX80" s="7"/>
      <c r="ADY80" s="7"/>
      <c r="ADZ80" s="7"/>
      <c r="AEA80" s="7"/>
      <c r="AEB80" s="7"/>
      <c r="AEC80" s="1161"/>
      <c r="AED80" s="1161"/>
      <c r="AEE80" s="1161"/>
      <c r="AEF80" s="1365"/>
      <c r="AEG80" s="7"/>
      <c r="AEH80" s="7"/>
      <c r="AEI80" s="1365"/>
      <c r="AEJ80" s="1365"/>
      <c r="AEL80" s="1158"/>
      <c r="AEM80" s="1158"/>
      <c r="AEN80" s="1158"/>
      <c r="AEO80" s="7"/>
      <c r="AEP80" s="7"/>
      <c r="AEQ80" s="7"/>
      <c r="AER80" s="7"/>
      <c r="AES80" s="1363"/>
      <c r="AET80" s="1364"/>
      <c r="AEU80" s="1364"/>
      <c r="AEV80" s="1364"/>
      <c r="AEW80" s="7"/>
      <c r="AEX80" s="7"/>
      <c r="AEY80" s="1363"/>
      <c r="AEZ80" s="1363"/>
      <c r="AFA80" s="1363"/>
      <c r="AFB80" s="1365"/>
      <c r="AFC80" s="7"/>
      <c r="AFD80" s="7"/>
      <c r="AFE80" s="1365"/>
      <c r="AFF80" s="1365"/>
      <c r="AFG80" s="299"/>
      <c r="AFI80" s="1086"/>
      <c r="AFJ80" s="1086"/>
      <c r="AFK80" s="1086"/>
      <c r="AFL80" s="7"/>
      <c r="AFM80" s="7"/>
      <c r="AFN80" s="7"/>
      <c r="AFO80" s="7"/>
      <c r="AFP80" s="1161"/>
      <c r="AFQ80" s="7"/>
      <c r="AFR80" s="7"/>
      <c r="AFS80" s="7"/>
      <c r="AFT80" s="7"/>
      <c r="AFU80" s="7"/>
      <c r="AFV80" s="1161"/>
      <c r="AFW80" s="1161"/>
      <c r="AFX80" s="1161"/>
      <c r="AFY80" s="1365"/>
      <c r="AFZ80" s="7"/>
      <c r="AGA80" s="7"/>
      <c r="AGB80" s="1365"/>
      <c r="AGC80" s="1365"/>
      <c r="AGF80" s="1158"/>
      <c r="AGG80" s="1158"/>
      <c r="AGH80" s="1158"/>
      <c r="AGI80" s="7"/>
      <c r="AGJ80" s="7"/>
      <c r="AGK80" s="7"/>
      <c r="AGL80" s="7"/>
      <c r="AGM80" s="1161"/>
      <c r="AGN80" s="7"/>
      <c r="AGO80" s="7"/>
      <c r="AGP80" s="7"/>
      <c r="AGQ80" s="7"/>
      <c r="AGR80" s="7"/>
      <c r="AGS80" s="1161"/>
      <c r="AGT80" s="1161"/>
      <c r="AGU80" s="1161"/>
      <c r="AGV80" s="1365"/>
      <c r="AGW80" s="7"/>
      <c r="AGX80" s="7"/>
      <c r="AGY80" s="1365"/>
      <c r="AGZ80" s="1365"/>
      <c r="AHB80" s="1158"/>
      <c r="AHC80" s="1158"/>
      <c r="AHD80" s="1158"/>
      <c r="AHE80" s="7"/>
      <c r="AHF80" s="7"/>
      <c r="AHG80" s="7"/>
      <c r="AHH80" s="7"/>
      <c r="AHI80" s="1363"/>
      <c r="AHJ80" s="1364"/>
      <c r="AHK80" s="1364"/>
      <c r="AHL80" s="1364"/>
      <c r="AHM80" s="7"/>
      <c r="AHN80" s="7"/>
      <c r="AHO80" s="1363"/>
      <c r="AHP80" s="1363"/>
      <c r="AHQ80" s="1363"/>
      <c r="AHR80" s="1365"/>
      <c r="AHS80" s="7"/>
      <c r="AHT80" s="7"/>
      <c r="AHU80" s="1365"/>
      <c r="AHV80" s="1365"/>
      <c r="AHW80" s="299"/>
      <c r="AHY80" s="1086"/>
      <c r="AHZ80" s="1086"/>
      <c r="AIA80" s="1086"/>
      <c r="AIB80" s="7"/>
      <c r="AIC80" s="7"/>
      <c r="AID80" s="7"/>
      <c r="AIE80" s="7"/>
      <c r="AIF80" s="1161"/>
      <c r="AIG80" s="7"/>
      <c r="AIH80" s="7"/>
      <c r="AII80" s="7"/>
      <c r="AIJ80" s="7"/>
      <c r="AIK80" s="7"/>
      <c r="AIL80" s="1161"/>
      <c r="AIM80" s="1161"/>
      <c r="AIN80" s="1161"/>
      <c r="AIO80" s="1365"/>
      <c r="AIP80" s="7"/>
      <c r="AIQ80" s="7"/>
      <c r="AIR80" s="1365"/>
      <c r="AIS80" s="1365"/>
      <c r="AIV80" s="1158"/>
      <c r="AIW80" s="1158"/>
      <c r="AIX80" s="1158"/>
      <c r="AIY80" s="7"/>
      <c r="AIZ80" s="7"/>
      <c r="AJA80" s="7"/>
      <c r="AJB80" s="7"/>
      <c r="AJC80" s="1161"/>
      <c r="AJD80" s="7"/>
      <c r="AJE80" s="7"/>
      <c r="AJF80" s="7"/>
      <c r="AJG80" s="7"/>
      <c r="AJH80" s="7"/>
      <c r="AJI80" s="1161"/>
      <c r="AJJ80" s="1161"/>
      <c r="AJK80" s="1161"/>
      <c r="AJL80" s="1365"/>
      <c r="AJM80" s="7"/>
      <c r="AJN80" s="7"/>
      <c r="AJO80" s="1365"/>
      <c r="AJP80" s="1365"/>
      <c r="AJR80" s="1158"/>
      <c r="AJS80" s="1158"/>
      <c r="AJT80" s="1158"/>
      <c r="AJU80" s="7"/>
      <c r="AJV80" s="7"/>
      <c r="AJW80" s="7"/>
      <c r="AJX80" s="7"/>
      <c r="AJY80" s="1363"/>
      <c r="AJZ80" s="1364"/>
      <c r="AKA80" s="1364"/>
      <c r="AKB80" s="1364"/>
      <c r="AKC80" s="7"/>
      <c r="AKD80" s="7"/>
      <c r="AKE80" s="1363"/>
      <c r="AKF80" s="1363"/>
      <c r="AKG80" s="1363"/>
      <c r="AKH80" s="1365"/>
      <c r="AKI80" s="7"/>
      <c r="AKJ80" s="7"/>
      <c r="AKK80" s="1365"/>
      <c r="AKL80" s="1365"/>
      <c r="AKM80" s="299"/>
      <c r="AKO80" s="1086"/>
      <c r="AKP80" s="1086"/>
      <c r="AKQ80" s="1086"/>
      <c r="AKR80" s="7"/>
      <c r="AKS80" s="7"/>
      <c r="AKT80" s="7"/>
      <c r="AKU80" s="7"/>
      <c r="AKV80" s="1161"/>
      <c r="AKW80" s="7"/>
      <c r="AKX80" s="7"/>
      <c r="AKY80" s="7"/>
      <c r="AKZ80" s="7"/>
      <c r="ALA80" s="7"/>
      <c r="ALB80" s="1161"/>
      <c r="ALC80" s="1161"/>
      <c r="ALD80" s="1161"/>
      <c r="ALE80" s="1365"/>
      <c r="ALF80" s="7"/>
      <c r="ALG80" s="7"/>
      <c r="ALH80" s="1365"/>
      <c r="ALI80" s="1365"/>
      <c r="ALL80" s="1158"/>
      <c r="ALM80" s="1158"/>
      <c r="ALN80" s="1158"/>
      <c r="ALO80" s="7"/>
      <c r="ALP80" s="7"/>
      <c r="ALQ80" s="7"/>
      <c r="ALR80" s="7"/>
      <c r="ALS80" s="1161"/>
      <c r="ALT80" s="7"/>
      <c r="ALU80" s="7"/>
      <c r="ALV80" s="7"/>
      <c r="ALW80" s="7"/>
      <c r="ALX80" s="7"/>
      <c r="ALY80" s="1161"/>
      <c r="ALZ80" s="1161"/>
      <c r="AMA80" s="1161"/>
      <c r="AMB80" s="1365"/>
      <c r="AMC80" s="7"/>
      <c r="AMD80" s="7"/>
      <c r="AME80" s="1365"/>
      <c r="AMF80" s="1365"/>
      <c r="AMH80" s="1158"/>
      <c r="AMI80" s="1158"/>
      <c r="AMJ80" s="1158"/>
      <c r="AMK80" s="7"/>
      <c r="AML80" s="7"/>
      <c r="AMM80" s="7"/>
      <c r="AMN80" s="7"/>
      <c r="AMO80" s="1363"/>
      <c r="AMP80" s="1364"/>
      <c r="AMQ80" s="1364"/>
      <c r="AMR80" s="1364"/>
      <c r="AMS80" s="7"/>
      <c r="AMT80" s="7"/>
      <c r="AMU80" s="1363"/>
      <c r="AMV80" s="1363"/>
      <c r="AMW80" s="1363"/>
      <c r="AMX80" s="1365"/>
      <c r="AMY80" s="7"/>
      <c r="AMZ80" s="7"/>
      <c r="ANA80" s="1365"/>
      <c r="ANB80" s="1365"/>
      <c r="ANC80" s="299"/>
      <c r="ANE80" s="1086"/>
      <c r="ANF80" s="1086"/>
      <c r="ANG80" s="1086"/>
      <c r="ANH80" s="7"/>
      <c r="ANI80" s="7"/>
      <c r="ANJ80" s="7"/>
      <c r="ANK80" s="7"/>
      <c r="ANL80" s="1161"/>
      <c r="ANM80" s="7"/>
      <c r="ANN80" s="7"/>
      <c r="ANO80" s="7"/>
      <c r="ANP80" s="7"/>
      <c r="ANQ80" s="7"/>
      <c r="ANR80" s="1161"/>
      <c r="ANS80" s="1161"/>
      <c r="ANT80" s="1161"/>
      <c r="ANU80" s="1365"/>
      <c r="ANV80" s="7"/>
      <c r="ANW80" s="7"/>
      <c r="ANX80" s="1365"/>
      <c r="ANY80" s="1365"/>
      <c r="AOB80" s="1158"/>
      <c r="AOC80" s="1158"/>
      <c r="AOD80" s="1158"/>
      <c r="AOE80" s="7"/>
      <c r="AOF80" s="7"/>
      <c r="AOG80" s="7"/>
      <c r="AOH80" s="7"/>
      <c r="AOI80" s="1161"/>
      <c r="AOJ80" s="7"/>
      <c r="AOK80" s="7"/>
      <c r="AOL80" s="7"/>
      <c r="AOM80" s="7"/>
      <c r="AON80" s="7"/>
      <c r="AOO80" s="1161"/>
      <c r="AOP80" s="1161"/>
      <c r="AOQ80" s="1161"/>
      <c r="AOR80" s="1365"/>
      <c r="AOS80" s="7"/>
      <c r="AOT80" s="7"/>
      <c r="AOU80" s="1365"/>
      <c r="AOV80" s="1365"/>
      <c r="AOX80" s="1158"/>
      <c r="AOY80" s="1158"/>
      <c r="AOZ80" s="1158"/>
      <c r="APA80" s="7"/>
      <c r="APB80" s="7"/>
      <c r="APC80" s="7"/>
      <c r="APD80" s="7"/>
      <c r="APE80" s="1363"/>
      <c r="APF80" s="1364"/>
      <c r="APG80" s="1364"/>
      <c r="APH80" s="1364"/>
      <c r="API80" s="7"/>
      <c r="APJ80" s="7"/>
      <c r="APK80" s="1363"/>
      <c r="APL80" s="1363"/>
      <c r="APM80" s="1363"/>
      <c r="APN80" s="1365"/>
      <c r="APO80" s="7"/>
      <c r="APP80" s="7"/>
      <c r="APQ80" s="1365"/>
      <c r="APR80" s="1365"/>
      <c r="APS80" s="299"/>
      <c r="APU80" s="1086"/>
      <c r="APV80" s="1086"/>
      <c r="APW80" s="1086"/>
      <c r="APX80" s="7"/>
      <c r="APY80" s="7"/>
      <c r="APZ80" s="7"/>
      <c r="AQA80" s="7"/>
      <c r="AQB80" s="1161"/>
      <c r="AQC80" s="7"/>
      <c r="AQD80" s="7"/>
      <c r="AQE80" s="7"/>
      <c r="AQF80" s="7"/>
      <c r="AQG80" s="7"/>
      <c r="AQH80" s="1161"/>
      <c r="AQI80" s="1161"/>
      <c r="AQJ80" s="1161"/>
      <c r="AQK80" s="1365"/>
      <c r="AQL80" s="7"/>
      <c r="AQM80" s="7"/>
      <c r="AQN80" s="1365"/>
      <c r="AQO80" s="1365"/>
      <c r="AQR80" s="1158"/>
      <c r="AQS80" s="1158"/>
      <c r="AQT80" s="1158"/>
      <c r="AQU80" s="7"/>
      <c r="AQV80" s="7"/>
      <c r="AQW80" s="7"/>
      <c r="AQX80" s="7"/>
      <c r="AQY80" s="1161"/>
      <c r="AQZ80" s="7"/>
      <c r="ARA80" s="7"/>
      <c r="ARB80" s="7"/>
      <c r="ARC80" s="7"/>
      <c r="ARD80" s="7"/>
      <c r="ARE80" s="1161"/>
      <c r="ARF80" s="1161"/>
      <c r="ARG80" s="1161"/>
      <c r="ARH80" s="1365"/>
      <c r="ARI80" s="7"/>
      <c r="ARJ80" s="7"/>
      <c r="ARK80" s="1365"/>
      <c r="ARL80" s="1365"/>
      <c r="ARN80" s="1158"/>
      <c r="ARO80" s="1158"/>
      <c r="ARP80" s="1158"/>
      <c r="ARQ80" s="7"/>
      <c r="ARR80" s="7"/>
      <c r="ARS80" s="7"/>
      <c r="ART80" s="7"/>
      <c r="ARU80" s="1363"/>
      <c r="ARV80" s="1364"/>
      <c r="ARW80" s="1364"/>
      <c r="ARX80" s="1364"/>
      <c r="ARY80" s="7"/>
      <c r="ARZ80" s="7"/>
      <c r="ASA80" s="1363"/>
      <c r="ASB80" s="1363"/>
      <c r="ASC80" s="1363"/>
      <c r="ASD80" s="1365"/>
      <c r="ASE80" s="7"/>
      <c r="ASF80" s="7"/>
      <c r="ASG80" s="1365"/>
      <c r="ASH80" s="1365"/>
      <c r="ASI80" s="299"/>
      <c r="ASK80" s="1086"/>
      <c r="ASL80" s="1086"/>
      <c r="ASM80" s="1086"/>
      <c r="ASN80" s="7"/>
      <c r="ASO80" s="7"/>
      <c r="ASP80" s="7"/>
      <c r="ASQ80" s="7"/>
      <c r="ASR80" s="1161"/>
      <c r="ASS80" s="7"/>
      <c r="AST80" s="7"/>
      <c r="ASU80" s="7"/>
      <c r="ASV80" s="7"/>
      <c r="ASW80" s="7"/>
      <c r="ASX80" s="1161"/>
      <c r="ASY80" s="1161"/>
      <c r="ASZ80" s="1161"/>
      <c r="ATA80" s="1365"/>
      <c r="ATB80" s="7"/>
      <c r="ATC80" s="7"/>
      <c r="ATD80" s="1365"/>
      <c r="ATE80" s="1365"/>
      <c r="ATH80" s="1158"/>
      <c r="ATI80" s="1158"/>
      <c r="ATJ80" s="1158"/>
      <c r="ATK80" s="7"/>
      <c r="ATL80" s="7"/>
      <c r="ATM80" s="7"/>
      <c r="ATN80" s="7"/>
      <c r="ATO80" s="1161"/>
      <c r="ATP80" s="7"/>
      <c r="ATQ80" s="7"/>
      <c r="ATR80" s="7"/>
      <c r="ATS80" s="7"/>
      <c r="ATT80" s="7"/>
      <c r="ATU80" s="1161"/>
      <c r="ATV80" s="1161"/>
      <c r="ATW80" s="1161"/>
      <c r="ATX80" s="1365"/>
      <c r="ATY80" s="7"/>
      <c r="ATZ80" s="7"/>
      <c r="AUA80" s="1365"/>
      <c r="AUB80" s="1365"/>
      <c r="AUD80" s="1158"/>
      <c r="AUE80" s="1158"/>
      <c r="AUF80" s="1158"/>
      <c r="AUG80" s="7"/>
      <c r="AUH80" s="7"/>
      <c r="AUI80" s="7"/>
      <c r="AUJ80" s="7"/>
      <c r="AUK80" s="1363"/>
      <c r="AUL80" s="1364"/>
      <c r="AUM80" s="1364"/>
      <c r="AUN80" s="1364"/>
      <c r="AUO80" s="7"/>
      <c r="AUP80" s="7"/>
      <c r="AUQ80" s="1363"/>
      <c r="AUR80" s="1363"/>
      <c r="AUS80" s="1363"/>
      <c r="AUT80" s="1365"/>
      <c r="AUU80" s="7"/>
      <c r="AUV80" s="7"/>
      <c r="AUW80" s="1365"/>
      <c r="AUX80" s="1365"/>
      <c r="AUY80" s="299"/>
      <c r="AVA80" s="1086"/>
      <c r="AVB80" s="1086"/>
      <c r="AVC80" s="1086"/>
      <c r="AVD80" s="7"/>
      <c r="AVE80" s="7"/>
      <c r="AVF80" s="7"/>
      <c r="AVG80" s="7"/>
      <c r="AVH80" s="1161"/>
      <c r="AVI80" s="7"/>
      <c r="AVJ80" s="7"/>
      <c r="AVK80" s="7"/>
      <c r="AVL80" s="7"/>
      <c r="AVM80" s="7"/>
      <c r="AVN80" s="1161"/>
      <c r="AVO80" s="1161"/>
      <c r="AVP80" s="1161"/>
      <c r="AVQ80" s="1365"/>
      <c r="AVR80" s="7"/>
      <c r="AVS80" s="7"/>
      <c r="AVT80" s="1365"/>
      <c r="AVU80" s="1365"/>
      <c r="AVX80" s="1158"/>
      <c r="AVY80" s="1158"/>
      <c r="AVZ80" s="1158"/>
      <c r="AWA80" s="7"/>
      <c r="AWB80" s="7"/>
      <c r="AWC80" s="7"/>
      <c r="AWD80" s="7"/>
      <c r="AWE80" s="1161"/>
      <c r="AWF80" s="7"/>
      <c r="AWG80" s="7"/>
      <c r="AWH80" s="7"/>
      <c r="AWI80" s="7"/>
      <c r="AWJ80" s="7"/>
      <c r="AWK80" s="1161"/>
      <c r="AWL80" s="1161"/>
      <c r="AWM80" s="1161"/>
      <c r="AWN80" s="1365"/>
      <c r="AWO80" s="7"/>
      <c r="AWP80" s="7"/>
      <c r="AWQ80" s="1365"/>
      <c r="AWR80" s="1365"/>
      <c r="AWT80" s="1158"/>
      <c r="AWU80" s="1158"/>
      <c r="AWV80" s="1158"/>
      <c r="AWW80" s="7"/>
      <c r="AWX80" s="7"/>
      <c r="AWY80" s="7"/>
      <c r="AWZ80" s="7"/>
      <c r="AXA80" s="1363"/>
      <c r="AXB80" s="1364"/>
      <c r="AXC80" s="1364"/>
      <c r="AXD80" s="1364"/>
      <c r="AXE80" s="7"/>
      <c r="AXF80" s="7"/>
      <c r="AXG80" s="1363"/>
      <c r="AXH80" s="1363"/>
      <c r="AXI80" s="1363"/>
      <c r="AXJ80" s="1365"/>
      <c r="AXK80" s="7"/>
      <c r="AXL80" s="7"/>
      <c r="AXM80" s="1365"/>
      <c r="AXN80" s="1365"/>
      <c r="AXO80" s="299"/>
      <c r="AXQ80" s="1086"/>
      <c r="AXR80" s="1086"/>
      <c r="AXS80" s="1086"/>
      <c r="AXT80" s="7"/>
      <c r="AXU80" s="7"/>
      <c r="AXV80" s="7"/>
      <c r="AXW80" s="7"/>
      <c r="AXX80" s="1161"/>
      <c r="AXY80" s="7"/>
      <c r="AXZ80" s="7"/>
      <c r="AYA80" s="7"/>
      <c r="AYB80" s="7"/>
      <c r="AYC80" s="7"/>
      <c r="AYD80" s="1161"/>
      <c r="AYE80" s="1161"/>
      <c r="AYF80" s="1161"/>
      <c r="AYG80" s="1365"/>
      <c r="AYH80" s="7"/>
      <c r="AYI80" s="7"/>
      <c r="AYJ80" s="1365"/>
      <c r="AYK80" s="1365"/>
      <c r="AYN80" s="1158"/>
      <c r="AYO80" s="1158"/>
      <c r="AYP80" s="1158"/>
      <c r="AYQ80" s="7"/>
      <c r="AYR80" s="7"/>
      <c r="AYS80" s="7"/>
      <c r="AYT80" s="7"/>
      <c r="AYU80" s="1161"/>
      <c r="AYV80" s="7"/>
      <c r="AYW80" s="7"/>
      <c r="AYX80" s="7"/>
      <c r="AYY80" s="7"/>
      <c r="AYZ80" s="7"/>
      <c r="AZA80" s="1161"/>
      <c r="AZB80" s="1161"/>
      <c r="AZC80" s="1161"/>
      <c r="AZD80" s="1365"/>
      <c r="AZE80" s="7"/>
      <c r="AZF80" s="7"/>
      <c r="AZG80" s="1365"/>
      <c r="AZH80" s="1365"/>
      <c r="AZJ80" s="1158"/>
      <c r="AZK80" s="1158"/>
      <c r="AZL80" s="1158"/>
      <c r="AZM80" s="7"/>
      <c r="AZN80" s="7"/>
      <c r="AZO80" s="7"/>
      <c r="AZP80" s="7"/>
      <c r="AZQ80" s="1363"/>
      <c r="AZR80" s="1364"/>
      <c r="AZS80" s="1364"/>
      <c r="AZT80" s="1364"/>
      <c r="AZU80" s="7"/>
      <c r="AZV80" s="7"/>
      <c r="AZW80" s="1363"/>
      <c r="AZX80" s="1363"/>
      <c r="AZY80" s="1363"/>
      <c r="AZZ80" s="1365"/>
      <c r="BAA80" s="7"/>
      <c r="BAB80" s="7"/>
      <c r="BAC80" s="1365"/>
      <c r="BAD80" s="1365"/>
      <c r="BAE80" s="299"/>
      <c r="BAG80" s="1086"/>
      <c r="BAH80" s="1086"/>
      <c r="BAI80" s="1086"/>
      <c r="BAJ80" s="7"/>
      <c r="BAK80" s="7"/>
      <c r="BAL80" s="7"/>
      <c r="BAM80" s="7"/>
      <c r="BAN80" s="1161"/>
      <c r="BAO80" s="7"/>
      <c r="BAP80" s="7"/>
      <c r="BAQ80" s="7"/>
      <c r="BAR80" s="7"/>
      <c r="BAS80" s="7"/>
      <c r="BAT80" s="1161"/>
      <c r="BAU80" s="1161"/>
      <c r="BAV80" s="1161"/>
      <c r="BAW80" s="1365"/>
      <c r="BAX80" s="7"/>
      <c r="BAY80" s="7"/>
      <c r="BAZ80" s="1365"/>
      <c r="BBA80" s="1365"/>
      <c r="BBD80" s="1158"/>
      <c r="BBE80" s="1158"/>
      <c r="BBF80" s="1158"/>
      <c r="BBG80" s="7"/>
      <c r="BBH80" s="7"/>
      <c r="BBI80" s="7"/>
      <c r="BBJ80" s="7"/>
      <c r="BBK80" s="1161"/>
      <c r="BBL80" s="7"/>
      <c r="BBM80" s="7"/>
      <c r="BBN80" s="7"/>
      <c r="BBO80" s="7"/>
      <c r="BBP80" s="7"/>
      <c r="BBQ80" s="1161"/>
      <c r="BBR80" s="1161"/>
      <c r="BBS80" s="1161"/>
      <c r="BBT80" s="1365"/>
      <c r="BBU80" s="7"/>
      <c r="BBV80" s="7"/>
      <c r="BBW80" s="1365"/>
      <c r="BBX80" s="1365"/>
      <c r="BBZ80" s="1158"/>
      <c r="BCA80" s="1158"/>
      <c r="BCB80" s="1158"/>
      <c r="BCC80" s="7"/>
      <c r="BCD80" s="7"/>
      <c r="BCE80" s="7"/>
      <c r="BCF80" s="7"/>
      <c r="BCG80" s="1363"/>
      <c r="BCH80" s="1364"/>
      <c r="BCI80" s="1364"/>
      <c r="BCJ80" s="1364"/>
      <c r="BCK80" s="7"/>
      <c r="BCL80" s="7"/>
      <c r="BCM80" s="1363"/>
      <c r="BCN80" s="1363"/>
      <c r="BCO80" s="1363"/>
      <c r="BCP80" s="1365"/>
      <c r="BCQ80" s="7"/>
      <c r="BCR80" s="7"/>
      <c r="BCS80" s="1365"/>
      <c r="BCT80" s="1365"/>
      <c r="BCU80" s="299"/>
      <c r="BCW80" s="1086"/>
      <c r="BCX80" s="1086"/>
      <c r="BCY80" s="1086"/>
      <c r="BCZ80" s="7"/>
      <c r="BDA80" s="7"/>
      <c r="BDB80" s="7"/>
      <c r="BDC80" s="7"/>
      <c r="BDD80" s="1161"/>
      <c r="BDE80" s="7"/>
      <c r="BDF80" s="7"/>
      <c r="BDG80" s="7"/>
      <c r="BDH80" s="7"/>
      <c r="BDI80" s="7"/>
      <c r="BDJ80" s="1161"/>
      <c r="BDK80" s="1161"/>
      <c r="BDL80" s="1161"/>
      <c r="BDM80" s="1365"/>
      <c r="BDN80" s="7"/>
      <c r="BDO80" s="7"/>
      <c r="BDP80" s="1365"/>
      <c r="BDQ80" s="1365"/>
      <c r="BDT80" s="1158"/>
      <c r="BDU80" s="1158"/>
      <c r="BDV80" s="1158"/>
      <c r="BDW80" s="7"/>
      <c r="BDX80" s="7"/>
      <c r="BDY80" s="7"/>
      <c r="BDZ80" s="7"/>
      <c r="BEA80" s="1161"/>
      <c r="BEB80" s="7"/>
      <c r="BEC80" s="7"/>
      <c r="BED80" s="7"/>
      <c r="BEE80" s="7"/>
      <c r="BEF80" s="7"/>
      <c r="BEG80" s="1161"/>
      <c r="BEH80" s="1161"/>
      <c r="BEI80" s="1161"/>
      <c r="BEJ80" s="1365"/>
      <c r="BEK80" s="7"/>
      <c r="BEL80" s="7"/>
      <c r="BEM80" s="1365"/>
      <c r="BEN80" s="1365"/>
      <c r="BEP80" s="1158"/>
      <c r="BEQ80" s="1158"/>
      <c r="BER80" s="1158"/>
      <c r="BES80" s="7"/>
      <c r="BET80" s="7"/>
      <c r="BEU80" s="7"/>
      <c r="BEV80" s="7"/>
      <c r="BEW80" s="1363"/>
      <c r="BEX80" s="1364"/>
      <c r="BEY80" s="1364"/>
      <c r="BEZ80" s="1364"/>
      <c r="BFA80" s="7"/>
      <c r="BFB80" s="7"/>
      <c r="BFC80" s="1363"/>
      <c r="BFD80" s="1363"/>
      <c r="BFE80" s="1363"/>
      <c r="BFF80" s="1365"/>
      <c r="BFG80" s="7"/>
      <c r="BFH80" s="7"/>
      <c r="BFI80" s="1365"/>
      <c r="BFJ80" s="1365"/>
      <c r="BFK80" s="299"/>
      <c r="BFM80" s="1086"/>
      <c r="BFN80" s="1086"/>
      <c r="BFO80" s="1086"/>
      <c r="BFP80" s="7"/>
      <c r="BFQ80" s="7"/>
      <c r="BFR80" s="7"/>
      <c r="BFS80" s="7"/>
      <c r="BFT80" s="1161"/>
      <c r="BFU80" s="7"/>
      <c r="BFV80" s="7"/>
      <c r="BFW80" s="7"/>
      <c r="BFX80" s="7"/>
      <c r="BFY80" s="7"/>
      <c r="BFZ80" s="1161"/>
      <c r="BGA80" s="1161"/>
      <c r="BGB80" s="1161"/>
      <c r="BGC80" s="1365"/>
      <c r="BGD80" s="7"/>
      <c r="BGE80" s="7"/>
      <c r="BGF80" s="1365"/>
      <c r="BGG80" s="1365"/>
      <c r="BGJ80" s="1158"/>
      <c r="BGK80" s="1158"/>
      <c r="BGL80" s="1158"/>
      <c r="BGM80" s="7"/>
      <c r="BGN80" s="7"/>
      <c r="BGO80" s="7"/>
      <c r="BGP80" s="7"/>
      <c r="BGQ80" s="1161"/>
      <c r="BGR80" s="7"/>
      <c r="BGS80" s="7"/>
      <c r="BGT80" s="7"/>
      <c r="BGU80" s="7"/>
      <c r="BGV80" s="7"/>
      <c r="BGW80" s="1161"/>
      <c r="BGX80" s="1161"/>
      <c r="BGY80" s="1161"/>
      <c r="BGZ80" s="1365"/>
      <c r="BHA80" s="7"/>
      <c r="BHB80" s="7"/>
      <c r="BHC80" s="1365"/>
      <c r="BHD80" s="1365"/>
      <c r="BHF80" s="1158"/>
      <c r="BHG80" s="1158"/>
      <c r="BHH80" s="1158"/>
      <c r="BHI80" s="7"/>
      <c r="BHJ80" s="7"/>
      <c r="BHK80" s="7"/>
      <c r="BHL80" s="7"/>
      <c r="BHM80" s="1363"/>
      <c r="BHN80" s="1364"/>
      <c r="BHO80" s="1364"/>
      <c r="BHP80" s="1364"/>
      <c r="BHQ80" s="7"/>
      <c r="BHR80" s="7"/>
      <c r="BHS80" s="1363"/>
      <c r="BHT80" s="1363"/>
      <c r="BHU80" s="1363"/>
      <c r="BHV80" s="1365"/>
      <c r="BHW80" s="7"/>
      <c r="BHX80" s="7"/>
      <c r="BHY80" s="1365"/>
      <c r="BHZ80" s="1365"/>
      <c r="BIA80" s="299"/>
      <c r="BIC80" s="1086"/>
      <c r="BID80" s="1086"/>
      <c r="BIE80" s="1086"/>
      <c r="BIF80" s="7"/>
      <c r="BIG80" s="7"/>
      <c r="BIH80" s="7"/>
      <c r="BII80" s="7"/>
      <c r="BIJ80" s="1161"/>
      <c r="BIK80" s="7"/>
      <c r="BIL80" s="7"/>
      <c r="BIM80" s="7"/>
      <c r="BIN80" s="7"/>
      <c r="BIO80" s="7"/>
      <c r="BIP80" s="1161"/>
      <c r="BIQ80" s="1161"/>
      <c r="BIR80" s="1161"/>
      <c r="BIS80" s="1365"/>
      <c r="BIT80" s="7"/>
      <c r="BIU80" s="7"/>
      <c r="BIV80" s="1365"/>
      <c r="BIW80" s="1365"/>
      <c r="BIZ80" s="1158"/>
      <c r="BJA80" s="1158"/>
      <c r="BJB80" s="1158"/>
      <c r="BJC80" s="7"/>
      <c r="BJD80" s="7"/>
      <c r="BJE80" s="7"/>
      <c r="BJF80" s="7"/>
      <c r="BJG80" s="1161"/>
      <c r="BJH80" s="7"/>
      <c r="BJI80" s="7"/>
      <c r="BJJ80" s="7"/>
      <c r="BJK80" s="7"/>
      <c r="BJL80" s="7"/>
      <c r="BJM80" s="1161"/>
      <c r="BJN80" s="1161"/>
      <c r="BJO80" s="1161"/>
      <c r="BJP80" s="1365"/>
      <c r="BJQ80" s="7"/>
      <c r="BJR80" s="7"/>
      <c r="BJS80" s="1365"/>
      <c r="BJT80" s="1365"/>
      <c r="BJV80" s="1158"/>
      <c r="BJW80" s="1158"/>
      <c r="BJX80" s="1158"/>
      <c r="BJY80" s="7"/>
      <c r="BJZ80" s="7"/>
      <c r="BKA80" s="7"/>
      <c r="BKB80" s="7"/>
      <c r="BKC80" s="1363"/>
      <c r="BKD80" s="1364"/>
      <c r="BKE80" s="1364"/>
      <c r="BKF80" s="1364"/>
      <c r="BKG80" s="7"/>
      <c r="BKH80" s="7"/>
      <c r="BKI80" s="1363"/>
      <c r="BKJ80" s="1363"/>
      <c r="BKK80" s="1363"/>
      <c r="BKL80" s="1365"/>
      <c r="BKM80" s="7"/>
      <c r="BKN80" s="7"/>
      <c r="BKO80" s="1365"/>
      <c r="BKP80" s="1365"/>
      <c r="BKQ80" s="299"/>
      <c r="BKS80" s="1086"/>
      <c r="BKT80" s="1086"/>
      <c r="BKU80" s="1086"/>
      <c r="BKV80" s="7"/>
      <c r="BKW80" s="7"/>
      <c r="BKX80" s="7"/>
      <c r="BKY80" s="7"/>
      <c r="BKZ80" s="1161"/>
      <c r="BLA80" s="7"/>
      <c r="BLB80" s="7"/>
      <c r="BLC80" s="7"/>
      <c r="BLD80" s="7"/>
      <c r="BLE80" s="7"/>
      <c r="BLF80" s="1161"/>
      <c r="BLG80" s="1161"/>
      <c r="BLH80" s="1161"/>
      <c r="BLI80" s="1365"/>
      <c r="BLJ80" s="7"/>
      <c r="BLK80" s="7"/>
      <c r="BLL80" s="1365"/>
      <c r="BLM80" s="1365"/>
      <c r="BLP80" s="1158"/>
      <c r="BLQ80" s="1158"/>
      <c r="BLR80" s="1158"/>
      <c r="BLS80" s="7"/>
      <c r="BLT80" s="7"/>
      <c r="BLU80" s="7"/>
      <c r="BLV80" s="7"/>
      <c r="BLW80" s="1161"/>
      <c r="BLX80" s="7"/>
      <c r="BLY80" s="7"/>
      <c r="BLZ80" s="7"/>
      <c r="BMA80" s="7"/>
      <c r="BMB80" s="7"/>
      <c r="BMC80" s="1161"/>
      <c r="BMD80" s="1161"/>
      <c r="BME80" s="1161"/>
      <c r="BMF80" s="1365"/>
      <c r="BMG80" s="7"/>
      <c r="BMH80" s="7"/>
      <c r="BMI80" s="1365"/>
      <c r="BMJ80" s="1365"/>
      <c r="BML80" s="1158"/>
      <c r="BMM80" s="1158"/>
      <c r="BMN80" s="1158"/>
      <c r="BMO80" s="7"/>
      <c r="BMP80" s="7"/>
      <c r="BMQ80" s="7"/>
      <c r="BMR80" s="7"/>
      <c r="BMS80" s="1363"/>
      <c r="BMT80" s="1364"/>
      <c r="BMU80" s="1364"/>
      <c r="BMV80" s="1364"/>
      <c r="BMW80" s="7"/>
      <c r="BMX80" s="7"/>
      <c r="BMY80" s="1363"/>
      <c r="BMZ80" s="1363"/>
      <c r="BNA80" s="1363"/>
      <c r="BNB80" s="1365"/>
      <c r="BNC80" s="7"/>
      <c r="BND80" s="7"/>
      <c r="BNE80" s="1365"/>
      <c r="BNF80" s="1365"/>
      <c r="BNG80" s="299"/>
      <c r="BNI80" s="1086"/>
      <c r="BNJ80" s="1086"/>
      <c r="BNK80" s="1086"/>
      <c r="BNL80" s="7"/>
      <c r="BNM80" s="7"/>
      <c r="BNN80" s="7"/>
      <c r="BNO80" s="7"/>
      <c r="BNP80" s="1161"/>
      <c r="BNQ80" s="7"/>
      <c r="BNR80" s="7"/>
      <c r="BNS80" s="7"/>
      <c r="BNT80" s="7"/>
      <c r="BNU80" s="7"/>
      <c r="BNV80" s="1161"/>
      <c r="BNW80" s="1161"/>
      <c r="BNX80" s="1161"/>
      <c r="BNY80" s="1365"/>
      <c r="BNZ80" s="7"/>
      <c r="BOA80" s="7"/>
      <c r="BOB80" s="1365"/>
      <c r="BOC80" s="1365"/>
      <c r="BOF80" s="1158"/>
      <c r="BOG80" s="1158"/>
      <c r="BOH80" s="1158"/>
      <c r="BOI80" s="7"/>
      <c r="BOJ80" s="7"/>
      <c r="BOK80" s="7"/>
      <c r="BOL80" s="7"/>
      <c r="BOM80" s="1161"/>
      <c r="BON80" s="7"/>
      <c r="BOO80" s="7"/>
      <c r="BOP80" s="7"/>
      <c r="BOQ80" s="7"/>
      <c r="BOR80" s="7"/>
      <c r="BOS80" s="1161"/>
      <c r="BOT80" s="1161"/>
      <c r="BOU80" s="1161"/>
      <c r="BOV80" s="1365"/>
      <c r="BOW80" s="7"/>
      <c r="BOX80" s="7"/>
      <c r="BOY80" s="1365"/>
      <c r="BOZ80" s="1365"/>
      <c r="BPB80" s="1158"/>
      <c r="BPC80" s="1158"/>
      <c r="BPD80" s="1158"/>
      <c r="BPE80" s="7"/>
      <c r="BPF80" s="7"/>
      <c r="BPG80" s="7"/>
      <c r="BPH80" s="7"/>
      <c r="BPI80" s="1363"/>
      <c r="BPJ80" s="1364"/>
      <c r="BPK80" s="1364"/>
      <c r="BPL80" s="1364"/>
      <c r="BPM80" s="7"/>
      <c r="BPN80" s="7"/>
      <c r="BPO80" s="1363"/>
      <c r="BPP80" s="1363"/>
      <c r="BPQ80" s="1363"/>
      <c r="BPR80" s="1365"/>
      <c r="BPS80" s="7"/>
      <c r="BPT80" s="7"/>
      <c r="BPU80" s="1365"/>
      <c r="BPV80" s="1365"/>
      <c r="BPW80" s="299"/>
      <c r="BPY80" s="1086"/>
      <c r="BPZ80" s="1086"/>
      <c r="BQA80" s="1086"/>
      <c r="BQB80" s="7"/>
      <c r="BQC80" s="7"/>
      <c r="BQD80" s="7"/>
      <c r="BQE80" s="7"/>
      <c r="BQF80" s="1161"/>
      <c r="BQG80" s="7"/>
      <c r="BQH80" s="7"/>
      <c r="BQI80" s="7"/>
      <c r="BQJ80" s="7"/>
      <c r="BQK80" s="7"/>
      <c r="BQL80" s="1161"/>
      <c r="BQM80" s="1161"/>
      <c r="BQN80" s="1161"/>
      <c r="BQO80" s="1365"/>
      <c r="BQP80" s="7"/>
      <c r="BQQ80" s="7"/>
      <c r="BQR80" s="1365"/>
      <c r="BQS80" s="1365"/>
      <c r="BQV80" s="1158"/>
      <c r="BQW80" s="1158"/>
      <c r="BQX80" s="1158"/>
      <c r="BQY80" s="7"/>
      <c r="BQZ80" s="7"/>
      <c r="BRA80" s="7"/>
      <c r="BRB80" s="7"/>
      <c r="BRC80" s="1161"/>
      <c r="BRD80" s="7"/>
      <c r="BRE80" s="7"/>
      <c r="BRF80" s="7"/>
      <c r="BRG80" s="7"/>
      <c r="BRH80" s="7"/>
      <c r="BRI80" s="1161"/>
      <c r="BRJ80" s="1161"/>
      <c r="BRK80" s="1161"/>
      <c r="BRL80" s="1365"/>
      <c r="BRM80" s="7"/>
      <c r="BRN80" s="7"/>
      <c r="BRO80" s="1365"/>
      <c r="BRP80" s="1365"/>
      <c r="BRR80" s="1158"/>
      <c r="BRS80" s="1158"/>
      <c r="BRT80" s="1158"/>
      <c r="BRU80" s="7"/>
      <c r="BRV80" s="7"/>
      <c r="BRW80" s="7"/>
      <c r="BRX80" s="7"/>
      <c r="BRY80" s="1363"/>
      <c r="BRZ80" s="1364"/>
      <c r="BSA80" s="1364"/>
      <c r="BSB80" s="1364"/>
      <c r="BSC80" s="7"/>
      <c r="BSD80" s="7"/>
      <c r="BSE80" s="1363"/>
      <c r="BSF80" s="1363"/>
      <c r="BSG80" s="1363"/>
      <c r="BSH80" s="1365"/>
      <c r="BSI80" s="7"/>
      <c r="BSJ80" s="7"/>
      <c r="BSK80" s="1365"/>
      <c r="BSL80" s="1365"/>
      <c r="BSM80" s="299"/>
      <c r="BSO80" s="1086"/>
      <c r="BSP80" s="1086"/>
      <c r="BSQ80" s="1086"/>
      <c r="BSR80" s="7"/>
      <c r="BSS80" s="7"/>
      <c r="BST80" s="7"/>
      <c r="BSU80" s="7"/>
      <c r="BSV80" s="1161"/>
      <c r="BSW80" s="7"/>
      <c r="BSX80" s="7"/>
      <c r="BSY80" s="7"/>
      <c r="BSZ80" s="7"/>
      <c r="BTA80" s="7"/>
      <c r="BTB80" s="1161"/>
      <c r="BTC80" s="1161"/>
      <c r="BTD80" s="1161"/>
      <c r="BTE80" s="1365"/>
      <c r="BTF80" s="7"/>
      <c r="BTG80" s="7"/>
      <c r="BTH80" s="1365"/>
      <c r="BTI80" s="1365"/>
      <c r="BTL80" s="1158"/>
      <c r="BTM80" s="1158"/>
      <c r="BTN80" s="1158"/>
      <c r="BTO80" s="7"/>
      <c r="BTP80" s="7"/>
      <c r="BTQ80" s="7"/>
      <c r="BTR80" s="7"/>
      <c r="BTS80" s="1161"/>
      <c r="BTT80" s="7"/>
      <c r="BTU80" s="7"/>
      <c r="BTV80" s="7"/>
      <c r="BTW80" s="7"/>
      <c r="BTX80" s="7"/>
      <c r="BTY80" s="1161"/>
      <c r="BTZ80" s="1161"/>
      <c r="BUA80" s="1161"/>
      <c r="BUB80" s="1365"/>
      <c r="BUC80" s="7"/>
      <c r="BUD80" s="7"/>
      <c r="BUE80" s="1365"/>
      <c r="BUF80" s="1365"/>
      <c r="BUH80" s="1158"/>
      <c r="BUI80" s="1158"/>
      <c r="BUJ80" s="1158"/>
      <c r="BUK80" s="7"/>
      <c r="BUL80" s="7"/>
      <c r="BUM80" s="7"/>
      <c r="BUN80" s="7"/>
      <c r="BUO80" s="1363"/>
      <c r="BUP80" s="1364"/>
      <c r="BUQ80" s="1364"/>
      <c r="BUR80" s="1364"/>
      <c r="BUS80" s="7"/>
      <c r="BUT80" s="7"/>
      <c r="BUU80" s="1363"/>
      <c r="BUV80" s="1363"/>
      <c r="BUW80" s="1363"/>
      <c r="BUX80" s="1365"/>
      <c r="BUY80" s="7"/>
      <c r="BUZ80" s="7"/>
      <c r="BVA80" s="1365"/>
      <c r="BVB80" s="1365"/>
      <c r="BVC80" s="299"/>
      <c r="BVE80" s="1086"/>
      <c r="BVF80" s="1086"/>
      <c r="BVG80" s="1086"/>
      <c r="BVH80" s="7"/>
      <c r="BVI80" s="7"/>
      <c r="BVJ80" s="7"/>
      <c r="BVK80" s="7"/>
      <c r="BVL80" s="1161"/>
      <c r="BVM80" s="7"/>
      <c r="BVN80" s="7"/>
      <c r="BVO80" s="7"/>
      <c r="BVP80" s="7"/>
      <c r="BVQ80" s="7"/>
      <c r="BVR80" s="1161"/>
      <c r="BVS80" s="1161"/>
      <c r="BVT80" s="1161"/>
      <c r="BVU80" s="1365"/>
      <c r="BVV80" s="7"/>
      <c r="BVW80" s="7"/>
      <c r="BVX80" s="1365"/>
      <c r="BVY80" s="1365"/>
      <c r="BWB80" s="1158"/>
      <c r="BWC80" s="1158"/>
      <c r="BWD80" s="1158"/>
      <c r="BWE80" s="7"/>
      <c r="BWF80" s="7"/>
      <c r="BWG80" s="7"/>
      <c r="BWH80" s="7"/>
      <c r="BWI80" s="1161"/>
      <c r="BWJ80" s="7"/>
      <c r="BWK80" s="7"/>
      <c r="BWL80" s="7"/>
      <c r="BWM80" s="7"/>
      <c r="BWN80" s="7"/>
      <c r="BWO80" s="1161"/>
      <c r="BWP80" s="1161"/>
      <c r="BWQ80" s="1161"/>
      <c r="BWR80" s="1365"/>
      <c r="BWS80" s="7"/>
      <c r="BWT80" s="7"/>
      <c r="BWU80" s="1365"/>
      <c r="BWV80" s="1365"/>
      <c r="BWX80" s="1158"/>
      <c r="BWY80" s="1158"/>
      <c r="BWZ80" s="1158"/>
      <c r="BXA80" s="7"/>
      <c r="BXB80" s="7"/>
      <c r="BXC80" s="7"/>
      <c r="BXD80" s="7"/>
      <c r="BXE80" s="1363"/>
      <c r="BXF80" s="1364"/>
      <c r="BXG80" s="1364"/>
      <c r="BXH80" s="1364"/>
      <c r="BXI80" s="7"/>
      <c r="BXJ80" s="7"/>
      <c r="BXK80" s="1363"/>
      <c r="BXL80" s="1363"/>
      <c r="BXM80" s="1363"/>
      <c r="BXN80" s="1365"/>
      <c r="BXO80" s="7"/>
      <c r="BXP80" s="7"/>
      <c r="BXQ80" s="1365"/>
      <c r="BXR80" s="1365"/>
      <c r="BXS80" s="299"/>
      <c r="BXU80" s="1086"/>
      <c r="BXV80" s="1086"/>
      <c r="BXW80" s="1086"/>
      <c r="BXX80" s="7"/>
      <c r="BXY80" s="7"/>
      <c r="BXZ80" s="7"/>
      <c r="BYA80" s="7"/>
      <c r="BYB80" s="1161"/>
      <c r="BYC80" s="7"/>
      <c r="BYD80" s="7"/>
      <c r="BYE80" s="7"/>
      <c r="BYF80" s="7"/>
      <c r="BYG80" s="7"/>
      <c r="BYH80" s="1161"/>
      <c r="BYI80" s="1161"/>
      <c r="BYJ80" s="1161"/>
      <c r="BYK80" s="1365"/>
      <c r="BYL80" s="7"/>
      <c r="BYM80" s="7"/>
      <c r="BYN80" s="1365"/>
      <c r="BYO80" s="1365"/>
      <c r="BYR80" s="1158"/>
      <c r="BYS80" s="1158"/>
      <c r="BYT80" s="1158"/>
      <c r="BYU80" s="7"/>
      <c r="BYV80" s="7"/>
      <c r="BYW80" s="7"/>
      <c r="BYX80" s="7"/>
      <c r="BYY80" s="1161"/>
      <c r="BYZ80" s="7"/>
      <c r="BZA80" s="7"/>
      <c r="BZB80" s="7"/>
      <c r="BZC80" s="7"/>
      <c r="BZD80" s="7"/>
      <c r="BZE80" s="1161"/>
      <c r="BZF80" s="1161"/>
      <c r="BZG80" s="1161"/>
      <c r="BZH80" s="1365"/>
      <c r="BZI80" s="7"/>
      <c r="BZJ80" s="7"/>
      <c r="BZK80" s="1365"/>
      <c r="BZL80" s="1365"/>
      <c r="BZN80" s="1158"/>
      <c r="BZO80" s="1158"/>
      <c r="BZP80" s="1158"/>
      <c r="BZQ80" s="7"/>
      <c r="BZR80" s="7"/>
      <c r="BZS80" s="7"/>
      <c r="BZT80" s="7"/>
      <c r="BZU80" s="1363"/>
      <c r="BZV80" s="1364"/>
      <c r="BZW80" s="1364"/>
      <c r="BZX80" s="1364"/>
      <c r="BZY80" s="7"/>
      <c r="BZZ80" s="7"/>
      <c r="CAA80" s="1363"/>
      <c r="CAB80" s="1363"/>
      <c r="CAC80" s="1363"/>
      <c r="CAD80" s="1365"/>
      <c r="CAE80" s="7"/>
      <c r="CAF80" s="7"/>
      <c r="CAG80" s="1365"/>
      <c r="CAH80" s="1365"/>
      <c r="CAI80" s="299"/>
      <c r="CAK80" s="1086"/>
      <c r="CAL80" s="1086"/>
      <c r="CAM80" s="1086"/>
      <c r="CAN80" s="7"/>
      <c r="CAO80" s="7"/>
      <c r="CAP80" s="7"/>
      <c r="CAQ80" s="7"/>
      <c r="CAR80" s="1161"/>
      <c r="CAS80" s="7"/>
      <c r="CAT80" s="7"/>
      <c r="CAU80" s="7"/>
      <c r="CAV80" s="7"/>
      <c r="CAW80" s="7"/>
      <c r="CAX80" s="1161"/>
      <c r="CAY80" s="1161"/>
      <c r="CAZ80" s="1161"/>
      <c r="CBA80" s="1365"/>
      <c r="CBB80" s="7"/>
      <c r="CBC80" s="7"/>
      <c r="CBD80" s="1365"/>
      <c r="CBE80" s="1365"/>
      <c r="CBH80" s="1158"/>
      <c r="CBI80" s="1158"/>
      <c r="CBJ80" s="1158"/>
      <c r="CBK80" s="7"/>
      <c r="CBL80" s="7"/>
      <c r="CBM80" s="7"/>
      <c r="CBN80" s="7"/>
      <c r="CBO80" s="1161"/>
      <c r="CBP80" s="7"/>
      <c r="CBQ80" s="7"/>
      <c r="CBR80" s="7"/>
      <c r="CBS80" s="7"/>
      <c r="CBT80" s="7"/>
      <c r="CBU80" s="1161"/>
      <c r="CBV80" s="1161"/>
      <c r="CBW80" s="1161"/>
      <c r="CBX80" s="1365"/>
      <c r="CBY80" s="7"/>
      <c r="CBZ80" s="7"/>
      <c r="CCA80" s="1365"/>
      <c r="CCB80" s="1365"/>
      <c r="CCD80" s="1158"/>
      <c r="CCE80" s="1158"/>
      <c r="CCF80" s="1158"/>
      <c r="CCG80" s="7"/>
      <c r="CCH80" s="7"/>
      <c r="CCI80" s="7"/>
      <c r="CCJ80" s="7"/>
      <c r="CCK80" s="1363"/>
      <c r="CCL80" s="1364"/>
      <c r="CCM80" s="1364"/>
      <c r="CCN80" s="1364"/>
      <c r="CCO80" s="7"/>
      <c r="CCP80" s="7"/>
      <c r="CCQ80" s="1363"/>
      <c r="CCR80" s="1363"/>
      <c r="CCS80" s="1363"/>
      <c r="CCT80" s="1365"/>
      <c r="CCU80" s="7"/>
      <c r="CCV80" s="7"/>
      <c r="CCW80" s="1365"/>
      <c r="CCX80" s="1365"/>
      <c r="CCY80" s="299"/>
      <c r="CDA80" s="1086"/>
      <c r="CDB80" s="1086"/>
      <c r="CDC80" s="1086"/>
      <c r="CDD80" s="7"/>
      <c r="CDE80" s="7"/>
      <c r="CDF80" s="7"/>
      <c r="CDG80" s="7"/>
      <c r="CDH80" s="1161"/>
      <c r="CDI80" s="7"/>
      <c r="CDJ80" s="7"/>
      <c r="CDK80" s="7"/>
      <c r="CDL80" s="7"/>
      <c r="CDM80" s="7"/>
      <c r="CDN80" s="1161"/>
      <c r="CDO80" s="1161"/>
      <c r="CDP80" s="1161"/>
      <c r="CDQ80" s="1365"/>
      <c r="CDR80" s="7"/>
      <c r="CDS80" s="7"/>
      <c r="CDT80" s="1365"/>
      <c r="CDU80" s="1365"/>
      <c r="CDX80" s="1158"/>
      <c r="CDY80" s="1158"/>
      <c r="CDZ80" s="1158"/>
      <c r="CEA80" s="7"/>
      <c r="CEB80" s="7"/>
      <c r="CEC80" s="7"/>
      <c r="CED80" s="7"/>
      <c r="CEE80" s="1161"/>
      <c r="CEF80" s="7"/>
      <c r="CEG80" s="7"/>
      <c r="CEH80" s="7"/>
      <c r="CEI80" s="7"/>
      <c r="CEJ80" s="7"/>
      <c r="CEK80" s="1161"/>
      <c r="CEL80" s="1161"/>
      <c r="CEM80" s="1161"/>
      <c r="CEN80" s="1365"/>
      <c r="CEO80" s="7"/>
      <c r="CEP80" s="7"/>
      <c r="CEQ80" s="1365"/>
      <c r="CER80" s="1365"/>
      <c r="CET80" s="1158"/>
      <c r="CEU80" s="1158"/>
      <c r="CEV80" s="1158"/>
      <c r="CEW80" s="7"/>
      <c r="CEX80" s="7"/>
      <c r="CEY80" s="7"/>
      <c r="CEZ80" s="7"/>
      <c r="CFA80" s="1363"/>
      <c r="CFB80" s="1364"/>
      <c r="CFC80" s="1364"/>
      <c r="CFD80" s="1364"/>
      <c r="CFE80" s="7"/>
      <c r="CFF80" s="7"/>
      <c r="CFG80" s="1363"/>
      <c r="CFH80" s="1363"/>
      <c r="CFI80" s="1363"/>
      <c r="CFJ80" s="1365"/>
      <c r="CFK80" s="7"/>
      <c r="CFL80" s="7"/>
      <c r="CFM80" s="1365"/>
      <c r="CFN80" s="1365"/>
      <c r="CFO80" s="299"/>
      <c r="CFQ80" s="1086"/>
      <c r="CFR80" s="1086"/>
      <c r="CFS80" s="1086"/>
      <c r="CFT80" s="7"/>
      <c r="CFU80" s="7"/>
      <c r="CFV80" s="7"/>
      <c r="CFW80" s="7"/>
      <c r="CFX80" s="1161"/>
      <c r="CFY80" s="7"/>
      <c r="CFZ80" s="7"/>
      <c r="CGA80" s="7"/>
      <c r="CGB80" s="7"/>
      <c r="CGC80" s="7"/>
      <c r="CGD80" s="1161"/>
      <c r="CGE80" s="1161"/>
      <c r="CGF80" s="1161"/>
      <c r="CGG80" s="1365"/>
      <c r="CGH80" s="7"/>
      <c r="CGI80" s="7"/>
      <c r="CGJ80" s="1365"/>
      <c r="CGK80" s="1365"/>
      <c r="CGN80" s="1158"/>
      <c r="CGO80" s="1158"/>
      <c r="CGP80" s="1158"/>
      <c r="CGQ80" s="7"/>
      <c r="CGR80" s="7"/>
      <c r="CGS80" s="7"/>
      <c r="CGT80" s="7"/>
      <c r="CGU80" s="1161"/>
      <c r="CGV80" s="7"/>
      <c r="CGW80" s="7"/>
      <c r="CGX80" s="7"/>
      <c r="CGY80" s="7"/>
      <c r="CGZ80" s="7"/>
      <c r="CHA80" s="1161"/>
      <c r="CHB80" s="1161"/>
      <c r="CHC80" s="1161"/>
      <c r="CHD80" s="1365"/>
      <c r="CHE80" s="7"/>
      <c r="CHF80" s="7"/>
      <c r="CHG80" s="1365"/>
      <c r="CHH80" s="1365"/>
      <c r="CHJ80" s="1158"/>
      <c r="CHK80" s="1158"/>
      <c r="CHL80" s="1158"/>
      <c r="CHM80" s="7"/>
      <c r="CHN80" s="7"/>
      <c r="CHO80" s="7"/>
      <c r="CHP80" s="7"/>
      <c r="CHQ80" s="1363"/>
      <c r="CHR80" s="1364"/>
      <c r="CHS80" s="1364"/>
      <c r="CHT80" s="1364"/>
      <c r="CHU80" s="7"/>
      <c r="CHV80" s="7"/>
      <c r="CHW80" s="1363"/>
      <c r="CHX80" s="1363"/>
      <c r="CHY80" s="1363"/>
      <c r="CHZ80" s="1365"/>
      <c r="CIA80" s="7"/>
      <c r="CIB80" s="7"/>
      <c r="CIC80" s="1365"/>
      <c r="CID80" s="1365"/>
      <c r="CIE80" s="299"/>
      <c r="CIG80" s="1086"/>
      <c r="CIH80" s="1086"/>
      <c r="CII80" s="1086"/>
      <c r="CIJ80" s="7"/>
      <c r="CIK80" s="7"/>
      <c r="CIL80" s="7"/>
      <c r="CIM80" s="7"/>
      <c r="CIN80" s="1161"/>
      <c r="CIO80" s="7"/>
      <c r="CIP80" s="7"/>
      <c r="CIQ80" s="7"/>
      <c r="CIR80" s="7"/>
      <c r="CIS80" s="7"/>
      <c r="CIT80" s="1161"/>
      <c r="CIU80" s="1161"/>
      <c r="CIV80" s="1161"/>
      <c r="CIW80" s="1365"/>
      <c r="CIX80" s="7"/>
      <c r="CIY80" s="7"/>
      <c r="CIZ80" s="1365"/>
      <c r="CJA80" s="1365"/>
      <c r="CJD80" s="1158"/>
      <c r="CJE80" s="1158"/>
      <c r="CJF80" s="1158"/>
      <c r="CJG80" s="7"/>
      <c r="CJH80" s="7"/>
      <c r="CJI80" s="7"/>
      <c r="CJJ80" s="7"/>
      <c r="CJK80" s="1161"/>
      <c r="CJL80" s="7"/>
      <c r="CJM80" s="7"/>
      <c r="CJN80" s="7"/>
      <c r="CJO80" s="7"/>
      <c r="CJP80" s="7"/>
      <c r="CJQ80" s="1161"/>
      <c r="CJR80" s="1161"/>
      <c r="CJS80" s="1161"/>
      <c r="CJT80" s="1365"/>
      <c r="CJU80" s="7"/>
      <c r="CJV80" s="7"/>
      <c r="CJW80" s="1365"/>
      <c r="CJX80" s="1365"/>
      <c r="CJZ80" s="1158"/>
      <c r="CKA80" s="1158"/>
      <c r="CKB80" s="1158"/>
      <c r="CKC80" s="7"/>
      <c r="CKD80" s="7"/>
      <c r="CKE80" s="7"/>
      <c r="CKF80" s="7"/>
      <c r="CKG80" s="1363"/>
      <c r="CKH80" s="1364"/>
      <c r="CKI80" s="1364"/>
      <c r="CKJ80" s="1364"/>
      <c r="CKK80" s="7"/>
      <c r="CKL80" s="7"/>
      <c r="CKM80" s="1363"/>
      <c r="CKN80" s="1363"/>
      <c r="CKO80" s="1363"/>
      <c r="CKP80" s="1365"/>
      <c r="CKQ80" s="7"/>
      <c r="CKR80" s="7"/>
      <c r="CKS80" s="1365"/>
      <c r="CKT80" s="1365"/>
      <c r="CKU80" s="299"/>
      <c r="CKW80" s="1086"/>
      <c r="CKX80" s="1086"/>
      <c r="CKY80" s="1086"/>
      <c r="CKZ80" s="7"/>
      <c r="CLA80" s="7"/>
      <c r="CLB80" s="7"/>
      <c r="CLC80" s="7"/>
      <c r="CLD80" s="1161"/>
      <c r="CLE80" s="7"/>
      <c r="CLF80" s="7"/>
      <c r="CLG80" s="7"/>
      <c r="CLH80" s="7"/>
      <c r="CLI80" s="7"/>
      <c r="CLJ80" s="1161"/>
      <c r="CLK80" s="1161"/>
      <c r="CLL80" s="1161"/>
      <c r="CLM80" s="1365"/>
      <c r="CLN80" s="7"/>
      <c r="CLO80" s="7"/>
      <c r="CLP80" s="1365"/>
      <c r="CLQ80" s="1365"/>
      <c r="CLT80" s="1158"/>
      <c r="CLU80" s="1158"/>
      <c r="CLV80" s="1158"/>
      <c r="CLW80" s="7"/>
      <c r="CLX80" s="7"/>
      <c r="CLY80" s="7"/>
      <c r="CLZ80" s="7"/>
      <c r="CMA80" s="1161"/>
      <c r="CMB80" s="7"/>
      <c r="CMC80" s="7"/>
      <c r="CMD80" s="7"/>
      <c r="CME80" s="7"/>
      <c r="CMF80" s="7"/>
      <c r="CMG80" s="1161"/>
      <c r="CMH80" s="1161"/>
      <c r="CMI80" s="1161"/>
      <c r="CMJ80" s="1365"/>
      <c r="CMK80" s="7"/>
      <c r="CML80" s="7"/>
      <c r="CMM80" s="1365"/>
      <c r="CMN80" s="1365"/>
      <c r="CMP80" s="1158"/>
      <c r="CMQ80" s="1158"/>
      <c r="CMR80" s="1158"/>
      <c r="CMS80" s="7"/>
      <c r="CMT80" s="7"/>
      <c r="CMU80" s="7"/>
      <c r="CMV80" s="7"/>
      <c r="CMW80" s="1363"/>
      <c r="CMX80" s="1364"/>
      <c r="CMY80" s="1364"/>
      <c r="CMZ80" s="1364"/>
      <c r="CNA80" s="7"/>
      <c r="CNB80" s="7"/>
      <c r="CNC80" s="1363"/>
      <c r="CND80" s="1363"/>
      <c r="CNE80" s="1363"/>
      <c r="CNF80" s="1365"/>
      <c r="CNG80" s="7"/>
      <c r="CNH80" s="7"/>
      <c r="CNI80" s="1365"/>
      <c r="CNJ80" s="1365"/>
      <c r="CNK80" s="299"/>
      <c r="CNM80" s="1086"/>
      <c r="CNN80" s="1086"/>
      <c r="CNO80" s="1086"/>
      <c r="CNP80" s="7"/>
      <c r="CNQ80" s="7"/>
      <c r="CNR80" s="7"/>
      <c r="CNS80" s="7"/>
      <c r="CNT80" s="1161"/>
      <c r="CNU80" s="7"/>
      <c r="CNV80" s="7"/>
      <c r="CNW80" s="7"/>
      <c r="CNX80" s="7"/>
      <c r="CNY80" s="7"/>
      <c r="CNZ80" s="1161"/>
      <c r="COA80" s="1161"/>
      <c r="COB80" s="1161"/>
      <c r="COC80" s="1365"/>
      <c r="COD80" s="7"/>
      <c r="COE80" s="7"/>
      <c r="COF80" s="1365"/>
      <c r="COG80" s="1365"/>
      <c r="COJ80" s="1158"/>
      <c r="COK80" s="1158"/>
      <c r="COL80" s="1158"/>
      <c r="COM80" s="7"/>
      <c r="CON80" s="7"/>
      <c r="COO80" s="7"/>
      <c r="COP80" s="7"/>
      <c r="COQ80" s="1161"/>
      <c r="COR80" s="7"/>
      <c r="COS80" s="7"/>
      <c r="COT80" s="7"/>
      <c r="COU80" s="7"/>
      <c r="COV80" s="7"/>
      <c r="COW80" s="1161"/>
      <c r="COX80" s="1161"/>
      <c r="COY80" s="1161"/>
      <c r="COZ80" s="1365"/>
      <c r="CPA80" s="7"/>
      <c r="CPB80" s="7"/>
      <c r="CPC80" s="1365"/>
      <c r="CPD80" s="1365"/>
      <c r="CPF80" s="1158"/>
      <c r="CPG80" s="1158"/>
      <c r="CPH80" s="1158"/>
      <c r="CPI80" s="7"/>
      <c r="CPJ80" s="7"/>
      <c r="CPK80" s="7"/>
      <c r="CPL80" s="7"/>
      <c r="CPM80" s="1363"/>
      <c r="CPN80" s="1364"/>
      <c r="CPO80" s="1364"/>
      <c r="CPP80" s="1364"/>
      <c r="CPQ80" s="7"/>
      <c r="CPR80" s="7"/>
      <c r="CPS80" s="1363"/>
      <c r="CPT80" s="1363"/>
      <c r="CPU80" s="1363"/>
      <c r="CPV80" s="1365"/>
      <c r="CPW80" s="7"/>
      <c r="CPX80" s="7"/>
      <c r="CPY80" s="1365"/>
      <c r="CPZ80" s="1365"/>
      <c r="CQA80" s="299"/>
      <c r="CQC80" s="1086"/>
      <c r="CQD80" s="1086"/>
      <c r="CQE80" s="1086"/>
      <c r="CQF80" s="7"/>
      <c r="CQG80" s="7"/>
      <c r="CQH80" s="7"/>
      <c r="CQI80" s="7"/>
      <c r="CQJ80" s="1161"/>
      <c r="CQK80" s="7"/>
      <c r="CQL80" s="7"/>
      <c r="CQM80" s="7"/>
      <c r="CQN80" s="7"/>
      <c r="CQO80" s="7"/>
      <c r="CQP80" s="1161"/>
      <c r="CQQ80" s="1161"/>
      <c r="CQR80" s="1161"/>
      <c r="CQS80" s="1365"/>
      <c r="CQT80" s="7"/>
      <c r="CQU80" s="7"/>
      <c r="CQV80" s="1365"/>
      <c r="CQW80" s="1365"/>
      <c r="CQZ80" s="1158"/>
      <c r="CRA80" s="1158"/>
      <c r="CRB80" s="1158"/>
      <c r="CRC80" s="7"/>
      <c r="CRD80" s="7"/>
      <c r="CRE80" s="7"/>
      <c r="CRF80" s="7"/>
      <c r="CRG80" s="1161"/>
      <c r="CRH80" s="7"/>
      <c r="CRI80" s="7"/>
      <c r="CRJ80" s="7"/>
      <c r="CRK80" s="7"/>
      <c r="CRL80" s="7"/>
      <c r="CRM80" s="1161"/>
      <c r="CRN80" s="1161"/>
      <c r="CRO80" s="1161"/>
      <c r="CRP80" s="1365"/>
      <c r="CRQ80" s="7"/>
      <c r="CRR80" s="7"/>
      <c r="CRS80" s="1365"/>
      <c r="CRT80" s="1365"/>
      <c r="CRV80" s="1158"/>
      <c r="CRW80" s="1158"/>
      <c r="CRX80" s="1158"/>
      <c r="CRY80" s="7"/>
      <c r="CRZ80" s="7"/>
      <c r="CSA80" s="7"/>
      <c r="CSB80" s="7"/>
      <c r="CSC80" s="1363"/>
      <c r="CSD80" s="1364"/>
      <c r="CSE80" s="1364"/>
      <c r="CSF80" s="1364"/>
      <c r="CSG80" s="7"/>
      <c r="CSH80" s="7"/>
      <c r="CSI80" s="1363"/>
      <c r="CSJ80" s="1363"/>
      <c r="CSK80" s="1363"/>
      <c r="CSL80" s="1365"/>
      <c r="CSM80" s="7"/>
      <c r="CSN80" s="7"/>
      <c r="CSO80" s="1365"/>
      <c r="CSP80" s="1365"/>
      <c r="CSQ80" s="299"/>
      <c r="CSS80" s="1086"/>
      <c r="CST80" s="1086"/>
      <c r="CSU80" s="1086"/>
      <c r="CSV80" s="7"/>
      <c r="CSW80" s="7"/>
      <c r="CSX80" s="7"/>
      <c r="CSY80" s="7"/>
      <c r="CSZ80" s="1161"/>
      <c r="CTA80" s="7"/>
      <c r="CTB80" s="7"/>
      <c r="CTC80" s="7"/>
      <c r="CTD80" s="7"/>
      <c r="CTE80" s="7"/>
      <c r="CTF80" s="1161"/>
      <c r="CTG80" s="1161"/>
      <c r="CTH80" s="1161"/>
      <c r="CTI80" s="1365"/>
      <c r="CTJ80" s="7"/>
      <c r="CTK80" s="7"/>
      <c r="CTL80" s="1365"/>
      <c r="CTM80" s="1365"/>
      <c r="CTP80" s="1158"/>
      <c r="CTQ80" s="1158"/>
      <c r="CTR80" s="1158"/>
      <c r="CTS80" s="7"/>
      <c r="CTT80" s="7"/>
      <c r="CTU80" s="7"/>
      <c r="CTV80" s="7"/>
      <c r="CTW80" s="1161"/>
      <c r="CTX80" s="7"/>
      <c r="CTY80" s="7"/>
      <c r="CTZ80" s="7"/>
      <c r="CUA80" s="7"/>
      <c r="CUB80" s="7"/>
      <c r="CUC80" s="1161"/>
      <c r="CUD80" s="1161"/>
      <c r="CUE80" s="1161"/>
      <c r="CUF80" s="1365"/>
      <c r="CUG80" s="7"/>
      <c r="CUH80" s="7"/>
      <c r="CUI80" s="1365"/>
      <c r="CUJ80" s="1365"/>
      <c r="CUL80" s="1158"/>
      <c r="CUM80" s="1158"/>
      <c r="CUN80" s="1158"/>
      <c r="CUO80" s="7"/>
      <c r="CUP80" s="7"/>
      <c r="CUQ80" s="7"/>
      <c r="CUR80" s="7"/>
      <c r="CUS80" s="1363"/>
      <c r="CUT80" s="1364"/>
      <c r="CUU80" s="1364"/>
      <c r="CUV80" s="1364"/>
      <c r="CUW80" s="7"/>
      <c r="CUX80" s="7"/>
      <c r="CUY80" s="1363"/>
      <c r="CUZ80" s="1363"/>
      <c r="CVA80" s="1363"/>
      <c r="CVB80" s="1365"/>
      <c r="CVC80" s="7"/>
      <c r="CVD80" s="7"/>
      <c r="CVE80" s="1365"/>
      <c r="CVF80" s="1365"/>
      <c r="CVG80" s="299"/>
      <c r="CVI80" s="1086"/>
      <c r="CVJ80" s="1086"/>
      <c r="CVK80" s="1086"/>
      <c r="CVL80" s="7"/>
      <c r="CVM80" s="7"/>
      <c r="CVN80" s="7"/>
      <c r="CVO80" s="7"/>
      <c r="CVP80" s="1161"/>
      <c r="CVQ80" s="7"/>
      <c r="CVR80" s="7"/>
      <c r="CVS80" s="7"/>
      <c r="CVT80" s="7"/>
      <c r="CVU80" s="7"/>
      <c r="CVV80" s="1161"/>
      <c r="CVW80" s="1161"/>
      <c r="CVX80" s="1161"/>
      <c r="CVY80" s="1365"/>
      <c r="CVZ80" s="7"/>
      <c r="CWA80" s="7"/>
      <c r="CWB80" s="1365"/>
      <c r="CWC80" s="1365"/>
      <c r="CWF80" s="1158"/>
      <c r="CWG80" s="1158"/>
      <c r="CWH80" s="1158"/>
      <c r="CWI80" s="7"/>
      <c r="CWJ80" s="7"/>
      <c r="CWK80" s="7"/>
      <c r="CWL80" s="7"/>
      <c r="CWM80" s="1161"/>
      <c r="CWN80" s="7"/>
      <c r="CWO80" s="7"/>
      <c r="CWP80" s="7"/>
      <c r="CWQ80" s="7"/>
      <c r="CWR80" s="7"/>
      <c r="CWS80" s="1161"/>
      <c r="CWT80" s="1161"/>
      <c r="CWU80" s="1161"/>
      <c r="CWV80" s="1365"/>
      <c r="CWW80" s="7"/>
      <c r="CWX80" s="7"/>
      <c r="CWY80" s="1365"/>
      <c r="CWZ80" s="1365"/>
      <c r="CXB80" s="1158"/>
      <c r="CXC80" s="1158"/>
      <c r="CXD80" s="1158"/>
      <c r="CXE80" s="7"/>
      <c r="CXF80" s="7"/>
      <c r="CXG80" s="7"/>
      <c r="CXH80" s="7"/>
      <c r="CXI80" s="1363"/>
      <c r="CXJ80" s="1364"/>
      <c r="CXK80" s="1364"/>
      <c r="CXL80" s="1364"/>
      <c r="CXM80" s="7"/>
      <c r="CXN80" s="7"/>
      <c r="CXO80" s="1363"/>
      <c r="CXP80" s="1363"/>
      <c r="CXQ80" s="1363"/>
      <c r="CXR80" s="1365"/>
      <c r="CXS80" s="7"/>
      <c r="CXT80" s="7"/>
      <c r="CXU80" s="1365"/>
      <c r="CXV80" s="1365"/>
      <c r="CXW80" s="299"/>
      <c r="CXY80" s="1086"/>
      <c r="CXZ80" s="1086"/>
      <c r="CYA80" s="1086"/>
      <c r="CYB80" s="7"/>
      <c r="CYC80" s="7"/>
      <c r="CYD80" s="7"/>
      <c r="CYE80" s="7"/>
      <c r="CYF80" s="1161"/>
      <c r="CYG80" s="7"/>
      <c r="CYH80" s="7"/>
      <c r="CYI80" s="7"/>
      <c r="CYJ80" s="7"/>
      <c r="CYK80" s="7"/>
      <c r="CYL80" s="1161"/>
      <c r="CYM80" s="1161"/>
      <c r="CYN80" s="1161"/>
      <c r="CYO80" s="1365"/>
      <c r="CYP80" s="7"/>
      <c r="CYQ80" s="7"/>
      <c r="CYR80" s="1365"/>
      <c r="CYS80" s="1365"/>
      <c r="CYV80" s="1158"/>
      <c r="CYW80" s="1158"/>
      <c r="CYX80" s="1158"/>
      <c r="CYY80" s="7"/>
      <c r="CYZ80" s="7"/>
      <c r="CZA80" s="7"/>
      <c r="CZB80" s="7"/>
      <c r="CZC80" s="1161"/>
      <c r="CZD80" s="7"/>
      <c r="CZE80" s="7"/>
      <c r="CZF80" s="7"/>
      <c r="CZG80" s="7"/>
      <c r="CZH80" s="7"/>
      <c r="CZI80" s="1161"/>
      <c r="CZJ80" s="1161"/>
      <c r="CZK80" s="1161"/>
      <c r="CZL80" s="1365"/>
      <c r="CZM80" s="7"/>
      <c r="CZN80" s="7"/>
      <c r="CZO80" s="1365"/>
      <c r="CZP80" s="1365"/>
      <c r="CZR80" s="1158"/>
      <c r="CZS80" s="1158"/>
      <c r="CZT80" s="1158"/>
      <c r="CZU80" s="7"/>
      <c r="CZV80" s="7"/>
      <c r="CZW80" s="7"/>
      <c r="CZX80" s="7"/>
      <c r="CZY80" s="1363"/>
      <c r="CZZ80" s="1364"/>
      <c r="DAA80" s="1364"/>
      <c r="DAB80" s="1364"/>
      <c r="DAC80" s="7"/>
      <c r="DAD80" s="7"/>
      <c r="DAE80" s="1363"/>
      <c r="DAF80" s="1363"/>
      <c r="DAG80" s="1363"/>
      <c r="DAH80" s="1365"/>
      <c r="DAI80" s="7"/>
      <c r="DAJ80" s="7"/>
      <c r="DAK80" s="1365"/>
      <c r="DAL80" s="1365"/>
      <c r="DAM80" s="299"/>
      <c r="DAO80" s="1086"/>
      <c r="DAP80" s="1086"/>
      <c r="DAQ80" s="1086"/>
      <c r="DAR80" s="7"/>
      <c r="DAS80" s="7"/>
      <c r="DAT80" s="7"/>
      <c r="DAU80" s="7"/>
      <c r="DAV80" s="1161"/>
      <c r="DAW80" s="7"/>
      <c r="DAX80" s="7"/>
      <c r="DAY80" s="7"/>
      <c r="DAZ80" s="7"/>
      <c r="DBA80" s="7"/>
      <c r="DBB80" s="1161"/>
      <c r="DBC80" s="1161"/>
      <c r="DBD80" s="1161"/>
      <c r="DBE80" s="1365"/>
      <c r="DBF80" s="7"/>
      <c r="DBG80" s="7"/>
      <c r="DBH80" s="1365"/>
      <c r="DBI80" s="1365"/>
      <c r="DBL80" s="1158"/>
      <c r="DBM80" s="1158"/>
      <c r="DBN80" s="1158"/>
      <c r="DBO80" s="7"/>
      <c r="DBP80" s="7"/>
      <c r="DBQ80" s="7"/>
      <c r="DBR80" s="7"/>
      <c r="DBS80" s="1161"/>
      <c r="DBT80" s="7"/>
      <c r="DBU80" s="7"/>
      <c r="DBV80" s="7"/>
      <c r="DBW80" s="7"/>
      <c r="DBX80" s="7"/>
      <c r="DBY80" s="1161"/>
      <c r="DBZ80" s="1161"/>
      <c r="DCA80" s="1161"/>
      <c r="DCB80" s="1365"/>
      <c r="DCC80" s="7"/>
      <c r="DCD80" s="7"/>
      <c r="DCE80" s="1365"/>
      <c r="DCF80" s="1365"/>
      <c r="DCH80" s="1158"/>
      <c r="DCI80" s="1158"/>
      <c r="DCJ80" s="1158"/>
      <c r="DCK80" s="7"/>
      <c r="DCL80" s="7"/>
      <c r="DCM80" s="7"/>
      <c r="DCN80" s="7"/>
      <c r="DCO80" s="1363"/>
      <c r="DCP80" s="1364"/>
      <c r="DCQ80" s="1364"/>
      <c r="DCR80" s="1364"/>
      <c r="DCS80" s="7"/>
      <c r="DCT80" s="7"/>
      <c r="DCU80" s="1363"/>
      <c r="DCV80" s="1363"/>
      <c r="DCW80" s="1363"/>
      <c r="DCX80" s="1365"/>
      <c r="DCY80" s="7"/>
      <c r="DCZ80" s="7"/>
      <c r="DDA80" s="1365"/>
      <c r="DDB80" s="1365"/>
      <c r="DDC80" s="299"/>
      <c r="DDE80" s="1086"/>
      <c r="DDF80" s="1086"/>
      <c r="DDG80" s="1086"/>
      <c r="DDH80" s="7"/>
      <c r="DDI80" s="7"/>
      <c r="DDJ80" s="7"/>
      <c r="DDK80" s="7"/>
      <c r="DDL80" s="1161"/>
      <c r="DDM80" s="7"/>
      <c r="DDN80" s="7"/>
      <c r="DDO80" s="7"/>
      <c r="DDP80" s="7"/>
      <c r="DDQ80" s="7"/>
      <c r="DDR80" s="1161"/>
      <c r="DDS80" s="1161"/>
      <c r="DDT80" s="1161"/>
      <c r="DDU80" s="1365"/>
      <c r="DDV80" s="7"/>
      <c r="DDW80" s="7"/>
      <c r="DDX80" s="1365"/>
      <c r="DDY80" s="1365"/>
      <c r="DEB80" s="1158"/>
      <c r="DEC80" s="1158"/>
      <c r="DED80" s="1158"/>
      <c r="DEE80" s="7"/>
      <c r="DEF80" s="7"/>
      <c r="DEG80" s="7"/>
      <c r="DEH80" s="7"/>
      <c r="DEI80" s="1161"/>
      <c r="DEJ80" s="7"/>
      <c r="DEK80" s="7"/>
      <c r="DEL80" s="7"/>
      <c r="DEM80" s="7"/>
      <c r="DEN80" s="7"/>
      <c r="DEO80" s="1161"/>
      <c r="DEP80" s="1161"/>
      <c r="DEQ80" s="1161"/>
      <c r="DER80" s="1365"/>
      <c r="DES80" s="7"/>
      <c r="DET80" s="7"/>
      <c r="DEU80" s="1365"/>
      <c r="DEV80" s="1365"/>
      <c r="DEX80" s="1158"/>
      <c r="DEY80" s="1158"/>
      <c r="DEZ80" s="1158"/>
      <c r="DFA80" s="7"/>
      <c r="DFB80" s="7"/>
      <c r="DFC80" s="7"/>
      <c r="DFD80" s="7"/>
      <c r="DFE80" s="1363"/>
      <c r="DFF80" s="1364"/>
      <c r="DFG80" s="1364"/>
      <c r="DFH80" s="1364"/>
      <c r="DFI80" s="7"/>
      <c r="DFJ80" s="7"/>
      <c r="DFK80" s="1363"/>
      <c r="DFL80" s="1363"/>
      <c r="DFM80" s="1363"/>
      <c r="DFN80" s="1365"/>
      <c r="DFO80" s="7"/>
      <c r="DFP80" s="7"/>
      <c r="DFQ80" s="1365"/>
      <c r="DFR80" s="1365"/>
      <c r="DFS80" s="299"/>
      <c r="DFU80" s="1086"/>
      <c r="DFV80" s="1086"/>
      <c r="DFW80" s="1086"/>
      <c r="DFX80" s="7"/>
      <c r="DFY80" s="7"/>
      <c r="DFZ80" s="7"/>
      <c r="DGA80" s="7"/>
      <c r="DGB80" s="1161"/>
      <c r="DGC80" s="7"/>
      <c r="DGD80" s="7"/>
      <c r="DGE80" s="7"/>
      <c r="DGF80" s="7"/>
      <c r="DGG80" s="7"/>
      <c r="DGH80" s="1161"/>
      <c r="DGI80" s="1161"/>
      <c r="DGJ80" s="1161"/>
      <c r="DGK80" s="1365"/>
      <c r="DGL80" s="7"/>
      <c r="DGM80" s="7"/>
      <c r="DGN80" s="1365"/>
      <c r="DGO80" s="1365"/>
      <c r="DGR80" s="1158"/>
      <c r="DGS80" s="1158"/>
      <c r="DGT80" s="1158"/>
      <c r="DGU80" s="7"/>
      <c r="DGV80" s="7"/>
      <c r="DGW80" s="7"/>
      <c r="DGX80" s="7"/>
      <c r="DGY80" s="1161"/>
      <c r="DGZ80" s="7"/>
      <c r="DHA80" s="7"/>
      <c r="DHB80" s="7"/>
      <c r="DHC80" s="7"/>
      <c r="DHD80" s="7"/>
      <c r="DHE80" s="1161"/>
      <c r="DHF80" s="1161"/>
      <c r="DHG80" s="1161"/>
      <c r="DHH80" s="1365"/>
      <c r="DHI80" s="7"/>
      <c r="DHJ80" s="7"/>
      <c r="DHK80" s="1365"/>
      <c r="DHL80" s="1365"/>
      <c r="DHN80" s="1158"/>
      <c r="DHO80" s="1158"/>
      <c r="DHP80" s="1158"/>
      <c r="DHQ80" s="7"/>
      <c r="DHR80" s="7"/>
      <c r="DHS80" s="7"/>
      <c r="DHT80" s="7"/>
      <c r="DHU80" s="1363"/>
      <c r="DHV80" s="1364"/>
      <c r="DHW80" s="1364"/>
      <c r="DHX80" s="1364"/>
      <c r="DHY80" s="7"/>
      <c r="DHZ80" s="7"/>
      <c r="DIA80" s="1363"/>
      <c r="DIB80" s="1363"/>
      <c r="DIC80" s="1363"/>
      <c r="DID80" s="1365"/>
      <c r="DIE80" s="7"/>
      <c r="DIF80" s="7"/>
      <c r="DIG80" s="1365"/>
      <c r="DIH80" s="1365"/>
      <c r="DII80" s="299"/>
      <c r="DIK80" s="1086"/>
      <c r="DIL80" s="1086"/>
      <c r="DIM80" s="1086"/>
      <c r="DIN80" s="7"/>
      <c r="DIO80" s="7"/>
      <c r="DIP80" s="7"/>
      <c r="DIQ80" s="7"/>
      <c r="DIR80" s="1161"/>
      <c r="DIS80" s="7"/>
      <c r="DIT80" s="7"/>
      <c r="DIU80" s="7"/>
      <c r="DIV80" s="7"/>
      <c r="DIW80" s="7"/>
      <c r="DIX80" s="1161"/>
      <c r="DIY80" s="1161"/>
      <c r="DIZ80" s="1161"/>
      <c r="DJA80" s="1365"/>
      <c r="DJB80" s="7"/>
      <c r="DJC80" s="7"/>
      <c r="DJD80" s="1365"/>
      <c r="DJE80" s="1365"/>
      <c r="DJH80" s="1158"/>
      <c r="DJI80" s="1158"/>
      <c r="DJJ80" s="1158"/>
      <c r="DJK80" s="7"/>
      <c r="DJL80" s="7"/>
      <c r="DJM80" s="7"/>
      <c r="DJN80" s="7"/>
      <c r="DJO80" s="1161"/>
      <c r="DJP80" s="7"/>
      <c r="DJQ80" s="7"/>
      <c r="DJR80" s="7"/>
      <c r="DJS80" s="7"/>
      <c r="DJT80" s="7"/>
      <c r="DJU80" s="1161"/>
      <c r="DJV80" s="1161"/>
      <c r="DJW80" s="1161"/>
      <c r="DJX80" s="1365"/>
      <c r="DJY80" s="7"/>
      <c r="DJZ80" s="7"/>
      <c r="DKA80" s="1365"/>
      <c r="DKB80" s="1365"/>
      <c r="DKD80" s="1158"/>
      <c r="DKE80" s="1158"/>
      <c r="DKF80" s="1158"/>
      <c r="DKG80" s="7"/>
      <c r="DKH80" s="7"/>
      <c r="DKI80" s="7"/>
      <c r="DKJ80" s="7"/>
      <c r="DKK80" s="1363"/>
      <c r="DKL80" s="1364"/>
      <c r="DKM80" s="1364"/>
      <c r="DKN80" s="1364"/>
      <c r="DKO80" s="7"/>
      <c r="DKP80" s="7"/>
      <c r="DKQ80" s="1363"/>
      <c r="DKR80" s="1363"/>
      <c r="DKS80" s="1363"/>
      <c r="DKT80" s="1365"/>
      <c r="DKU80" s="7"/>
      <c r="DKV80" s="7"/>
      <c r="DKW80" s="1365"/>
      <c r="DKX80" s="1365"/>
      <c r="DKY80" s="299"/>
      <c r="DLA80" s="1086"/>
      <c r="DLB80" s="1086"/>
      <c r="DLC80" s="1086"/>
      <c r="DLD80" s="7"/>
      <c r="DLE80" s="7"/>
      <c r="DLF80" s="7"/>
      <c r="DLG80" s="7"/>
      <c r="DLH80" s="1161"/>
      <c r="DLI80" s="7"/>
      <c r="DLJ80" s="7"/>
      <c r="DLK80" s="7"/>
      <c r="DLL80" s="7"/>
      <c r="DLM80" s="7"/>
      <c r="DLN80" s="1161"/>
      <c r="DLO80" s="1161"/>
      <c r="DLP80" s="1161"/>
      <c r="DLQ80" s="1365"/>
      <c r="DLR80" s="7"/>
      <c r="DLS80" s="7"/>
      <c r="DLT80" s="1365"/>
      <c r="DLU80" s="1365"/>
      <c r="DLX80" s="1158"/>
      <c r="DLY80" s="1158"/>
      <c r="DLZ80" s="1158"/>
      <c r="DMA80" s="7"/>
      <c r="DMB80" s="7"/>
      <c r="DMC80" s="7"/>
      <c r="DMD80" s="7"/>
      <c r="DME80" s="1161"/>
      <c r="DMF80" s="7"/>
      <c r="DMG80" s="7"/>
      <c r="DMH80" s="7"/>
      <c r="DMI80" s="7"/>
      <c r="DMJ80" s="7"/>
      <c r="DMK80" s="1161"/>
      <c r="DML80" s="1161"/>
      <c r="DMM80" s="1161"/>
      <c r="DMN80" s="1365"/>
      <c r="DMO80" s="7"/>
      <c r="DMP80" s="7"/>
      <c r="DMQ80" s="1365"/>
      <c r="DMR80" s="1365"/>
      <c r="DMT80" s="1158"/>
      <c r="DMU80" s="1158"/>
      <c r="DMV80" s="1158"/>
      <c r="DMW80" s="7"/>
      <c r="DMX80" s="7"/>
      <c r="DMY80" s="7"/>
      <c r="DMZ80" s="7"/>
      <c r="DNA80" s="1363"/>
      <c r="DNB80" s="1364"/>
      <c r="DNC80" s="1364"/>
      <c r="DND80" s="1364"/>
      <c r="DNE80" s="7"/>
      <c r="DNF80" s="7"/>
      <c r="DNG80" s="1363"/>
      <c r="DNH80" s="1363"/>
      <c r="DNI80" s="1363"/>
      <c r="DNJ80" s="1365"/>
      <c r="DNK80" s="7"/>
      <c r="DNL80" s="7"/>
      <c r="DNM80" s="1365"/>
      <c r="DNN80" s="1365"/>
      <c r="DNO80" s="299"/>
      <c r="DNQ80" s="1086"/>
      <c r="DNR80" s="1086"/>
      <c r="DNS80" s="1086"/>
      <c r="DNT80" s="7"/>
      <c r="DNU80" s="7"/>
      <c r="DNV80" s="7"/>
      <c r="DNW80" s="7"/>
      <c r="DNX80" s="1161"/>
      <c r="DNY80" s="7"/>
      <c r="DNZ80" s="7"/>
      <c r="DOA80" s="7"/>
      <c r="DOB80" s="7"/>
      <c r="DOC80" s="7"/>
      <c r="DOD80" s="1161"/>
      <c r="DOE80" s="1161"/>
      <c r="DOF80" s="1161"/>
      <c r="DOG80" s="1365"/>
      <c r="DOH80" s="7"/>
      <c r="DOI80" s="7"/>
      <c r="DOJ80" s="1365"/>
      <c r="DOK80" s="1365"/>
      <c r="DON80" s="1158"/>
      <c r="DOO80" s="1158"/>
      <c r="DOP80" s="1158"/>
      <c r="DOQ80" s="7"/>
      <c r="DOR80" s="7"/>
      <c r="DOS80" s="7"/>
      <c r="DOT80" s="7"/>
      <c r="DOU80" s="1161"/>
      <c r="DOV80" s="7"/>
      <c r="DOW80" s="7"/>
      <c r="DOX80" s="7"/>
      <c r="DOY80" s="7"/>
      <c r="DOZ80" s="7"/>
      <c r="DPA80" s="1161"/>
      <c r="DPB80" s="1161"/>
      <c r="DPC80" s="1161"/>
      <c r="DPD80" s="1365"/>
      <c r="DPE80" s="7"/>
      <c r="DPF80" s="7"/>
      <c r="DPG80" s="1365"/>
      <c r="DPH80" s="1365"/>
      <c r="DPJ80" s="1158"/>
      <c r="DPK80" s="1158"/>
      <c r="DPL80" s="1158"/>
      <c r="DPM80" s="7"/>
      <c r="DPN80" s="7"/>
      <c r="DPO80" s="7"/>
      <c r="DPP80" s="7"/>
      <c r="DPQ80" s="1363"/>
      <c r="DPR80" s="1364"/>
      <c r="DPS80" s="1364"/>
      <c r="DPT80" s="1364"/>
      <c r="DPU80" s="7"/>
      <c r="DPV80" s="7"/>
      <c r="DPW80" s="1363"/>
      <c r="DPX80" s="1363"/>
      <c r="DPY80" s="1363"/>
      <c r="DPZ80" s="1365"/>
      <c r="DQA80" s="7"/>
      <c r="DQB80" s="7"/>
      <c r="DQC80" s="1365"/>
      <c r="DQD80" s="1365"/>
      <c r="DQE80" s="299"/>
      <c r="DQG80" s="1086"/>
      <c r="DQH80" s="1086"/>
      <c r="DQI80" s="1086"/>
      <c r="DQJ80" s="7"/>
      <c r="DQK80" s="7"/>
      <c r="DQL80" s="7"/>
      <c r="DQM80" s="7"/>
      <c r="DQN80" s="1161"/>
      <c r="DQO80" s="7"/>
      <c r="DQP80" s="7"/>
      <c r="DQQ80" s="7"/>
      <c r="DQR80" s="7"/>
      <c r="DQS80" s="7"/>
      <c r="DQT80" s="1161"/>
      <c r="DQU80" s="1161"/>
      <c r="DQV80" s="1161"/>
      <c r="DQW80" s="1365"/>
      <c r="DQX80" s="7"/>
      <c r="DQY80" s="7"/>
      <c r="DQZ80" s="1365"/>
      <c r="DRA80" s="1365"/>
      <c r="DRD80" s="1158"/>
      <c r="DRE80" s="1158"/>
      <c r="DRF80" s="1158"/>
      <c r="DRG80" s="7"/>
      <c r="DRH80" s="7"/>
      <c r="DRI80" s="7"/>
      <c r="DRJ80" s="7"/>
      <c r="DRK80" s="1161"/>
      <c r="DRL80" s="7"/>
      <c r="DRM80" s="7"/>
      <c r="DRN80" s="7"/>
      <c r="DRO80" s="7"/>
      <c r="DRP80" s="7"/>
      <c r="DRQ80" s="1161"/>
      <c r="DRR80" s="1161"/>
      <c r="DRS80" s="1161"/>
      <c r="DRT80" s="1365"/>
      <c r="DRU80" s="7"/>
      <c r="DRV80" s="7"/>
      <c r="DRW80" s="1365"/>
      <c r="DRX80" s="1365"/>
      <c r="DRZ80" s="1158"/>
      <c r="DSA80" s="1158"/>
      <c r="DSB80" s="1158"/>
      <c r="DSC80" s="7"/>
      <c r="DSD80" s="7"/>
      <c r="DSE80" s="7"/>
      <c r="DSF80" s="7"/>
      <c r="DSG80" s="1363"/>
      <c r="DSH80" s="1364"/>
      <c r="DSI80" s="1364"/>
      <c r="DSJ80" s="1364"/>
      <c r="DSK80" s="7"/>
      <c r="DSL80" s="7"/>
      <c r="DSM80" s="1363"/>
      <c r="DSN80" s="1363"/>
      <c r="DSO80" s="1363"/>
      <c r="DSP80" s="1365"/>
      <c r="DSQ80" s="7"/>
      <c r="DSR80" s="7"/>
      <c r="DSS80" s="1365"/>
      <c r="DST80" s="1365"/>
      <c r="DSU80" s="299"/>
      <c r="DSW80" s="1086"/>
      <c r="DSX80" s="1086"/>
      <c r="DSY80" s="1086"/>
      <c r="DSZ80" s="7"/>
      <c r="DTA80" s="7"/>
      <c r="DTB80" s="7"/>
      <c r="DTC80" s="7"/>
      <c r="DTD80" s="1161"/>
      <c r="DTE80" s="7"/>
      <c r="DTF80" s="7"/>
      <c r="DTG80" s="7"/>
      <c r="DTH80" s="7"/>
      <c r="DTI80" s="7"/>
      <c r="DTJ80" s="1161"/>
      <c r="DTK80" s="1161"/>
      <c r="DTL80" s="1161"/>
      <c r="DTM80" s="1365"/>
      <c r="DTN80" s="7"/>
      <c r="DTO80" s="7"/>
      <c r="DTP80" s="1365"/>
      <c r="DTQ80" s="1365"/>
      <c r="DTT80" s="1158"/>
      <c r="DTU80" s="1158"/>
      <c r="DTV80" s="1158"/>
      <c r="DTW80" s="7"/>
      <c r="DTX80" s="7"/>
      <c r="DTY80" s="7"/>
      <c r="DTZ80" s="7"/>
      <c r="DUA80" s="1161"/>
      <c r="DUB80" s="7"/>
      <c r="DUC80" s="7"/>
      <c r="DUD80" s="7"/>
      <c r="DUE80" s="7"/>
      <c r="DUF80" s="7"/>
      <c r="DUG80" s="1161"/>
      <c r="DUH80" s="1161"/>
      <c r="DUI80" s="1161"/>
      <c r="DUJ80" s="1365"/>
      <c r="DUK80" s="7"/>
      <c r="DUL80" s="7"/>
      <c r="DUM80" s="1365"/>
      <c r="DUN80" s="1365"/>
      <c r="DUP80" s="1158"/>
      <c r="DUQ80" s="1158"/>
      <c r="DUR80" s="1158"/>
      <c r="DUS80" s="7"/>
      <c r="DUT80" s="7"/>
      <c r="DUU80" s="7"/>
      <c r="DUV80" s="7"/>
      <c r="DUW80" s="1363"/>
      <c r="DUX80" s="1364"/>
      <c r="DUY80" s="1364"/>
      <c r="DUZ80" s="1364"/>
      <c r="DVA80" s="7"/>
      <c r="DVB80" s="7"/>
      <c r="DVC80" s="1363"/>
      <c r="DVD80" s="1363"/>
      <c r="DVE80" s="1363"/>
      <c r="DVF80" s="1365"/>
      <c r="DVG80" s="7"/>
      <c r="DVH80" s="7"/>
      <c r="DVI80" s="1365"/>
      <c r="DVJ80" s="1365"/>
      <c r="DVK80" s="299"/>
      <c r="DVM80" s="1086"/>
      <c r="DVN80" s="1086"/>
      <c r="DVO80" s="1086"/>
      <c r="DVP80" s="7"/>
      <c r="DVQ80" s="7"/>
      <c r="DVR80" s="7"/>
      <c r="DVS80" s="7"/>
      <c r="DVT80" s="1161"/>
      <c r="DVU80" s="7"/>
      <c r="DVV80" s="7"/>
      <c r="DVW80" s="7"/>
      <c r="DVX80" s="7"/>
      <c r="DVY80" s="7"/>
      <c r="DVZ80" s="1161"/>
      <c r="DWA80" s="1161"/>
      <c r="DWB80" s="1161"/>
      <c r="DWC80" s="1365"/>
      <c r="DWD80" s="7"/>
      <c r="DWE80" s="7"/>
      <c r="DWF80" s="1365"/>
      <c r="DWG80" s="1365"/>
      <c r="DWJ80" s="1158"/>
      <c r="DWK80" s="1158"/>
      <c r="DWL80" s="1158"/>
      <c r="DWM80" s="7"/>
      <c r="DWN80" s="7"/>
      <c r="DWO80" s="7"/>
      <c r="DWP80" s="7"/>
      <c r="DWQ80" s="1161"/>
      <c r="DWR80" s="7"/>
      <c r="DWS80" s="7"/>
      <c r="DWT80" s="7"/>
      <c r="DWU80" s="7"/>
      <c r="DWV80" s="7"/>
      <c r="DWW80" s="1161"/>
      <c r="DWX80" s="1161"/>
      <c r="DWY80" s="1161"/>
      <c r="DWZ80" s="1365"/>
      <c r="DXA80" s="7"/>
      <c r="DXB80" s="7"/>
      <c r="DXC80" s="1365"/>
      <c r="DXD80" s="1365"/>
      <c r="DXF80" s="1158"/>
      <c r="DXG80" s="1158"/>
      <c r="DXH80" s="1158"/>
      <c r="DXI80" s="7"/>
      <c r="DXJ80" s="7"/>
      <c r="DXK80" s="7"/>
      <c r="DXL80" s="7"/>
      <c r="DXM80" s="1363"/>
      <c r="DXN80" s="1364"/>
      <c r="DXO80" s="1364"/>
      <c r="DXP80" s="1364"/>
      <c r="DXQ80" s="7"/>
      <c r="DXR80" s="7"/>
      <c r="DXS80" s="1363"/>
      <c r="DXT80" s="1363"/>
      <c r="DXU80" s="1363"/>
      <c r="DXV80" s="1365"/>
      <c r="DXW80" s="7"/>
      <c r="DXX80" s="7"/>
      <c r="DXY80" s="1365"/>
      <c r="DXZ80" s="1365"/>
      <c r="DYA80" s="299"/>
      <c r="DYC80" s="1086"/>
      <c r="DYD80" s="1086"/>
      <c r="DYE80" s="1086"/>
      <c r="DYF80" s="7"/>
      <c r="DYG80" s="7"/>
      <c r="DYH80" s="7"/>
      <c r="DYI80" s="7"/>
      <c r="DYJ80" s="1161"/>
      <c r="DYK80" s="7"/>
      <c r="DYL80" s="7"/>
      <c r="DYM80" s="7"/>
      <c r="DYN80" s="7"/>
      <c r="DYO80" s="7"/>
      <c r="DYP80" s="1161"/>
      <c r="DYQ80" s="1161"/>
      <c r="DYR80" s="1161"/>
      <c r="DYS80" s="1365"/>
      <c r="DYT80" s="7"/>
      <c r="DYU80" s="7"/>
      <c r="DYV80" s="1365"/>
      <c r="DYW80" s="1365"/>
      <c r="DYZ80" s="1158"/>
      <c r="DZA80" s="1158"/>
      <c r="DZB80" s="1158"/>
      <c r="DZC80" s="7"/>
      <c r="DZD80" s="7"/>
      <c r="DZE80" s="7"/>
      <c r="DZF80" s="7"/>
      <c r="DZG80" s="1161"/>
      <c r="DZH80" s="7"/>
      <c r="DZI80" s="7"/>
      <c r="DZJ80" s="7"/>
      <c r="DZK80" s="7"/>
      <c r="DZL80" s="7"/>
      <c r="DZM80" s="1161"/>
      <c r="DZN80" s="1161"/>
      <c r="DZO80" s="1161"/>
      <c r="DZP80" s="1365"/>
      <c r="DZQ80" s="7"/>
      <c r="DZR80" s="7"/>
      <c r="DZS80" s="1365"/>
      <c r="DZT80" s="1365"/>
      <c r="DZV80" s="1158"/>
      <c r="DZW80" s="1158"/>
      <c r="DZX80" s="1158"/>
      <c r="DZY80" s="7"/>
      <c r="DZZ80" s="7"/>
      <c r="EAA80" s="7"/>
      <c r="EAB80" s="7"/>
      <c r="EAC80" s="1363"/>
      <c r="EAD80" s="1364"/>
      <c r="EAE80" s="1364"/>
      <c r="EAF80" s="1364"/>
      <c r="EAG80" s="7"/>
      <c r="EAH80" s="7"/>
      <c r="EAI80" s="1363"/>
      <c r="EAJ80" s="1363"/>
      <c r="EAK80" s="1363"/>
      <c r="EAL80" s="1365"/>
      <c r="EAM80" s="7"/>
      <c r="EAN80" s="7"/>
      <c r="EAO80" s="1365"/>
      <c r="EAP80" s="1365"/>
      <c r="EAQ80" s="299"/>
      <c r="EAS80" s="1086"/>
      <c r="EAT80" s="1086"/>
      <c r="EAU80" s="1086"/>
      <c r="EAV80" s="7"/>
      <c r="EAW80" s="7"/>
      <c r="EAX80" s="7"/>
      <c r="EAY80" s="7"/>
      <c r="EAZ80" s="1161"/>
      <c r="EBA80" s="7"/>
      <c r="EBB80" s="7"/>
      <c r="EBC80" s="7"/>
      <c r="EBD80" s="7"/>
      <c r="EBE80" s="7"/>
      <c r="EBF80" s="1161"/>
      <c r="EBG80" s="1161"/>
      <c r="EBH80" s="1161"/>
      <c r="EBI80" s="1365"/>
      <c r="EBJ80" s="7"/>
      <c r="EBK80" s="7"/>
      <c r="EBL80" s="1365"/>
      <c r="EBM80" s="1365"/>
      <c r="EBP80" s="1158"/>
      <c r="EBQ80" s="1158"/>
      <c r="EBR80" s="1158"/>
      <c r="EBS80" s="7"/>
      <c r="EBT80" s="7"/>
      <c r="EBU80" s="7"/>
      <c r="EBV80" s="7"/>
      <c r="EBW80" s="1161"/>
      <c r="EBX80" s="7"/>
      <c r="EBY80" s="7"/>
      <c r="EBZ80" s="7"/>
      <c r="ECA80" s="7"/>
      <c r="ECB80" s="7"/>
      <c r="ECC80" s="1161"/>
      <c r="ECD80" s="1161"/>
      <c r="ECE80" s="1161"/>
      <c r="ECF80" s="1365"/>
      <c r="ECG80" s="7"/>
      <c r="ECH80" s="7"/>
      <c r="ECI80" s="1365"/>
      <c r="ECJ80" s="1365"/>
      <c r="ECL80" s="1158"/>
      <c r="ECM80" s="1158"/>
      <c r="ECN80" s="1158"/>
      <c r="ECO80" s="7"/>
      <c r="ECP80" s="7"/>
      <c r="ECQ80" s="7"/>
      <c r="ECR80" s="7"/>
      <c r="ECS80" s="1363"/>
      <c r="ECT80" s="1364"/>
      <c r="ECU80" s="1364"/>
      <c r="ECV80" s="1364"/>
      <c r="ECW80" s="7"/>
      <c r="ECX80" s="7"/>
      <c r="ECY80" s="1363"/>
      <c r="ECZ80" s="1363"/>
      <c r="EDA80" s="1363"/>
      <c r="EDB80" s="1365"/>
      <c r="EDC80" s="7"/>
      <c r="EDD80" s="7"/>
      <c r="EDE80" s="1365"/>
      <c r="EDF80" s="1365"/>
      <c r="EDG80" s="299"/>
      <c r="EDI80" s="1086"/>
      <c r="EDJ80" s="1086"/>
      <c r="EDK80" s="1086"/>
      <c r="EDL80" s="7"/>
      <c r="EDM80" s="7"/>
      <c r="EDN80" s="7"/>
      <c r="EDO80" s="7"/>
      <c r="EDP80" s="1161"/>
      <c r="EDQ80" s="7"/>
      <c r="EDR80" s="7"/>
      <c r="EDS80" s="7"/>
      <c r="EDT80" s="7"/>
      <c r="EDU80" s="7"/>
      <c r="EDV80" s="1161"/>
      <c r="EDW80" s="1161"/>
      <c r="EDX80" s="1161"/>
      <c r="EDY80" s="1365"/>
      <c r="EDZ80" s="7"/>
      <c r="EEA80" s="7"/>
      <c r="EEB80" s="1365"/>
      <c r="EEC80" s="1365"/>
      <c r="EEF80" s="1158"/>
      <c r="EEG80" s="1158"/>
      <c r="EEH80" s="1158"/>
      <c r="EEI80" s="7"/>
      <c r="EEJ80" s="7"/>
      <c r="EEK80" s="7"/>
      <c r="EEL80" s="7"/>
      <c r="EEM80" s="1161"/>
      <c r="EEN80" s="7"/>
      <c r="EEO80" s="7"/>
      <c r="EEP80" s="7"/>
      <c r="EEQ80" s="7"/>
      <c r="EER80" s="7"/>
      <c r="EES80" s="1161"/>
      <c r="EET80" s="1161"/>
      <c r="EEU80" s="1161"/>
      <c r="EEV80" s="1365"/>
      <c r="EEW80" s="7"/>
      <c r="EEX80" s="7"/>
      <c r="EEY80" s="1365"/>
      <c r="EEZ80" s="1365"/>
      <c r="EFB80" s="1158"/>
      <c r="EFC80" s="1158"/>
      <c r="EFD80" s="1158"/>
      <c r="EFE80" s="7"/>
      <c r="EFF80" s="7"/>
      <c r="EFG80" s="7"/>
      <c r="EFH80" s="7"/>
      <c r="EFI80" s="1363"/>
      <c r="EFJ80" s="1364"/>
      <c r="EFK80" s="1364"/>
      <c r="EFL80" s="1364"/>
      <c r="EFM80" s="7"/>
      <c r="EFN80" s="7"/>
      <c r="EFO80" s="1363"/>
      <c r="EFP80" s="1363"/>
      <c r="EFQ80" s="1363"/>
      <c r="EFR80" s="1365"/>
      <c r="EFS80" s="7"/>
      <c r="EFT80" s="7"/>
      <c r="EFU80" s="1365"/>
      <c r="EFV80" s="1365"/>
      <c r="EFW80" s="299"/>
      <c r="EFY80" s="1086"/>
      <c r="EFZ80" s="1086"/>
      <c r="EGA80" s="1086"/>
      <c r="EGB80" s="7"/>
      <c r="EGC80" s="7"/>
      <c r="EGD80" s="7"/>
      <c r="EGE80" s="7"/>
      <c r="EGF80" s="1161"/>
      <c r="EGG80" s="7"/>
      <c r="EGH80" s="7"/>
      <c r="EGI80" s="7"/>
      <c r="EGJ80" s="7"/>
      <c r="EGK80" s="7"/>
      <c r="EGL80" s="1161"/>
      <c r="EGM80" s="1161"/>
      <c r="EGN80" s="1161"/>
      <c r="EGO80" s="1365"/>
      <c r="EGP80" s="7"/>
      <c r="EGQ80" s="7"/>
      <c r="EGR80" s="1365"/>
      <c r="EGS80" s="1365"/>
      <c r="EGV80" s="1158"/>
      <c r="EGW80" s="1158"/>
      <c r="EGX80" s="1158"/>
      <c r="EGY80" s="7"/>
      <c r="EGZ80" s="7"/>
      <c r="EHA80" s="7"/>
      <c r="EHB80" s="7"/>
      <c r="EHC80" s="1161"/>
      <c r="EHD80" s="7"/>
      <c r="EHE80" s="7"/>
      <c r="EHF80" s="7"/>
      <c r="EHG80" s="7"/>
      <c r="EHH80" s="7"/>
      <c r="EHI80" s="1161"/>
      <c r="EHJ80" s="1161"/>
      <c r="EHK80" s="1161"/>
      <c r="EHL80" s="1365"/>
      <c r="EHM80" s="7"/>
      <c r="EHN80" s="7"/>
      <c r="EHO80" s="1365"/>
      <c r="EHP80" s="1365"/>
      <c r="EHR80" s="1158"/>
      <c r="EHS80" s="1158"/>
      <c r="EHT80" s="1158"/>
      <c r="EHU80" s="7"/>
      <c r="EHV80" s="7"/>
      <c r="EHW80" s="7"/>
      <c r="EHX80" s="7"/>
      <c r="EHY80" s="1363"/>
      <c r="EHZ80" s="1364"/>
      <c r="EIA80" s="1364"/>
      <c r="EIB80" s="1364"/>
      <c r="EIC80" s="7"/>
      <c r="EID80" s="7"/>
      <c r="EIE80" s="1363"/>
      <c r="EIF80" s="1363"/>
      <c r="EIG80" s="1363"/>
      <c r="EIH80" s="1365"/>
      <c r="EII80" s="7"/>
      <c r="EIJ80" s="7"/>
      <c r="EIK80" s="1365"/>
      <c r="EIL80" s="1365"/>
      <c r="EIM80" s="299"/>
      <c r="EIO80" s="1086"/>
      <c r="EIP80" s="1086"/>
      <c r="EIQ80" s="1086"/>
      <c r="EIR80" s="7"/>
      <c r="EIS80" s="7"/>
      <c r="EIT80" s="7"/>
      <c r="EIU80" s="7"/>
      <c r="EIV80" s="1161"/>
      <c r="EIW80" s="7"/>
      <c r="EIX80" s="7"/>
      <c r="EIY80" s="7"/>
      <c r="EIZ80" s="7"/>
      <c r="EJA80" s="7"/>
      <c r="EJB80" s="1161"/>
      <c r="EJC80" s="1161"/>
      <c r="EJD80" s="1161"/>
      <c r="EJE80" s="1365"/>
      <c r="EJF80" s="7"/>
      <c r="EJG80" s="7"/>
      <c r="EJH80" s="1365"/>
      <c r="EJI80" s="1365"/>
      <c r="EJL80" s="1158"/>
      <c r="EJM80" s="1158"/>
      <c r="EJN80" s="1158"/>
      <c r="EJO80" s="7"/>
      <c r="EJP80" s="7"/>
      <c r="EJQ80" s="7"/>
      <c r="EJR80" s="7"/>
      <c r="EJS80" s="1161"/>
      <c r="EJT80" s="7"/>
      <c r="EJU80" s="7"/>
      <c r="EJV80" s="7"/>
      <c r="EJW80" s="7"/>
      <c r="EJX80" s="7"/>
      <c r="EJY80" s="1161"/>
      <c r="EJZ80" s="1161"/>
      <c r="EKA80" s="1161"/>
      <c r="EKB80" s="1365"/>
      <c r="EKC80" s="7"/>
      <c r="EKD80" s="7"/>
      <c r="EKE80" s="1365"/>
      <c r="EKF80" s="1365"/>
      <c r="EKH80" s="1158"/>
      <c r="EKI80" s="1158"/>
      <c r="EKJ80" s="1158"/>
      <c r="EKK80" s="7"/>
      <c r="EKL80" s="7"/>
      <c r="EKM80" s="7"/>
      <c r="EKN80" s="7"/>
      <c r="EKO80" s="1363"/>
      <c r="EKP80" s="1364"/>
      <c r="EKQ80" s="1364"/>
      <c r="EKR80" s="1364"/>
      <c r="EKS80" s="7"/>
      <c r="EKT80" s="7"/>
      <c r="EKU80" s="1363"/>
      <c r="EKV80" s="1363"/>
      <c r="EKW80" s="1363"/>
      <c r="EKX80" s="1365"/>
      <c r="EKY80" s="7"/>
      <c r="EKZ80" s="7"/>
      <c r="ELA80" s="1365"/>
      <c r="ELB80" s="1365"/>
      <c r="ELC80" s="299"/>
      <c r="ELE80" s="1086"/>
      <c r="ELF80" s="1086"/>
      <c r="ELG80" s="1086"/>
      <c r="ELH80" s="7"/>
      <c r="ELI80" s="7"/>
      <c r="ELJ80" s="7"/>
      <c r="ELK80" s="7"/>
      <c r="ELL80" s="1161"/>
      <c r="ELM80" s="7"/>
      <c r="ELN80" s="7"/>
      <c r="ELO80" s="7"/>
      <c r="ELP80" s="7"/>
      <c r="ELQ80" s="7"/>
      <c r="ELR80" s="1161"/>
      <c r="ELS80" s="1161"/>
      <c r="ELT80" s="1161"/>
      <c r="ELU80" s="1365"/>
      <c r="ELV80" s="7"/>
      <c r="ELW80" s="7"/>
      <c r="ELX80" s="1365"/>
      <c r="ELY80" s="1365"/>
      <c r="EMB80" s="1158"/>
      <c r="EMC80" s="1158"/>
      <c r="EMD80" s="1158"/>
      <c r="EME80" s="7"/>
      <c r="EMF80" s="7"/>
      <c r="EMG80" s="7"/>
      <c r="EMH80" s="7"/>
      <c r="EMI80" s="1161"/>
      <c r="EMJ80" s="7"/>
      <c r="EMK80" s="7"/>
      <c r="EML80" s="7"/>
      <c r="EMM80" s="7"/>
      <c r="EMN80" s="7"/>
      <c r="EMO80" s="1161"/>
      <c r="EMP80" s="1161"/>
      <c r="EMQ80" s="1161"/>
      <c r="EMR80" s="1365"/>
      <c r="EMS80" s="7"/>
      <c r="EMT80" s="7"/>
      <c r="EMU80" s="1365"/>
      <c r="EMV80" s="1365"/>
      <c r="EMX80" s="1158"/>
      <c r="EMY80" s="1158"/>
      <c r="EMZ80" s="1158"/>
      <c r="ENA80" s="7"/>
      <c r="ENB80" s="7"/>
      <c r="ENC80" s="7"/>
      <c r="END80" s="7"/>
      <c r="ENE80" s="1363"/>
      <c r="ENF80" s="1364"/>
      <c r="ENG80" s="1364"/>
      <c r="ENH80" s="1364"/>
      <c r="ENI80" s="7"/>
      <c r="ENJ80" s="7"/>
      <c r="ENK80" s="1363"/>
      <c r="ENL80" s="1363"/>
      <c r="ENM80" s="1363"/>
      <c r="ENN80" s="1365"/>
      <c r="ENO80" s="7"/>
      <c r="ENP80" s="7"/>
      <c r="ENQ80" s="1365"/>
      <c r="ENR80" s="1365"/>
      <c r="ENS80" s="299"/>
      <c r="ENU80" s="1086"/>
      <c r="ENV80" s="1086"/>
      <c r="ENW80" s="1086"/>
      <c r="ENX80" s="7"/>
      <c r="ENY80" s="7"/>
      <c r="ENZ80" s="7"/>
      <c r="EOA80" s="7"/>
      <c r="EOB80" s="1161"/>
      <c r="EOC80" s="7"/>
      <c r="EOD80" s="7"/>
      <c r="EOE80" s="7"/>
      <c r="EOF80" s="7"/>
      <c r="EOG80" s="7"/>
      <c r="EOH80" s="1161"/>
      <c r="EOI80" s="1161"/>
      <c r="EOJ80" s="1161"/>
      <c r="EOK80" s="1365"/>
      <c r="EOL80" s="7"/>
      <c r="EOM80" s="7"/>
      <c r="EON80" s="1365"/>
      <c r="EOO80" s="1365"/>
      <c r="EOR80" s="1158"/>
      <c r="EOS80" s="1158"/>
      <c r="EOT80" s="1158"/>
      <c r="EOU80" s="7"/>
      <c r="EOV80" s="7"/>
      <c r="EOW80" s="7"/>
      <c r="EOX80" s="7"/>
      <c r="EOY80" s="1161"/>
      <c r="EOZ80" s="7"/>
      <c r="EPA80" s="7"/>
      <c r="EPB80" s="7"/>
      <c r="EPC80" s="7"/>
      <c r="EPD80" s="7"/>
      <c r="EPE80" s="1161"/>
      <c r="EPF80" s="1161"/>
      <c r="EPG80" s="1161"/>
      <c r="EPH80" s="1365"/>
      <c r="EPI80" s="7"/>
      <c r="EPJ80" s="7"/>
      <c r="EPK80" s="1365"/>
      <c r="EPL80" s="1365"/>
      <c r="EPN80" s="1158"/>
      <c r="EPO80" s="1158"/>
      <c r="EPP80" s="1158"/>
      <c r="EPQ80" s="7"/>
      <c r="EPR80" s="7"/>
      <c r="EPS80" s="7"/>
      <c r="EPT80" s="7"/>
      <c r="EPU80" s="1363"/>
      <c r="EPV80" s="1364"/>
      <c r="EPW80" s="1364"/>
      <c r="EPX80" s="1364"/>
      <c r="EPY80" s="7"/>
      <c r="EPZ80" s="7"/>
      <c r="EQA80" s="1363"/>
      <c r="EQB80" s="1363"/>
      <c r="EQC80" s="1363"/>
      <c r="EQD80" s="1365"/>
      <c r="EQE80" s="7"/>
      <c r="EQF80" s="7"/>
      <c r="EQG80" s="1365"/>
      <c r="EQH80" s="1365"/>
      <c r="EQI80" s="299"/>
      <c r="EQK80" s="1086"/>
      <c r="EQL80" s="1086"/>
      <c r="EQM80" s="1086"/>
      <c r="EQN80" s="7"/>
      <c r="EQO80" s="7"/>
      <c r="EQP80" s="7"/>
      <c r="EQQ80" s="7"/>
      <c r="EQR80" s="1161"/>
      <c r="EQS80" s="7"/>
      <c r="EQT80" s="7"/>
      <c r="EQU80" s="7"/>
      <c r="EQV80" s="7"/>
      <c r="EQW80" s="7"/>
      <c r="EQX80" s="1161"/>
      <c r="EQY80" s="1161"/>
      <c r="EQZ80" s="1161"/>
      <c r="ERA80" s="1365"/>
      <c r="ERB80" s="7"/>
      <c r="ERC80" s="7"/>
      <c r="ERD80" s="1365"/>
      <c r="ERE80" s="1365"/>
      <c r="ERH80" s="1158"/>
      <c r="ERI80" s="1158"/>
      <c r="ERJ80" s="1158"/>
      <c r="ERK80" s="7"/>
      <c r="ERL80" s="7"/>
      <c r="ERM80" s="7"/>
      <c r="ERN80" s="7"/>
      <c r="ERO80" s="1161"/>
      <c r="ERP80" s="7"/>
      <c r="ERQ80" s="7"/>
      <c r="ERR80" s="7"/>
      <c r="ERS80" s="7"/>
      <c r="ERT80" s="7"/>
      <c r="ERU80" s="1161"/>
      <c r="ERV80" s="1161"/>
      <c r="ERW80" s="1161"/>
      <c r="ERX80" s="1365"/>
      <c r="ERY80" s="7"/>
      <c r="ERZ80" s="7"/>
      <c r="ESA80" s="1365"/>
      <c r="ESB80" s="1365"/>
      <c r="ESD80" s="1158"/>
      <c r="ESE80" s="1158"/>
      <c r="ESF80" s="1158"/>
      <c r="ESG80" s="7"/>
      <c r="ESH80" s="7"/>
      <c r="ESI80" s="7"/>
      <c r="ESJ80" s="7"/>
      <c r="ESK80" s="1363"/>
      <c r="ESL80" s="1364"/>
      <c r="ESM80" s="1364"/>
      <c r="ESN80" s="1364"/>
      <c r="ESO80" s="7"/>
      <c r="ESP80" s="7"/>
      <c r="ESQ80" s="1363"/>
      <c r="ESR80" s="1363"/>
      <c r="ESS80" s="1363"/>
      <c r="EST80" s="1365"/>
      <c r="ESU80" s="7"/>
      <c r="ESV80" s="7"/>
      <c r="ESW80" s="1365"/>
      <c r="ESX80" s="1365"/>
      <c r="ESY80" s="299"/>
      <c r="ETA80" s="1086"/>
      <c r="ETB80" s="1086"/>
      <c r="ETC80" s="1086"/>
      <c r="ETD80" s="7"/>
      <c r="ETE80" s="7"/>
      <c r="ETF80" s="7"/>
      <c r="ETG80" s="7"/>
      <c r="ETH80" s="1161"/>
      <c r="ETI80" s="7"/>
      <c r="ETJ80" s="7"/>
      <c r="ETK80" s="7"/>
      <c r="ETL80" s="7"/>
      <c r="ETM80" s="7"/>
      <c r="ETN80" s="1161"/>
      <c r="ETO80" s="1161"/>
      <c r="ETP80" s="1161"/>
      <c r="ETQ80" s="1365"/>
      <c r="ETR80" s="7"/>
      <c r="ETS80" s="7"/>
      <c r="ETT80" s="1365"/>
      <c r="ETU80" s="1365"/>
      <c r="ETX80" s="1158"/>
      <c r="ETY80" s="1158"/>
      <c r="ETZ80" s="1158"/>
      <c r="EUA80" s="7"/>
      <c r="EUB80" s="7"/>
      <c r="EUC80" s="7"/>
      <c r="EUD80" s="7"/>
      <c r="EUE80" s="1161"/>
      <c r="EUF80" s="7"/>
      <c r="EUG80" s="7"/>
      <c r="EUH80" s="7"/>
      <c r="EUI80" s="7"/>
      <c r="EUJ80" s="7"/>
      <c r="EUK80" s="1161"/>
      <c r="EUL80" s="1161"/>
      <c r="EUM80" s="1161"/>
      <c r="EUN80" s="1365"/>
      <c r="EUO80" s="7"/>
      <c r="EUP80" s="7"/>
      <c r="EUQ80" s="1365"/>
      <c r="EUR80" s="1365"/>
      <c r="EUT80" s="1158"/>
      <c r="EUU80" s="1158"/>
      <c r="EUV80" s="1158"/>
      <c r="EUW80" s="7"/>
      <c r="EUX80" s="7"/>
      <c r="EUY80" s="7"/>
      <c r="EUZ80" s="7"/>
      <c r="EVA80" s="1363"/>
      <c r="EVB80" s="1364"/>
      <c r="EVC80" s="1364"/>
      <c r="EVD80" s="1364"/>
      <c r="EVE80" s="7"/>
      <c r="EVF80" s="7"/>
      <c r="EVG80" s="1363"/>
      <c r="EVH80" s="1363"/>
      <c r="EVI80" s="1363"/>
      <c r="EVJ80" s="1365"/>
      <c r="EVK80" s="7"/>
      <c r="EVL80" s="7"/>
      <c r="EVM80" s="1365"/>
      <c r="EVN80" s="1365"/>
      <c r="EVO80" s="299"/>
      <c r="EVQ80" s="1086"/>
      <c r="EVR80" s="1086"/>
      <c r="EVS80" s="1086"/>
      <c r="EVT80" s="7"/>
      <c r="EVU80" s="7"/>
      <c r="EVV80" s="7"/>
      <c r="EVW80" s="7"/>
      <c r="EVX80" s="1161"/>
      <c r="EVY80" s="7"/>
      <c r="EVZ80" s="7"/>
      <c r="EWA80" s="7"/>
      <c r="EWB80" s="7"/>
      <c r="EWC80" s="7"/>
      <c r="EWD80" s="1161"/>
      <c r="EWE80" s="1161"/>
      <c r="EWF80" s="1161"/>
      <c r="EWG80" s="1365"/>
      <c r="EWH80" s="7"/>
      <c r="EWI80" s="7"/>
      <c r="EWJ80" s="1365"/>
      <c r="EWK80" s="1365"/>
      <c r="EWN80" s="1158"/>
      <c r="EWO80" s="1158"/>
      <c r="EWP80" s="1158"/>
      <c r="EWQ80" s="7"/>
      <c r="EWR80" s="7"/>
      <c r="EWS80" s="7"/>
      <c r="EWT80" s="7"/>
      <c r="EWU80" s="1161"/>
      <c r="EWV80" s="7"/>
      <c r="EWW80" s="7"/>
      <c r="EWX80" s="7"/>
      <c r="EWY80" s="7"/>
      <c r="EWZ80" s="7"/>
      <c r="EXA80" s="1161"/>
      <c r="EXB80" s="1161"/>
      <c r="EXC80" s="1161"/>
      <c r="EXD80" s="1365"/>
      <c r="EXE80" s="7"/>
      <c r="EXF80" s="7"/>
      <c r="EXG80" s="1365"/>
      <c r="EXH80" s="1365"/>
      <c r="EXJ80" s="1158"/>
      <c r="EXK80" s="1158"/>
      <c r="EXL80" s="1158"/>
      <c r="EXM80" s="7"/>
      <c r="EXN80" s="7"/>
      <c r="EXO80" s="7"/>
      <c r="EXP80" s="7"/>
      <c r="EXQ80" s="1363"/>
      <c r="EXR80" s="1364"/>
      <c r="EXS80" s="1364"/>
      <c r="EXT80" s="1364"/>
      <c r="EXU80" s="7"/>
      <c r="EXV80" s="7"/>
      <c r="EXW80" s="1363"/>
      <c r="EXX80" s="1363"/>
      <c r="EXY80" s="1363"/>
      <c r="EXZ80" s="1365"/>
      <c r="EYA80" s="7"/>
      <c r="EYB80" s="7"/>
      <c r="EYC80" s="1365"/>
      <c r="EYD80" s="1365"/>
      <c r="EYE80" s="299"/>
      <c r="EYG80" s="1086"/>
      <c r="EYH80" s="1086"/>
      <c r="EYI80" s="1086"/>
      <c r="EYJ80" s="7"/>
      <c r="EYK80" s="7"/>
      <c r="EYL80" s="7"/>
      <c r="EYM80" s="7"/>
      <c r="EYN80" s="1161"/>
      <c r="EYO80" s="7"/>
      <c r="EYP80" s="7"/>
      <c r="EYQ80" s="7"/>
      <c r="EYR80" s="7"/>
      <c r="EYS80" s="7"/>
      <c r="EYT80" s="1161"/>
      <c r="EYU80" s="1161"/>
      <c r="EYV80" s="1161"/>
      <c r="EYW80" s="1365"/>
      <c r="EYX80" s="7"/>
      <c r="EYY80" s="7"/>
      <c r="EYZ80" s="1365"/>
      <c r="EZA80" s="1365"/>
      <c r="EZD80" s="1158"/>
      <c r="EZE80" s="1158"/>
      <c r="EZF80" s="1158"/>
      <c r="EZG80" s="7"/>
      <c r="EZH80" s="7"/>
      <c r="EZI80" s="7"/>
      <c r="EZJ80" s="7"/>
      <c r="EZK80" s="1161"/>
      <c r="EZL80" s="7"/>
      <c r="EZM80" s="7"/>
      <c r="EZN80" s="7"/>
      <c r="EZO80" s="7"/>
      <c r="EZP80" s="7"/>
      <c r="EZQ80" s="1161"/>
      <c r="EZR80" s="1161"/>
      <c r="EZS80" s="1161"/>
      <c r="EZT80" s="1365"/>
      <c r="EZU80" s="7"/>
      <c r="EZV80" s="7"/>
      <c r="EZW80" s="1365"/>
      <c r="EZX80" s="1365"/>
      <c r="EZZ80" s="1158"/>
      <c r="FAA80" s="1158"/>
      <c r="FAB80" s="1158"/>
      <c r="FAC80" s="7"/>
      <c r="FAD80" s="7"/>
      <c r="FAE80" s="7"/>
      <c r="FAF80" s="7"/>
      <c r="FAG80" s="1363"/>
      <c r="FAH80" s="1364"/>
      <c r="FAI80" s="1364"/>
      <c r="FAJ80" s="1364"/>
      <c r="FAK80" s="7"/>
      <c r="FAL80" s="7"/>
      <c r="FAM80" s="1363"/>
      <c r="FAN80" s="1363"/>
      <c r="FAO80" s="1363"/>
      <c r="FAP80" s="1365"/>
      <c r="FAQ80" s="7"/>
      <c r="FAR80" s="7"/>
      <c r="FAS80" s="1365"/>
      <c r="FAT80" s="1365"/>
      <c r="FAU80" s="299"/>
      <c r="FAW80" s="1086"/>
      <c r="FAX80" s="1086"/>
      <c r="FAY80" s="1086"/>
      <c r="FAZ80" s="7"/>
      <c r="FBA80" s="7"/>
      <c r="FBB80" s="7"/>
      <c r="FBC80" s="7"/>
      <c r="FBD80" s="1161"/>
      <c r="FBE80" s="7"/>
      <c r="FBF80" s="7"/>
      <c r="FBG80" s="7"/>
      <c r="FBH80" s="7"/>
      <c r="FBI80" s="7"/>
      <c r="FBJ80" s="1161"/>
      <c r="FBK80" s="1161"/>
      <c r="FBL80" s="1161"/>
      <c r="FBM80" s="1365"/>
      <c r="FBN80" s="7"/>
      <c r="FBO80" s="7"/>
      <c r="FBP80" s="1365"/>
      <c r="FBQ80" s="1365"/>
      <c r="FBT80" s="1158"/>
      <c r="FBU80" s="1158"/>
      <c r="FBV80" s="1158"/>
      <c r="FBW80" s="7"/>
      <c r="FBX80" s="7"/>
      <c r="FBY80" s="7"/>
      <c r="FBZ80" s="7"/>
      <c r="FCA80" s="1161"/>
      <c r="FCB80" s="7"/>
      <c r="FCC80" s="7"/>
      <c r="FCD80" s="7"/>
      <c r="FCE80" s="7"/>
      <c r="FCF80" s="7"/>
      <c r="FCG80" s="1161"/>
      <c r="FCH80" s="1161"/>
      <c r="FCI80" s="1161"/>
      <c r="FCJ80" s="1365"/>
      <c r="FCK80" s="7"/>
      <c r="FCL80" s="7"/>
      <c r="FCM80" s="1365"/>
      <c r="FCN80" s="1365"/>
      <c r="FCP80" s="1158"/>
      <c r="FCQ80" s="1158"/>
      <c r="FCR80" s="1158"/>
      <c r="FCS80" s="7"/>
      <c r="FCT80" s="7"/>
      <c r="FCU80" s="7"/>
      <c r="FCV80" s="7"/>
      <c r="FCW80" s="1363"/>
      <c r="FCX80" s="1364"/>
      <c r="FCY80" s="1364"/>
      <c r="FCZ80" s="1364"/>
      <c r="FDA80" s="7"/>
      <c r="FDB80" s="7"/>
      <c r="FDC80" s="1363"/>
      <c r="FDD80" s="1363"/>
      <c r="FDE80" s="1363"/>
      <c r="FDF80" s="1365"/>
      <c r="FDG80" s="7"/>
      <c r="FDH80" s="7"/>
      <c r="FDI80" s="1365"/>
      <c r="FDJ80" s="1365"/>
      <c r="FDK80" s="299"/>
      <c r="FDM80" s="1086"/>
      <c r="FDN80" s="1086"/>
      <c r="FDO80" s="1086"/>
      <c r="FDP80" s="7"/>
      <c r="FDQ80" s="7"/>
      <c r="FDR80" s="7"/>
      <c r="FDS80" s="7"/>
      <c r="FDT80" s="1161"/>
      <c r="FDU80" s="7"/>
      <c r="FDV80" s="7"/>
      <c r="FDW80" s="7"/>
      <c r="FDX80" s="7"/>
      <c r="FDY80" s="7"/>
      <c r="FDZ80" s="1161"/>
      <c r="FEA80" s="1161"/>
      <c r="FEB80" s="1161"/>
      <c r="FEC80" s="1365"/>
      <c r="FED80" s="7"/>
      <c r="FEE80" s="7"/>
      <c r="FEF80" s="1365"/>
      <c r="FEG80" s="1365"/>
      <c r="FEJ80" s="1158"/>
      <c r="FEK80" s="1158"/>
      <c r="FEL80" s="1158"/>
      <c r="FEM80" s="7"/>
      <c r="FEN80" s="7"/>
      <c r="FEO80" s="7"/>
      <c r="FEP80" s="7"/>
      <c r="FEQ80" s="1161"/>
      <c r="FER80" s="7"/>
      <c r="FES80" s="7"/>
      <c r="FET80" s="7"/>
      <c r="FEU80" s="7"/>
      <c r="FEV80" s="7"/>
      <c r="FEW80" s="1161"/>
      <c r="FEX80" s="1161"/>
      <c r="FEY80" s="1161"/>
      <c r="FEZ80" s="1365"/>
      <c r="FFA80" s="7"/>
      <c r="FFB80" s="7"/>
      <c r="FFC80" s="1365"/>
      <c r="FFD80" s="1365"/>
      <c r="FFF80" s="1158"/>
      <c r="FFG80" s="1158"/>
      <c r="FFH80" s="1158"/>
      <c r="FFI80" s="7"/>
      <c r="FFJ80" s="7"/>
      <c r="FFK80" s="7"/>
      <c r="FFL80" s="7"/>
      <c r="FFM80" s="1363"/>
      <c r="FFN80" s="1364"/>
      <c r="FFO80" s="1364"/>
      <c r="FFP80" s="1364"/>
      <c r="FFQ80" s="7"/>
      <c r="FFR80" s="7"/>
      <c r="FFS80" s="1363"/>
      <c r="FFT80" s="1363"/>
      <c r="FFU80" s="1363"/>
      <c r="FFV80" s="1365"/>
      <c r="FFW80" s="7"/>
      <c r="FFX80" s="7"/>
      <c r="FFY80" s="1365"/>
      <c r="FFZ80" s="1365"/>
      <c r="FGA80" s="299"/>
      <c r="FGC80" s="1086"/>
      <c r="FGD80" s="1086"/>
      <c r="FGE80" s="1086"/>
      <c r="FGF80" s="7"/>
      <c r="FGG80" s="7"/>
      <c r="FGH80" s="7"/>
      <c r="FGI80" s="7"/>
      <c r="FGJ80" s="1161"/>
      <c r="FGK80" s="7"/>
      <c r="FGL80" s="7"/>
      <c r="FGM80" s="7"/>
      <c r="FGN80" s="7"/>
      <c r="FGO80" s="7"/>
      <c r="FGP80" s="1161"/>
      <c r="FGQ80" s="1161"/>
      <c r="FGR80" s="1161"/>
      <c r="FGS80" s="1365"/>
      <c r="FGT80" s="7"/>
      <c r="FGU80" s="7"/>
      <c r="FGV80" s="1365"/>
      <c r="FGW80" s="1365"/>
      <c r="FGZ80" s="1158"/>
      <c r="FHA80" s="1158"/>
      <c r="FHB80" s="1158"/>
      <c r="FHC80" s="7"/>
      <c r="FHD80" s="7"/>
      <c r="FHE80" s="7"/>
      <c r="FHF80" s="7"/>
      <c r="FHG80" s="1161"/>
      <c r="FHH80" s="7"/>
      <c r="FHI80" s="7"/>
      <c r="FHJ80" s="7"/>
      <c r="FHK80" s="7"/>
      <c r="FHL80" s="7"/>
      <c r="FHM80" s="1161"/>
      <c r="FHN80" s="1161"/>
      <c r="FHO80" s="1161"/>
      <c r="FHP80" s="1365"/>
      <c r="FHQ80" s="7"/>
      <c r="FHR80" s="7"/>
      <c r="FHS80" s="1365"/>
      <c r="FHT80" s="1365"/>
      <c r="FHV80" s="1158"/>
      <c r="FHW80" s="1158"/>
      <c r="FHX80" s="1158"/>
      <c r="FHY80" s="7"/>
      <c r="FHZ80" s="7"/>
      <c r="FIA80" s="7"/>
      <c r="FIB80" s="7"/>
      <c r="FIC80" s="1363"/>
      <c r="FID80" s="1364"/>
      <c r="FIE80" s="1364"/>
      <c r="FIF80" s="1364"/>
      <c r="FIG80" s="7"/>
      <c r="FIH80" s="7"/>
      <c r="FII80" s="1363"/>
      <c r="FIJ80" s="1363"/>
      <c r="FIK80" s="1363"/>
      <c r="FIL80" s="1365"/>
      <c r="FIM80" s="7"/>
      <c r="FIN80" s="7"/>
      <c r="FIO80" s="1365"/>
      <c r="FIP80" s="1365"/>
      <c r="FIQ80" s="299"/>
      <c r="FIS80" s="1086"/>
      <c r="FIT80" s="1086"/>
      <c r="FIU80" s="1086"/>
      <c r="FIV80" s="7"/>
      <c r="FIW80" s="7"/>
      <c r="FIX80" s="7"/>
      <c r="FIY80" s="7"/>
      <c r="FIZ80" s="1161"/>
      <c r="FJA80" s="7"/>
      <c r="FJB80" s="7"/>
      <c r="FJC80" s="7"/>
      <c r="FJD80" s="7"/>
      <c r="FJE80" s="7"/>
      <c r="FJF80" s="1161"/>
      <c r="FJG80" s="1161"/>
      <c r="FJH80" s="1161"/>
      <c r="FJI80" s="1365"/>
      <c r="FJJ80" s="7"/>
      <c r="FJK80" s="7"/>
      <c r="FJL80" s="1365"/>
      <c r="FJM80" s="1365"/>
      <c r="FJP80" s="1158"/>
      <c r="FJQ80" s="1158"/>
      <c r="FJR80" s="1158"/>
      <c r="FJS80" s="7"/>
      <c r="FJT80" s="7"/>
      <c r="FJU80" s="7"/>
      <c r="FJV80" s="7"/>
      <c r="FJW80" s="1161"/>
      <c r="FJX80" s="7"/>
      <c r="FJY80" s="7"/>
      <c r="FJZ80" s="7"/>
      <c r="FKA80" s="7"/>
      <c r="FKB80" s="7"/>
      <c r="FKC80" s="1161"/>
      <c r="FKD80" s="1161"/>
      <c r="FKE80" s="1161"/>
      <c r="FKF80" s="1365"/>
      <c r="FKG80" s="7"/>
      <c r="FKH80" s="7"/>
      <c r="FKI80" s="1365"/>
      <c r="FKJ80" s="1365"/>
      <c r="FKL80" s="1158"/>
      <c r="FKM80" s="1158"/>
      <c r="FKN80" s="1158"/>
      <c r="FKO80" s="7"/>
      <c r="FKP80" s="7"/>
      <c r="FKQ80" s="7"/>
      <c r="FKR80" s="7"/>
      <c r="FKS80" s="1363"/>
      <c r="FKT80" s="1364"/>
      <c r="FKU80" s="1364"/>
      <c r="FKV80" s="1364"/>
      <c r="FKW80" s="7"/>
      <c r="FKX80" s="7"/>
      <c r="FKY80" s="1363"/>
      <c r="FKZ80" s="1363"/>
      <c r="FLA80" s="1363"/>
      <c r="FLB80" s="1365"/>
      <c r="FLC80" s="7"/>
      <c r="FLD80" s="7"/>
      <c r="FLE80" s="1365"/>
      <c r="FLF80" s="1365"/>
      <c r="FLG80" s="299"/>
      <c r="FLI80" s="1086"/>
      <c r="FLJ80" s="1086"/>
      <c r="FLK80" s="1086"/>
      <c r="FLL80" s="7"/>
      <c r="FLM80" s="7"/>
      <c r="FLN80" s="7"/>
      <c r="FLO80" s="7"/>
      <c r="FLP80" s="1161"/>
      <c r="FLQ80" s="7"/>
      <c r="FLR80" s="7"/>
      <c r="FLS80" s="7"/>
      <c r="FLT80" s="7"/>
      <c r="FLU80" s="7"/>
      <c r="FLV80" s="1161"/>
      <c r="FLW80" s="1161"/>
      <c r="FLX80" s="1161"/>
      <c r="FLY80" s="1365"/>
      <c r="FLZ80" s="7"/>
      <c r="FMA80" s="7"/>
      <c r="FMB80" s="1365"/>
      <c r="FMC80" s="1365"/>
      <c r="FMF80" s="1158"/>
      <c r="FMG80" s="1158"/>
      <c r="FMH80" s="1158"/>
      <c r="FMI80" s="7"/>
      <c r="FMJ80" s="7"/>
      <c r="FMK80" s="7"/>
      <c r="FML80" s="7"/>
      <c r="FMM80" s="1161"/>
      <c r="FMN80" s="7"/>
      <c r="FMO80" s="7"/>
      <c r="FMP80" s="7"/>
      <c r="FMQ80" s="7"/>
      <c r="FMR80" s="7"/>
      <c r="FMS80" s="1161"/>
      <c r="FMT80" s="1161"/>
      <c r="FMU80" s="1161"/>
      <c r="FMV80" s="1365"/>
      <c r="FMW80" s="7"/>
      <c r="FMX80" s="7"/>
      <c r="FMY80" s="1365"/>
      <c r="FMZ80" s="1365"/>
      <c r="FNB80" s="1158"/>
      <c r="FNC80" s="1158"/>
      <c r="FND80" s="1158"/>
      <c r="FNE80" s="7"/>
      <c r="FNF80" s="7"/>
      <c r="FNG80" s="7"/>
      <c r="FNH80" s="7"/>
      <c r="FNI80" s="1363"/>
      <c r="FNJ80" s="1364"/>
      <c r="FNK80" s="1364"/>
      <c r="FNL80" s="1364"/>
      <c r="FNM80" s="7"/>
      <c r="FNN80" s="7"/>
      <c r="FNO80" s="1363"/>
      <c r="FNP80" s="1363"/>
      <c r="FNQ80" s="1363"/>
      <c r="FNR80" s="1365"/>
      <c r="FNS80" s="7"/>
      <c r="FNT80" s="7"/>
      <c r="FNU80" s="1365"/>
      <c r="FNV80" s="1365"/>
      <c r="FNW80" s="299"/>
      <c r="FNY80" s="1086"/>
      <c r="FNZ80" s="1086"/>
      <c r="FOA80" s="1086"/>
      <c r="FOB80" s="7"/>
      <c r="FOC80" s="7"/>
      <c r="FOD80" s="7"/>
      <c r="FOE80" s="7"/>
      <c r="FOF80" s="1161"/>
      <c r="FOG80" s="7"/>
      <c r="FOH80" s="7"/>
      <c r="FOI80" s="7"/>
      <c r="FOJ80" s="7"/>
      <c r="FOK80" s="7"/>
      <c r="FOL80" s="1161"/>
      <c r="FOM80" s="1161"/>
      <c r="FON80" s="1161"/>
      <c r="FOO80" s="1365"/>
      <c r="FOP80" s="7"/>
      <c r="FOQ80" s="7"/>
      <c r="FOR80" s="1365"/>
      <c r="FOS80" s="1365"/>
      <c r="FOV80" s="1158"/>
      <c r="FOW80" s="1158"/>
      <c r="FOX80" s="1158"/>
      <c r="FOY80" s="7"/>
      <c r="FOZ80" s="7"/>
      <c r="FPA80" s="7"/>
      <c r="FPB80" s="7"/>
      <c r="FPC80" s="1161"/>
      <c r="FPD80" s="7"/>
      <c r="FPE80" s="7"/>
      <c r="FPF80" s="7"/>
      <c r="FPG80" s="7"/>
      <c r="FPH80" s="7"/>
      <c r="FPI80" s="1161"/>
      <c r="FPJ80" s="1161"/>
      <c r="FPK80" s="1161"/>
      <c r="FPL80" s="1365"/>
      <c r="FPM80" s="7"/>
      <c r="FPN80" s="7"/>
      <c r="FPO80" s="1365"/>
      <c r="FPP80" s="1365"/>
      <c r="FPR80" s="1158"/>
      <c r="FPS80" s="1158"/>
      <c r="FPT80" s="1158"/>
      <c r="FPU80" s="7"/>
      <c r="FPV80" s="7"/>
      <c r="FPW80" s="7"/>
      <c r="FPX80" s="7"/>
      <c r="FPY80" s="1363"/>
      <c r="FPZ80" s="1364"/>
      <c r="FQA80" s="1364"/>
      <c r="FQB80" s="1364"/>
      <c r="FQC80" s="7"/>
      <c r="FQD80" s="7"/>
      <c r="FQE80" s="1363"/>
      <c r="FQF80" s="1363"/>
      <c r="FQG80" s="1363"/>
      <c r="FQH80" s="1365"/>
      <c r="FQI80" s="7"/>
      <c r="FQJ80" s="7"/>
      <c r="FQK80" s="1365"/>
      <c r="FQL80" s="1365"/>
      <c r="FQM80" s="299"/>
      <c r="FQO80" s="1086"/>
      <c r="FQP80" s="1086"/>
      <c r="FQQ80" s="1086"/>
      <c r="FQR80" s="7"/>
      <c r="FQS80" s="7"/>
      <c r="FQT80" s="7"/>
      <c r="FQU80" s="7"/>
      <c r="FQV80" s="1161"/>
      <c r="FQW80" s="7"/>
      <c r="FQX80" s="7"/>
      <c r="FQY80" s="7"/>
      <c r="FQZ80" s="7"/>
      <c r="FRA80" s="7"/>
      <c r="FRB80" s="1161"/>
      <c r="FRC80" s="1161"/>
      <c r="FRD80" s="1161"/>
      <c r="FRE80" s="1365"/>
      <c r="FRF80" s="7"/>
      <c r="FRG80" s="7"/>
      <c r="FRH80" s="1365"/>
      <c r="FRI80" s="1365"/>
      <c r="FRL80" s="1158"/>
      <c r="FRM80" s="1158"/>
      <c r="FRN80" s="1158"/>
      <c r="FRO80" s="7"/>
      <c r="FRP80" s="7"/>
      <c r="FRQ80" s="7"/>
      <c r="FRR80" s="7"/>
      <c r="FRS80" s="1161"/>
      <c r="FRT80" s="7"/>
      <c r="FRU80" s="7"/>
      <c r="FRV80" s="7"/>
      <c r="FRW80" s="7"/>
      <c r="FRX80" s="7"/>
      <c r="FRY80" s="1161"/>
      <c r="FRZ80" s="1161"/>
      <c r="FSA80" s="1161"/>
      <c r="FSB80" s="1365"/>
      <c r="FSC80" s="7"/>
      <c r="FSD80" s="7"/>
      <c r="FSE80" s="1365"/>
      <c r="FSF80" s="1365"/>
      <c r="FSH80" s="1158"/>
      <c r="FSI80" s="1158"/>
      <c r="FSJ80" s="1158"/>
      <c r="FSK80" s="7"/>
      <c r="FSL80" s="7"/>
      <c r="FSM80" s="7"/>
      <c r="FSN80" s="7"/>
      <c r="FSO80" s="1363"/>
      <c r="FSP80" s="1364"/>
      <c r="FSQ80" s="1364"/>
      <c r="FSR80" s="1364"/>
      <c r="FSS80" s="7"/>
      <c r="FST80" s="7"/>
      <c r="FSU80" s="1363"/>
      <c r="FSV80" s="1363"/>
      <c r="FSW80" s="1363"/>
      <c r="FSX80" s="1365"/>
      <c r="FSY80" s="7"/>
      <c r="FSZ80" s="7"/>
      <c r="FTA80" s="1365"/>
      <c r="FTB80" s="1365"/>
      <c r="FTC80" s="299"/>
      <c r="FTE80" s="1086"/>
      <c r="FTF80" s="1086"/>
      <c r="FTG80" s="1086"/>
      <c r="FTH80" s="7"/>
      <c r="FTI80" s="7"/>
      <c r="FTJ80" s="7"/>
      <c r="FTK80" s="7"/>
      <c r="FTL80" s="1161"/>
      <c r="FTM80" s="7"/>
      <c r="FTN80" s="7"/>
      <c r="FTO80" s="7"/>
      <c r="FTP80" s="7"/>
      <c r="FTQ80" s="7"/>
      <c r="FTR80" s="1161"/>
      <c r="FTS80" s="1161"/>
      <c r="FTT80" s="1161"/>
      <c r="FTU80" s="1365"/>
      <c r="FTV80" s="7"/>
      <c r="FTW80" s="7"/>
      <c r="FTX80" s="1365"/>
      <c r="FTY80" s="1365"/>
      <c r="FUB80" s="1158"/>
      <c r="FUC80" s="1158"/>
      <c r="FUD80" s="1158"/>
      <c r="FUE80" s="7"/>
      <c r="FUF80" s="7"/>
      <c r="FUG80" s="7"/>
      <c r="FUH80" s="7"/>
      <c r="FUI80" s="1161"/>
      <c r="FUJ80" s="7"/>
      <c r="FUK80" s="7"/>
      <c r="FUL80" s="7"/>
      <c r="FUM80" s="7"/>
      <c r="FUN80" s="7"/>
      <c r="FUO80" s="1161"/>
      <c r="FUP80" s="1161"/>
      <c r="FUQ80" s="1161"/>
      <c r="FUR80" s="1365"/>
      <c r="FUS80" s="7"/>
      <c r="FUT80" s="7"/>
      <c r="FUU80" s="1365"/>
      <c r="FUV80" s="1365"/>
      <c r="FUX80" s="1158"/>
      <c r="FUY80" s="1158"/>
      <c r="FUZ80" s="1158"/>
      <c r="FVA80" s="7"/>
      <c r="FVB80" s="7"/>
      <c r="FVC80" s="7"/>
      <c r="FVD80" s="7"/>
      <c r="FVE80" s="1363"/>
      <c r="FVF80" s="1364"/>
      <c r="FVG80" s="1364"/>
      <c r="FVH80" s="1364"/>
      <c r="FVI80" s="7"/>
      <c r="FVJ80" s="7"/>
      <c r="FVK80" s="1363"/>
      <c r="FVL80" s="1363"/>
      <c r="FVM80" s="1363"/>
      <c r="FVN80" s="1365"/>
      <c r="FVO80" s="7"/>
      <c r="FVP80" s="7"/>
      <c r="FVQ80" s="1365"/>
      <c r="FVR80" s="1365"/>
      <c r="FVS80" s="299"/>
      <c r="FVU80" s="1086"/>
      <c r="FVV80" s="1086"/>
      <c r="FVW80" s="1086"/>
      <c r="FVX80" s="7"/>
      <c r="FVY80" s="7"/>
      <c r="FVZ80" s="7"/>
      <c r="FWA80" s="7"/>
      <c r="FWB80" s="1161"/>
      <c r="FWC80" s="7"/>
      <c r="FWD80" s="7"/>
      <c r="FWE80" s="7"/>
      <c r="FWF80" s="7"/>
      <c r="FWG80" s="7"/>
      <c r="FWH80" s="1161"/>
      <c r="FWI80" s="1161"/>
      <c r="FWJ80" s="1161"/>
      <c r="FWK80" s="1365"/>
      <c r="FWL80" s="7"/>
      <c r="FWM80" s="7"/>
      <c r="FWN80" s="1365"/>
      <c r="FWO80" s="1365"/>
      <c r="FWR80" s="1158"/>
      <c r="FWS80" s="1158"/>
      <c r="FWT80" s="1158"/>
      <c r="FWU80" s="7"/>
      <c r="FWV80" s="7"/>
      <c r="FWW80" s="7"/>
      <c r="FWX80" s="7"/>
      <c r="FWY80" s="1161"/>
      <c r="FWZ80" s="7"/>
      <c r="FXA80" s="7"/>
      <c r="FXB80" s="7"/>
      <c r="FXC80" s="7"/>
      <c r="FXD80" s="7"/>
      <c r="FXE80" s="1161"/>
      <c r="FXF80" s="1161"/>
      <c r="FXG80" s="1161"/>
      <c r="FXH80" s="1365"/>
      <c r="FXI80" s="7"/>
      <c r="FXJ80" s="7"/>
      <c r="FXK80" s="1365"/>
      <c r="FXL80" s="1365"/>
      <c r="FXN80" s="1158"/>
      <c r="FXO80" s="1158"/>
      <c r="FXP80" s="1158"/>
      <c r="FXQ80" s="7"/>
      <c r="FXR80" s="7"/>
      <c r="FXS80" s="7"/>
      <c r="FXT80" s="7"/>
      <c r="FXU80" s="1363"/>
      <c r="FXV80" s="1364"/>
      <c r="FXW80" s="1364"/>
      <c r="FXX80" s="1364"/>
      <c r="FXY80" s="7"/>
      <c r="FXZ80" s="7"/>
      <c r="FYA80" s="1363"/>
      <c r="FYB80" s="1363"/>
      <c r="FYC80" s="1363"/>
      <c r="FYD80" s="1365"/>
      <c r="FYE80" s="7"/>
      <c r="FYF80" s="7"/>
      <c r="FYG80" s="1365"/>
      <c r="FYH80" s="1365"/>
      <c r="FYI80" s="299"/>
      <c r="FYK80" s="1086"/>
      <c r="FYL80" s="1086"/>
      <c r="FYM80" s="1086"/>
      <c r="FYN80" s="7"/>
      <c r="FYO80" s="7"/>
      <c r="FYP80" s="7"/>
      <c r="FYQ80" s="7"/>
      <c r="FYR80" s="1161"/>
      <c r="FYS80" s="7"/>
      <c r="FYT80" s="7"/>
      <c r="FYU80" s="7"/>
      <c r="FYV80" s="7"/>
      <c r="FYW80" s="7"/>
      <c r="FYX80" s="1161"/>
      <c r="FYY80" s="1161"/>
      <c r="FYZ80" s="1161"/>
      <c r="FZA80" s="1365"/>
      <c r="FZB80" s="7"/>
      <c r="FZC80" s="7"/>
      <c r="FZD80" s="1365"/>
      <c r="FZE80" s="1365"/>
      <c r="FZH80" s="1158"/>
      <c r="FZI80" s="1158"/>
      <c r="FZJ80" s="1158"/>
      <c r="FZK80" s="7"/>
      <c r="FZL80" s="7"/>
      <c r="FZM80" s="7"/>
      <c r="FZN80" s="7"/>
      <c r="FZO80" s="1161"/>
      <c r="FZP80" s="7"/>
      <c r="FZQ80" s="7"/>
      <c r="FZR80" s="7"/>
      <c r="FZS80" s="7"/>
      <c r="FZT80" s="7"/>
      <c r="FZU80" s="1161"/>
      <c r="FZV80" s="1161"/>
      <c r="FZW80" s="1161"/>
      <c r="FZX80" s="1365"/>
      <c r="FZY80" s="7"/>
      <c r="FZZ80" s="7"/>
      <c r="GAA80" s="1365"/>
      <c r="GAB80" s="1365"/>
      <c r="GAD80" s="1158"/>
      <c r="GAE80" s="1158"/>
      <c r="GAF80" s="1158"/>
      <c r="GAG80" s="7"/>
      <c r="GAH80" s="7"/>
      <c r="GAI80" s="7"/>
      <c r="GAJ80" s="7"/>
      <c r="GAK80" s="1363"/>
      <c r="GAL80" s="1364"/>
      <c r="GAM80" s="1364"/>
      <c r="GAN80" s="1364"/>
      <c r="GAO80" s="7"/>
      <c r="GAP80" s="7"/>
      <c r="GAQ80" s="1363"/>
      <c r="GAR80" s="1363"/>
      <c r="GAS80" s="1363"/>
      <c r="GAT80" s="1365"/>
      <c r="GAU80" s="7"/>
      <c r="GAV80" s="7"/>
      <c r="GAW80" s="1365"/>
      <c r="GAX80" s="1365"/>
      <c r="GAY80" s="299"/>
      <c r="GBA80" s="1086"/>
      <c r="GBB80" s="1086"/>
      <c r="GBC80" s="1086"/>
      <c r="GBD80" s="7"/>
      <c r="GBE80" s="7"/>
      <c r="GBF80" s="7"/>
      <c r="GBG80" s="7"/>
      <c r="GBH80" s="1161"/>
      <c r="GBI80" s="7"/>
      <c r="GBJ80" s="7"/>
      <c r="GBK80" s="7"/>
      <c r="GBL80" s="7"/>
      <c r="GBM80" s="7"/>
      <c r="GBN80" s="1161"/>
      <c r="GBO80" s="1161"/>
      <c r="GBP80" s="1161"/>
      <c r="GBQ80" s="1365"/>
      <c r="GBR80" s="7"/>
      <c r="GBS80" s="7"/>
      <c r="GBT80" s="1365"/>
      <c r="GBU80" s="1365"/>
      <c r="GBX80" s="1158"/>
      <c r="GBY80" s="1158"/>
      <c r="GBZ80" s="1158"/>
      <c r="GCA80" s="7"/>
      <c r="GCB80" s="7"/>
      <c r="GCC80" s="7"/>
      <c r="GCD80" s="7"/>
      <c r="GCE80" s="1161"/>
      <c r="GCF80" s="7"/>
      <c r="GCG80" s="7"/>
      <c r="GCH80" s="7"/>
      <c r="GCI80" s="7"/>
      <c r="GCJ80" s="7"/>
      <c r="GCK80" s="1161"/>
      <c r="GCL80" s="1161"/>
      <c r="GCM80" s="1161"/>
      <c r="GCN80" s="1365"/>
      <c r="GCO80" s="7"/>
      <c r="GCP80" s="7"/>
      <c r="GCQ80" s="1365"/>
      <c r="GCR80" s="1365"/>
      <c r="GCT80" s="1158"/>
      <c r="GCU80" s="1158"/>
      <c r="GCV80" s="1158"/>
      <c r="GCW80" s="7"/>
      <c r="GCX80" s="7"/>
      <c r="GCY80" s="7"/>
      <c r="GCZ80" s="7"/>
      <c r="GDA80" s="1363"/>
      <c r="GDB80" s="1364"/>
      <c r="GDC80" s="1364"/>
      <c r="GDD80" s="1364"/>
      <c r="GDE80" s="7"/>
      <c r="GDF80" s="7"/>
      <c r="GDG80" s="1363"/>
      <c r="GDH80" s="1363"/>
      <c r="GDI80" s="1363"/>
      <c r="GDJ80" s="1365"/>
      <c r="GDK80" s="7"/>
      <c r="GDL80" s="7"/>
      <c r="GDM80" s="1365"/>
      <c r="GDN80" s="1365"/>
      <c r="GDO80" s="299"/>
      <c r="GDQ80" s="1086"/>
      <c r="GDR80" s="1086"/>
      <c r="GDS80" s="1086"/>
      <c r="GDT80" s="7"/>
      <c r="GDU80" s="7"/>
      <c r="GDV80" s="7"/>
      <c r="GDW80" s="7"/>
      <c r="GDX80" s="1161"/>
      <c r="GDY80" s="7"/>
      <c r="GDZ80" s="7"/>
      <c r="GEA80" s="7"/>
      <c r="GEB80" s="7"/>
      <c r="GEC80" s="7"/>
      <c r="GED80" s="1161"/>
      <c r="GEE80" s="1161"/>
      <c r="GEF80" s="1161"/>
      <c r="GEG80" s="1365"/>
      <c r="GEH80" s="7"/>
      <c r="GEI80" s="7"/>
      <c r="GEJ80" s="1365"/>
      <c r="GEK80" s="1365"/>
      <c r="GEN80" s="1158"/>
      <c r="GEO80" s="1158"/>
      <c r="GEP80" s="1158"/>
      <c r="GEQ80" s="7"/>
      <c r="GER80" s="7"/>
      <c r="GES80" s="7"/>
      <c r="GET80" s="7"/>
      <c r="GEU80" s="1161"/>
      <c r="GEV80" s="7"/>
      <c r="GEW80" s="7"/>
      <c r="GEX80" s="7"/>
      <c r="GEY80" s="7"/>
      <c r="GEZ80" s="7"/>
      <c r="GFA80" s="1161"/>
      <c r="GFB80" s="1161"/>
      <c r="GFC80" s="1161"/>
      <c r="GFD80" s="1365"/>
      <c r="GFE80" s="7"/>
      <c r="GFF80" s="7"/>
      <c r="GFG80" s="1365"/>
      <c r="GFH80" s="1365"/>
      <c r="GFJ80" s="1158"/>
      <c r="GFK80" s="1158"/>
      <c r="GFL80" s="1158"/>
      <c r="GFM80" s="7"/>
      <c r="GFN80" s="7"/>
      <c r="GFO80" s="7"/>
      <c r="GFP80" s="7"/>
      <c r="GFQ80" s="1363"/>
      <c r="GFR80" s="1364"/>
      <c r="GFS80" s="1364"/>
      <c r="GFT80" s="1364"/>
      <c r="GFU80" s="7"/>
      <c r="GFV80" s="7"/>
      <c r="GFW80" s="1363"/>
      <c r="GFX80" s="1363"/>
      <c r="GFY80" s="1363"/>
      <c r="GFZ80" s="1365"/>
      <c r="GGA80" s="7"/>
      <c r="GGB80" s="7"/>
      <c r="GGC80" s="1365"/>
      <c r="GGD80" s="1365"/>
      <c r="GGE80" s="299"/>
      <c r="GGG80" s="1086"/>
      <c r="GGH80" s="1086"/>
      <c r="GGI80" s="1086"/>
      <c r="GGJ80" s="7"/>
      <c r="GGK80" s="7"/>
      <c r="GGL80" s="7"/>
      <c r="GGM80" s="7"/>
      <c r="GGN80" s="1161"/>
      <c r="GGO80" s="7"/>
      <c r="GGP80" s="7"/>
      <c r="GGQ80" s="7"/>
      <c r="GGR80" s="7"/>
      <c r="GGS80" s="7"/>
      <c r="GGT80" s="1161"/>
      <c r="GGU80" s="1161"/>
      <c r="GGV80" s="1161"/>
      <c r="GGW80" s="1365"/>
      <c r="GGX80" s="7"/>
      <c r="GGY80" s="7"/>
      <c r="GGZ80" s="1365"/>
      <c r="GHA80" s="1365"/>
      <c r="GHD80" s="1158"/>
      <c r="GHE80" s="1158"/>
      <c r="GHF80" s="1158"/>
      <c r="GHG80" s="7"/>
      <c r="GHH80" s="7"/>
      <c r="GHI80" s="7"/>
      <c r="GHJ80" s="7"/>
      <c r="GHK80" s="1161"/>
      <c r="GHL80" s="7"/>
      <c r="GHM80" s="7"/>
      <c r="GHN80" s="7"/>
      <c r="GHO80" s="7"/>
      <c r="GHP80" s="7"/>
      <c r="GHQ80" s="1161"/>
      <c r="GHR80" s="1161"/>
      <c r="GHS80" s="1161"/>
      <c r="GHT80" s="1365"/>
      <c r="GHU80" s="7"/>
      <c r="GHV80" s="7"/>
      <c r="GHW80" s="1365"/>
      <c r="GHX80" s="1365"/>
      <c r="GHZ80" s="1158"/>
      <c r="GIA80" s="1158"/>
      <c r="GIB80" s="1158"/>
      <c r="GIC80" s="7"/>
      <c r="GID80" s="7"/>
      <c r="GIE80" s="7"/>
      <c r="GIF80" s="7"/>
      <c r="GIG80" s="1363"/>
      <c r="GIH80" s="1364"/>
      <c r="GII80" s="1364"/>
      <c r="GIJ80" s="1364"/>
      <c r="GIK80" s="7"/>
      <c r="GIL80" s="7"/>
      <c r="GIM80" s="1363"/>
      <c r="GIN80" s="1363"/>
      <c r="GIO80" s="1363"/>
      <c r="GIP80" s="1365"/>
      <c r="GIQ80" s="7"/>
      <c r="GIR80" s="7"/>
      <c r="GIS80" s="1365"/>
      <c r="GIT80" s="1365"/>
      <c r="GIU80" s="299"/>
      <c r="GIW80" s="1086"/>
      <c r="GIX80" s="1086"/>
      <c r="GIY80" s="1086"/>
      <c r="GIZ80" s="7"/>
      <c r="GJA80" s="7"/>
      <c r="GJB80" s="7"/>
      <c r="GJC80" s="7"/>
      <c r="GJD80" s="1161"/>
      <c r="GJE80" s="7"/>
      <c r="GJF80" s="7"/>
      <c r="GJG80" s="7"/>
      <c r="GJH80" s="7"/>
      <c r="GJI80" s="7"/>
      <c r="GJJ80" s="1161"/>
      <c r="GJK80" s="1161"/>
      <c r="GJL80" s="1161"/>
      <c r="GJM80" s="1365"/>
      <c r="GJN80" s="7"/>
      <c r="GJO80" s="7"/>
      <c r="GJP80" s="1365"/>
      <c r="GJQ80" s="1365"/>
      <c r="GJT80" s="1158"/>
      <c r="GJU80" s="1158"/>
      <c r="GJV80" s="1158"/>
      <c r="GJW80" s="7"/>
      <c r="GJX80" s="7"/>
      <c r="GJY80" s="7"/>
      <c r="GJZ80" s="7"/>
      <c r="GKA80" s="1161"/>
      <c r="GKB80" s="7"/>
      <c r="GKC80" s="7"/>
      <c r="GKD80" s="7"/>
      <c r="GKE80" s="7"/>
      <c r="GKF80" s="7"/>
      <c r="GKG80" s="1161"/>
      <c r="GKH80" s="1161"/>
      <c r="GKI80" s="1161"/>
      <c r="GKJ80" s="1365"/>
      <c r="GKK80" s="7"/>
      <c r="GKL80" s="7"/>
      <c r="GKM80" s="1365"/>
      <c r="GKN80" s="1365"/>
      <c r="GKP80" s="1158"/>
      <c r="GKQ80" s="1158"/>
      <c r="GKR80" s="1158"/>
      <c r="GKS80" s="7"/>
      <c r="GKT80" s="7"/>
      <c r="GKU80" s="7"/>
      <c r="GKV80" s="7"/>
      <c r="GKW80" s="1363"/>
      <c r="GKX80" s="1364"/>
      <c r="GKY80" s="1364"/>
      <c r="GKZ80" s="1364"/>
      <c r="GLA80" s="7"/>
      <c r="GLB80" s="7"/>
      <c r="GLC80" s="1363"/>
      <c r="GLD80" s="1363"/>
      <c r="GLE80" s="1363"/>
      <c r="GLF80" s="1365"/>
      <c r="GLG80" s="7"/>
      <c r="GLH80" s="7"/>
      <c r="GLI80" s="1365"/>
      <c r="GLJ80" s="1365"/>
      <c r="GLK80" s="299"/>
      <c r="GLM80" s="1086"/>
      <c r="GLN80" s="1086"/>
      <c r="GLO80" s="1086"/>
      <c r="GLP80" s="7"/>
      <c r="GLQ80" s="7"/>
      <c r="GLR80" s="7"/>
      <c r="GLS80" s="7"/>
      <c r="GLT80" s="1161"/>
      <c r="GLU80" s="7"/>
      <c r="GLV80" s="7"/>
      <c r="GLW80" s="7"/>
      <c r="GLX80" s="7"/>
      <c r="GLY80" s="7"/>
      <c r="GLZ80" s="1161"/>
      <c r="GMA80" s="1161"/>
      <c r="GMB80" s="1161"/>
      <c r="GMC80" s="1365"/>
      <c r="GMD80" s="7"/>
      <c r="GME80" s="7"/>
      <c r="GMF80" s="1365"/>
      <c r="GMG80" s="1365"/>
      <c r="GMJ80" s="1158"/>
      <c r="GMK80" s="1158"/>
      <c r="GML80" s="1158"/>
      <c r="GMM80" s="7"/>
      <c r="GMN80" s="7"/>
      <c r="GMO80" s="7"/>
      <c r="GMP80" s="7"/>
      <c r="GMQ80" s="1161"/>
      <c r="GMR80" s="7"/>
      <c r="GMS80" s="7"/>
      <c r="GMT80" s="7"/>
      <c r="GMU80" s="7"/>
      <c r="GMV80" s="7"/>
      <c r="GMW80" s="1161"/>
      <c r="GMX80" s="1161"/>
      <c r="GMY80" s="1161"/>
      <c r="GMZ80" s="1365"/>
      <c r="GNA80" s="7"/>
      <c r="GNB80" s="7"/>
      <c r="GNC80" s="1365"/>
      <c r="GND80" s="1365"/>
      <c r="GNF80" s="1158"/>
      <c r="GNG80" s="1158"/>
      <c r="GNH80" s="1158"/>
      <c r="GNI80" s="7"/>
      <c r="GNJ80" s="7"/>
      <c r="GNK80" s="7"/>
      <c r="GNL80" s="7"/>
      <c r="GNM80" s="1363"/>
      <c r="GNN80" s="1364"/>
      <c r="GNO80" s="1364"/>
      <c r="GNP80" s="1364"/>
      <c r="GNQ80" s="7"/>
      <c r="GNR80" s="7"/>
      <c r="GNS80" s="1363"/>
      <c r="GNT80" s="1363"/>
      <c r="GNU80" s="1363"/>
      <c r="GNV80" s="1365"/>
      <c r="GNW80" s="7"/>
      <c r="GNX80" s="7"/>
      <c r="GNY80" s="1365"/>
      <c r="GNZ80" s="1365"/>
      <c r="GOA80" s="299"/>
      <c r="GOC80" s="1086"/>
      <c r="GOD80" s="1086"/>
      <c r="GOE80" s="1086"/>
      <c r="GOF80" s="7"/>
      <c r="GOG80" s="7"/>
      <c r="GOH80" s="7"/>
      <c r="GOI80" s="7"/>
      <c r="GOJ80" s="1161"/>
      <c r="GOK80" s="7"/>
      <c r="GOL80" s="7"/>
      <c r="GOM80" s="7"/>
      <c r="GON80" s="7"/>
      <c r="GOO80" s="7"/>
      <c r="GOP80" s="1161"/>
      <c r="GOQ80" s="1161"/>
      <c r="GOR80" s="1161"/>
      <c r="GOS80" s="1365"/>
      <c r="GOT80" s="7"/>
      <c r="GOU80" s="7"/>
      <c r="GOV80" s="1365"/>
      <c r="GOW80" s="1365"/>
      <c r="GOZ80" s="1158"/>
      <c r="GPA80" s="1158"/>
      <c r="GPB80" s="1158"/>
      <c r="GPC80" s="7"/>
      <c r="GPD80" s="7"/>
      <c r="GPE80" s="7"/>
      <c r="GPF80" s="7"/>
      <c r="GPG80" s="1161"/>
      <c r="GPH80" s="7"/>
      <c r="GPI80" s="7"/>
      <c r="GPJ80" s="7"/>
      <c r="GPK80" s="7"/>
      <c r="GPL80" s="7"/>
      <c r="GPM80" s="1161"/>
      <c r="GPN80" s="1161"/>
      <c r="GPO80" s="1161"/>
      <c r="GPP80" s="1365"/>
      <c r="GPQ80" s="7"/>
      <c r="GPR80" s="7"/>
      <c r="GPS80" s="1365"/>
      <c r="GPT80" s="1365"/>
      <c r="GPV80" s="1158"/>
      <c r="GPW80" s="1158"/>
      <c r="GPX80" s="1158"/>
      <c r="GPY80" s="7"/>
      <c r="GPZ80" s="7"/>
      <c r="GQA80" s="7"/>
      <c r="GQB80" s="7"/>
      <c r="GQC80" s="1363"/>
      <c r="GQD80" s="1364"/>
      <c r="GQE80" s="1364"/>
      <c r="GQF80" s="1364"/>
      <c r="GQG80" s="7"/>
      <c r="GQH80" s="7"/>
      <c r="GQI80" s="1363"/>
      <c r="GQJ80" s="1363"/>
      <c r="GQK80" s="1363"/>
      <c r="GQL80" s="1365"/>
      <c r="GQM80" s="7"/>
      <c r="GQN80" s="7"/>
      <c r="GQO80" s="1365"/>
      <c r="GQP80" s="1365"/>
      <c r="GQQ80" s="299"/>
      <c r="GQS80" s="1086"/>
      <c r="GQT80" s="1086"/>
      <c r="GQU80" s="1086"/>
      <c r="GQV80" s="7"/>
      <c r="GQW80" s="7"/>
      <c r="GQX80" s="7"/>
      <c r="GQY80" s="7"/>
      <c r="GQZ80" s="1161"/>
      <c r="GRA80" s="7"/>
      <c r="GRB80" s="7"/>
      <c r="GRC80" s="7"/>
      <c r="GRD80" s="7"/>
      <c r="GRE80" s="7"/>
      <c r="GRF80" s="1161"/>
      <c r="GRG80" s="1161"/>
      <c r="GRH80" s="1161"/>
      <c r="GRI80" s="1365"/>
      <c r="GRJ80" s="7"/>
      <c r="GRK80" s="7"/>
      <c r="GRL80" s="1365"/>
      <c r="GRM80" s="1365"/>
      <c r="GRP80" s="1158"/>
      <c r="GRQ80" s="1158"/>
      <c r="GRR80" s="1158"/>
      <c r="GRS80" s="7"/>
      <c r="GRT80" s="7"/>
      <c r="GRU80" s="7"/>
      <c r="GRV80" s="7"/>
      <c r="GRW80" s="1161"/>
      <c r="GRX80" s="7"/>
      <c r="GRY80" s="7"/>
      <c r="GRZ80" s="7"/>
      <c r="GSA80" s="7"/>
      <c r="GSB80" s="7"/>
      <c r="GSC80" s="1161"/>
      <c r="GSD80" s="1161"/>
      <c r="GSE80" s="1161"/>
      <c r="GSF80" s="1365"/>
      <c r="GSG80" s="7"/>
      <c r="GSH80" s="7"/>
      <c r="GSI80" s="1365"/>
      <c r="GSJ80" s="1365"/>
      <c r="GSL80" s="1158"/>
      <c r="GSM80" s="1158"/>
      <c r="GSN80" s="1158"/>
      <c r="GSO80" s="7"/>
      <c r="GSP80" s="7"/>
      <c r="GSQ80" s="7"/>
      <c r="GSR80" s="7"/>
      <c r="GSS80" s="1363"/>
      <c r="GST80" s="1364"/>
      <c r="GSU80" s="1364"/>
      <c r="GSV80" s="1364"/>
      <c r="GSW80" s="7"/>
      <c r="GSX80" s="7"/>
      <c r="GSY80" s="1363"/>
      <c r="GSZ80" s="1363"/>
      <c r="GTA80" s="1363"/>
      <c r="GTB80" s="1365"/>
      <c r="GTC80" s="7"/>
      <c r="GTD80" s="7"/>
      <c r="GTE80" s="1365"/>
      <c r="GTF80" s="1365"/>
      <c r="GTG80" s="299"/>
      <c r="GTI80" s="1086"/>
      <c r="GTJ80" s="1086"/>
      <c r="GTK80" s="1086"/>
      <c r="GTL80" s="7"/>
      <c r="GTM80" s="7"/>
      <c r="GTN80" s="7"/>
      <c r="GTO80" s="7"/>
      <c r="GTP80" s="1161"/>
      <c r="GTQ80" s="7"/>
      <c r="GTR80" s="7"/>
      <c r="GTS80" s="7"/>
      <c r="GTT80" s="7"/>
      <c r="GTU80" s="7"/>
      <c r="GTV80" s="1161"/>
      <c r="GTW80" s="1161"/>
      <c r="GTX80" s="1161"/>
      <c r="GTY80" s="1365"/>
      <c r="GTZ80" s="7"/>
      <c r="GUA80" s="7"/>
      <c r="GUB80" s="1365"/>
      <c r="GUC80" s="1365"/>
      <c r="GUF80" s="1158"/>
      <c r="GUG80" s="1158"/>
      <c r="GUH80" s="1158"/>
      <c r="GUI80" s="7"/>
      <c r="GUJ80" s="7"/>
      <c r="GUK80" s="7"/>
      <c r="GUL80" s="7"/>
      <c r="GUM80" s="1161"/>
      <c r="GUN80" s="7"/>
      <c r="GUO80" s="7"/>
      <c r="GUP80" s="7"/>
      <c r="GUQ80" s="7"/>
      <c r="GUR80" s="7"/>
      <c r="GUS80" s="1161"/>
      <c r="GUT80" s="1161"/>
      <c r="GUU80" s="1161"/>
      <c r="GUV80" s="1365"/>
      <c r="GUW80" s="7"/>
      <c r="GUX80" s="7"/>
      <c r="GUY80" s="1365"/>
      <c r="GUZ80" s="1365"/>
      <c r="GVB80" s="1158"/>
      <c r="GVC80" s="1158"/>
      <c r="GVD80" s="1158"/>
      <c r="GVE80" s="7"/>
      <c r="GVF80" s="7"/>
      <c r="GVG80" s="7"/>
      <c r="GVH80" s="7"/>
      <c r="GVI80" s="1363"/>
      <c r="GVJ80" s="1364"/>
      <c r="GVK80" s="1364"/>
      <c r="GVL80" s="1364"/>
      <c r="GVM80" s="7"/>
      <c r="GVN80" s="7"/>
      <c r="GVO80" s="1363"/>
      <c r="GVP80" s="1363"/>
      <c r="GVQ80" s="1363"/>
      <c r="GVR80" s="1365"/>
      <c r="GVS80" s="7"/>
      <c r="GVT80" s="7"/>
      <c r="GVU80" s="1365"/>
      <c r="GVV80" s="1365"/>
      <c r="GVW80" s="299"/>
      <c r="GVY80" s="1086"/>
      <c r="GVZ80" s="1086"/>
      <c r="GWA80" s="1086"/>
      <c r="GWB80" s="7"/>
      <c r="GWC80" s="7"/>
      <c r="GWD80" s="7"/>
      <c r="GWE80" s="7"/>
      <c r="GWF80" s="1161"/>
      <c r="GWG80" s="7"/>
      <c r="GWH80" s="7"/>
      <c r="GWI80" s="7"/>
      <c r="GWJ80" s="7"/>
      <c r="GWK80" s="7"/>
      <c r="GWL80" s="1161"/>
      <c r="GWM80" s="1161"/>
      <c r="GWN80" s="1161"/>
      <c r="GWO80" s="1365"/>
      <c r="GWP80" s="7"/>
      <c r="GWQ80" s="7"/>
      <c r="GWR80" s="1365"/>
      <c r="GWS80" s="1365"/>
      <c r="GWV80" s="1158"/>
      <c r="GWW80" s="1158"/>
      <c r="GWX80" s="1158"/>
      <c r="GWY80" s="7"/>
      <c r="GWZ80" s="7"/>
      <c r="GXA80" s="7"/>
      <c r="GXB80" s="7"/>
      <c r="GXC80" s="1161"/>
      <c r="GXD80" s="7"/>
      <c r="GXE80" s="7"/>
      <c r="GXF80" s="7"/>
      <c r="GXG80" s="7"/>
      <c r="GXH80" s="7"/>
      <c r="GXI80" s="1161"/>
      <c r="GXJ80" s="1161"/>
      <c r="GXK80" s="1161"/>
      <c r="GXL80" s="1365"/>
      <c r="GXM80" s="7"/>
      <c r="GXN80" s="7"/>
      <c r="GXO80" s="1365"/>
      <c r="GXP80" s="1365"/>
      <c r="GXR80" s="1158"/>
      <c r="GXS80" s="1158"/>
      <c r="GXT80" s="1158"/>
      <c r="GXU80" s="7"/>
      <c r="GXV80" s="7"/>
      <c r="GXW80" s="7"/>
      <c r="GXX80" s="7"/>
      <c r="GXY80" s="1363"/>
      <c r="GXZ80" s="1364"/>
      <c r="GYA80" s="1364"/>
      <c r="GYB80" s="1364"/>
      <c r="GYC80" s="7"/>
      <c r="GYD80" s="7"/>
      <c r="GYE80" s="1363"/>
      <c r="GYF80" s="1363"/>
      <c r="GYG80" s="1363"/>
      <c r="GYH80" s="1365"/>
      <c r="GYI80" s="7"/>
      <c r="GYJ80" s="7"/>
      <c r="GYK80" s="1365"/>
      <c r="GYL80" s="1365"/>
      <c r="GYM80" s="299"/>
      <c r="GYO80" s="1086"/>
      <c r="GYP80" s="1086"/>
      <c r="GYQ80" s="1086"/>
      <c r="GYR80" s="7"/>
      <c r="GYS80" s="7"/>
      <c r="GYT80" s="7"/>
      <c r="GYU80" s="7"/>
      <c r="GYV80" s="1161"/>
      <c r="GYW80" s="7"/>
      <c r="GYX80" s="7"/>
      <c r="GYY80" s="7"/>
      <c r="GYZ80" s="7"/>
      <c r="GZA80" s="7"/>
      <c r="GZB80" s="1161"/>
      <c r="GZC80" s="1161"/>
      <c r="GZD80" s="1161"/>
      <c r="GZE80" s="1365"/>
      <c r="GZF80" s="7"/>
      <c r="GZG80" s="7"/>
      <c r="GZH80" s="1365"/>
      <c r="GZI80" s="1365"/>
      <c r="GZL80" s="1158"/>
      <c r="GZM80" s="1158"/>
      <c r="GZN80" s="1158"/>
      <c r="GZO80" s="7"/>
      <c r="GZP80" s="7"/>
      <c r="GZQ80" s="7"/>
      <c r="GZR80" s="7"/>
      <c r="GZS80" s="1161"/>
      <c r="GZT80" s="7"/>
      <c r="GZU80" s="7"/>
      <c r="GZV80" s="7"/>
      <c r="GZW80" s="7"/>
      <c r="GZX80" s="7"/>
      <c r="GZY80" s="1161"/>
      <c r="GZZ80" s="1161"/>
      <c r="HAA80" s="1161"/>
      <c r="HAB80" s="1365"/>
      <c r="HAC80" s="7"/>
      <c r="HAD80" s="7"/>
      <c r="HAE80" s="1365"/>
      <c r="HAF80" s="1365"/>
      <c r="HAH80" s="1158"/>
      <c r="HAI80" s="1158"/>
      <c r="HAJ80" s="1158"/>
      <c r="HAK80" s="7"/>
      <c r="HAL80" s="7"/>
      <c r="HAM80" s="7"/>
      <c r="HAN80" s="7"/>
      <c r="HAO80" s="1363"/>
      <c r="HAP80" s="1364"/>
      <c r="HAQ80" s="1364"/>
      <c r="HAR80" s="1364"/>
      <c r="HAS80" s="7"/>
      <c r="HAT80" s="7"/>
      <c r="HAU80" s="1363"/>
      <c r="HAV80" s="1363"/>
      <c r="HAW80" s="1363"/>
      <c r="HAX80" s="1365"/>
      <c r="HAY80" s="7"/>
      <c r="HAZ80" s="7"/>
      <c r="HBA80" s="1365"/>
      <c r="HBB80" s="1365"/>
      <c r="HBC80" s="299"/>
      <c r="HBE80" s="1086"/>
      <c r="HBF80" s="1086"/>
      <c r="HBG80" s="1086"/>
      <c r="HBH80" s="7"/>
      <c r="HBI80" s="7"/>
      <c r="HBJ80" s="7"/>
      <c r="HBK80" s="7"/>
      <c r="HBL80" s="1161"/>
      <c r="HBM80" s="7"/>
      <c r="HBN80" s="7"/>
      <c r="HBO80" s="7"/>
      <c r="HBP80" s="7"/>
      <c r="HBQ80" s="7"/>
      <c r="HBR80" s="1161"/>
      <c r="HBS80" s="1161"/>
      <c r="HBT80" s="1161"/>
      <c r="HBU80" s="1365"/>
      <c r="HBV80" s="7"/>
      <c r="HBW80" s="7"/>
      <c r="HBX80" s="1365"/>
      <c r="HBY80" s="1365"/>
      <c r="HCB80" s="1158"/>
      <c r="HCC80" s="1158"/>
      <c r="HCD80" s="1158"/>
      <c r="HCE80" s="7"/>
      <c r="HCF80" s="7"/>
      <c r="HCG80" s="7"/>
      <c r="HCH80" s="7"/>
      <c r="HCI80" s="1161"/>
      <c r="HCJ80" s="7"/>
      <c r="HCK80" s="7"/>
      <c r="HCL80" s="7"/>
      <c r="HCM80" s="7"/>
      <c r="HCN80" s="7"/>
      <c r="HCO80" s="1161"/>
      <c r="HCP80" s="1161"/>
      <c r="HCQ80" s="1161"/>
      <c r="HCR80" s="1365"/>
      <c r="HCS80" s="7"/>
      <c r="HCT80" s="7"/>
      <c r="HCU80" s="1365"/>
      <c r="HCV80" s="1365"/>
      <c r="HCX80" s="1158"/>
      <c r="HCY80" s="1158"/>
      <c r="HCZ80" s="1158"/>
      <c r="HDA80" s="7"/>
      <c r="HDB80" s="7"/>
      <c r="HDC80" s="7"/>
      <c r="HDD80" s="7"/>
      <c r="HDE80" s="1363"/>
      <c r="HDF80" s="1364"/>
      <c r="HDG80" s="1364"/>
      <c r="HDH80" s="1364"/>
      <c r="HDI80" s="7"/>
      <c r="HDJ80" s="7"/>
      <c r="HDK80" s="1363"/>
      <c r="HDL80" s="1363"/>
      <c r="HDM80" s="1363"/>
      <c r="HDN80" s="1365"/>
      <c r="HDO80" s="7"/>
      <c r="HDP80" s="7"/>
      <c r="HDQ80" s="1365"/>
      <c r="HDR80" s="1365"/>
      <c r="HDS80" s="299"/>
      <c r="HDU80" s="1086"/>
      <c r="HDV80" s="1086"/>
      <c r="HDW80" s="1086"/>
      <c r="HDX80" s="7"/>
      <c r="HDY80" s="7"/>
      <c r="HDZ80" s="7"/>
      <c r="HEA80" s="7"/>
      <c r="HEB80" s="1161"/>
      <c r="HEC80" s="7"/>
      <c r="HED80" s="7"/>
      <c r="HEE80" s="7"/>
      <c r="HEF80" s="7"/>
      <c r="HEG80" s="7"/>
      <c r="HEH80" s="1161"/>
      <c r="HEI80" s="1161"/>
      <c r="HEJ80" s="1161"/>
      <c r="HEK80" s="1365"/>
      <c r="HEL80" s="7"/>
      <c r="HEM80" s="7"/>
      <c r="HEN80" s="1365"/>
      <c r="HEO80" s="1365"/>
      <c r="HER80" s="1158"/>
      <c r="HES80" s="1158"/>
      <c r="HET80" s="1158"/>
      <c r="HEU80" s="7"/>
      <c r="HEV80" s="7"/>
      <c r="HEW80" s="7"/>
      <c r="HEX80" s="7"/>
      <c r="HEY80" s="1161"/>
      <c r="HEZ80" s="7"/>
      <c r="HFA80" s="7"/>
      <c r="HFB80" s="7"/>
      <c r="HFC80" s="7"/>
      <c r="HFD80" s="7"/>
      <c r="HFE80" s="1161"/>
      <c r="HFF80" s="1161"/>
      <c r="HFG80" s="1161"/>
      <c r="HFH80" s="1365"/>
      <c r="HFI80" s="7"/>
      <c r="HFJ80" s="7"/>
      <c r="HFK80" s="1365"/>
      <c r="HFL80" s="1365"/>
      <c r="HFN80" s="1158"/>
      <c r="HFO80" s="1158"/>
      <c r="HFP80" s="1158"/>
      <c r="HFQ80" s="7"/>
      <c r="HFR80" s="7"/>
      <c r="HFS80" s="7"/>
      <c r="HFT80" s="7"/>
      <c r="HFU80" s="1363"/>
      <c r="HFV80" s="1364"/>
      <c r="HFW80" s="1364"/>
      <c r="HFX80" s="1364"/>
      <c r="HFY80" s="7"/>
      <c r="HFZ80" s="7"/>
      <c r="HGA80" s="1363"/>
      <c r="HGB80" s="1363"/>
      <c r="HGC80" s="1363"/>
      <c r="HGD80" s="1365"/>
      <c r="HGE80" s="7"/>
      <c r="HGF80" s="7"/>
      <c r="HGG80" s="1365"/>
      <c r="HGH80" s="1365"/>
      <c r="HGI80" s="299"/>
      <c r="HGK80" s="1086"/>
      <c r="HGL80" s="1086"/>
      <c r="HGM80" s="1086"/>
      <c r="HGN80" s="7"/>
      <c r="HGO80" s="7"/>
      <c r="HGP80" s="7"/>
      <c r="HGQ80" s="7"/>
      <c r="HGR80" s="1161"/>
      <c r="HGS80" s="7"/>
      <c r="HGT80" s="7"/>
      <c r="HGU80" s="7"/>
      <c r="HGV80" s="7"/>
      <c r="HGW80" s="7"/>
      <c r="HGX80" s="1161"/>
      <c r="HGY80" s="1161"/>
      <c r="HGZ80" s="1161"/>
      <c r="HHA80" s="1365"/>
      <c r="HHB80" s="7"/>
      <c r="HHC80" s="7"/>
      <c r="HHD80" s="1365"/>
      <c r="HHE80" s="1365"/>
      <c r="HHH80" s="1158"/>
      <c r="HHI80" s="1158"/>
      <c r="HHJ80" s="1158"/>
      <c r="HHK80" s="7"/>
      <c r="HHL80" s="7"/>
      <c r="HHM80" s="7"/>
      <c r="HHN80" s="7"/>
      <c r="HHO80" s="1161"/>
      <c r="HHP80" s="7"/>
      <c r="HHQ80" s="7"/>
      <c r="HHR80" s="7"/>
      <c r="HHS80" s="7"/>
      <c r="HHT80" s="7"/>
      <c r="HHU80" s="1161"/>
      <c r="HHV80" s="1161"/>
      <c r="HHW80" s="1161"/>
      <c r="HHX80" s="1365"/>
      <c r="HHY80" s="7"/>
      <c r="HHZ80" s="7"/>
      <c r="HIA80" s="1365"/>
      <c r="HIB80" s="1365"/>
      <c r="HID80" s="1158"/>
      <c r="HIE80" s="1158"/>
      <c r="HIF80" s="1158"/>
      <c r="HIG80" s="7"/>
      <c r="HIH80" s="7"/>
      <c r="HII80" s="7"/>
      <c r="HIJ80" s="7"/>
      <c r="HIK80" s="1363"/>
      <c r="HIL80" s="1364"/>
      <c r="HIM80" s="1364"/>
      <c r="HIN80" s="1364"/>
      <c r="HIO80" s="7"/>
      <c r="HIP80" s="7"/>
      <c r="HIQ80" s="1363"/>
      <c r="HIR80" s="1363"/>
      <c r="HIS80" s="1363"/>
      <c r="HIT80" s="1365"/>
      <c r="HIU80" s="7"/>
      <c r="HIV80" s="7"/>
      <c r="HIW80" s="1365"/>
      <c r="HIX80" s="1365"/>
      <c r="HIY80" s="299"/>
      <c r="HJA80" s="1086"/>
      <c r="HJB80" s="1086"/>
      <c r="HJC80" s="1086"/>
      <c r="HJD80" s="7"/>
      <c r="HJE80" s="7"/>
      <c r="HJF80" s="7"/>
      <c r="HJG80" s="7"/>
      <c r="HJH80" s="1161"/>
      <c r="HJI80" s="7"/>
      <c r="HJJ80" s="7"/>
      <c r="HJK80" s="7"/>
      <c r="HJL80" s="7"/>
      <c r="HJM80" s="7"/>
      <c r="HJN80" s="1161"/>
      <c r="HJO80" s="1161"/>
      <c r="HJP80" s="1161"/>
      <c r="HJQ80" s="1365"/>
      <c r="HJR80" s="7"/>
      <c r="HJS80" s="7"/>
      <c r="HJT80" s="1365"/>
      <c r="HJU80" s="1365"/>
      <c r="HJX80" s="1158"/>
      <c r="HJY80" s="1158"/>
      <c r="HJZ80" s="1158"/>
      <c r="HKA80" s="7"/>
      <c r="HKB80" s="7"/>
      <c r="HKC80" s="7"/>
      <c r="HKD80" s="7"/>
      <c r="HKE80" s="1161"/>
      <c r="HKF80" s="7"/>
      <c r="HKG80" s="7"/>
      <c r="HKH80" s="7"/>
      <c r="HKI80" s="7"/>
      <c r="HKJ80" s="7"/>
      <c r="HKK80" s="1161"/>
      <c r="HKL80" s="1161"/>
      <c r="HKM80" s="1161"/>
      <c r="HKN80" s="1365"/>
      <c r="HKO80" s="7"/>
      <c r="HKP80" s="7"/>
      <c r="HKQ80" s="1365"/>
      <c r="HKR80" s="1365"/>
      <c r="HKT80" s="1158"/>
      <c r="HKU80" s="1158"/>
      <c r="HKV80" s="1158"/>
      <c r="HKW80" s="7"/>
      <c r="HKX80" s="7"/>
      <c r="HKY80" s="7"/>
      <c r="HKZ80" s="7"/>
      <c r="HLA80" s="1363"/>
      <c r="HLB80" s="1364"/>
      <c r="HLC80" s="1364"/>
      <c r="HLD80" s="1364"/>
      <c r="HLE80" s="7"/>
      <c r="HLF80" s="7"/>
      <c r="HLG80" s="1363"/>
      <c r="HLH80" s="1363"/>
      <c r="HLI80" s="1363"/>
      <c r="HLJ80" s="1365"/>
      <c r="HLK80" s="7"/>
      <c r="HLL80" s="7"/>
      <c r="HLM80" s="1365"/>
      <c r="HLN80" s="1365"/>
      <c r="HLO80" s="299"/>
      <c r="HLQ80" s="1086"/>
      <c r="HLR80" s="1086"/>
      <c r="HLS80" s="1086"/>
      <c r="HLT80" s="7"/>
      <c r="HLU80" s="7"/>
      <c r="HLV80" s="7"/>
      <c r="HLW80" s="7"/>
      <c r="HLX80" s="1161"/>
      <c r="HLY80" s="7"/>
      <c r="HLZ80" s="7"/>
      <c r="HMA80" s="7"/>
      <c r="HMB80" s="7"/>
      <c r="HMC80" s="7"/>
      <c r="HMD80" s="1161"/>
      <c r="HME80" s="1161"/>
      <c r="HMF80" s="1161"/>
      <c r="HMG80" s="1365"/>
      <c r="HMH80" s="7"/>
      <c r="HMI80" s="7"/>
      <c r="HMJ80" s="1365"/>
      <c r="HMK80" s="1365"/>
      <c r="HMN80" s="1158"/>
      <c r="HMO80" s="1158"/>
      <c r="HMP80" s="1158"/>
      <c r="HMQ80" s="7"/>
      <c r="HMR80" s="7"/>
      <c r="HMS80" s="7"/>
      <c r="HMT80" s="7"/>
      <c r="HMU80" s="1161"/>
      <c r="HMV80" s="7"/>
      <c r="HMW80" s="7"/>
      <c r="HMX80" s="7"/>
      <c r="HMY80" s="7"/>
      <c r="HMZ80" s="7"/>
      <c r="HNA80" s="1161"/>
      <c r="HNB80" s="1161"/>
      <c r="HNC80" s="1161"/>
      <c r="HND80" s="1365"/>
      <c r="HNE80" s="7"/>
      <c r="HNF80" s="7"/>
      <c r="HNG80" s="1365"/>
      <c r="HNH80" s="1365"/>
      <c r="HNJ80" s="1158"/>
      <c r="HNK80" s="1158"/>
      <c r="HNL80" s="1158"/>
      <c r="HNM80" s="7"/>
      <c r="HNN80" s="7"/>
      <c r="HNO80" s="7"/>
      <c r="HNP80" s="7"/>
      <c r="HNQ80" s="1363"/>
      <c r="HNR80" s="1364"/>
      <c r="HNS80" s="1364"/>
      <c r="HNT80" s="1364"/>
      <c r="HNU80" s="7"/>
      <c r="HNV80" s="7"/>
      <c r="HNW80" s="1363"/>
      <c r="HNX80" s="1363"/>
      <c r="HNY80" s="1363"/>
      <c r="HNZ80" s="1365"/>
      <c r="HOA80" s="7"/>
      <c r="HOB80" s="7"/>
      <c r="HOC80" s="1365"/>
      <c r="HOD80" s="1365"/>
      <c r="HOE80" s="299"/>
      <c r="HOG80" s="1086"/>
      <c r="HOH80" s="1086"/>
      <c r="HOI80" s="1086"/>
      <c r="HOJ80" s="7"/>
      <c r="HOK80" s="7"/>
      <c r="HOL80" s="7"/>
      <c r="HOM80" s="7"/>
      <c r="HON80" s="1161"/>
      <c r="HOO80" s="7"/>
      <c r="HOP80" s="7"/>
      <c r="HOQ80" s="7"/>
      <c r="HOR80" s="7"/>
      <c r="HOS80" s="7"/>
      <c r="HOT80" s="1161"/>
      <c r="HOU80" s="1161"/>
      <c r="HOV80" s="1161"/>
      <c r="HOW80" s="1365"/>
      <c r="HOX80" s="7"/>
      <c r="HOY80" s="7"/>
      <c r="HOZ80" s="1365"/>
      <c r="HPA80" s="1365"/>
      <c r="HPD80" s="1158"/>
      <c r="HPE80" s="1158"/>
      <c r="HPF80" s="1158"/>
      <c r="HPG80" s="7"/>
      <c r="HPH80" s="7"/>
      <c r="HPI80" s="7"/>
      <c r="HPJ80" s="7"/>
      <c r="HPK80" s="1161"/>
      <c r="HPL80" s="7"/>
      <c r="HPM80" s="7"/>
      <c r="HPN80" s="7"/>
      <c r="HPO80" s="7"/>
      <c r="HPP80" s="7"/>
      <c r="HPQ80" s="1161"/>
      <c r="HPR80" s="1161"/>
      <c r="HPS80" s="1161"/>
      <c r="HPT80" s="1365"/>
      <c r="HPU80" s="7"/>
      <c r="HPV80" s="7"/>
      <c r="HPW80" s="1365"/>
      <c r="HPX80" s="1365"/>
      <c r="HPZ80" s="1158"/>
      <c r="HQA80" s="1158"/>
      <c r="HQB80" s="1158"/>
      <c r="HQC80" s="7"/>
      <c r="HQD80" s="7"/>
      <c r="HQE80" s="7"/>
      <c r="HQF80" s="7"/>
      <c r="HQG80" s="1363"/>
      <c r="HQH80" s="1364"/>
      <c r="HQI80" s="1364"/>
      <c r="HQJ80" s="1364"/>
      <c r="HQK80" s="7"/>
      <c r="HQL80" s="7"/>
      <c r="HQM80" s="1363"/>
      <c r="HQN80" s="1363"/>
      <c r="HQO80" s="1363"/>
      <c r="HQP80" s="1365"/>
      <c r="HQQ80" s="7"/>
      <c r="HQR80" s="7"/>
      <c r="HQS80" s="1365"/>
      <c r="HQT80" s="1365"/>
      <c r="HQU80" s="299"/>
      <c r="HQW80" s="1086"/>
      <c r="HQX80" s="1086"/>
      <c r="HQY80" s="1086"/>
      <c r="HQZ80" s="7"/>
      <c r="HRA80" s="7"/>
      <c r="HRB80" s="7"/>
      <c r="HRC80" s="7"/>
      <c r="HRD80" s="1161"/>
      <c r="HRE80" s="7"/>
      <c r="HRF80" s="7"/>
      <c r="HRG80" s="7"/>
      <c r="HRH80" s="7"/>
      <c r="HRI80" s="7"/>
      <c r="HRJ80" s="1161"/>
      <c r="HRK80" s="1161"/>
      <c r="HRL80" s="1161"/>
      <c r="HRM80" s="1365"/>
      <c r="HRN80" s="7"/>
      <c r="HRO80" s="7"/>
      <c r="HRP80" s="1365"/>
      <c r="HRQ80" s="1365"/>
      <c r="HRT80" s="1158"/>
      <c r="HRU80" s="1158"/>
      <c r="HRV80" s="1158"/>
      <c r="HRW80" s="7"/>
      <c r="HRX80" s="7"/>
      <c r="HRY80" s="7"/>
      <c r="HRZ80" s="7"/>
      <c r="HSA80" s="1161"/>
      <c r="HSB80" s="7"/>
      <c r="HSC80" s="7"/>
      <c r="HSD80" s="7"/>
      <c r="HSE80" s="7"/>
      <c r="HSF80" s="7"/>
      <c r="HSG80" s="1161"/>
      <c r="HSH80" s="1161"/>
      <c r="HSI80" s="1161"/>
      <c r="HSJ80" s="1365"/>
      <c r="HSK80" s="7"/>
      <c r="HSL80" s="7"/>
      <c r="HSM80" s="1365"/>
      <c r="HSN80" s="1365"/>
      <c r="HSP80" s="1158"/>
      <c r="HSQ80" s="1158"/>
      <c r="HSR80" s="1158"/>
      <c r="HSS80" s="7"/>
      <c r="HST80" s="7"/>
      <c r="HSU80" s="7"/>
      <c r="HSV80" s="7"/>
      <c r="HSW80" s="1363"/>
      <c r="HSX80" s="1364"/>
      <c r="HSY80" s="1364"/>
      <c r="HSZ80" s="1364"/>
      <c r="HTA80" s="7"/>
      <c r="HTB80" s="7"/>
      <c r="HTC80" s="1363"/>
      <c r="HTD80" s="1363"/>
      <c r="HTE80" s="1363"/>
      <c r="HTF80" s="1365"/>
      <c r="HTG80" s="7"/>
      <c r="HTH80" s="7"/>
      <c r="HTI80" s="1365"/>
      <c r="HTJ80" s="1365"/>
      <c r="HTK80" s="299"/>
      <c r="HTM80" s="1086"/>
      <c r="HTN80" s="1086"/>
      <c r="HTO80" s="1086"/>
      <c r="HTP80" s="7"/>
      <c r="HTQ80" s="7"/>
      <c r="HTR80" s="7"/>
      <c r="HTS80" s="7"/>
      <c r="HTT80" s="1161"/>
      <c r="HTU80" s="7"/>
      <c r="HTV80" s="7"/>
      <c r="HTW80" s="7"/>
      <c r="HTX80" s="7"/>
      <c r="HTY80" s="7"/>
      <c r="HTZ80" s="1161"/>
      <c r="HUA80" s="1161"/>
      <c r="HUB80" s="1161"/>
      <c r="HUC80" s="1365"/>
      <c r="HUD80" s="7"/>
      <c r="HUE80" s="7"/>
      <c r="HUF80" s="1365"/>
      <c r="HUG80" s="1365"/>
      <c r="HUJ80" s="1158"/>
      <c r="HUK80" s="1158"/>
      <c r="HUL80" s="1158"/>
      <c r="HUM80" s="7"/>
      <c r="HUN80" s="7"/>
      <c r="HUO80" s="7"/>
      <c r="HUP80" s="7"/>
      <c r="HUQ80" s="1161"/>
      <c r="HUR80" s="7"/>
      <c r="HUS80" s="7"/>
      <c r="HUT80" s="7"/>
      <c r="HUU80" s="7"/>
      <c r="HUV80" s="7"/>
      <c r="HUW80" s="1161"/>
      <c r="HUX80" s="1161"/>
      <c r="HUY80" s="1161"/>
      <c r="HUZ80" s="1365"/>
      <c r="HVA80" s="7"/>
      <c r="HVB80" s="7"/>
      <c r="HVC80" s="1365"/>
      <c r="HVD80" s="1365"/>
      <c r="HVF80" s="1158"/>
      <c r="HVG80" s="1158"/>
      <c r="HVH80" s="1158"/>
      <c r="HVI80" s="7"/>
      <c r="HVJ80" s="7"/>
      <c r="HVK80" s="7"/>
      <c r="HVL80" s="7"/>
      <c r="HVM80" s="1363"/>
      <c r="HVN80" s="1364"/>
      <c r="HVO80" s="1364"/>
      <c r="HVP80" s="1364"/>
      <c r="HVQ80" s="7"/>
      <c r="HVR80" s="7"/>
      <c r="HVS80" s="1363"/>
      <c r="HVT80" s="1363"/>
      <c r="HVU80" s="1363"/>
      <c r="HVV80" s="1365"/>
      <c r="HVW80" s="7"/>
      <c r="HVX80" s="7"/>
      <c r="HVY80" s="1365"/>
      <c r="HVZ80" s="1365"/>
      <c r="HWA80" s="299"/>
      <c r="HWC80" s="1086"/>
      <c r="HWD80" s="1086"/>
      <c r="HWE80" s="1086"/>
      <c r="HWF80" s="7"/>
      <c r="HWG80" s="7"/>
      <c r="HWH80" s="7"/>
      <c r="HWI80" s="7"/>
      <c r="HWJ80" s="1161"/>
      <c r="HWK80" s="7"/>
      <c r="HWL80" s="7"/>
      <c r="HWM80" s="7"/>
      <c r="HWN80" s="7"/>
      <c r="HWO80" s="7"/>
      <c r="HWP80" s="1161"/>
      <c r="HWQ80" s="1161"/>
      <c r="HWR80" s="1161"/>
      <c r="HWS80" s="1365"/>
      <c r="HWT80" s="7"/>
      <c r="HWU80" s="7"/>
      <c r="HWV80" s="1365"/>
      <c r="HWW80" s="1365"/>
      <c r="HWZ80" s="1158"/>
      <c r="HXA80" s="1158"/>
      <c r="HXB80" s="1158"/>
      <c r="HXC80" s="7"/>
      <c r="HXD80" s="7"/>
      <c r="HXE80" s="7"/>
      <c r="HXF80" s="7"/>
      <c r="HXG80" s="1161"/>
      <c r="HXH80" s="7"/>
      <c r="HXI80" s="7"/>
      <c r="HXJ80" s="7"/>
      <c r="HXK80" s="7"/>
      <c r="HXL80" s="7"/>
      <c r="HXM80" s="1161"/>
      <c r="HXN80" s="1161"/>
      <c r="HXO80" s="1161"/>
      <c r="HXP80" s="1365"/>
      <c r="HXQ80" s="7"/>
      <c r="HXR80" s="7"/>
      <c r="HXS80" s="1365"/>
      <c r="HXT80" s="1365"/>
      <c r="HXV80" s="1158"/>
      <c r="HXW80" s="1158"/>
      <c r="HXX80" s="1158"/>
      <c r="HXY80" s="7"/>
      <c r="HXZ80" s="7"/>
      <c r="HYA80" s="7"/>
      <c r="HYB80" s="7"/>
      <c r="HYC80" s="1363"/>
      <c r="HYD80" s="1364"/>
      <c r="HYE80" s="1364"/>
      <c r="HYF80" s="1364"/>
      <c r="HYG80" s="7"/>
      <c r="HYH80" s="7"/>
      <c r="HYI80" s="1363"/>
      <c r="HYJ80" s="1363"/>
      <c r="HYK80" s="1363"/>
      <c r="HYL80" s="1365"/>
      <c r="HYM80" s="7"/>
      <c r="HYN80" s="7"/>
      <c r="HYO80" s="1365"/>
      <c r="HYP80" s="1365"/>
      <c r="HYQ80" s="299"/>
      <c r="HYS80" s="1086"/>
      <c r="HYT80" s="1086"/>
      <c r="HYU80" s="1086"/>
      <c r="HYV80" s="7"/>
      <c r="HYW80" s="7"/>
      <c r="HYX80" s="7"/>
      <c r="HYY80" s="7"/>
      <c r="HYZ80" s="1161"/>
      <c r="HZA80" s="7"/>
      <c r="HZB80" s="7"/>
      <c r="HZC80" s="7"/>
      <c r="HZD80" s="7"/>
      <c r="HZE80" s="7"/>
      <c r="HZF80" s="1161"/>
      <c r="HZG80" s="1161"/>
      <c r="HZH80" s="1161"/>
      <c r="HZI80" s="1365"/>
      <c r="HZJ80" s="7"/>
      <c r="HZK80" s="7"/>
      <c r="HZL80" s="1365"/>
      <c r="HZM80" s="1365"/>
      <c r="HZP80" s="1158"/>
      <c r="HZQ80" s="1158"/>
      <c r="HZR80" s="1158"/>
      <c r="HZS80" s="7"/>
      <c r="HZT80" s="7"/>
      <c r="HZU80" s="7"/>
      <c r="HZV80" s="7"/>
      <c r="HZW80" s="1161"/>
      <c r="HZX80" s="7"/>
      <c r="HZY80" s="7"/>
      <c r="HZZ80" s="7"/>
      <c r="IAA80" s="7"/>
      <c r="IAB80" s="7"/>
      <c r="IAC80" s="1161"/>
      <c r="IAD80" s="1161"/>
      <c r="IAE80" s="1161"/>
      <c r="IAF80" s="1365"/>
      <c r="IAG80" s="7"/>
      <c r="IAH80" s="7"/>
      <c r="IAI80" s="1365"/>
      <c r="IAJ80" s="1365"/>
      <c r="IAL80" s="1158"/>
      <c r="IAM80" s="1158"/>
      <c r="IAN80" s="1158"/>
      <c r="IAO80" s="7"/>
      <c r="IAP80" s="7"/>
      <c r="IAQ80" s="7"/>
      <c r="IAR80" s="7"/>
      <c r="IAS80" s="1363"/>
      <c r="IAT80" s="1364"/>
      <c r="IAU80" s="1364"/>
      <c r="IAV80" s="1364"/>
      <c r="IAW80" s="7"/>
      <c r="IAX80" s="7"/>
      <c r="IAY80" s="1363"/>
      <c r="IAZ80" s="1363"/>
      <c r="IBA80" s="1363"/>
      <c r="IBB80" s="1365"/>
      <c r="IBC80" s="7"/>
      <c r="IBD80" s="7"/>
      <c r="IBE80" s="1365"/>
      <c r="IBF80" s="1365"/>
      <c r="IBG80" s="299"/>
      <c r="IBI80" s="1086"/>
      <c r="IBJ80" s="1086"/>
      <c r="IBK80" s="1086"/>
      <c r="IBL80" s="7"/>
      <c r="IBM80" s="7"/>
      <c r="IBN80" s="7"/>
      <c r="IBO80" s="7"/>
      <c r="IBP80" s="1161"/>
      <c r="IBQ80" s="7"/>
      <c r="IBR80" s="7"/>
      <c r="IBS80" s="7"/>
      <c r="IBT80" s="7"/>
      <c r="IBU80" s="7"/>
      <c r="IBV80" s="1161"/>
      <c r="IBW80" s="1161"/>
      <c r="IBX80" s="1161"/>
      <c r="IBY80" s="1365"/>
      <c r="IBZ80" s="7"/>
      <c r="ICA80" s="7"/>
      <c r="ICB80" s="1365"/>
      <c r="ICC80" s="1365"/>
      <c r="ICF80" s="1158"/>
      <c r="ICG80" s="1158"/>
      <c r="ICH80" s="1158"/>
      <c r="ICI80" s="7"/>
      <c r="ICJ80" s="7"/>
      <c r="ICK80" s="7"/>
      <c r="ICL80" s="7"/>
      <c r="ICM80" s="1161"/>
      <c r="ICN80" s="7"/>
      <c r="ICO80" s="7"/>
      <c r="ICP80" s="7"/>
      <c r="ICQ80" s="7"/>
      <c r="ICR80" s="7"/>
      <c r="ICS80" s="1161"/>
      <c r="ICT80" s="1161"/>
      <c r="ICU80" s="1161"/>
      <c r="ICV80" s="1365"/>
      <c r="ICW80" s="7"/>
      <c r="ICX80" s="7"/>
      <c r="ICY80" s="1365"/>
      <c r="ICZ80" s="1365"/>
      <c r="IDB80" s="1158"/>
      <c r="IDC80" s="1158"/>
      <c r="IDD80" s="1158"/>
      <c r="IDE80" s="7"/>
      <c r="IDF80" s="7"/>
      <c r="IDG80" s="7"/>
      <c r="IDH80" s="7"/>
      <c r="IDI80" s="1363"/>
      <c r="IDJ80" s="1364"/>
      <c r="IDK80" s="1364"/>
      <c r="IDL80" s="1364"/>
      <c r="IDM80" s="7"/>
      <c r="IDN80" s="7"/>
      <c r="IDO80" s="1363"/>
      <c r="IDP80" s="1363"/>
      <c r="IDQ80" s="1363"/>
      <c r="IDR80" s="1365"/>
      <c r="IDS80" s="7"/>
      <c r="IDT80" s="7"/>
      <c r="IDU80" s="1365"/>
      <c r="IDV80" s="1365"/>
      <c r="IDW80" s="299"/>
      <c r="IDY80" s="1086"/>
      <c r="IDZ80" s="1086"/>
      <c r="IEA80" s="1086"/>
      <c r="IEB80" s="7"/>
      <c r="IEC80" s="7"/>
      <c r="IED80" s="7"/>
      <c r="IEE80" s="7"/>
      <c r="IEF80" s="1161"/>
      <c r="IEG80" s="7"/>
      <c r="IEH80" s="7"/>
      <c r="IEI80" s="7"/>
      <c r="IEJ80" s="7"/>
      <c r="IEK80" s="7"/>
      <c r="IEL80" s="1161"/>
      <c r="IEM80" s="1161"/>
      <c r="IEN80" s="1161"/>
      <c r="IEO80" s="1365"/>
      <c r="IEP80" s="7"/>
      <c r="IEQ80" s="7"/>
      <c r="IER80" s="1365"/>
      <c r="IES80" s="1365"/>
      <c r="IEV80" s="1158"/>
      <c r="IEW80" s="1158"/>
      <c r="IEX80" s="1158"/>
      <c r="IEY80" s="7"/>
      <c r="IEZ80" s="7"/>
      <c r="IFA80" s="7"/>
      <c r="IFB80" s="7"/>
      <c r="IFC80" s="1161"/>
      <c r="IFD80" s="7"/>
      <c r="IFE80" s="7"/>
      <c r="IFF80" s="7"/>
      <c r="IFG80" s="7"/>
      <c r="IFH80" s="7"/>
      <c r="IFI80" s="1161"/>
      <c r="IFJ80" s="1161"/>
      <c r="IFK80" s="1161"/>
      <c r="IFL80" s="1365"/>
      <c r="IFM80" s="7"/>
      <c r="IFN80" s="7"/>
      <c r="IFO80" s="1365"/>
      <c r="IFP80" s="1365"/>
      <c r="IFR80" s="1158"/>
      <c r="IFS80" s="1158"/>
      <c r="IFT80" s="1158"/>
      <c r="IFU80" s="7"/>
      <c r="IFV80" s="7"/>
      <c r="IFW80" s="7"/>
      <c r="IFX80" s="7"/>
      <c r="IFY80" s="1363"/>
      <c r="IFZ80" s="1364"/>
      <c r="IGA80" s="1364"/>
      <c r="IGB80" s="1364"/>
      <c r="IGC80" s="7"/>
      <c r="IGD80" s="7"/>
      <c r="IGE80" s="1363"/>
      <c r="IGF80" s="1363"/>
      <c r="IGG80" s="1363"/>
      <c r="IGH80" s="1365"/>
      <c r="IGI80" s="7"/>
      <c r="IGJ80" s="7"/>
      <c r="IGK80" s="1365"/>
      <c r="IGL80" s="1365"/>
      <c r="IGM80" s="299"/>
      <c r="IGO80" s="1086"/>
      <c r="IGP80" s="1086"/>
      <c r="IGQ80" s="1086"/>
      <c r="IGR80" s="7"/>
      <c r="IGS80" s="7"/>
      <c r="IGT80" s="7"/>
      <c r="IGU80" s="7"/>
      <c r="IGV80" s="1161"/>
      <c r="IGW80" s="7"/>
      <c r="IGX80" s="7"/>
      <c r="IGY80" s="7"/>
      <c r="IGZ80" s="7"/>
      <c r="IHA80" s="7"/>
      <c r="IHB80" s="1161"/>
      <c r="IHC80" s="1161"/>
      <c r="IHD80" s="1161"/>
      <c r="IHE80" s="1365"/>
      <c r="IHF80" s="7"/>
      <c r="IHG80" s="7"/>
      <c r="IHH80" s="1365"/>
      <c r="IHI80" s="1365"/>
      <c r="IHL80" s="1158"/>
      <c r="IHM80" s="1158"/>
      <c r="IHN80" s="1158"/>
      <c r="IHO80" s="7"/>
      <c r="IHP80" s="7"/>
      <c r="IHQ80" s="7"/>
      <c r="IHR80" s="7"/>
      <c r="IHS80" s="1161"/>
      <c r="IHT80" s="7"/>
      <c r="IHU80" s="7"/>
      <c r="IHV80" s="7"/>
      <c r="IHW80" s="7"/>
      <c r="IHX80" s="7"/>
      <c r="IHY80" s="1161"/>
      <c r="IHZ80" s="1161"/>
      <c r="IIA80" s="1161"/>
      <c r="IIB80" s="1365"/>
      <c r="IIC80" s="7"/>
      <c r="IID80" s="7"/>
      <c r="IIE80" s="1365"/>
      <c r="IIF80" s="1365"/>
      <c r="IIH80" s="1158"/>
      <c r="III80" s="1158"/>
      <c r="IIJ80" s="1158"/>
      <c r="IIK80" s="7"/>
      <c r="IIL80" s="7"/>
      <c r="IIM80" s="7"/>
      <c r="IIN80" s="7"/>
      <c r="IIO80" s="1363"/>
      <c r="IIP80" s="1364"/>
      <c r="IIQ80" s="1364"/>
      <c r="IIR80" s="1364"/>
      <c r="IIS80" s="7"/>
      <c r="IIT80" s="7"/>
      <c r="IIU80" s="1363"/>
      <c r="IIV80" s="1363"/>
      <c r="IIW80" s="1363"/>
      <c r="IIX80" s="1365"/>
      <c r="IIY80" s="7"/>
      <c r="IIZ80" s="7"/>
      <c r="IJA80" s="1365"/>
      <c r="IJB80" s="1365"/>
      <c r="IJC80" s="299"/>
      <c r="IJE80" s="1086"/>
      <c r="IJF80" s="1086"/>
      <c r="IJG80" s="1086"/>
      <c r="IJH80" s="7"/>
      <c r="IJI80" s="7"/>
      <c r="IJJ80" s="7"/>
      <c r="IJK80" s="7"/>
      <c r="IJL80" s="1161"/>
      <c r="IJM80" s="7"/>
      <c r="IJN80" s="7"/>
      <c r="IJO80" s="7"/>
      <c r="IJP80" s="7"/>
      <c r="IJQ80" s="7"/>
      <c r="IJR80" s="1161"/>
      <c r="IJS80" s="1161"/>
      <c r="IJT80" s="1161"/>
      <c r="IJU80" s="1365"/>
      <c r="IJV80" s="7"/>
      <c r="IJW80" s="7"/>
      <c r="IJX80" s="1365"/>
      <c r="IJY80" s="1365"/>
      <c r="IKB80" s="1158"/>
      <c r="IKC80" s="1158"/>
      <c r="IKD80" s="1158"/>
      <c r="IKE80" s="7"/>
      <c r="IKF80" s="7"/>
      <c r="IKG80" s="7"/>
      <c r="IKH80" s="7"/>
      <c r="IKI80" s="1161"/>
      <c r="IKJ80" s="7"/>
      <c r="IKK80" s="7"/>
      <c r="IKL80" s="7"/>
      <c r="IKM80" s="7"/>
      <c r="IKN80" s="7"/>
      <c r="IKO80" s="1161"/>
      <c r="IKP80" s="1161"/>
      <c r="IKQ80" s="1161"/>
      <c r="IKR80" s="1365"/>
      <c r="IKS80" s="7"/>
      <c r="IKT80" s="7"/>
      <c r="IKU80" s="1365"/>
      <c r="IKV80" s="1365"/>
      <c r="IKX80" s="1158"/>
      <c r="IKY80" s="1158"/>
      <c r="IKZ80" s="1158"/>
      <c r="ILA80" s="7"/>
      <c r="ILB80" s="7"/>
      <c r="ILC80" s="7"/>
      <c r="ILD80" s="7"/>
      <c r="ILE80" s="1363"/>
      <c r="ILF80" s="1364"/>
      <c r="ILG80" s="1364"/>
      <c r="ILH80" s="1364"/>
      <c r="ILI80" s="7"/>
      <c r="ILJ80" s="7"/>
      <c r="ILK80" s="1363"/>
      <c r="ILL80" s="1363"/>
      <c r="ILM80" s="1363"/>
      <c r="ILN80" s="1365"/>
      <c r="ILO80" s="7"/>
      <c r="ILP80" s="7"/>
      <c r="ILQ80" s="1365"/>
      <c r="ILR80" s="1365"/>
      <c r="ILS80" s="299"/>
      <c r="ILU80" s="1086"/>
      <c r="ILV80" s="1086"/>
      <c r="ILW80" s="1086"/>
      <c r="ILX80" s="7"/>
      <c r="ILY80" s="7"/>
      <c r="ILZ80" s="7"/>
      <c r="IMA80" s="7"/>
      <c r="IMB80" s="1161"/>
      <c r="IMC80" s="7"/>
      <c r="IMD80" s="7"/>
      <c r="IME80" s="7"/>
      <c r="IMF80" s="7"/>
      <c r="IMG80" s="7"/>
      <c r="IMH80" s="1161"/>
      <c r="IMI80" s="1161"/>
      <c r="IMJ80" s="1161"/>
      <c r="IMK80" s="1365"/>
      <c r="IML80" s="7"/>
      <c r="IMM80" s="7"/>
      <c r="IMN80" s="1365"/>
      <c r="IMO80" s="1365"/>
      <c r="IMR80" s="1158"/>
      <c r="IMS80" s="1158"/>
      <c r="IMT80" s="1158"/>
      <c r="IMU80" s="7"/>
      <c r="IMV80" s="7"/>
      <c r="IMW80" s="7"/>
      <c r="IMX80" s="7"/>
      <c r="IMY80" s="1161"/>
      <c r="IMZ80" s="7"/>
      <c r="INA80" s="7"/>
      <c r="INB80" s="7"/>
      <c r="INC80" s="7"/>
      <c r="IND80" s="7"/>
      <c r="INE80" s="1161"/>
      <c r="INF80" s="1161"/>
      <c r="ING80" s="1161"/>
      <c r="INH80" s="1365"/>
      <c r="INI80" s="7"/>
      <c r="INJ80" s="7"/>
      <c r="INK80" s="1365"/>
      <c r="INL80" s="1365"/>
      <c r="INN80" s="1158"/>
      <c r="INO80" s="1158"/>
      <c r="INP80" s="1158"/>
      <c r="INQ80" s="7"/>
      <c r="INR80" s="7"/>
      <c r="INS80" s="7"/>
      <c r="INT80" s="7"/>
      <c r="INU80" s="1363"/>
      <c r="INV80" s="1364"/>
      <c r="INW80" s="1364"/>
      <c r="INX80" s="1364"/>
      <c r="INY80" s="7"/>
      <c r="INZ80" s="7"/>
      <c r="IOA80" s="1363"/>
      <c r="IOB80" s="1363"/>
      <c r="IOC80" s="1363"/>
      <c r="IOD80" s="1365"/>
      <c r="IOE80" s="7"/>
      <c r="IOF80" s="7"/>
      <c r="IOG80" s="1365"/>
      <c r="IOH80" s="1365"/>
      <c r="IOI80" s="299"/>
      <c r="IOK80" s="1086"/>
      <c r="IOL80" s="1086"/>
      <c r="IOM80" s="1086"/>
      <c r="ION80" s="7"/>
      <c r="IOO80" s="7"/>
      <c r="IOP80" s="7"/>
      <c r="IOQ80" s="7"/>
      <c r="IOR80" s="1161"/>
      <c r="IOS80" s="7"/>
      <c r="IOT80" s="7"/>
      <c r="IOU80" s="7"/>
      <c r="IOV80" s="7"/>
      <c r="IOW80" s="7"/>
      <c r="IOX80" s="1161"/>
      <c r="IOY80" s="1161"/>
      <c r="IOZ80" s="1161"/>
      <c r="IPA80" s="1365"/>
      <c r="IPB80" s="7"/>
      <c r="IPC80" s="7"/>
      <c r="IPD80" s="1365"/>
      <c r="IPE80" s="1365"/>
      <c r="IPH80" s="1158"/>
      <c r="IPI80" s="1158"/>
      <c r="IPJ80" s="1158"/>
      <c r="IPK80" s="7"/>
      <c r="IPL80" s="7"/>
      <c r="IPM80" s="7"/>
      <c r="IPN80" s="7"/>
      <c r="IPO80" s="1161"/>
      <c r="IPP80" s="7"/>
      <c r="IPQ80" s="7"/>
      <c r="IPR80" s="7"/>
      <c r="IPS80" s="7"/>
      <c r="IPT80" s="7"/>
      <c r="IPU80" s="1161"/>
      <c r="IPV80" s="1161"/>
      <c r="IPW80" s="1161"/>
      <c r="IPX80" s="1365"/>
      <c r="IPY80" s="7"/>
      <c r="IPZ80" s="7"/>
      <c r="IQA80" s="1365"/>
      <c r="IQB80" s="1365"/>
      <c r="IQD80" s="1158"/>
      <c r="IQE80" s="1158"/>
      <c r="IQF80" s="1158"/>
      <c r="IQG80" s="7"/>
      <c r="IQH80" s="7"/>
      <c r="IQI80" s="7"/>
      <c r="IQJ80" s="7"/>
      <c r="IQK80" s="1363"/>
      <c r="IQL80" s="1364"/>
      <c r="IQM80" s="1364"/>
      <c r="IQN80" s="1364"/>
      <c r="IQO80" s="7"/>
      <c r="IQP80" s="7"/>
      <c r="IQQ80" s="1363"/>
      <c r="IQR80" s="1363"/>
      <c r="IQS80" s="1363"/>
      <c r="IQT80" s="1365"/>
      <c r="IQU80" s="7"/>
      <c r="IQV80" s="7"/>
      <c r="IQW80" s="1365"/>
      <c r="IQX80" s="1365"/>
      <c r="IQY80" s="299"/>
      <c r="IRA80" s="1086"/>
      <c r="IRB80" s="1086"/>
      <c r="IRC80" s="1086"/>
      <c r="IRD80" s="7"/>
      <c r="IRE80" s="7"/>
      <c r="IRF80" s="7"/>
      <c r="IRG80" s="7"/>
      <c r="IRH80" s="1161"/>
      <c r="IRI80" s="7"/>
      <c r="IRJ80" s="7"/>
      <c r="IRK80" s="7"/>
      <c r="IRL80" s="7"/>
      <c r="IRM80" s="7"/>
      <c r="IRN80" s="1161"/>
      <c r="IRO80" s="1161"/>
      <c r="IRP80" s="1161"/>
      <c r="IRQ80" s="1365"/>
      <c r="IRR80" s="7"/>
      <c r="IRS80" s="7"/>
      <c r="IRT80" s="1365"/>
      <c r="IRU80" s="1365"/>
      <c r="IRX80" s="1158"/>
      <c r="IRY80" s="1158"/>
      <c r="IRZ80" s="1158"/>
      <c r="ISA80" s="7"/>
      <c r="ISB80" s="7"/>
      <c r="ISC80" s="7"/>
      <c r="ISD80" s="7"/>
      <c r="ISE80" s="1161"/>
      <c r="ISF80" s="7"/>
      <c r="ISG80" s="7"/>
      <c r="ISH80" s="7"/>
      <c r="ISI80" s="7"/>
      <c r="ISJ80" s="7"/>
      <c r="ISK80" s="1161"/>
      <c r="ISL80" s="1161"/>
      <c r="ISM80" s="1161"/>
      <c r="ISN80" s="1365"/>
      <c r="ISO80" s="7"/>
      <c r="ISP80" s="7"/>
      <c r="ISQ80" s="1365"/>
      <c r="ISR80" s="1365"/>
      <c r="IST80" s="1158"/>
      <c r="ISU80" s="1158"/>
      <c r="ISV80" s="1158"/>
      <c r="ISW80" s="7"/>
      <c r="ISX80" s="7"/>
      <c r="ISY80" s="7"/>
      <c r="ISZ80" s="7"/>
      <c r="ITA80" s="1363"/>
      <c r="ITB80" s="1364"/>
      <c r="ITC80" s="1364"/>
      <c r="ITD80" s="1364"/>
      <c r="ITE80" s="7"/>
      <c r="ITF80" s="7"/>
      <c r="ITG80" s="1363"/>
      <c r="ITH80" s="1363"/>
      <c r="ITI80" s="1363"/>
      <c r="ITJ80" s="1365"/>
      <c r="ITK80" s="7"/>
      <c r="ITL80" s="7"/>
      <c r="ITM80" s="1365"/>
      <c r="ITN80" s="1365"/>
      <c r="ITO80" s="299"/>
      <c r="ITQ80" s="1086"/>
      <c r="ITR80" s="1086"/>
      <c r="ITS80" s="1086"/>
      <c r="ITT80" s="7"/>
      <c r="ITU80" s="7"/>
      <c r="ITV80" s="7"/>
      <c r="ITW80" s="7"/>
      <c r="ITX80" s="1161"/>
      <c r="ITY80" s="7"/>
      <c r="ITZ80" s="7"/>
      <c r="IUA80" s="7"/>
      <c r="IUB80" s="7"/>
      <c r="IUC80" s="7"/>
      <c r="IUD80" s="1161"/>
      <c r="IUE80" s="1161"/>
      <c r="IUF80" s="1161"/>
      <c r="IUG80" s="1365"/>
      <c r="IUH80" s="7"/>
      <c r="IUI80" s="7"/>
      <c r="IUJ80" s="1365"/>
      <c r="IUK80" s="1365"/>
      <c r="IUN80" s="1158"/>
      <c r="IUO80" s="1158"/>
      <c r="IUP80" s="1158"/>
      <c r="IUQ80" s="7"/>
      <c r="IUR80" s="7"/>
      <c r="IUS80" s="7"/>
      <c r="IUT80" s="7"/>
      <c r="IUU80" s="1161"/>
      <c r="IUV80" s="7"/>
      <c r="IUW80" s="7"/>
      <c r="IUX80" s="7"/>
      <c r="IUY80" s="7"/>
      <c r="IUZ80" s="7"/>
      <c r="IVA80" s="1161"/>
      <c r="IVB80" s="1161"/>
      <c r="IVC80" s="1161"/>
      <c r="IVD80" s="1365"/>
      <c r="IVE80" s="7"/>
      <c r="IVF80" s="7"/>
      <c r="IVG80" s="1365"/>
      <c r="IVH80" s="1365"/>
      <c r="IVJ80" s="1158"/>
      <c r="IVK80" s="1158"/>
      <c r="IVL80" s="1158"/>
      <c r="IVM80" s="7"/>
      <c r="IVN80" s="7"/>
      <c r="IVO80" s="7"/>
      <c r="IVP80" s="7"/>
      <c r="IVQ80" s="1363"/>
      <c r="IVR80" s="1364"/>
      <c r="IVS80" s="1364"/>
      <c r="IVT80" s="1364"/>
      <c r="IVU80" s="7"/>
      <c r="IVV80" s="7"/>
      <c r="IVW80" s="1363"/>
      <c r="IVX80" s="1363"/>
      <c r="IVY80" s="1363"/>
      <c r="IVZ80" s="1365"/>
      <c r="IWA80" s="7"/>
      <c r="IWB80" s="7"/>
      <c r="IWC80" s="1365"/>
      <c r="IWD80" s="1365"/>
      <c r="IWE80" s="299"/>
      <c r="IWG80" s="1086"/>
      <c r="IWH80" s="1086"/>
      <c r="IWI80" s="1086"/>
      <c r="IWJ80" s="7"/>
      <c r="IWK80" s="7"/>
      <c r="IWL80" s="7"/>
      <c r="IWM80" s="7"/>
      <c r="IWN80" s="1161"/>
      <c r="IWO80" s="7"/>
      <c r="IWP80" s="7"/>
      <c r="IWQ80" s="7"/>
      <c r="IWR80" s="7"/>
      <c r="IWS80" s="7"/>
      <c r="IWT80" s="1161"/>
      <c r="IWU80" s="1161"/>
      <c r="IWV80" s="1161"/>
      <c r="IWW80" s="1365"/>
      <c r="IWX80" s="7"/>
      <c r="IWY80" s="7"/>
      <c r="IWZ80" s="1365"/>
      <c r="IXA80" s="1365"/>
      <c r="IXD80" s="1158"/>
      <c r="IXE80" s="1158"/>
      <c r="IXF80" s="1158"/>
      <c r="IXG80" s="7"/>
      <c r="IXH80" s="7"/>
      <c r="IXI80" s="7"/>
      <c r="IXJ80" s="7"/>
      <c r="IXK80" s="1161"/>
      <c r="IXL80" s="7"/>
      <c r="IXM80" s="7"/>
      <c r="IXN80" s="7"/>
      <c r="IXO80" s="7"/>
      <c r="IXP80" s="7"/>
      <c r="IXQ80" s="1161"/>
      <c r="IXR80" s="1161"/>
      <c r="IXS80" s="1161"/>
      <c r="IXT80" s="1365"/>
      <c r="IXU80" s="7"/>
      <c r="IXV80" s="7"/>
      <c r="IXW80" s="1365"/>
      <c r="IXX80" s="1365"/>
      <c r="IXZ80" s="1158"/>
      <c r="IYA80" s="1158"/>
      <c r="IYB80" s="1158"/>
      <c r="IYC80" s="7"/>
      <c r="IYD80" s="7"/>
      <c r="IYE80" s="7"/>
      <c r="IYF80" s="7"/>
      <c r="IYG80" s="1363"/>
      <c r="IYH80" s="1364"/>
      <c r="IYI80" s="1364"/>
      <c r="IYJ80" s="1364"/>
      <c r="IYK80" s="7"/>
      <c r="IYL80" s="7"/>
      <c r="IYM80" s="1363"/>
      <c r="IYN80" s="1363"/>
      <c r="IYO80" s="1363"/>
      <c r="IYP80" s="1365"/>
      <c r="IYQ80" s="7"/>
      <c r="IYR80" s="7"/>
      <c r="IYS80" s="1365"/>
      <c r="IYT80" s="1365"/>
      <c r="IYU80" s="299"/>
      <c r="IYW80" s="1086"/>
      <c r="IYX80" s="1086"/>
      <c r="IYY80" s="1086"/>
      <c r="IYZ80" s="7"/>
      <c r="IZA80" s="7"/>
      <c r="IZB80" s="7"/>
      <c r="IZC80" s="7"/>
      <c r="IZD80" s="1161"/>
      <c r="IZE80" s="7"/>
      <c r="IZF80" s="7"/>
      <c r="IZG80" s="7"/>
      <c r="IZH80" s="7"/>
      <c r="IZI80" s="7"/>
      <c r="IZJ80" s="1161"/>
      <c r="IZK80" s="1161"/>
      <c r="IZL80" s="1161"/>
      <c r="IZM80" s="1365"/>
      <c r="IZN80" s="7"/>
      <c r="IZO80" s="7"/>
      <c r="IZP80" s="1365"/>
      <c r="IZQ80" s="1365"/>
      <c r="IZT80" s="1158"/>
      <c r="IZU80" s="1158"/>
      <c r="IZV80" s="1158"/>
      <c r="IZW80" s="7"/>
      <c r="IZX80" s="7"/>
      <c r="IZY80" s="7"/>
      <c r="IZZ80" s="7"/>
      <c r="JAA80" s="1161"/>
      <c r="JAB80" s="7"/>
      <c r="JAC80" s="7"/>
      <c r="JAD80" s="7"/>
      <c r="JAE80" s="7"/>
      <c r="JAF80" s="7"/>
      <c r="JAG80" s="1161"/>
      <c r="JAH80" s="1161"/>
      <c r="JAI80" s="1161"/>
      <c r="JAJ80" s="1365"/>
      <c r="JAK80" s="7"/>
      <c r="JAL80" s="7"/>
      <c r="JAM80" s="1365"/>
      <c r="JAN80" s="1365"/>
      <c r="JAP80" s="1158"/>
      <c r="JAQ80" s="1158"/>
      <c r="JAR80" s="1158"/>
      <c r="JAS80" s="7"/>
      <c r="JAT80" s="7"/>
      <c r="JAU80" s="7"/>
      <c r="JAV80" s="7"/>
      <c r="JAW80" s="1363"/>
      <c r="JAX80" s="1364"/>
      <c r="JAY80" s="1364"/>
      <c r="JAZ80" s="1364"/>
      <c r="JBA80" s="7"/>
      <c r="JBB80" s="7"/>
      <c r="JBC80" s="1363"/>
      <c r="JBD80" s="1363"/>
      <c r="JBE80" s="1363"/>
      <c r="JBF80" s="1365"/>
      <c r="JBG80" s="7"/>
      <c r="JBH80" s="7"/>
      <c r="JBI80" s="1365"/>
      <c r="JBJ80" s="1365"/>
      <c r="JBK80" s="299"/>
      <c r="JBM80" s="1086"/>
      <c r="JBN80" s="1086"/>
      <c r="JBO80" s="1086"/>
      <c r="JBP80" s="7"/>
      <c r="JBQ80" s="7"/>
      <c r="JBR80" s="7"/>
      <c r="JBS80" s="7"/>
      <c r="JBT80" s="1161"/>
      <c r="JBU80" s="7"/>
      <c r="JBV80" s="7"/>
      <c r="JBW80" s="7"/>
      <c r="JBX80" s="7"/>
      <c r="JBY80" s="7"/>
      <c r="JBZ80" s="1161"/>
      <c r="JCA80" s="1161"/>
      <c r="JCB80" s="1161"/>
      <c r="JCC80" s="1365"/>
      <c r="JCD80" s="7"/>
      <c r="JCE80" s="7"/>
      <c r="JCF80" s="1365"/>
      <c r="JCG80" s="1365"/>
      <c r="JCJ80" s="1158"/>
      <c r="JCK80" s="1158"/>
      <c r="JCL80" s="1158"/>
      <c r="JCM80" s="7"/>
      <c r="JCN80" s="7"/>
      <c r="JCO80" s="7"/>
      <c r="JCP80" s="7"/>
      <c r="JCQ80" s="1161"/>
      <c r="JCR80" s="7"/>
      <c r="JCS80" s="7"/>
      <c r="JCT80" s="7"/>
      <c r="JCU80" s="7"/>
      <c r="JCV80" s="7"/>
      <c r="JCW80" s="1161"/>
      <c r="JCX80" s="1161"/>
      <c r="JCY80" s="1161"/>
      <c r="JCZ80" s="1365"/>
      <c r="JDA80" s="7"/>
      <c r="JDB80" s="7"/>
      <c r="JDC80" s="1365"/>
      <c r="JDD80" s="1365"/>
      <c r="JDF80" s="1158"/>
      <c r="JDG80" s="1158"/>
      <c r="JDH80" s="1158"/>
      <c r="JDI80" s="7"/>
      <c r="JDJ80" s="7"/>
      <c r="JDK80" s="7"/>
      <c r="JDL80" s="7"/>
      <c r="JDM80" s="1363"/>
      <c r="JDN80" s="1364"/>
      <c r="JDO80" s="1364"/>
      <c r="JDP80" s="1364"/>
      <c r="JDQ80" s="7"/>
      <c r="JDR80" s="7"/>
      <c r="JDS80" s="1363"/>
      <c r="JDT80" s="1363"/>
      <c r="JDU80" s="1363"/>
      <c r="JDV80" s="1365"/>
      <c r="JDW80" s="7"/>
      <c r="JDX80" s="7"/>
      <c r="JDY80" s="1365"/>
      <c r="JDZ80" s="1365"/>
      <c r="JEA80" s="299"/>
      <c r="JEC80" s="1086"/>
      <c r="JED80" s="1086"/>
      <c r="JEE80" s="1086"/>
      <c r="JEF80" s="7"/>
      <c r="JEG80" s="7"/>
      <c r="JEH80" s="7"/>
      <c r="JEI80" s="7"/>
      <c r="JEJ80" s="1161"/>
      <c r="JEK80" s="7"/>
      <c r="JEL80" s="7"/>
      <c r="JEM80" s="7"/>
      <c r="JEN80" s="7"/>
      <c r="JEO80" s="7"/>
      <c r="JEP80" s="1161"/>
      <c r="JEQ80" s="1161"/>
      <c r="JER80" s="1161"/>
      <c r="JES80" s="1365"/>
      <c r="JET80" s="7"/>
      <c r="JEU80" s="7"/>
      <c r="JEV80" s="1365"/>
      <c r="JEW80" s="1365"/>
      <c r="JEZ80" s="1158"/>
      <c r="JFA80" s="1158"/>
      <c r="JFB80" s="1158"/>
      <c r="JFC80" s="7"/>
      <c r="JFD80" s="7"/>
      <c r="JFE80" s="7"/>
      <c r="JFF80" s="7"/>
      <c r="JFG80" s="1161"/>
      <c r="JFH80" s="7"/>
      <c r="JFI80" s="7"/>
      <c r="JFJ80" s="7"/>
      <c r="JFK80" s="7"/>
      <c r="JFL80" s="7"/>
      <c r="JFM80" s="1161"/>
      <c r="JFN80" s="1161"/>
      <c r="JFO80" s="1161"/>
      <c r="JFP80" s="1365"/>
      <c r="JFQ80" s="7"/>
      <c r="JFR80" s="7"/>
      <c r="JFS80" s="1365"/>
      <c r="JFT80" s="1365"/>
      <c r="JFV80" s="1158"/>
      <c r="JFW80" s="1158"/>
      <c r="JFX80" s="1158"/>
      <c r="JFY80" s="7"/>
      <c r="JFZ80" s="7"/>
      <c r="JGA80" s="7"/>
      <c r="JGB80" s="7"/>
      <c r="JGC80" s="1363"/>
      <c r="JGD80" s="1364"/>
      <c r="JGE80" s="1364"/>
      <c r="JGF80" s="1364"/>
      <c r="JGG80" s="7"/>
      <c r="JGH80" s="7"/>
      <c r="JGI80" s="1363"/>
      <c r="JGJ80" s="1363"/>
      <c r="JGK80" s="1363"/>
      <c r="JGL80" s="1365"/>
      <c r="JGM80" s="7"/>
      <c r="JGN80" s="7"/>
      <c r="JGO80" s="1365"/>
      <c r="JGP80" s="1365"/>
      <c r="JGQ80" s="299"/>
      <c r="JGS80" s="1086"/>
      <c r="JGT80" s="1086"/>
      <c r="JGU80" s="1086"/>
      <c r="JGV80" s="7"/>
      <c r="JGW80" s="7"/>
      <c r="JGX80" s="7"/>
      <c r="JGY80" s="7"/>
      <c r="JGZ80" s="1161"/>
      <c r="JHA80" s="7"/>
      <c r="JHB80" s="7"/>
      <c r="JHC80" s="7"/>
      <c r="JHD80" s="7"/>
      <c r="JHE80" s="7"/>
      <c r="JHF80" s="1161"/>
      <c r="JHG80" s="1161"/>
      <c r="JHH80" s="1161"/>
      <c r="JHI80" s="1365"/>
      <c r="JHJ80" s="7"/>
      <c r="JHK80" s="7"/>
      <c r="JHL80" s="1365"/>
      <c r="JHM80" s="1365"/>
      <c r="JHP80" s="1158"/>
      <c r="JHQ80" s="1158"/>
      <c r="JHR80" s="1158"/>
      <c r="JHS80" s="7"/>
      <c r="JHT80" s="7"/>
      <c r="JHU80" s="7"/>
      <c r="JHV80" s="7"/>
      <c r="JHW80" s="1161"/>
      <c r="JHX80" s="7"/>
      <c r="JHY80" s="7"/>
      <c r="JHZ80" s="7"/>
      <c r="JIA80" s="7"/>
      <c r="JIB80" s="7"/>
      <c r="JIC80" s="1161"/>
      <c r="JID80" s="1161"/>
      <c r="JIE80" s="1161"/>
      <c r="JIF80" s="1365"/>
      <c r="JIG80" s="7"/>
      <c r="JIH80" s="7"/>
      <c r="JII80" s="1365"/>
      <c r="JIJ80" s="1365"/>
      <c r="JIL80" s="1158"/>
      <c r="JIM80" s="1158"/>
      <c r="JIN80" s="1158"/>
      <c r="JIO80" s="7"/>
      <c r="JIP80" s="7"/>
      <c r="JIQ80" s="7"/>
      <c r="JIR80" s="7"/>
      <c r="JIS80" s="1363"/>
      <c r="JIT80" s="1364"/>
      <c r="JIU80" s="1364"/>
      <c r="JIV80" s="1364"/>
      <c r="JIW80" s="7"/>
      <c r="JIX80" s="7"/>
      <c r="JIY80" s="1363"/>
      <c r="JIZ80" s="1363"/>
      <c r="JJA80" s="1363"/>
      <c r="JJB80" s="1365"/>
      <c r="JJC80" s="7"/>
      <c r="JJD80" s="7"/>
      <c r="JJE80" s="1365"/>
      <c r="JJF80" s="1365"/>
      <c r="JJG80" s="299"/>
      <c r="JJI80" s="1086"/>
      <c r="JJJ80" s="1086"/>
      <c r="JJK80" s="1086"/>
      <c r="JJL80" s="7"/>
      <c r="JJM80" s="7"/>
      <c r="JJN80" s="7"/>
      <c r="JJO80" s="7"/>
      <c r="JJP80" s="1161"/>
      <c r="JJQ80" s="7"/>
      <c r="JJR80" s="7"/>
      <c r="JJS80" s="7"/>
      <c r="JJT80" s="7"/>
      <c r="JJU80" s="7"/>
      <c r="JJV80" s="1161"/>
      <c r="JJW80" s="1161"/>
      <c r="JJX80" s="1161"/>
      <c r="JJY80" s="1365"/>
      <c r="JJZ80" s="7"/>
      <c r="JKA80" s="7"/>
      <c r="JKB80" s="1365"/>
      <c r="JKC80" s="1365"/>
      <c r="JKF80" s="1158"/>
      <c r="JKG80" s="1158"/>
      <c r="JKH80" s="1158"/>
      <c r="JKI80" s="7"/>
      <c r="JKJ80" s="7"/>
      <c r="JKK80" s="7"/>
      <c r="JKL80" s="7"/>
      <c r="JKM80" s="1161"/>
      <c r="JKN80" s="7"/>
      <c r="JKO80" s="7"/>
      <c r="JKP80" s="7"/>
      <c r="JKQ80" s="7"/>
      <c r="JKR80" s="7"/>
      <c r="JKS80" s="1161"/>
      <c r="JKT80" s="1161"/>
      <c r="JKU80" s="1161"/>
      <c r="JKV80" s="1365"/>
      <c r="JKW80" s="7"/>
      <c r="JKX80" s="7"/>
      <c r="JKY80" s="1365"/>
      <c r="JKZ80" s="1365"/>
      <c r="JLB80" s="1158"/>
      <c r="JLC80" s="1158"/>
      <c r="JLD80" s="1158"/>
      <c r="JLE80" s="7"/>
      <c r="JLF80" s="7"/>
      <c r="JLG80" s="7"/>
      <c r="JLH80" s="7"/>
      <c r="JLI80" s="1363"/>
      <c r="JLJ80" s="1364"/>
      <c r="JLK80" s="1364"/>
      <c r="JLL80" s="1364"/>
      <c r="JLM80" s="7"/>
      <c r="JLN80" s="7"/>
      <c r="JLO80" s="1363"/>
      <c r="JLP80" s="1363"/>
      <c r="JLQ80" s="1363"/>
      <c r="JLR80" s="1365"/>
      <c r="JLS80" s="7"/>
      <c r="JLT80" s="7"/>
      <c r="JLU80" s="1365"/>
      <c r="JLV80" s="1365"/>
      <c r="JLW80" s="299"/>
      <c r="JLY80" s="1086"/>
      <c r="JLZ80" s="1086"/>
      <c r="JMA80" s="1086"/>
      <c r="JMB80" s="7"/>
      <c r="JMC80" s="7"/>
      <c r="JMD80" s="7"/>
      <c r="JME80" s="7"/>
      <c r="JMF80" s="1161"/>
      <c r="JMG80" s="7"/>
      <c r="JMH80" s="7"/>
      <c r="JMI80" s="7"/>
      <c r="JMJ80" s="7"/>
      <c r="JMK80" s="7"/>
      <c r="JML80" s="1161"/>
      <c r="JMM80" s="1161"/>
      <c r="JMN80" s="1161"/>
      <c r="JMO80" s="1365"/>
      <c r="JMP80" s="7"/>
      <c r="JMQ80" s="7"/>
      <c r="JMR80" s="1365"/>
      <c r="JMS80" s="1365"/>
      <c r="JMV80" s="1158"/>
      <c r="JMW80" s="1158"/>
      <c r="JMX80" s="1158"/>
      <c r="JMY80" s="7"/>
      <c r="JMZ80" s="7"/>
      <c r="JNA80" s="7"/>
      <c r="JNB80" s="7"/>
      <c r="JNC80" s="1161"/>
      <c r="JND80" s="7"/>
      <c r="JNE80" s="7"/>
      <c r="JNF80" s="7"/>
      <c r="JNG80" s="7"/>
      <c r="JNH80" s="7"/>
      <c r="JNI80" s="1161"/>
      <c r="JNJ80" s="1161"/>
      <c r="JNK80" s="1161"/>
      <c r="JNL80" s="1365"/>
      <c r="JNM80" s="7"/>
      <c r="JNN80" s="7"/>
      <c r="JNO80" s="1365"/>
      <c r="JNP80" s="1365"/>
      <c r="JNR80" s="1158"/>
      <c r="JNS80" s="1158"/>
      <c r="JNT80" s="1158"/>
      <c r="JNU80" s="7"/>
      <c r="JNV80" s="7"/>
      <c r="JNW80" s="7"/>
      <c r="JNX80" s="7"/>
      <c r="JNY80" s="1363"/>
      <c r="JNZ80" s="1364"/>
      <c r="JOA80" s="1364"/>
      <c r="JOB80" s="1364"/>
      <c r="JOC80" s="7"/>
      <c r="JOD80" s="7"/>
      <c r="JOE80" s="1363"/>
      <c r="JOF80" s="1363"/>
      <c r="JOG80" s="1363"/>
      <c r="JOH80" s="1365"/>
      <c r="JOI80" s="7"/>
      <c r="JOJ80" s="7"/>
      <c r="JOK80" s="1365"/>
      <c r="JOL80" s="1365"/>
      <c r="JOM80" s="299"/>
      <c r="JOO80" s="1086"/>
      <c r="JOP80" s="1086"/>
      <c r="JOQ80" s="1086"/>
      <c r="JOR80" s="7"/>
      <c r="JOS80" s="7"/>
      <c r="JOT80" s="7"/>
      <c r="JOU80" s="7"/>
      <c r="JOV80" s="1161"/>
      <c r="JOW80" s="7"/>
      <c r="JOX80" s="7"/>
      <c r="JOY80" s="7"/>
      <c r="JOZ80" s="7"/>
      <c r="JPA80" s="7"/>
      <c r="JPB80" s="1161"/>
      <c r="JPC80" s="1161"/>
      <c r="JPD80" s="1161"/>
      <c r="JPE80" s="1365"/>
      <c r="JPF80" s="7"/>
      <c r="JPG80" s="7"/>
      <c r="JPH80" s="1365"/>
      <c r="JPI80" s="1365"/>
      <c r="JPL80" s="1158"/>
      <c r="JPM80" s="1158"/>
      <c r="JPN80" s="1158"/>
      <c r="JPO80" s="7"/>
      <c r="JPP80" s="7"/>
      <c r="JPQ80" s="7"/>
      <c r="JPR80" s="7"/>
      <c r="JPS80" s="1161"/>
      <c r="JPT80" s="7"/>
      <c r="JPU80" s="7"/>
      <c r="JPV80" s="7"/>
      <c r="JPW80" s="7"/>
      <c r="JPX80" s="7"/>
      <c r="JPY80" s="1161"/>
      <c r="JPZ80" s="1161"/>
      <c r="JQA80" s="1161"/>
      <c r="JQB80" s="1365"/>
      <c r="JQC80" s="7"/>
      <c r="JQD80" s="7"/>
      <c r="JQE80" s="1365"/>
      <c r="JQF80" s="1365"/>
      <c r="JQH80" s="1158"/>
      <c r="JQI80" s="1158"/>
      <c r="JQJ80" s="1158"/>
      <c r="JQK80" s="7"/>
      <c r="JQL80" s="7"/>
      <c r="JQM80" s="7"/>
      <c r="JQN80" s="7"/>
      <c r="JQO80" s="1363"/>
      <c r="JQP80" s="1364"/>
      <c r="JQQ80" s="1364"/>
      <c r="JQR80" s="1364"/>
      <c r="JQS80" s="7"/>
      <c r="JQT80" s="7"/>
      <c r="JQU80" s="1363"/>
      <c r="JQV80" s="1363"/>
      <c r="JQW80" s="1363"/>
      <c r="JQX80" s="1365"/>
      <c r="JQY80" s="7"/>
      <c r="JQZ80" s="7"/>
      <c r="JRA80" s="1365"/>
      <c r="JRB80" s="1365"/>
      <c r="JRC80" s="299"/>
      <c r="JRE80" s="1086"/>
      <c r="JRF80" s="1086"/>
      <c r="JRG80" s="1086"/>
      <c r="JRH80" s="7"/>
      <c r="JRI80" s="7"/>
      <c r="JRJ80" s="7"/>
      <c r="JRK80" s="7"/>
      <c r="JRL80" s="1161"/>
      <c r="JRM80" s="7"/>
      <c r="JRN80" s="7"/>
      <c r="JRO80" s="7"/>
      <c r="JRP80" s="7"/>
      <c r="JRQ80" s="7"/>
      <c r="JRR80" s="1161"/>
      <c r="JRS80" s="1161"/>
      <c r="JRT80" s="1161"/>
      <c r="JRU80" s="1365"/>
      <c r="JRV80" s="7"/>
      <c r="JRW80" s="7"/>
      <c r="JRX80" s="1365"/>
      <c r="JRY80" s="1365"/>
      <c r="JSB80" s="1158"/>
      <c r="JSC80" s="1158"/>
      <c r="JSD80" s="1158"/>
      <c r="JSE80" s="7"/>
      <c r="JSF80" s="7"/>
      <c r="JSG80" s="7"/>
      <c r="JSH80" s="7"/>
      <c r="JSI80" s="1161"/>
      <c r="JSJ80" s="7"/>
      <c r="JSK80" s="7"/>
      <c r="JSL80" s="7"/>
      <c r="JSM80" s="7"/>
      <c r="JSN80" s="7"/>
      <c r="JSO80" s="1161"/>
      <c r="JSP80" s="1161"/>
      <c r="JSQ80" s="1161"/>
      <c r="JSR80" s="1365"/>
      <c r="JSS80" s="7"/>
      <c r="JST80" s="7"/>
      <c r="JSU80" s="1365"/>
      <c r="JSV80" s="1365"/>
      <c r="JSX80" s="1158"/>
      <c r="JSY80" s="1158"/>
      <c r="JSZ80" s="1158"/>
      <c r="JTA80" s="7"/>
      <c r="JTB80" s="7"/>
      <c r="JTC80" s="7"/>
      <c r="JTD80" s="7"/>
      <c r="JTE80" s="1363"/>
      <c r="JTF80" s="1364"/>
      <c r="JTG80" s="1364"/>
      <c r="JTH80" s="1364"/>
      <c r="JTI80" s="7"/>
      <c r="JTJ80" s="7"/>
      <c r="JTK80" s="1363"/>
      <c r="JTL80" s="1363"/>
      <c r="JTM80" s="1363"/>
      <c r="JTN80" s="1365"/>
      <c r="JTO80" s="7"/>
      <c r="JTP80" s="7"/>
      <c r="JTQ80" s="1365"/>
      <c r="JTR80" s="1365"/>
      <c r="JTS80" s="299"/>
      <c r="JTU80" s="1086"/>
      <c r="JTV80" s="1086"/>
      <c r="JTW80" s="1086"/>
      <c r="JTX80" s="7"/>
      <c r="JTY80" s="7"/>
      <c r="JTZ80" s="7"/>
      <c r="JUA80" s="7"/>
      <c r="JUB80" s="1161"/>
      <c r="JUC80" s="7"/>
      <c r="JUD80" s="7"/>
      <c r="JUE80" s="7"/>
      <c r="JUF80" s="7"/>
      <c r="JUG80" s="7"/>
      <c r="JUH80" s="1161"/>
      <c r="JUI80" s="1161"/>
      <c r="JUJ80" s="1161"/>
      <c r="JUK80" s="1365"/>
      <c r="JUL80" s="7"/>
      <c r="JUM80" s="7"/>
      <c r="JUN80" s="1365"/>
      <c r="JUO80" s="1365"/>
      <c r="JUR80" s="1158"/>
      <c r="JUS80" s="1158"/>
      <c r="JUT80" s="1158"/>
      <c r="JUU80" s="7"/>
      <c r="JUV80" s="7"/>
      <c r="JUW80" s="7"/>
      <c r="JUX80" s="7"/>
      <c r="JUY80" s="1161"/>
      <c r="JUZ80" s="7"/>
      <c r="JVA80" s="7"/>
      <c r="JVB80" s="7"/>
      <c r="JVC80" s="7"/>
      <c r="JVD80" s="7"/>
      <c r="JVE80" s="1161"/>
      <c r="JVF80" s="1161"/>
      <c r="JVG80" s="1161"/>
      <c r="JVH80" s="1365"/>
      <c r="JVI80" s="7"/>
      <c r="JVJ80" s="7"/>
      <c r="JVK80" s="1365"/>
      <c r="JVL80" s="1365"/>
      <c r="JVN80" s="1158"/>
      <c r="JVO80" s="1158"/>
      <c r="JVP80" s="1158"/>
      <c r="JVQ80" s="7"/>
      <c r="JVR80" s="7"/>
      <c r="JVS80" s="7"/>
      <c r="JVT80" s="7"/>
      <c r="JVU80" s="1363"/>
      <c r="JVV80" s="1364"/>
      <c r="JVW80" s="1364"/>
      <c r="JVX80" s="1364"/>
      <c r="JVY80" s="7"/>
      <c r="JVZ80" s="7"/>
      <c r="JWA80" s="1363"/>
      <c r="JWB80" s="1363"/>
      <c r="JWC80" s="1363"/>
      <c r="JWD80" s="1365"/>
      <c r="JWE80" s="7"/>
      <c r="JWF80" s="7"/>
      <c r="JWG80" s="1365"/>
      <c r="JWH80" s="1365"/>
      <c r="JWI80" s="299"/>
      <c r="JWK80" s="1086"/>
      <c r="JWL80" s="1086"/>
      <c r="JWM80" s="1086"/>
      <c r="JWN80" s="7"/>
      <c r="JWO80" s="7"/>
      <c r="JWP80" s="7"/>
      <c r="JWQ80" s="7"/>
      <c r="JWR80" s="1161"/>
      <c r="JWS80" s="7"/>
      <c r="JWT80" s="7"/>
      <c r="JWU80" s="7"/>
      <c r="JWV80" s="7"/>
      <c r="JWW80" s="7"/>
      <c r="JWX80" s="1161"/>
      <c r="JWY80" s="1161"/>
      <c r="JWZ80" s="1161"/>
      <c r="JXA80" s="1365"/>
      <c r="JXB80" s="7"/>
      <c r="JXC80" s="7"/>
      <c r="JXD80" s="1365"/>
      <c r="JXE80" s="1365"/>
      <c r="JXH80" s="1158"/>
      <c r="JXI80" s="1158"/>
      <c r="JXJ80" s="1158"/>
      <c r="JXK80" s="7"/>
      <c r="JXL80" s="7"/>
      <c r="JXM80" s="7"/>
      <c r="JXN80" s="7"/>
      <c r="JXO80" s="1161"/>
      <c r="JXP80" s="7"/>
      <c r="JXQ80" s="7"/>
      <c r="JXR80" s="7"/>
      <c r="JXS80" s="7"/>
      <c r="JXT80" s="7"/>
      <c r="JXU80" s="1161"/>
      <c r="JXV80" s="1161"/>
      <c r="JXW80" s="1161"/>
      <c r="JXX80" s="1365"/>
      <c r="JXY80" s="7"/>
      <c r="JXZ80" s="7"/>
      <c r="JYA80" s="1365"/>
      <c r="JYB80" s="1365"/>
      <c r="JYD80" s="1158"/>
      <c r="JYE80" s="1158"/>
      <c r="JYF80" s="1158"/>
      <c r="JYG80" s="7"/>
      <c r="JYH80" s="7"/>
      <c r="JYI80" s="7"/>
      <c r="JYJ80" s="7"/>
      <c r="JYK80" s="1363"/>
      <c r="JYL80" s="1364"/>
      <c r="JYM80" s="1364"/>
      <c r="JYN80" s="1364"/>
      <c r="JYO80" s="7"/>
      <c r="JYP80" s="7"/>
      <c r="JYQ80" s="1363"/>
      <c r="JYR80" s="1363"/>
      <c r="JYS80" s="1363"/>
      <c r="JYT80" s="1365"/>
      <c r="JYU80" s="7"/>
      <c r="JYV80" s="7"/>
      <c r="JYW80" s="1365"/>
      <c r="JYX80" s="1365"/>
      <c r="JYY80" s="299"/>
      <c r="JZA80" s="1086"/>
      <c r="JZB80" s="1086"/>
      <c r="JZC80" s="1086"/>
      <c r="JZD80" s="7"/>
      <c r="JZE80" s="7"/>
      <c r="JZF80" s="7"/>
      <c r="JZG80" s="7"/>
      <c r="JZH80" s="1161"/>
      <c r="JZI80" s="7"/>
      <c r="JZJ80" s="7"/>
      <c r="JZK80" s="7"/>
      <c r="JZL80" s="7"/>
      <c r="JZM80" s="7"/>
      <c r="JZN80" s="1161"/>
      <c r="JZO80" s="1161"/>
      <c r="JZP80" s="1161"/>
      <c r="JZQ80" s="1365"/>
      <c r="JZR80" s="7"/>
      <c r="JZS80" s="7"/>
      <c r="JZT80" s="1365"/>
      <c r="JZU80" s="1365"/>
      <c r="JZX80" s="1158"/>
      <c r="JZY80" s="1158"/>
      <c r="JZZ80" s="1158"/>
      <c r="KAA80" s="7"/>
      <c r="KAB80" s="7"/>
      <c r="KAC80" s="7"/>
      <c r="KAD80" s="7"/>
      <c r="KAE80" s="1161"/>
      <c r="KAF80" s="7"/>
      <c r="KAG80" s="7"/>
      <c r="KAH80" s="7"/>
      <c r="KAI80" s="7"/>
      <c r="KAJ80" s="7"/>
      <c r="KAK80" s="1161"/>
      <c r="KAL80" s="1161"/>
      <c r="KAM80" s="1161"/>
      <c r="KAN80" s="1365"/>
      <c r="KAO80" s="7"/>
      <c r="KAP80" s="7"/>
      <c r="KAQ80" s="1365"/>
      <c r="KAR80" s="1365"/>
      <c r="KAT80" s="1158"/>
      <c r="KAU80" s="1158"/>
      <c r="KAV80" s="1158"/>
      <c r="KAW80" s="7"/>
      <c r="KAX80" s="7"/>
      <c r="KAY80" s="7"/>
      <c r="KAZ80" s="7"/>
      <c r="KBA80" s="1363"/>
      <c r="KBB80" s="1364"/>
      <c r="KBC80" s="1364"/>
      <c r="KBD80" s="1364"/>
      <c r="KBE80" s="7"/>
      <c r="KBF80" s="7"/>
      <c r="KBG80" s="1363"/>
      <c r="KBH80" s="1363"/>
      <c r="KBI80" s="1363"/>
      <c r="KBJ80" s="1365"/>
      <c r="KBK80" s="7"/>
      <c r="KBL80" s="7"/>
      <c r="KBM80" s="1365"/>
      <c r="KBN80" s="1365"/>
      <c r="KBO80" s="299"/>
      <c r="KBQ80" s="1086"/>
      <c r="KBR80" s="1086"/>
      <c r="KBS80" s="1086"/>
      <c r="KBT80" s="7"/>
      <c r="KBU80" s="7"/>
      <c r="KBV80" s="7"/>
      <c r="KBW80" s="7"/>
      <c r="KBX80" s="1161"/>
      <c r="KBY80" s="7"/>
      <c r="KBZ80" s="7"/>
      <c r="KCA80" s="7"/>
      <c r="KCB80" s="7"/>
      <c r="KCC80" s="7"/>
      <c r="KCD80" s="1161"/>
      <c r="KCE80" s="1161"/>
      <c r="KCF80" s="1161"/>
      <c r="KCG80" s="1365"/>
      <c r="KCH80" s="7"/>
      <c r="KCI80" s="7"/>
      <c r="KCJ80" s="1365"/>
      <c r="KCK80" s="1365"/>
      <c r="KCN80" s="1158"/>
      <c r="KCO80" s="1158"/>
      <c r="KCP80" s="1158"/>
      <c r="KCQ80" s="7"/>
      <c r="KCR80" s="7"/>
      <c r="KCS80" s="7"/>
      <c r="KCT80" s="7"/>
      <c r="KCU80" s="1161"/>
      <c r="KCV80" s="7"/>
      <c r="KCW80" s="7"/>
      <c r="KCX80" s="7"/>
      <c r="KCY80" s="7"/>
      <c r="KCZ80" s="7"/>
      <c r="KDA80" s="1161"/>
      <c r="KDB80" s="1161"/>
      <c r="KDC80" s="1161"/>
      <c r="KDD80" s="1365"/>
      <c r="KDE80" s="7"/>
      <c r="KDF80" s="7"/>
      <c r="KDG80" s="1365"/>
      <c r="KDH80" s="1365"/>
      <c r="KDJ80" s="1158"/>
      <c r="KDK80" s="1158"/>
      <c r="KDL80" s="1158"/>
      <c r="KDM80" s="7"/>
      <c r="KDN80" s="7"/>
      <c r="KDO80" s="7"/>
      <c r="KDP80" s="7"/>
      <c r="KDQ80" s="1363"/>
      <c r="KDR80" s="1364"/>
      <c r="KDS80" s="1364"/>
      <c r="KDT80" s="1364"/>
      <c r="KDU80" s="7"/>
      <c r="KDV80" s="7"/>
      <c r="KDW80" s="1363"/>
      <c r="KDX80" s="1363"/>
      <c r="KDY80" s="1363"/>
      <c r="KDZ80" s="1365"/>
      <c r="KEA80" s="7"/>
      <c r="KEB80" s="7"/>
      <c r="KEC80" s="1365"/>
      <c r="KED80" s="1365"/>
      <c r="KEE80" s="299"/>
      <c r="KEG80" s="1086"/>
      <c r="KEH80" s="1086"/>
      <c r="KEI80" s="1086"/>
      <c r="KEJ80" s="7"/>
      <c r="KEK80" s="7"/>
      <c r="KEL80" s="7"/>
      <c r="KEM80" s="7"/>
      <c r="KEN80" s="1161"/>
      <c r="KEO80" s="7"/>
      <c r="KEP80" s="7"/>
      <c r="KEQ80" s="7"/>
      <c r="KER80" s="7"/>
      <c r="KES80" s="7"/>
      <c r="KET80" s="1161"/>
      <c r="KEU80" s="1161"/>
      <c r="KEV80" s="1161"/>
      <c r="KEW80" s="1365"/>
      <c r="KEX80" s="7"/>
      <c r="KEY80" s="7"/>
      <c r="KEZ80" s="1365"/>
      <c r="KFA80" s="1365"/>
      <c r="KFD80" s="1158"/>
      <c r="KFE80" s="1158"/>
      <c r="KFF80" s="1158"/>
      <c r="KFG80" s="7"/>
      <c r="KFH80" s="7"/>
      <c r="KFI80" s="7"/>
      <c r="KFJ80" s="7"/>
      <c r="KFK80" s="1161"/>
      <c r="KFL80" s="7"/>
      <c r="KFM80" s="7"/>
      <c r="KFN80" s="7"/>
      <c r="KFO80" s="7"/>
      <c r="KFP80" s="7"/>
      <c r="KFQ80" s="1161"/>
      <c r="KFR80" s="1161"/>
      <c r="KFS80" s="1161"/>
      <c r="KFT80" s="1365"/>
      <c r="KFU80" s="7"/>
      <c r="KFV80" s="7"/>
      <c r="KFW80" s="1365"/>
      <c r="KFX80" s="1365"/>
      <c r="KFZ80" s="1158"/>
      <c r="KGA80" s="1158"/>
      <c r="KGB80" s="1158"/>
      <c r="KGC80" s="7"/>
      <c r="KGD80" s="7"/>
      <c r="KGE80" s="7"/>
      <c r="KGF80" s="7"/>
      <c r="KGG80" s="1363"/>
      <c r="KGH80" s="1364"/>
      <c r="KGI80" s="1364"/>
      <c r="KGJ80" s="1364"/>
      <c r="KGK80" s="7"/>
      <c r="KGL80" s="7"/>
      <c r="KGM80" s="1363"/>
      <c r="KGN80" s="1363"/>
      <c r="KGO80" s="1363"/>
      <c r="KGP80" s="1365"/>
      <c r="KGQ80" s="7"/>
      <c r="KGR80" s="7"/>
      <c r="KGS80" s="1365"/>
      <c r="KGT80" s="1365"/>
      <c r="KGU80" s="299"/>
      <c r="KGW80" s="1086"/>
      <c r="KGX80" s="1086"/>
      <c r="KGY80" s="1086"/>
      <c r="KGZ80" s="7"/>
      <c r="KHA80" s="7"/>
      <c r="KHB80" s="7"/>
      <c r="KHC80" s="7"/>
      <c r="KHD80" s="1161"/>
      <c r="KHE80" s="7"/>
      <c r="KHF80" s="7"/>
      <c r="KHG80" s="7"/>
      <c r="KHH80" s="7"/>
      <c r="KHI80" s="7"/>
      <c r="KHJ80" s="1161"/>
      <c r="KHK80" s="1161"/>
      <c r="KHL80" s="1161"/>
      <c r="KHM80" s="1365"/>
      <c r="KHN80" s="7"/>
      <c r="KHO80" s="7"/>
      <c r="KHP80" s="1365"/>
      <c r="KHQ80" s="1365"/>
      <c r="KHT80" s="1158"/>
      <c r="KHU80" s="1158"/>
      <c r="KHV80" s="1158"/>
      <c r="KHW80" s="7"/>
      <c r="KHX80" s="7"/>
      <c r="KHY80" s="7"/>
      <c r="KHZ80" s="7"/>
      <c r="KIA80" s="1161"/>
      <c r="KIB80" s="7"/>
      <c r="KIC80" s="7"/>
      <c r="KID80" s="7"/>
      <c r="KIE80" s="7"/>
      <c r="KIF80" s="7"/>
      <c r="KIG80" s="1161"/>
      <c r="KIH80" s="1161"/>
      <c r="KII80" s="1161"/>
      <c r="KIJ80" s="1365"/>
      <c r="KIK80" s="7"/>
      <c r="KIL80" s="7"/>
      <c r="KIM80" s="1365"/>
      <c r="KIN80" s="1365"/>
      <c r="KIP80" s="1158"/>
      <c r="KIQ80" s="1158"/>
      <c r="KIR80" s="1158"/>
      <c r="KIS80" s="7"/>
      <c r="KIT80" s="7"/>
      <c r="KIU80" s="7"/>
      <c r="KIV80" s="7"/>
      <c r="KIW80" s="1363"/>
      <c r="KIX80" s="1364"/>
      <c r="KIY80" s="1364"/>
      <c r="KIZ80" s="1364"/>
      <c r="KJA80" s="7"/>
      <c r="KJB80" s="7"/>
      <c r="KJC80" s="1363"/>
      <c r="KJD80" s="1363"/>
      <c r="KJE80" s="1363"/>
      <c r="KJF80" s="1365"/>
      <c r="KJG80" s="7"/>
      <c r="KJH80" s="7"/>
      <c r="KJI80" s="1365"/>
      <c r="KJJ80" s="1365"/>
      <c r="KJK80" s="299"/>
      <c r="KJM80" s="1086"/>
      <c r="KJN80" s="1086"/>
      <c r="KJO80" s="1086"/>
      <c r="KJP80" s="7"/>
      <c r="KJQ80" s="7"/>
      <c r="KJR80" s="7"/>
      <c r="KJS80" s="7"/>
      <c r="KJT80" s="1161"/>
      <c r="KJU80" s="7"/>
      <c r="KJV80" s="7"/>
      <c r="KJW80" s="7"/>
      <c r="KJX80" s="7"/>
      <c r="KJY80" s="7"/>
      <c r="KJZ80" s="1161"/>
      <c r="KKA80" s="1161"/>
      <c r="KKB80" s="1161"/>
      <c r="KKC80" s="1365"/>
      <c r="KKD80" s="7"/>
      <c r="KKE80" s="7"/>
      <c r="KKF80" s="1365"/>
      <c r="KKG80" s="1365"/>
      <c r="KKJ80" s="1158"/>
      <c r="KKK80" s="1158"/>
      <c r="KKL80" s="1158"/>
      <c r="KKM80" s="7"/>
      <c r="KKN80" s="7"/>
      <c r="KKO80" s="7"/>
      <c r="KKP80" s="7"/>
      <c r="KKQ80" s="1161"/>
      <c r="KKR80" s="7"/>
      <c r="KKS80" s="7"/>
      <c r="KKT80" s="7"/>
      <c r="KKU80" s="7"/>
      <c r="KKV80" s="7"/>
      <c r="KKW80" s="1161"/>
      <c r="KKX80" s="1161"/>
      <c r="KKY80" s="1161"/>
      <c r="KKZ80" s="1365"/>
      <c r="KLA80" s="7"/>
      <c r="KLB80" s="7"/>
      <c r="KLC80" s="1365"/>
      <c r="KLD80" s="1365"/>
      <c r="KLF80" s="1158"/>
      <c r="KLG80" s="1158"/>
      <c r="KLH80" s="1158"/>
      <c r="KLI80" s="7"/>
      <c r="KLJ80" s="7"/>
      <c r="KLK80" s="7"/>
      <c r="KLL80" s="7"/>
      <c r="KLM80" s="1363"/>
      <c r="KLN80" s="1364"/>
      <c r="KLO80" s="1364"/>
      <c r="KLP80" s="1364"/>
      <c r="KLQ80" s="7"/>
      <c r="KLR80" s="7"/>
      <c r="KLS80" s="1363"/>
      <c r="KLT80" s="1363"/>
      <c r="KLU80" s="1363"/>
      <c r="KLV80" s="1365"/>
      <c r="KLW80" s="7"/>
      <c r="KLX80" s="7"/>
      <c r="KLY80" s="1365"/>
      <c r="KLZ80" s="1365"/>
      <c r="KMA80" s="299"/>
      <c r="KMC80" s="1086"/>
      <c r="KMD80" s="1086"/>
      <c r="KME80" s="1086"/>
      <c r="KMF80" s="7"/>
      <c r="KMG80" s="7"/>
      <c r="KMH80" s="7"/>
      <c r="KMI80" s="7"/>
      <c r="KMJ80" s="1161"/>
      <c r="KMK80" s="7"/>
      <c r="KML80" s="7"/>
      <c r="KMM80" s="7"/>
      <c r="KMN80" s="7"/>
      <c r="KMO80" s="7"/>
      <c r="KMP80" s="1161"/>
      <c r="KMQ80" s="1161"/>
      <c r="KMR80" s="1161"/>
      <c r="KMS80" s="1365"/>
      <c r="KMT80" s="7"/>
      <c r="KMU80" s="7"/>
      <c r="KMV80" s="1365"/>
      <c r="KMW80" s="1365"/>
      <c r="KMZ80" s="1158"/>
      <c r="KNA80" s="1158"/>
      <c r="KNB80" s="1158"/>
      <c r="KNC80" s="7"/>
      <c r="KND80" s="7"/>
      <c r="KNE80" s="7"/>
      <c r="KNF80" s="7"/>
      <c r="KNG80" s="1161"/>
      <c r="KNH80" s="7"/>
      <c r="KNI80" s="7"/>
      <c r="KNJ80" s="7"/>
      <c r="KNK80" s="7"/>
      <c r="KNL80" s="7"/>
      <c r="KNM80" s="1161"/>
      <c r="KNN80" s="1161"/>
      <c r="KNO80" s="1161"/>
      <c r="KNP80" s="1365"/>
      <c r="KNQ80" s="7"/>
      <c r="KNR80" s="7"/>
      <c r="KNS80" s="1365"/>
      <c r="KNT80" s="1365"/>
      <c r="KNV80" s="1158"/>
      <c r="KNW80" s="1158"/>
      <c r="KNX80" s="1158"/>
      <c r="KNY80" s="7"/>
      <c r="KNZ80" s="7"/>
      <c r="KOA80" s="7"/>
      <c r="KOB80" s="7"/>
      <c r="KOC80" s="1363"/>
      <c r="KOD80" s="1364"/>
      <c r="KOE80" s="1364"/>
      <c r="KOF80" s="1364"/>
      <c r="KOG80" s="7"/>
      <c r="KOH80" s="7"/>
      <c r="KOI80" s="1363"/>
      <c r="KOJ80" s="1363"/>
      <c r="KOK80" s="1363"/>
      <c r="KOL80" s="1365"/>
      <c r="KOM80" s="7"/>
      <c r="KON80" s="7"/>
      <c r="KOO80" s="1365"/>
      <c r="KOP80" s="1365"/>
      <c r="KOQ80" s="299"/>
      <c r="KOS80" s="1086"/>
      <c r="KOT80" s="1086"/>
      <c r="KOU80" s="1086"/>
      <c r="KOV80" s="7"/>
      <c r="KOW80" s="7"/>
      <c r="KOX80" s="7"/>
      <c r="KOY80" s="7"/>
      <c r="KOZ80" s="1161"/>
      <c r="KPA80" s="7"/>
      <c r="KPB80" s="7"/>
      <c r="KPC80" s="7"/>
      <c r="KPD80" s="7"/>
      <c r="KPE80" s="7"/>
      <c r="KPF80" s="1161"/>
      <c r="KPG80" s="1161"/>
      <c r="KPH80" s="1161"/>
      <c r="KPI80" s="1365"/>
      <c r="KPJ80" s="7"/>
      <c r="KPK80" s="7"/>
      <c r="KPL80" s="1365"/>
      <c r="KPM80" s="1365"/>
      <c r="KPP80" s="1158"/>
      <c r="KPQ80" s="1158"/>
      <c r="KPR80" s="1158"/>
      <c r="KPS80" s="7"/>
      <c r="KPT80" s="7"/>
      <c r="KPU80" s="7"/>
      <c r="KPV80" s="7"/>
      <c r="KPW80" s="1161"/>
      <c r="KPX80" s="7"/>
      <c r="KPY80" s="7"/>
      <c r="KPZ80" s="7"/>
      <c r="KQA80" s="7"/>
      <c r="KQB80" s="7"/>
      <c r="KQC80" s="1161"/>
      <c r="KQD80" s="1161"/>
      <c r="KQE80" s="1161"/>
      <c r="KQF80" s="1365"/>
      <c r="KQG80" s="7"/>
      <c r="KQH80" s="7"/>
      <c r="KQI80" s="1365"/>
      <c r="KQJ80" s="1365"/>
      <c r="KQL80" s="1158"/>
      <c r="KQM80" s="1158"/>
      <c r="KQN80" s="1158"/>
      <c r="KQO80" s="7"/>
      <c r="KQP80" s="7"/>
      <c r="KQQ80" s="7"/>
      <c r="KQR80" s="7"/>
      <c r="KQS80" s="1363"/>
      <c r="KQT80" s="1364"/>
      <c r="KQU80" s="1364"/>
      <c r="KQV80" s="1364"/>
      <c r="KQW80" s="7"/>
      <c r="KQX80" s="7"/>
      <c r="KQY80" s="1363"/>
      <c r="KQZ80" s="1363"/>
      <c r="KRA80" s="1363"/>
      <c r="KRB80" s="1365"/>
      <c r="KRC80" s="7"/>
      <c r="KRD80" s="7"/>
      <c r="KRE80" s="1365"/>
      <c r="KRF80" s="1365"/>
      <c r="KRG80" s="299"/>
      <c r="KRI80" s="1086"/>
      <c r="KRJ80" s="1086"/>
      <c r="KRK80" s="1086"/>
      <c r="KRL80" s="7"/>
      <c r="KRM80" s="7"/>
      <c r="KRN80" s="7"/>
      <c r="KRO80" s="7"/>
      <c r="KRP80" s="1161"/>
      <c r="KRQ80" s="7"/>
      <c r="KRR80" s="7"/>
      <c r="KRS80" s="7"/>
      <c r="KRT80" s="7"/>
      <c r="KRU80" s="7"/>
      <c r="KRV80" s="1161"/>
      <c r="KRW80" s="1161"/>
      <c r="KRX80" s="1161"/>
      <c r="KRY80" s="1365"/>
      <c r="KRZ80" s="7"/>
      <c r="KSA80" s="7"/>
      <c r="KSB80" s="1365"/>
      <c r="KSC80" s="1365"/>
      <c r="KSF80" s="1158"/>
      <c r="KSG80" s="1158"/>
      <c r="KSH80" s="1158"/>
      <c r="KSI80" s="7"/>
      <c r="KSJ80" s="7"/>
      <c r="KSK80" s="7"/>
      <c r="KSL80" s="7"/>
      <c r="KSM80" s="1161"/>
      <c r="KSN80" s="7"/>
      <c r="KSO80" s="7"/>
      <c r="KSP80" s="7"/>
      <c r="KSQ80" s="7"/>
      <c r="KSR80" s="7"/>
      <c r="KSS80" s="1161"/>
      <c r="KST80" s="1161"/>
      <c r="KSU80" s="1161"/>
      <c r="KSV80" s="1365"/>
      <c r="KSW80" s="7"/>
      <c r="KSX80" s="7"/>
      <c r="KSY80" s="1365"/>
      <c r="KSZ80" s="1365"/>
      <c r="KTB80" s="1158"/>
      <c r="KTC80" s="1158"/>
      <c r="KTD80" s="1158"/>
      <c r="KTE80" s="7"/>
      <c r="KTF80" s="7"/>
      <c r="KTG80" s="7"/>
      <c r="KTH80" s="7"/>
      <c r="KTI80" s="1363"/>
      <c r="KTJ80" s="1364"/>
      <c r="KTK80" s="1364"/>
      <c r="KTL80" s="1364"/>
      <c r="KTM80" s="7"/>
      <c r="KTN80" s="7"/>
      <c r="KTO80" s="1363"/>
      <c r="KTP80" s="1363"/>
      <c r="KTQ80" s="1363"/>
      <c r="KTR80" s="1365"/>
      <c r="KTS80" s="7"/>
      <c r="KTT80" s="7"/>
      <c r="KTU80" s="1365"/>
      <c r="KTV80" s="1365"/>
      <c r="KTW80" s="299"/>
      <c r="KTY80" s="1086"/>
      <c r="KTZ80" s="1086"/>
      <c r="KUA80" s="1086"/>
      <c r="KUB80" s="7"/>
      <c r="KUC80" s="7"/>
      <c r="KUD80" s="7"/>
      <c r="KUE80" s="7"/>
      <c r="KUF80" s="1161"/>
      <c r="KUG80" s="7"/>
      <c r="KUH80" s="7"/>
      <c r="KUI80" s="7"/>
      <c r="KUJ80" s="7"/>
      <c r="KUK80" s="7"/>
      <c r="KUL80" s="1161"/>
      <c r="KUM80" s="1161"/>
      <c r="KUN80" s="1161"/>
      <c r="KUO80" s="1365"/>
      <c r="KUP80" s="7"/>
      <c r="KUQ80" s="7"/>
      <c r="KUR80" s="1365"/>
      <c r="KUS80" s="1365"/>
      <c r="KUV80" s="1158"/>
      <c r="KUW80" s="1158"/>
      <c r="KUX80" s="1158"/>
      <c r="KUY80" s="7"/>
      <c r="KUZ80" s="7"/>
      <c r="KVA80" s="7"/>
      <c r="KVB80" s="7"/>
      <c r="KVC80" s="1161"/>
      <c r="KVD80" s="7"/>
      <c r="KVE80" s="7"/>
      <c r="KVF80" s="7"/>
      <c r="KVG80" s="7"/>
      <c r="KVH80" s="7"/>
      <c r="KVI80" s="1161"/>
      <c r="KVJ80" s="1161"/>
      <c r="KVK80" s="1161"/>
      <c r="KVL80" s="1365"/>
      <c r="KVM80" s="7"/>
      <c r="KVN80" s="7"/>
      <c r="KVO80" s="1365"/>
      <c r="KVP80" s="1365"/>
      <c r="KVR80" s="1158"/>
      <c r="KVS80" s="1158"/>
      <c r="KVT80" s="1158"/>
      <c r="KVU80" s="7"/>
      <c r="KVV80" s="7"/>
      <c r="KVW80" s="7"/>
      <c r="KVX80" s="7"/>
      <c r="KVY80" s="1363"/>
      <c r="KVZ80" s="1364"/>
      <c r="KWA80" s="1364"/>
      <c r="KWB80" s="1364"/>
      <c r="KWC80" s="7"/>
      <c r="KWD80" s="7"/>
      <c r="KWE80" s="1363"/>
      <c r="KWF80" s="1363"/>
      <c r="KWG80" s="1363"/>
      <c r="KWH80" s="1365"/>
      <c r="KWI80" s="7"/>
      <c r="KWJ80" s="7"/>
      <c r="KWK80" s="1365"/>
      <c r="KWL80" s="1365"/>
      <c r="KWM80" s="299"/>
      <c r="KWO80" s="1086"/>
      <c r="KWP80" s="1086"/>
      <c r="KWQ80" s="1086"/>
      <c r="KWR80" s="7"/>
      <c r="KWS80" s="7"/>
      <c r="KWT80" s="7"/>
      <c r="KWU80" s="7"/>
      <c r="KWV80" s="1161"/>
      <c r="KWW80" s="7"/>
      <c r="KWX80" s="7"/>
      <c r="KWY80" s="7"/>
      <c r="KWZ80" s="7"/>
      <c r="KXA80" s="7"/>
      <c r="KXB80" s="1161"/>
      <c r="KXC80" s="1161"/>
      <c r="KXD80" s="1161"/>
      <c r="KXE80" s="1365"/>
      <c r="KXF80" s="7"/>
      <c r="KXG80" s="7"/>
      <c r="KXH80" s="1365"/>
      <c r="KXI80" s="1365"/>
      <c r="KXL80" s="1158"/>
      <c r="KXM80" s="1158"/>
      <c r="KXN80" s="1158"/>
      <c r="KXO80" s="7"/>
      <c r="KXP80" s="7"/>
      <c r="KXQ80" s="7"/>
      <c r="KXR80" s="7"/>
      <c r="KXS80" s="1161"/>
      <c r="KXT80" s="7"/>
      <c r="KXU80" s="7"/>
      <c r="KXV80" s="7"/>
      <c r="KXW80" s="7"/>
      <c r="KXX80" s="7"/>
      <c r="KXY80" s="1161"/>
      <c r="KXZ80" s="1161"/>
      <c r="KYA80" s="1161"/>
      <c r="KYB80" s="1365"/>
      <c r="KYC80" s="7"/>
      <c r="KYD80" s="7"/>
      <c r="KYE80" s="1365"/>
      <c r="KYF80" s="1365"/>
      <c r="KYH80" s="1158"/>
      <c r="KYI80" s="1158"/>
      <c r="KYJ80" s="1158"/>
      <c r="KYK80" s="7"/>
      <c r="KYL80" s="7"/>
      <c r="KYM80" s="7"/>
      <c r="KYN80" s="7"/>
      <c r="KYO80" s="1363"/>
      <c r="KYP80" s="1364"/>
      <c r="KYQ80" s="1364"/>
      <c r="KYR80" s="1364"/>
      <c r="KYS80" s="7"/>
      <c r="KYT80" s="7"/>
      <c r="KYU80" s="1363"/>
      <c r="KYV80" s="1363"/>
      <c r="KYW80" s="1363"/>
      <c r="KYX80" s="1365"/>
      <c r="KYY80" s="7"/>
      <c r="KYZ80" s="7"/>
      <c r="KZA80" s="1365"/>
      <c r="KZB80" s="1365"/>
      <c r="KZC80" s="299"/>
      <c r="KZE80" s="1086"/>
      <c r="KZF80" s="1086"/>
      <c r="KZG80" s="1086"/>
      <c r="KZH80" s="7"/>
      <c r="KZI80" s="7"/>
      <c r="KZJ80" s="7"/>
      <c r="KZK80" s="7"/>
      <c r="KZL80" s="1161"/>
      <c r="KZM80" s="7"/>
      <c r="KZN80" s="7"/>
      <c r="KZO80" s="7"/>
      <c r="KZP80" s="7"/>
      <c r="KZQ80" s="7"/>
      <c r="KZR80" s="1161"/>
      <c r="KZS80" s="1161"/>
      <c r="KZT80" s="1161"/>
      <c r="KZU80" s="1365"/>
      <c r="KZV80" s="7"/>
      <c r="KZW80" s="7"/>
      <c r="KZX80" s="1365"/>
      <c r="KZY80" s="1365"/>
      <c r="LAB80" s="1158"/>
      <c r="LAC80" s="1158"/>
      <c r="LAD80" s="1158"/>
      <c r="LAE80" s="7"/>
      <c r="LAF80" s="7"/>
      <c r="LAG80" s="7"/>
      <c r="LAH80" s="7"/>
      <c r="LAI80" s="1161"/>
      <c r="LAJ80" s="7"/>
      <c r="LAK80" s="7"/>
      <c r="LAL80" s="7"/>
      <c r="LAM80" s="7"/>
      <c r="LAN80" s="7"/>
      <c r="LAO80" s="1161"/>
      <c r="LAP80" s="1161"/>
      <c r="LAQ80" s="1161"/>
      <c r="LAR80" s="1365"/>
      <c r="LAS80" s="7"/>
      <c r="LAT80" s="7"/>
      <c r="LAU80" s="1365"/>
      <c r="LAV80" s="1365"/>
      <c r="LAX80" s="1158"/>
      <c r="LAY80" s="1158"/>
      <c r="LAZ80" s="1158"/>
      <c r="LBA80" s="7"/>
      <c r="LBB80" s="7"/>
      <c r="LBC80" s="7"/>
      <c r="LBD80" s="7"/>
      <c r="LBE80" s="1363"/>
      <c r="LBF80" s="1364"/>
      <c r="LBG80" s="1364"/>
      <c r="LBH80" s="1364"/>
      <c r="LBI80" s="7"/>
      <c r="LBJ80" s="7"/>
      <c r="LBK80" s="1363"/>
      <c r="LBL80" s="1363"/>
      <c r="LBM80" s="1363"/>
      <c r="LBN80" s="1365"/>
      <c r="LBO80" s="7"/>
      <c r="LBP80" s="7"/>
      <c r="LBQ80" s="1365"/>
      <c r="LBR80" s="1365"/>
      <c r="LBS80" s="299"/>
      <c r="LBU80" s="1086"/>
      <c r="LBV80" s="1086"/>
      <c r="LBW80" s="1086"/>
      <c r="LBX80" s="7"/>
      <c r="LBY80" s="7"/>
      <c r="LBZ80" s="7"/>
      <c r="LCA80" s="7"/>
      <c r="LCB80" s="1161"/>
      <c r="LCC80" s="7"/>
      <c r="LCD80" s="7"/>
      <c r="LCE80" s="7"/>
      <c r="LCF80" s="7"/>
      <c r="LCG80" s="7"/>
      <c r="LCH80" s="1161"/>
      <c r="LCI80" s="1161"/>
      <c r="LCJ80" s="1161"/>
      <c r="LCK80" s="1365"/>
      <c r="LCL80" s="7"/>
      <c r="LCM80" s="7"/>
      <c r="LCN80" s="1365"/>
      <c r="LCO80" s="1365"/>
      <c r="LCR80" s="1158"/>
      <c r="LCS80" s="1158"/>
      <c r="LCT80" s="1158"/>
      <c r="LCU80" s="7"/>
      <c r="LCV80" s="7"/>
      <c r="LCW80" s="7"/>
      <c r="LCX80" s="7"/>
      <c r="LCY80" s="1161"/>
      <c r="LCZ80" s="7"/>
      <c r="LDA80" s="7"/>
      <c r="LDB80" s="7"/>
      <c r="LDC80" s="7"/>
      <c r="LDD80" s="7"/>
      <c r="LDE80" s="1161"/>
      <c r="LDF80" s="1161"/>
      <c r="LDG80" s="1161"/>
      <c r="LDH80" s="1365"/>
      <c r="LDI80" s="7"/>
      <c r="LDJ80" s="7"/>
      <c r="LDK80" s="1365"/>
      <c r="LDL80" s="1365"/>
      <c r="LDN80" s="1158"/>
      <c r="LDO80" s="1158"/>
      <c r="LDP80" s="1158"/>
      <c r="LDQ80" s="7"/>
      <c r="LDR80" s="7"/>
      <c r="LDS80" s="7"/>
      <c r="LDT80" s="7"/>
      <c r="LDU80" s="1363"/>
      <c r="LDV80" s="1364"/>
      <c r="LDW80" s="1364"/>
      <c r="LDX80" s="1364"/>
      <c r="LDY80" s="7"/>
      <c r="LDZ80" s="7"/>
      <c r="LEA80" s="1363"/>
      <c r="LEB80" s="1363"/>
      <c r="LEC80" s="1363"/>
      <c r="LED80" s="1365"/>
      <c r="LEE80" s="7"/>
      <c r="LEF80" s="7"/>
      <c r="LEG80" s="1365"/>
      <c r="LEH80" s="1365"/>
      <c r="LEI80" s="299"/>
      <c r="LEK80" s="1086"/>
      <c r="LEL80" s="1086"/>
      <c r="LEM80" s="1086"/>
      <c r="LEN80" s="7"/>
      <c r="LEO80" s="7"/>
      <c r="LEP80" s="7"/>
      <c r="LEQ80" s="7"/>
      <c r="LER80" s="1161"/>
      <c r="LES80" s="7"/>
      <c r="LET80" s="7"/>
      <c r="LEU80" s="7"/>
      <c r="LEV80" s="7"/>
      <c r="LEW80" s="7"/>
      <c r="LEX80" s="1161"/>
      <c r="LEY80" s="1161"/>
      <c r="LEZ80" s="1161"/>
      <c r="LFA80" s="1365"/>
      <c r="LFB80" s="7"/>
      <c r="LFC80" s="7"/>
      <c r="LFD80" s="1365"/>
      <c r="LFE80" s="1365"/>
      <c r="LFH80" s="1158"/>
      <c r="LFI80" s="1158"/>
      <c r="LFJ80" s="1158"/>
      <c r="LFK80" s="7"/>
      <c r="LFL80" s="7"/>
      <c r="LFM80" s="7"/>
      <c r="LFN80" s="7"/>
      <c r="LFO80" s="1161"/>
      <c r="LFP80" s="7"/>
      <c r="LFQ80" s="7"/>
      <c r="LFR80" s="7"/>
      <c r="LFS80" s="7"/>
      <c r="LFT80" s="7"/>
      <c r="LFU80" s="1161"/>
      <c r="LFV80" s="1161"/>
      <c r="LFW80" s="1161"/>
      <c r="LFX80" s="1365"/>
      <c r="LFY80" s="7"/>
      <c r="LFZ80" s="7"/>
      <c r="LGA80" s="1365"/>
      <c r="LGB80" s="1365"/>
      <c r="LGD80" s="1158"/>
      <c r="LGE80" s="1158"/>
      <c r="LGF80" s="1158"/>
      <c r="LGG80" s="7"/>
      <c r="LGH80" s="7"/>
      <c r="LGI80" s="7"/>
      <c r="LGJ80" s="7"/>
      <c r="LGK80" s="1363"/>
      <c r="LGL80" s="1364"/>
      <c r="LGM80" s="1364"/>
      <c r="LGN80" s="1364"/>
      <c r="LGO80" s="7"/>
      <c r="LGP80" s="7"/>
      <c r="LGQ80" s="1363"/>
      <c r="LGR80" s="1363"/>
      <c r="LGS80" s="1363"/>
      <c r="LGT80" s="1365"/>
      <c r="LGU80" s="7"/>
      <c r="LGV80" s="7"/>
      <c r="LGW80" s="1365"/>
      <c r="LGX80" s="1365"/>
      <c r="LGY80" s="299"/>
      <c r="LHA80" s="1086"/>
      <c r="LHB80" s="1086"/>
      <c r="LHC80" s="1086"/>
      <c r="LHD80" s="7"/>
      <c r="LHE80" s="7"/>
      <c r="LHF80" s="7"/>
      <c r="LHG80" s="7"/>
      <c r="LHH80" s="1161"/>
      <c r="LHI80" s="7"/>
      <c r="LHJ80" s="7"/>
      <c r="LHK80" s="7"/>
      <c r="LHL80" s="7"/>
      <c r="LHM80" s="7"/>
      <c r="LHN80" s="1161"/>
      <c r="LHO80" s="1161"/>
      <c r="LHP80" s="1161"/>
      <c r="LHQ80" s="1365"/>
      <c r="LHR80" s="7"/>
      <c r="LHS80" s="7"/>
      <c r="LHT80" s="1365"/>
      <c r="LHU80" s="1365"/>
      <c r="LHX80" s="1158"/>
      <c r="LHY80" s="1158"/>
      <c r="LHZ80" s="1158"/>
      <c r="LIA80" s="7"/>
      <c r="LIB80" s="7"/>
      <c r="LIC80" s="7"/>
      <c r="LID80" s="7"/>
      <c r="LIE80" s="1161"/>
      <c r="LIF80" s="7"/>
      <c r="LIG80" s="7"/>
      <c r="LIH80" s="7"/>
      <c r="LII80" s="7"/>
      <c r="LIJ80" s="7"/>
      <c r="LIK80" s="1161"/>
      <c r="LIL80" s="1161"/>
      <c r="LIM80" s="1161"/>
      <c r="LIN80" s="1365"/>
      <c r="LIO80" s="7"/>
      <c r="LIP80" s="7"/>
      <c r="LIQ80" s="1365"/>
      <c r="LIR80" s="1365"/>
      <c r="LIT80" s="1158"/>
      <c r="LIU80" s="1158"/>
      <c r="LIV80" s="1158"/>
      <c r="LIW80" s="7"/>
      <c r="LIX80" s="7"/>
      <c r="LIY80" s="7"/>
      <c r="LIZ80" s="7"/>
      <c r="LJA80" s="1363"/>
      <c r="LJB80" s="1364"/>
      <c r="LJC80" s="1364"/>
      <c r="LJD80" s="1364"/>
      <c r="LJE80" s="7"/>
      <c r="LJF80" s="7"/>
      <c r="LJG80" s="1363"/>
      <c r="LJH80" s="1363"/>
      <c r="LJI80" s="1363"/>
      <c r="LJJ80" s="1365"/>
      <c r="LJK80" s="7"/>
      <c r="LJL80" s="7"/>
      <c r="LJM80" s="1365"/>
      <c r="LJN80" s="1365"/>
      <c r="LJO80" s="299"/>
      <c r="LJQ80" s="1086"/>
      <c r="LJR80" s="1086"/>
      <c r="LJS80" s="1086"/>
      <c r="LJT80" s="7"/>
      <c r="LJU80" s="7"/>
      <c r="LJV80" s="7"/>
      <c r="LJW80" s="7"/>
      <c r="LJX80" s="1161"/>
      <c r="LJY80" s="7"/>
      <c r="LJZ80" s="7"/>
      <c r="LKA80" s="7"/>
      <c r="LKB80" s="7"/>
      <c r="LKC80" s="7"/>
      <c r="LKD80" s="1161"/>
      <c r="LKE80" s="1161"/>
      <c r="LKF80" s="1161"/>
      <c r="LKG80" s="1365"/>
      <c r="LKH80" s="7"/>
      <c r="LKI80" s="7"/>
      <c r="LKJ80" s="1365"/>
      <c r="LKK80" s="1365"/>
      <c r="LKN80" s="1158"/>
      <c r="LKO80" s="1158"/>
      <c r="LKP80" s="1158"/>
      <c r="LKQ80" s="7"/>
      <c r="LKR80" s="7"/>
      <c r="LKS80" s="7"/>
      <c r="LKT80" s="7"/>
      <c r="LKU80" s="1161"/>
      <c r="LKV80" s="7"/>
      <c r="LKW80" s="7"/>
      <c r="LKX80" s="7"/>
      <c r="LKY80" s="7"/>
      <c r="LKZ80" s="7"/>
      <c r="LLA80" s="1161"/>
      <c r="LLB80" s="1161"/>
      <c r="LLC80" s="1161"/>
      <c r="LLD80" s="1365"/>
      <c r="LLE80" s="7"/>
      <c r="LLF80" s="7"/>
      <c r="LLG80" s="1365"/>
      <c r="LLH80" s="1365"/>
      <c r="LLJ80" s="1158"/>
      <c r="LLK80" s="1158"/>
      <c r="LLL80" s="1158"/>
      <c r="LLM80" s="7"/>
      <c r="LLN80" s="7"/>
      <c r="LLO80" s="7"/>
      <c r="LLP80" s="7"/>
      <c r="LLQ80" s="1363"/>
      <c r="LLR80" s="1364"/>
      <c r="LLS80" s="1364"/>
      <c r="LLT80" s="1364"/>
      <c r="LLU80" s="7"/>
      <c r="LLV80" s="7"/>
      <c r="LLW80" s="1363"/>
      <c r="LLX80" s="1363"/>
      <c r="LLY80" s="1363"/>
      <c r="LLZ80" s="1365"/>
      <c r="LMA80" s="7"/>
      <c r="LMB80" s="7"/>
      <c r="LMC80" s="1365"/>
      <c r="LMD80" s="1365"/>
      <c r="LME80" s="299"/>
      <c r="LMG80" s="1086"/>
      <c r="LMH80" s="1086"/>
      <c r="LMI80" s="1086"/>
      <c r="LMJ80" s="7"/>
      <c r="LMK80" s="7"/>
      <c r="LML80" s="7"/>
      <c r="LMM80" s="7"/>
      <c r="LMN80" s="1161"/>
      <c r="LMO80" s="7"/>
      <c r="LMP80" s="7"/>
      <c r="LMQ80" s="7"/>
      <c r="LMR80" s="7"/>
      <c r="LMS80" s="7"/>
      <c r="LMT80" s="1161"/>
      <c r="LMU80" s="1161"/>
      <c r="LMV80" s="1161"/>
      <c r="LMW80" s="1365"/>
      <c r="LMX80" s="7"/>
      <c r="LMY80" s="7"/>
      <c r="LMZ80" s="1365"/>
      <c r="LNA80" s="1365"/>
      <c r="LND80" s="1158"/>
      <c r="LNE80" s="1158"/>
      <c r="LNF80" s="1158"/>
      <c r="LNG80" s="7"/>
      <c r="LNH80" s="7"/>
      <c r="LNI80" s="7"/>
      <c r="LNJ80" s="7"/>
      <c r="LNK80" s="1161"/>
      <c r="LNL80" s="7"/>
      <c r="LNM80" s="7"/>
      <c r="LNN80" s="7"/>
      <c r="LNO80" s="7"/>
      <c r="LNP80" s="7"/>
      <c r="LNQ80" s="1161"/>
      <c r="LNR80" s="1161"/>
      <c r="LNS80" s="1161"/>
      <c r="LNT80" s="1365"/>
      <c r="LNU80" s="7"/>
      <c r="LNV80" s="7"/>
      <c r="LNW80" s="1365"/>
      <c r="LNX80" s="1365"/>
      <c r="LNZ80" s="1158"/>
      <c r="LOA80" s="1158"/>
      <c r="LOB80" s="1158"/>
      <c r="LOC80" s="7"/>
      <c r="LOD80" s="7"/>
      <c r="LOE80" s="7"/>
      <c r="LOF80" s="7"/>
      <c r="LOG80" s="1363"/>
      <c r="LOH80" s="1364"/>
      <c r="LOI80" s="1364"/>
      <c r="LOJ80" s="1364"/>
      <c r="LOK80" s="7"/>
      <c r="LOL80" s="7"/>
      <c r="LOM80" s="1363"/>
      <c r="LON80" s="1363"/>
      <c r="LOO80" s="1363"/>
      <c r="LOP80" s="1365"/>
      <c r="LOQ80" s="7"/>
      <c r="LOR80" s="7"/>
      <c r="LOS80" s="1365"/>
      <c r="LOT80" s="1365"/>
      <c r="LOU80" s="299"/>
      <c r="LOW80" s="1086"/>
      <c r="LOX80" s="1086"/>
      <c r="LOY80" s="1086"/>
      <c r="LOZ80" s="7"/>
      <c r="LPA80" s="7"/>
      <c r="LPB80" s="7"/>
      <c r="LPC80" s="7"/>
      <c r="LPD80" s="1161"/>
      <c r="LPE80" s="7"/>
      <c r="LPF80" s="7"/>
      <c r="LPG80" s="7"/>
      <c r="LPH80" s="7"/>
      <c r="LPI80" s="7"/>
      <c r="LPJ80" s="1161"/>
      <c r="LPK80" s="1161"/>
      <c r="LPL80" s="1161"/>
      <c r="LPM80" s="1365"/>
      <c r="LPN80" s="7"/>
      <c r="LPO80" s="7"/>
      <c r="LPP80" s="1365"/>
      <c r="LPQ80" s="1365"/>
      <c r="LPT80" s="1158"/>
      <c r="LPU80" s="1158"/>
      <c r="LPV80" s="1158"/>
      <c r="LPW80" s="7"/>
      <c r="LPX80" s="7"/>
      <c r="LPY80" s="7"/>
      <c r="LPZ80" s="7"/>
      <c r="LQA80" s="1161"/>
      <c r="LQB80" s="7"/>
      <c r="LQC80" s="7"/>
      <c r="LQD80" s="7"/>
      <c r="LQE80" s="7"/>
      <c r="LQF80" s="7"/>
      <c r="LQG80" s="1161"/>
      <c r="LQH80" s="1161"/>
      <c r="LQI80" s="1161"/>
      <c r="LQJ80" s="1365"/>
      <c r="LQK80" s="7"/>
      <c r="LQL80" s="7"/>
      <c r="LQM80" s="1365"/>
      <c r="LQN80" s="1365"/>
      <c r="LQP80" s="1158"/>
      <c r="LQQ80" s="1158"/>
      <c r="LQR80" s="1158"/>
      <c r="LQS80" s="7"/>
      <c r="LQT80" s="7"/>
      <c r="LQU80" s="7"/>
      <c r="LQV80" s="7"/>
      <c r="LQW80" s="1363"/>
      <c r="LQX80" s="1364"/>
      <c r="LQY80" s="1364"/>
      <c r="LQZ80" s="1364"/>
      <c r="LRA80" s="7"/>
      <c r="LRB80" s="7"/>
      <c r="LRC80" s="1363"/>
      <c r="LRD80" s="1363"/>
      <c r="LRE80" s="1363"/>
      <c r="LRF80" s="1365"/>
      <c r="LRG80" s="7"/>
      <c r="LRH80" s="7"/>
      <c r="LRI80" s="1365"/>
      <c r="LRJ80" s="1365"/>
      <c r="LRK80" s="299"/>
      <c r="LRM80" s="1086"/>
      <c r="LRN80" s="1086"/>
      <c r="LRO80" s="1086"/>
      <c r="LRP80" s="7"/>
      <c r="LRQ80" s="7"/>
      <c r="LRR80" s="7"/>
      <c r="LRS80" s="7"/>
      <c r="LRT80" s="1161"/>
      <c r="LRU80" s="7"/>
      <c r="LRV80" s="7"/>
      <c r="LRW80" s="7"/>
      <c r="LRX80" s="7"/>
      <c r="LRY80" s="7"/>
      <c r="LRZ80" s="1161"/>
      <c r="LSA80" s="1161"/>
      <c r="LSB80" s="1161"/>
      <c r="LSC80" s="1365"/>
      <c r="LSD80" s="7"/>
      <c r="LSE80" s="7"/>
      <c r="LSF80" s="1365"/>
      <c r="LSG80" s="1365"/>
      <c r="LSJ80" s="1158"/>
      <c r="LSK80" s="1158"/>
      <c r="LSL80" s="1158"/>
      <c r="LSM80" s="7"/>
      <c r="LSN80" s="7"/>
      <c r="LSO80" s="7"/>
      <c r="LSP80" s="7"/>
      <c r="LSQ80" s="1161"/>
      <c r="LSR80" s="7"/>
      <c r="LSS80" s="7"/>
      <c r="LST80" s="7"/>
      <c r="LSU80" s="7"/>
      <c r="LSV80" s="7"/>
      <c r="LSW80" s="1161"/>
      <c r="LSX80" s="1161"/>
      <c r="LSY80" s="1161"/>
      <c r="LSZ80" s="1365"/>
      <c r="LTA80" s="7"/>
      <c r="LTB80" s="7"/>
      <c r="LTC80" s="1365"/>
      <c r="LTD80" s="1365"/>
      <c r="LTF80" s="1158"/>
      <c r="LTG80" s="1158"/>
      <c r="LTH80" s="1158"/>
      <c r="LTI80" s="7"/>
      <c r="LTJ80" s="7"/>
      <c r="LTK80" s="7"/>
      <c r="LTL80" s="7"/>
      <c r="LTM80" s="1363"/>
      <c r="LTN80" s="1364"/>
      <c r="LTO80" s="1364"/>
      <c r="LTP80" s="1364"/>
      <c r="LTQ80" s="7"/>
      <c r="LTR80" s="7"/>
      <c r="LTS80" s="1363"/>
      <c r="LTT80" s="1363"/>
      <c r="LTU80" s="1363"/>
      <c r="LTV80" s="1365"/>
      <c r="LTW80" s="7"/>
      <c r="LTX80" s="7"/>
      <c r="LTY80" s="1365"/>
      <c r="LTZ80" s="1365"/>
      <c r="LUA80" s="299"/>
      <c r="LUC80" s="1086"/>
      <c r="LUD80" s="1086"/>
      <c r="LUE80" s="1086"/>
      <c r="LUF80" s="7"/>
      <c r="LUG80" s="7"/>
      <c r="LUH80" s="7"/>
      <c r="LUI80" s="7"/>
      <c r="LUJ80" s="1161"/>
      <c r="LUK80" s="7"/>
      <c r="LUL80" s="7"/>
      <c r="LUM80" s="7"/>
      <c r="LUN80" s="7"/>
      <c r="LUO80" s="7"/>
      <c r="LUP80" s="1161"/>
      <c r="LUQ80" s="1161"/>
      <c r="LUR80" s="1161"/>
      <c r="LUS80" s="1365"/>
      <c r="LUT80" s="7"/>
      <c r="LUU80" s="7"/>
      <c r="LUV80" s="1365"/>
      <c r="LUW80" s="1365"/>
      <c r="LUZ80" s="1158"/>
      <c r="LVA80" s="1158"/>
      <c r="LVB80" s="1158"/>
      <c r="LVC80" s="7"/>
      <c r="LVD80" s="7"/>
      <c r="LVE80" s="7"/>
      <c r="LVF80" s="7"/>
      <c r="LVG80" s="1161"/>
      <c r="LVH80" s="7"/>
      <c r="LVI80" s="7"/>
      <c r="LVJ80" s="7"/>
      <c r="LVK80" s="7"/>
      <c r="LVL80" s="7"/>
      <c r="LVM80" s="1161"/>
      <c r="LVN80" s="1161"/>
      <c r="LVO80" s="1161"/>
      <c r="LVP80" s="1365"/>
      <c r="LVQ80" s="7"/>
      <c r="LVR80" s="7"/>
      <c r="LVS80" s="1365"/>
      <c r="LVT80" s="1365"/>
      <c r="LVV80" s="1158"/>
      <c r="LVW80" s="1158"/>
      <c r="LVX80" s="1158"/>
      <c r="LVY80" s="7"/>
      <c r="LVZ80" s="7"/>
      <c r="LWA80" s="7"/>
      <c r="LWB80" s="7"/>
      <c r="LWC80" s="1363"/>
      <c r="LWD80" s="1364"/>
      <c r="LWE80" s="1364"/>
      <c r="LWF80" s="1364"/>
      <c r="LWG80" s="7"/>
      <c r="LWH80" s="7"/>
      <c r="LWI80" s="1363"/>
      <c r="LWJ80" s="1363"/>
      <c r="LWK80" s="1363"/>
      <c r="LWL80" s="1365"/>
      <c r="LWM80" s="7"/>
      <c r="LWN80" s="7"/>
      <c r="LWO80" s="1365"/>
      <c r="LWP80" s="1365"/>
      <c r="LWQ80" s="299"/>
      <c r="LWS80" s="1086"/>
      <c r="LWT80" s="1086"/>
      <c r="LWU80" s="1086"/>
      <c r="LWV80" s="7"/>
      <c r="LWW80" s="7"/>
      <c r="LWX80" s="7"/>
      <c r="LWY80" s="7"/>
      <c r="LWZ80" s="1161"/>
      <c r="LXA80" s="7"/>
      <c r="LXB80" s="7"/>
      <c r="LXC80" s="7"/>
      <c r="LXD80" s="7"/>
      <c r="LXE80" s="7"/>
      <c r="LXF80" s="1161"/>
      <c r="LXG80" s="1161"/>
      <c r="LXH80" s="1161"/>
      <c r="LXI80" s="1365"/>
      <c r="LXJ80" s="7"/>
      <c r="LXK80" s="7"/>
      <c r="LXL80" s="1365"/>
      <c r="LXM80" s="1365"/>
      <c r="LXP80" s="1158"/>
      <c r="LXQ80" s="1158"/>
      <c r="LXR80" s="1158"/>
      <c r="LXS80" s="7"/>
      <c r="LXT80" s="7"/>
      <c r="LXU80" s="7"/>
      <c r="LXV80" s="7"/>
      <c r="LXW80" s="1161"/>
      <c r="LXX80" s="7"/>
      <c r="LXY80" s="7"/>
      <c r="LXZ80" s="7"/>
      <c r="LYA80" s="7"/>
      <c r="LYB80" s="7"/>
      <c r="LYC80" s="1161"/>
      <c r="LYD80" s="1161"/>
      <c r="LYE80" s="1161"/>
      <c r="LYF80" s="1365"/>
      <c r="LYG80" s="7"/>
      <c r="LYH80" s="7"/>
      <c r="LYI80" s="1365"/>
      <c r="LYJ80" s="1365"/>
      <c r="LYL80" s="1158"/>
      <c r="LYM80" s="1158"/>
      <c r="LYN80" s="1158"/>
      <c r="LYO80" s="7"/>
      <c r="LYP80" s="7"/>
      <c r="LYQ80" s="7"/>
      <c r="LYR80" s="7"/>
      <c r="LYS80" s="1363"/>
      <c r="LYT80" s="1364"/>
      <c r="LYU80" s="1364"/>
      <c r="LYV80" s="1364"/>
      <c r="LYW80" s="7"/>
      <c r="LYX80" s="7"/>
      <c r="LYY80" s="1363"/>
      <c r="LYZ80" s="1363"/>
      <c r="LZA80" s="1363"/>
      <c r="LZB80" s="1365"/>
      <c r="LZC80" s="7"/>
      <c r="LZD80" s="7"/>
      <c r="LZE80" s="1365"/>
      <c r="LZF80" s="1365"/>
      <c r="LZG80" s="299"/>
      <c r="LZI80" s="1086"/>
      <c r="LZJ80" s="1086"/>
      <c r="LZK80" s="1086"/>
      <c r="LZL80" s="7"/>
      <c r="LZM80" s="7"/>
      <c r="LZN80" s="7"/>
      <c r="LZO80" s="7"/>
      <c r="LZP80" s="1161"/>
      <c r="LZQ80" s="7"/>
      <c r="LZR80" s="7"/>
      <c r="LZS80" s="7"/>
      <c r="LZT80" s="7"/>
      <c r="LZU80" s="7"/>
      <c r="LZV80" s="1161"/>
      <c r="LZW80" s="1161"/>
      <c r="LZX80" s="1161"/>
      <c r="LZY80" s="1365"/>
      <c r="LZZ80" s="7"/>
      <c r="MAA80" s="7"/>
      <c r="MAB80" s="1365"/>
      <c r="MAC80" s="1365"/>
      <c r="MAF80" s="1158"/>
      <c r="MAG80" s="1158"/>
      <c r="MAH80" s="1158"/>
      <c r="MAI80" s="7"/>
      <c r="MAJ80" s="7"/>
      <c r="MAK80" s="7"/>
      <c r="MAL80" s="7"/>
      <c r="MAM80" s="1161"/>
      <c r="MAN80" s="7"/>
      <c r="MAO80" s="7"/>
      <c r="MAP80" s="7"/>
      <c r="MAQ80" s="7"/>
      <c r="MAR80" s="7"/>
      <c r="MAS80" s="1161"/>
      <c r="MAT80" s="1161"/>
      <c r="MAU80" s="1161"/>
      <c r="MAV80" s="1365"/>
      <c r="MAW80" s="7"/>
      <c r="MAX80" s="7"/>
      <c r="MAY80" s="1365"/>
      <c r="MAZ80" s="1365"/>
      <c r="MBB80" s="1158"/>
      <c r="MBC80" s="1158"/>
      <c r="MBD80" s="1158"/>
      <c r="MBE80" s="7"/>
      <c r="MBF80" s="7"/>
      <c r="MBG80" s="7"/>
      <c r="MBH80" s="7"/>
      <c r="MBI80" s="1363"/>
      <c r="MBJ80" s="1364"/>
      <c r="MBK80" s="1364"/>
      <c r="MBL80" s="1364"/>
      <c r="MBM80" s="7"/>
      <c r="MBN80" s="7"/>
      <c r="MBO80" s="1363"/>
      <c r="MBP80" s="1363"/>
      <c r="MBQ80" s="1363"/>
      <c r="MBR80" s="1365"/>
      <c r="MBS80" s="7"/>
      <c r="MBT80" s="7"/>
      <c r="MBU80" s="1365"/>
      <c r="MBV80" s="1365"/>
      <c r="MBW80" s="299"/>
      <c r="MBY80" s="1086"/>
      <c r="MBZ80" s="1086"/>
      <c r="MCA80" s="1086"/>
      <c r="MCB80" s="7"/>
      <c r="MCC80" s="7"/>
      <c r="MCD80" s="7"/>
      <c r="MCE80" s="7"/>
      <c r="MCF80" s="1161"/>
      <c r="MCG80" s="7"/>
      <c r="MCH80" s="7"/>
      <c r="MCI80" s="7"/>
      <c r="MCJ80" s="7"/>
      <c r="MCK80" s="7"/>
      <c r="MCL80" s="1161"/>
      <c r="MCM80" s="1161"/>
      <c r="MCN80" s="1161"/>
      <c r="MCO80" s="1365"/>
      <c r="MCP80" s="7"/>
      <c r="MCQ80" s="7"/>
      <c r="MCR80" s="1365"/>
      <c r="MCS80" s="1365"/>
      <c r="MCV80" s="1158"/>
      <c r="MCW80" s="1158"/>
      <c r="MCX80" s="1158"/>
      <c r="MCY80" s="7"/>
      <c r="MCZ80" s="7"/>
      <c r="MDA80" s="7"/>
      <c r="MDB80" s="7"/>
      <c r="MDC80" s="1161"/>
      <c r="MDD80" s="7"/>
      <c r="MDE80" s="7"/>
      <c r="MDF80" s="7"/>
      <c r="MDG80" s="7"/>
      <c r="MDH80" s="7"/>
      <c r="MDI80" s="1161"/>
      <c r="MDJ80" s="1161"/>
      <c r="MDK80" s="1161"/>
      <c r="MDL80" s="1365"/>
      <c r="MDM80" s="7"/>
      <c r="MDN80" s="7"/>
      <c r="MDO80" s="1365"/>
      <c r="MDP80" s="1365"/>
      <c r="MDR80" s="1158"/>
      <c r="MDS80" s="1158"/>
      <c r="MDT80" s="1158"/>
      <c r="MDU80" s="7"/>
      <c r="MDV80" s="7"/>
      <c r="MDW80" s="7"/>
      <c r="MDX80" s="7"/>
      <c r="MDY80" s="1363"/>
      <c r="MDZ80" s="1364"/>
      <c r="MEA80" s="1364"/>
      <c r="MEB80" s="1364"/>
      <c r="MEC80" s="7"/>
      <c r="MED80" s="7"/>
      <c r="MEE80" s="1363"/>
      <c r="MEF80" s="1363"/>
      <c r="MEG80" s="1363"/>
      <c r="MEH80" s="1365"/>
      <c r="MEI80" s="7"/>
      <c r="MEJ80" s="7"/>
      <c r="MEK80" s="1365"/>
      <c r="MEL80" s="1365"/>
      <c r="MEM80" s="299"/>
      <c r="MEO80" s="1086"/>
      <c r="MEP80" s="1086"/>
      <c r="MEQ80" s="1086"/>
      <c r="MER80" s="7"/>
      <c r="MES80" s="7"/>
      <c r="MET80" s="7"/>
      <c r="MEU80" s="7"/>
      <c r="MEV80" s="1161"/>
      <c r="MEW80" s="7"/>
      <c r="MEX80" s="7"/>
      <c r="MEY80" s="7"/>
      <c r="MEZ80" s="7"/>
      <c r="MFA80" s="7"/>
      <c r="MFB80" s="1161"/>
      <c r="MFC80" s="1161"/>
      <c r="MFD80" s="1161"/>
      <c r="MFE80" s="1365"/>
      <c r="MFF80" s="7"/>
      <c r="MFG80" s="7"/>
      <c r="MFH80" s="1365"/>
      <c r="MFI80" s="1365"/>
      <c r="MFL80" s="1158"/>
      <c r="MFM80" s="1158"/>
      <c r="MFN80" s="1158"/>
      <c r="MFO80" s="7"/>
      <c r="MFP80" s="7"/>
      <c r="MFQ80" s="7"/>
      <c r="MFR80" s="7"/>
      <c r="MFS80" s="1161"/>
      <c r="MFT80" s="7"/>
      <c r="MFU80" s="7"/>
      <c r="MFV80" s="7"/>
      <c r="MFW80" s="7"/>
      <c r="MFX80" s="7"/>
      <c r="MFY80" s="1161"/>
      <c r="MFZ80" s="1161"/>
      <c r="MGA80" s="1161"/>
      <c r="MGB80" s="1365"/>
      <c r="MGC80" s="7"/>
      <c r="MGD80" s="7"/>
      <c r="MGE80" s="1365"/>
      <c r="MGF80" s="1365"/>
      <c r="MGH80" s="1158"/>
      <c r="MGI80" s="1158"/>
      <c r="MGJ80" s="1158"/>
      <c r="MGK80" s="7"/>
      <c r="MGL80" s="7"/>
      <c r="MGM80" s="7"/>
      <c r="MGN80" s="7"/>
      <c r="MGO80" s="1363"/>
      <c r="MGP80" s="1364"/>
      <c r="MGQ80" s="1364"/>
      <c r="MGR80" s="1364"/>
      <c r="MGS80" s="7"/>
      <c r="MGT80" s="7"/>
      <c r="MGU80" s="1363"/>
      <c r="MGV80" s="1363"/>
      <c r="MGW80" s="1363"/>
      <c r="MGX80" s="1365"/>
      <c r="MGY80" s="7"/>
      <c r="MGZ80" s="7"/>
      <c r="MHA80" s="1365"/>
      <c r="MHB80" s="1365"/>
      <c r="MHC80" s="299"/>
      <c r="MHE80" s="1086"/>
      <c r="MHF80" s="1086"/>
      <c r="MHG80" s="1086"/>
      <c r="MHH80" s="7"/>
      <c r="MHI80" s="7"/>
      <c r="MHJ80" s="7"/>
      <c r="MHK80" s="7"/>
      <c r="MHL80" s="1161"/>
      <c r="MHM80" s="7"/>
      <c r="MHN80" s="7"/>
      <c r="MHO80" s="7"/>
      <c r="MHP80" s="7"/>
      <c r="MHQ80" s="7"/>
      <c r="MHR80" s="1161"/>
      <c r="MHS80" s="1161"/>
      <c r="MHT80" s="1161"/>
      <c r="MHU80" s="1365"/>
      <c r="MHV80" s="7"/>
      <c r="MHW80" s="7"/>
      <c r="MHX80" s="1365"/>
      <c r="MHY80" s="1365"/>
      <c r="MIB80" s="1158"/>
      <c r="MIC80" s="1158"/>
      <c r="MID80" s="1158"/>
      <c r="MIE80" s="7"/>
      <c r="MIF80" s="7"/>
      <c r="MIG80" s="7"/>
      <c r="MIH80" s="7"/>
      <c r="MII80" s="1161"/>
      <c r="MIJ80" s="7"/>
      <c r="MIK80" s="7"/>
      <c r="MIL80" s="7"/>
      <c r="MIM80" s="7"/>
      <c r="MIN80" s="7"/>
      <c r="MIO80" s="1161"/>
      <c r="MIP80" s="1161"/>
      <c r="MIQ80" s="1161"/>
      <c r="MIR80" s="1365"/>
      <c r="MIS80" s="7"/>
      <c r="MIT80" s="7"/>
      <c r="MIU80" s="1365"/>
      <c r="MIV80" s="1365"/>
      <c r="MIX80" s="1158"/>
      <c r="MIY80" s="1158"/>
      <c r="MIZ80" s="1158"/>
      <c r="MJA80" s="7"/>
      <c r="MJB80" s="7"/>
      <c r="MJC80" s="7"/>
      <c r="MJD80" s="7"/>
      <c r="MJE80" s="1363"/>
      <c r="MJF80" s="1364"/>
      <c r="MJG80" s="1364"/>
      <c r="MJH80" s="1364"/>
      <c r="MJI80" s="7"/>
      <c r="MJJ80" s="7"/>
      <c r="MJK80" s="1363"/>
      <c r="MJL80" s="1363"/>
      <c r="MJM80" s="1363"/>
      <c r="MJN80" s="1365"/>
      <c r="MJO80" s="7"/>
      <c r="MJP80" s="7"/>
      <c r="MJQ80" s="1365"/>
      <c r="MJR80" s="1365"/>
      <c r="MJS80" s="299"/>
      <c r="MJU80" s="1086"/>
      <c r="MJV80" s="1086"/>
      <c r="MJW80" s="1086"/>
      <c r="MJX80" s="7"/>
      <c r="MJY80" s="7"/>
      <c r="MJZ80" s="7"/>
      <c r="MKA80" s="7"/>
      <c r="MKB80" s="1161"/>
      <c r="MKC80" s="7"/>
      <c r="MKD80" s="7"/>
      <c r="MKE80" s="7"/>
      <c r="MKF80" s="7"/>
      <c r="MKG80" s="7"/>
      <c r="MKH80" s="1161"/>
      <c r="MKI80" s="1161"/>
      <c r="MKJ80" s="1161"/>
      <c r="MKK80" s="1365"/>
      <c r="MKL80" s="7"/>
      <c r="MKM80" s="7"/>
      <c r="MKN80" s="1365"/>
      <c r="MKO80" s="1365"/>
      <c r="MKR80" s="1158"/>
      <c r="MKS80" s="1158"/>
      <c r="MKT80" s="1158"/>
      <c r="MKU80" s="7"/>
      <c r="MKV80" s="7"/>
      <c r="MKW80" s="7"/>
      <c r="MKX80" s="7"/>
      <c r="MKY80" s="1161"/>
      <c r="MKZ80" s="7"/>
      <c r="MLA80" s="7"/>
      <c r="MLB80" s="7"/>
      <c r="MLC80" s="7"/>
      <c r="MLD80" s="7"/>
      <c r="MLE80" s="1161"/>
      <c r="MLF80" s="1161"/>
      <c r="MLG80" s="1161"/>
      <c r="MLH80" s="1365"/>
      <c r="MLI80" s="7"/>
      <c r="MLJ80" s="7"/>
      <c r="MLK80" s="1365"/>
      <c r="MLL80" s="1365"/>
      <c r="MLN80" s="1158"/>
      <c r="MLO80" s="1158"/>
      <c r="MLP80" s="1158"/>
      <c r="MLQ80" s="7"/>
      <c r="MLR80" s="7"/>
      <c r="MLS80" s="7"/>
      <c r="MLT80" s="7"/>
      <c r="MLU80" s="1363"/>
      <c r="MLV80" s="1364"/>
      <c r="MLW80" s="1364"/>
      <c r="MLX80" s="1364"/>
      <c r="MLY80" s="7"/>
      <c r="MLZ80" s="7"/>
      <c r="MMA80" s="1363"/>
      <c r="MMB80" s="1363"/>
      <c r="MMC80" s="1363"/>
      <c r="MMD80" s="1365"/>
      <c r="MME80" s="7"/>
      <c r="MMF80" s="7"/>
      <c r="MMG80" s="1365"/>
      <c r="MMH80" s="1365"/>
      <c r="MMI80" s="299"/>
      <c r="MMK80" s="1086"/>
      <c r="MML80" s="1086"/>
      <c r="MMM80" s="1086"/>
      <c r="MMN80" s="7"/>
      <c r="MMO80" s="7"/>
      <c r="MMP80" s="7"/>
      <c r="MMQ80" s="7"/>
      <c r="MMR80" s="1161"/>
      <c r="MMS80" s="7"/>
      <c r="MMT80" s="7"/>
      <c r="MMU80" s="7"/>
      <c r="MMV80" s="7"/>
      <c r="MMW80" s="7"/>
      <c r="MMX80" s="1161"/>
      <c r="MMY80" s="1161"/>
      <c r="MMZ80" s="1161"/>
      <c r="MNA80" s="1365"/>
      <c r="MNB80" s="7"/>
      <c r="MNC80" s="7"/>
      <c r="MND80" s="1365"/>
      <c r="MNE80" s="1365"/>
      <c r="MNH80" s="1158"/>
      <c r="MNI80" s="1158"/>
      <c r="MNJ80" s="1158"/>
      <c r="MNK80" s="7"/>
      <c r="MNL80" s="7"/>
      <c r="MNM80" s="7"/>
      <c r="MNN80" s="7"/>
      <c r="MNO80" s="1161"/>
      <c r="MNP80" s="7"/>
      <c r="MNQ80" s="7"/>
      <c r="MNR80" s="7"/>
      <c r="MNS80" s="7"/>
      <c r="MNT80" s="7"/>
      <c r="MNU80" s="1161"/>
      <c r="MNV80" s="1161"/>
      <c r="MNW80" s="1161"/>
      <c r="MNX80" s="1365"/>
      <c r="MNY80" s="7"/>
      <c r="MNZ80" s="7"/>
      <c r="MOA80" s="1365"/>
      <c r="MOB80" s="1365"/>
      <c r="MOD80" s="1158"/>
      <c r="MOE80" s="1158"/>
      <c r="MOF80" s="1158"/>
      <c r="MOG80" s="7"/>
      <c r="MOH80" s="7"/>
      <c r="MOI80" s="7"/>
      <c r="MOJ80" s="7"/>
      <c r="MOK80" s="1363"/>
      <c r="MOL80" s="1364"/>
      <c r="MOM80" s="1364"/>
      <c r="MON80" s="1364"/>
      <c r="MOO80" s="7"/>
      <c r="MOP80" s="7"/>
      <c r="MOQ80" s="1363"/>
      <c r="MOR80" s="1363"/>
      <c r="MOS80" s="1363"/>
      <c r="MOT80" s="1365"/>
      <c r="MOU80" s="7"/>
      <c r="MOV80" s="7"/>
      <c r="MOW80" s="1365"/>
      <c r="MOX80" s="1365"/>
      <c r="MOY80" s="299"/>
      <c r="MPA80" s="1086"/>
      <c r="MPB80" s="1086"/>
      <c r="MPC80" s="1086"/>
      <c r="MPD80" s="7"/>
      <c r="MPE80" s="7"/>
      <c r="MPF80" s="7"/>
      <c r="MPG80" s="7"/>
      <c r="MPH80" s="1161"/>
      <c r="MPI80" s="7"/>
      <c r="MPJ80" s="7"/>
      <c r="MPK80" s="7"/>
      <c r="MPL80" s="7"/>
      <c r="MPM80" s="7"/>
      <c r="MPN80" s="1161"/>
      <c r="MPO80" s="1161"/>
      <c r="MPP80" s="1161"/>
      <c r="MPQ80" s="1365"/>
      <c r="MPR80" s="7"/>
      <c r="MPS80" s="7"/>
      <c r="MPT80" s="1365"/>
      <c r="MPU80" s="1365"/>
      <c r="MPX80" s="1158"/>
      <c r="MPY80" s="1158"/>
      <c r="MPZ80" s="1158"/>
      <c r="MQA80" s="7"/>
      <c r="MQB80" s="7"/>
      <c r="MQC80" s="7"/>
      <c r="MQD80" s="7"/>
      <c r="MQE80" s="1161"/>
      <c r="MQF80" s="7"/>
      <c r="MQG80" s="7"/>
      <c r="MQH80" s="7"/>
      <c r="MQI80" s="7"/>
      <c r="MQJ80" s="7"/>
      <c r="MQK80" s="1161"/>
      <c r="MQL80" s="1161"/>
      <c r="MQM80" s="1161"/>
      <c r="MQN80" s="1365"/>
      <c r="MQO80" s="7"/>
      <c r="MQP80" s="7"/>
      <c r="MQQ80" s="1365"/>
      <c r="MQR80" s="1365"/>
      <c r="MQT80" s="1158"/>
      <c r="MQU80" s="1158"/>
      <c r="MQV80" s="1158"/>
      <c r="MQW80" s="7"/>
      <c r="MQX80" s="7"/>
      <c r="MQY80" s="7"/>
      <c r="MQZ80" s="7"/>
      <c r="MRA80" s="1363"/>
      <c r="MRB80" s="1364"/>
      <c r="MRC80" s="1364"/>
      <c r="MRD80" s="1364"/>
      <c r="MRE80" s="7"/>
      <c r="MRF80" s="7"/>
      <c r="MRG80" s="1363"/>
      <c r="MRH80" s="1363"/>
      <c r="MRI80" s="1363"/>
      <c r="MRJ80" s="1365"/>
      <c r="MRK80" s="7"/>
      <c r="MRL80" s="7"/>
      <c r="MRM80" s="1365"/>
      <c r="MRN80" s="1365"/>
      <c r="MRO80" s="299"/>
      <c r="MRQ80" s="1086"/>
      <c r="MRR80" s="1086"/>
      <c r="MRS80" s="1086"/>
      <c r="MRT80" s="7"/>
      <c r="MRU80" s="7"/>
      <c r="MRV80" s="7"/>
      <c r="MRW80" s="7"/>
      <c r="MRX80" s="1161"/>
      <c r="MRY80" s="7"/>
      <c r="MRZ80" s="7"/>
      <c r="MSA80" s="7"/>
      <c r="MSB80" s="7"/>
      <c r="MSC80" s="7"/>
      <c r="MSD80" s="1161"/>
      <c r="MSE80" s="1161"/>
      <c r="MSF80" s="1161"/>
      <c r="MSG80" s="1365"/>
      <c r="MSH80" s="7"/>
      <c r="MSI80" s="7"/>
      <c r="MSJ80" s="1365"/>
      <c r="MSK80" s="1365"/>
      <c r="MSN80" s="1158"/>
      <c r="MSO80" s="1158"/>
      <c r="MSP80" s="1158"/>
      <c r="MSQ80" s="7"/>
      <c r="MSR80" s="7"/>
      <c r="MSS80" s="7"/>
      <c r="MST80" s="7"/>
      <c r="MSU80" s="1161"/>
      <c r="MSV80" s="7"/>
      <c r="MSW80" s="7"/>
      <c r="MSX80" s="7"/>
      <c r="MSY80" s="7"/>
      <c r="MSZ80" s="7"/>
      <c r="MTA80" s="1161"/>
      <c r="MTB80" s="1161"/>
      <c r="MTC80" s="1161"/>
      <c r="MTD80" s="1365"/>
      <c r="MTE80" s="7"/>
      <c r="MTF80" s="7"/>
      <c r="MTG80" s="1365"/>
      <c r="MTH80" s="1365"/>
      <c r="MTJ80" s="1158"/>
      <c r="MTK80" s="1158"/>
      <c r="MTL80" s="1158"/>
      <c r="MTM80" s="7"/>
      <c r="MTN80" s="7"/>
      <c r="MTO80" s="7"/>
      <c r="MTP80" s="7"/>
      <c r="MTQ80" s="1363"/>
      <c r="MTR80" s="1364"/>
      <c r="MTS80" s="1364"/>
      <c r="MTT80" s="1364"/>
      <c r="MTU80" s="7"/>
      <c r="MTV80" s="7"/>
      <c r="MTW80" s="1363"/>
      <c r="MTX80" s="1363"/>
      <c r="MTY80" s="1363"/>
      <c r="MTZ80" s="1365"/>
      <c r="MUA80" s="7"/>
      <c r="MUB80" s="7"/>
      <c r="MUC80" s="1365"/>
      <c r="MUD80" s="1365"/>
      <c r="MUE80" s="299"/>
      <c r="MUG80" s="1086"/>
      <c r="MUH80" s="1086"/>
      <c r="MUI80" s="1086"/>
      <c r="MUJ80" s="7"/>
      <c r="MUK80" s="7"/>
      <c r="MUL80" s="7"/>
      <c r="MUM80" s="7"/>
      <c r="MUN80" s="1161"/>
      <c r="MUO80" s="7"/>
      <c r="MUP80" s="7"/>
      <c r="MUQ80" s="7"/>
      <c r="MUR80" s="7"/>
      <c r="MUS80" s="7"/>
      <c r="MUT80" s="1161"/>
      <c r="MUU80" s="1161"/>
      <c r="MUV80" s="1161"/>
      <c r="MUW80" s="1365"/>
      <c r="MUX80" s="7"/>
      <c r="MUY80" s="7"/>
      <c r="MUZ80" s="1365"/>
      <c r="MVA80" s="1365"/>
      <c r="MVD80" s="1158"/>
      <c r="MVE80" s="1158"/>
      <c r="MVF80" s="1158"/>
      <c r="MVG80" s="7"/>
      <c r="MVH80" s="7"/>
      <c r="MVI80" s="7"/>
      <c r="MVJ80" s="7"/>
      <c r="MVK80" s="1161"/>
      <c r="MVL80" s="7"/>
      <c r="MVM80" s="7"/>
      <c r="MVN80" s="7"/>
      <c r="MVO80" s="7"/>
      <c r="MVP80" s="7"/>
      <c r="MVQ80" s="1161"/>
      <c r="MVR80" s="1161"/>
      <c r="MVS80" s="1161"/>
      <c r="MVT80" s="1365"/>
      <c r="MVU80" s="7"/>
      <c r="MVV80" s="7"/>
      <c r="MVW80" s="1365"/>
      <c r="MVX80" s="1365"/>
      <c r="MVZ80" s="1158"/>
      <c r="MWA80" s="1158"/>
      <c r="MWB80" s="1158"/>
      <c r="MWC80" s="7"/>
      <c r="MWD80" s="7"/>
      <c r="MWE80" s="7"/>
      <c r="MWF80" s="7"/>
      <c r="MWG80" s="1363"/>
      <c r="MWH80" s="1364"/>
      <c r="MWI80" s="1364"/>
      <c r="MWJ80" s="1364"/>
      <c r="MWK80" s="7"/>
      <c r="MWL80" s="7"/>
      <c r="MWM80" s="1363"/>
      <c r="MWN80" s="1363"/>
      <c r="MWO80" s="1363"/>
      <c r="MWP80" s="1365"/>
      <c r="MWQ80" s="7"/>
      <c r="MWR80" s="7"/>
      <c r="MWS80" s="1365"/>
      <c r="MWT80" s="1365"/>
      <c r="MWU80" s="299"/>
      <c r="MWW80" s="1086"/>
      <c r="MWX80" s="1086"/>
      <c r="MWY80" s="1086"/>
      <c r="MWZ80" s="7"/>
      <c r="MXA80" s="7"/>
      <c r="MXB80" s="7"/>
      <c r="MXC80" s="7"/>
      <c r="MXD80" s="1161"/>
      <c r="MXE80" s="7"/>
      <c r="MXF80" s="7"/>
      <c r="MXG80" s="7"/>
      <c r="MXH80" s="7"/>
      <c r="MXI80" s="7"/>
      <c r="MXJ80" s="1161"/>
      <c r="MXK80" s="1161"/>
      <c r="MXL80" s="1161"/>
      <c r="MXM80" s="1365"/>
      <c r="MXN80" s="7"/>
      <c r="MXO80" s="7"/>
      <c r="MXP80" s="1365"/>
      <c r="MXQ80" s="1365"/>
      <c r="MXT80" s="1158"/>
      <c r="MXU80" s="1158"/>
      <c r="MXV80" s="1158"/>
      <c r="MXW80" s="7"/>
      <c r="MXX80" s="7"/>
      <c r="MXY80" s="7"/>
      <c r="MXZ80" s="7"/>
      <c r="MYA80" s="1161"/>
      <c r="MYB80" s="7"/>
      <c r="MYC80" s="7"/>
      <c r="MYD80" s="7"/>
      <c r="MYE80" s="7"/>
      <c r="MYF80" s="7"/>
      <c r="MYG80" s="1161"/>
      <c r="MYH80" s="1161"/>
      <c r="MYI80" s="1161"/>
      <c r="MYJ80" s="1365"/>
      <c r="MYK80" s="7"/>
      <c r="MYL80" s="7"/>
      <c r="MYM80" s="1365"/>
      <c r="MYN80" s="1365"/>
      <c r="MYP80" s="1158"/>
      <c r="MYQ80" s="1158"/>
      <c r="MYR80" s="1158"/>
      <c r="MYS80" s="7"/>
      <c r="MYT80" s="7"/>
      <c r="MYU80" s="7"/>
      <c r="MYV80" s="7"/>
      <c r="MYW80" s="1363"/>
      <c r="MYX80" s="1364"/>
      <c r="MYY80" s="1364"/>
      <c r="MYZ80" s="1364"/>
      <c r="MZA80" s="7"/>
      <c r="MZB80" s="7"/>
      <c r="MZC80" s="1363"/>
      <c r="MZD80" s="1363"/>
      <c r="MZE80" s="1363"/>
      <c r="MZF80" s="1365"/>
      <c r="MZG80" s="7"/>
      <c r="MZH80" s="7"/>
      <c r="MZI80" s="1365"/>
      <c r="MZJ80" s="1365"/>
      <c r="MZK80" s="299"/>
      <c r="MZM80" s="1086"/>
      <c r="MZN80" s="1086"/>
      <c r="MZO80" s="1086"/>
      <c r="MZP80" s="7"/>
      <c r="MZQ80" s="7"/>
      <c r="MZR80" s="7"/>
      <c r="MZS80" s="7"/>
      <c r="MZT80" s="1161"/>
      <c r="MZU80" s="7"/>
      <c r="MZV80" s="7"/>
      <c r="MZW80" s="7"/>
      <c r="MZX80" s="7"/>
      <c r="MZY80" s="7"/>
      <c r="MZZ80" s="1161"/>
      <c r="NAA80" s="1161"/>
      <c r="NAB80" s="1161"/>
      <c r="NAC80" s="1365"/>
      <c r="NAD80" s="7"/>
      <c r="NAE80" s="7"/>
      <c r="NAF80" s="1365"/>
      <c r="NAG80" s="1365"/>
      <c r="NAJ80" s="1158"/>
      <c r="NAK80" s="1158"/>
      <c r="NAL80" s="1158"/>
      <c r="NAM80" s="7"/>
      <c r="NAN80" s="7"/>
      <c r="NAO80" s="7"/>
      <c r="NAP80" s="7"/>
      <c r="NAQ80" s="1161"/>
      <c r="NAR80" s="7"/>
      <c r="NAS80" s="7"/>
      <c r="NAT80" s="7"/>
      <c r="NAU80" s="7"/>
      <c r="NAV80" s="7"/>
      <c r="NAW80" s="1161"/>
      <c r="NAX80" s="1161"/>
      <c r="NAY80" s="1161"/>
      <c r="NAZ80" s="1365"/>
      <c r="NBA80" s="7"/>
      <c r="NBB80" s="7"/>
      <c r="NBC80" s="1365"/>
      <c r="NBD80" s="1365"/>
      <c r="NBF80" s="1158"/>
      <c r="NBG80" s="1158"/>
      <c r="NBH80" s="1158"/>
      <c r="NBI80" s="7"/>
      <c r="NBJ80" s="7"/>
      <c r="NBK80" s="7"/>
      <c r="NBL80" s="7"/>
      <c r="NBM80" s="1363"/>
      <c r="NBN80" s="1364"/>
      <c r="NBO80" s="1364"/>
      <c r="NBP80" s="1364"/>
      <c r="NBQ80" s="7"/>
      <c r="NBR80" s="7"/>
      <c r="NBS80" s="1363"/>
      <c r="NBT80" s="1363"/>
      <c r="NBU80" s="1363"/>
      <c r="NBV80" s="1365"/>
      <c r="NBW80" s="7"/>
      <c r="NBX80" s="7"/>
      <c r="NBY80" s="1365"/>
      <c r="NBZ80" s="1365"/>
      <c r="NCA80" s="299"/>
      <c r="NCC80" s="1086"/>
      <c r="NCD80" s="1086"/>
      <c r="NCE80" s="1086"/>
      <c r="NCF80" s="7"/>
      <c r="NCG80" s="7"/>
      <c r="NCH80" s="7"/>
      <c r="NCI80" s="7"/>
      <c r="NCJ80" s="1161"/>
      <c r="NCK80" s="7"/>
      <c r="NCL80" s="7"/>
      <c r="NCM80" s="7"/>
      <c r="NCN80" s="7"/>
      <c r="NCO80" s="7"/>
      <c r="NCP80" s="1161"/>
      <c r="NCQ80" s="1161"/>
      <c r="NCR80" s="1161"/>
      <c r="NCS80" s="1365"/>
      <c r="NCT80" s="7"/>
      <c r="NCU80" s="7"/>
      <c r="NCV80" s="1365"/>
      <c r="NCW80" s="1365"/>
      <c r="NCZ80" s="1158"/>
      <c r="NDA80" s="1158"/>
      <c r="NDB80" s="1158"/>
      <c r="NDC80" s="7"/>
      <c r="NDD80" s="7"/>
      <c r="NDE80" s="7"/>
      <c r="NDF80" s="7"/>
      <c r="NDG80" s="1161"/>
      <c r="NDH80" s="7"/>
      <c r="NDI80" s="7"/>
      <c r="NDJ80" s="7"/>
      <c r="NDK80" s="7"/>
      <c r="NDL80" s="7"/>
      <c r="NDM80" s="1161"/>
      <c r="NDN80" s="1161"/>
      <c r="NDO80" s="1161"/>
      <c r="NDP80" s="1365"/>
      <c r="NDQ80" s="7"/>
      <c r="NDR80" s="7"/>
      <c r="NDS80" s="1365"/>
      <c r="NDT80" s="1365"/>
      <c r="NDV80" s="1158"/>
      <c r="NDW80" s="1158"/>
      <c r="NDX80" s="1158"/>
      <c r="NDY80" s="7"/>
      <c r="NDZ80" s="7"/>
      <c r="NEA80" s="7"/>
      <c r="NEB80" s="7"/>
      <c r="NEC80" s="1363"/>
      <c r="NED80" s="1364"/>
      <c r="NEE80" s="1364"/>
      <c r="NEF80" s="1364"/>
      <c r="NEG80" s="7"/>
      <c r="NEH80" s="7"/>
      <c r="NEI80" s="1363"/>
      <c r="NEJ80" s="1363"/>
      <c r="NEK80" s="1363"/>
      <c r="NEL80" s="1365"/>
      <c r="NEM80" s="7"/>
      <c r="NEN80" s="7"/>
      <c r="NEO80" s="1365"/>
      <c r="NEP80" s="1365"/>
      <c r="NEQ80" s="299"/>
      <c r="NES80" s="1086"/>
      <c r="NET80" s="1086"/>
      <c r="NEU80" s="1086"/>
      <c r="NEV80" s="7"/>
      <c r="NEW80" s="7"/>
      <c r="NEX80" s="7"/>
      <c r="NEY80" s="7"/>
      <c r="NEZ80" s="1161"/>
      <c r="NFA80" s="7"/>
      <c r="NFB80" s="7"/>
      <c r="NFC80" s="7"/>
      <c r="NFD80" s="7"/>
      <c r="NFE80" s="7"/>
      <c r="NFF80" s="1161"/>
      <c r="NFG80" s="1161"/>
      <c r="NFH80" s="1161"/>
      <c r="NFI80" s="1365"/>
      <c r="NFJ80" s="7"/>
      <c r="NFK80" s="7"/>
      <c r="NFL80" s="1365"/>
      <c r="NFM80" s="1365"/>
      <c r="NFP80" s="1158"/>
      <c r="NFQ80" s="1158"/>
      <c r="NFR80" s="1158"/>
      <c r="NFS80" s="7"/>
      <c r="NFT80" s="7"/>
      <c r="NFU80" s="7"/>
      <c r="NFV80" s="7"/>
      <c r="NFW80" s="1161"/>
      <c r="NFX80" s="7"/>
      <c r="NFY80" s="7"/>
      <c r="NFZ80" s="7"/>
      <c r="NGA80" s="7"/>
      <c r="NGB80" s="7"/>
      <c r="NGC80" s="1161"/>
      <c r="NGD80" s="1161"/>
      <c r="NGE80" s="1161"/>
      <c r="NGF80" s="1365"/>
      <c r="NGG80" s="7"/>
      <c r="NGH80" s="7"/>
      <c r="NGI80" s="1365"/>
      <c r="NGJ80" s="1365"/>
      <c r="NGL80" s="1158"/>
      <c r="NGM80" s="1158"/>
      <c r="NGN80" s="1158"/>
      <c r="NGO80" s="7"/>
      <c r="NGP80" s="7"/>
      <c r="NGQ80" s="7"/>
      <c r="NGR80" s="7"/>
      <c r="NGS80" s="1363"/>
      <c r="NGT80" s="1364"/>
      <c r="NGU80" s="1364"/>
      <c r="NGV80" s="1364"/>
      <c r="NGW80" s="7"/>
      <c r="NGX80" s="7"/>
      <c r="NGY80" s="1363"/>
      <c r="NGZ80" s="1363"/>
      <c r="NHA80" s="1363"/>
      <c r="NHB80" s="1365"/>
      <c r="NHC80" s="7"/>
      <c r="NHD80" s="7"/>
      <c r="NHE80" s="1365"/>
      <c r="NHF80" s="1365"/>
      <c r="NHG80" s="299"/>
      <c r="NHI80" s="1086"/>
      <c r="NHJ80" s="1086"/>
      <c r="NHK80" s="1086"/>
      <c r="NHL80" s="7"/>
      <c r="NHM80" s="7"/>
      <c r="NHN80" s="7"/>
      <c r="NHO80" s="7"/>
      <c r="NHP80" s="1161"/>
      <c r="NHQ80" s="7"/>
      <c r="NHR80" s="7"/>
      <c r="NHS80" s="7"/>
      <c r="NHT80" s="7"/>
      <c r="NHU80" s="7"/>
      <c r="NHV80" s="1161"/>
      <c r="NHW80" s="1161"/>
      <c r="NHX80" s="1161"/>
      <c r="NHY80" s="1365"/>
      <c r="NHZ80" s="7"/>
      <c r="NIA80" s="7"/>
      <c r="NIB80" s="1365"/>
      <c r="NIC80" s="1365"/>
      <c r="NIF80" s="1158"/>
      <c r="NIG80" s="1158"/>
      <c r="NIH80" s="1158"/>
      <c r="NII80" s="7"/>
      <c r="NIJ80" s="7"/>
      <c r="NIK80" s="7"/>
      <c r="NIL80" s="7"/>
      <c r="NIM80" s="1161"/>
      <c r="NIN80" s="7"/>
      <c r="NIO80" s="7"/>
      <c r="NIP80" s="7"/>
      <c r="NIQ80" s="7"/>
      <c r="NIR80" s="7"/>
      <c r="NIS80" s="1161"/>
      <c r="NIT80" s="1161"/>
      <c r="NIU80" s="1161"/>
      <c r="NIV80" s="1365"/>
      <c r="NIW80" s="7"/>
      <c r="NIX80" s="7"/>
      <c r="NIY80" s="1365"/>
      <c r="NIZ80" s="1365"/>
      <c r="NJB80" s="1158"/>
      <c r="NJC80" s="1158"/>
      <c r="NJD80" s="1158"/>
      <c r="NJE80" s="7"/>
      <c r="NJF80" s="7"/>
      <c r="NJG80" s="7"/>
      <c r="NJH80" s="7"/>
      <c r="NJI80" s="1363"/>
      <c r="NJJ80" s="1364"/>
      <c r="NJK80" s="1364"/>
      <c r="NJL80" s="1364"/>
      <c r="NJM80" s="7"/>
      <c r="NJN80" s="7"/>
      <c r="NJO80" s="1363"/>
      <c r="NJP80" s="1363"/>
      <c r="NJQ80" s="1363"/>
      <c r="NJR80" s="1365"/>
      <c r="NJS80" s="7"/>
      <c r="NJT80" s="7"/>
      <c r="NJU80" s="1365"/>
      <c r="NJV80" s="1365"/>
      <c r="NJW80" s="299"/>
      <c r="NJY80" s="1086"/>
      <c r="NJZ80" s="1086"/>
      <c r="NKA80" s="1086"/>
      <c r="NKB80" s="7"/>
      <c r="NKC80" s="7"/>
      <c r="NKD80" s="7"/>
      <c r="NKE80" s="7"/>
      <c r="NKF80" s="1161"/>
      <c r="NKG80" s="7"/>
      <c r="NKH80" s="7"/>
      <c r="NKI80" s="7"/>
      <c r="NKJ80" s="7"/>
      <c r="NKK80" s="7"/>
      <c r="NKL80" s="1161"/>
      <c r="NKM80" s="1161"/>
      <c r="NKN80" s="1161"/>
      <c r="NKO80" s="1365"/>
      <c r="NKP80" s="7"/>
      <c r="NKQ80" s="7"/>
      <c r="NKR80" s="1365"/>
      <c r="NKS80" s="1365"/>
      <c r="NKV80" s="1158"/>
      <c r="NKW80" s="1158"/>
      <c r="NKX80" s="1158"/>
      <c r="NKY80" s="7"/>
      <c r="NKZ80" s="7"/>
      <c r="NLA80" s="7"/>
      <c r="NLB80" s="7"/>
      <c r="NLC80" s="1161"/>
      <c r="NLD80" s="7"/>
      <c r="NLE80" s="7"/>
      <c r="NLF80" s="7"/>
      <c r="NLG80" s="7"/>
      <c r="NLH80" s="7"/>
      <c r="NLI80" s="1161"/>
      <c r="NLJ80" s="1161"/>
      <c r="NLK80" s="1161"/>
      <c r="NLL80" s="1365"/>
      <c r="NLM80" s="7"/>
      <c r="NLN80" s="7"/>
      <c r="NLO80" s="1365"/>
      <c r="NLP80" s="1365"/>
      <c r="NLR80" s="1158"/>
      <c r="NLS80" s="1158"/>
      <c r="NLT80" s="1158"/>
      <c r="NLU80" s="7"/>
      <c r="NLV80" s="7"/>
      <c r="NLW80" s="7"/>
      <c r="NLX80" s="7"/>
      <c r="NLY80" s="1363"/>
      <c r="NLZ80" s="1364"/>
      <c r="NMA80" s="1364"/>
      <c r="NMB80" s="1364"/>
      <c r="NMC80" s="7"/>
      <c r="NMD80" s="7"/>
      <c r="NME80" s="1363"/>
      <c r="NMF80" s="1363"/>
      <c r="NMG80" s="1363"/>
      <c r="NMH80" s="1365"/>
      <c r="NMI80" s="7"/>
      <c r="NMJ80" s="7"/>
      <c r="NMK80" s="1365"/>
      <c r="NML80" s="1365"/>
      <c r="NMM80" s="299"/>
      <c r="NMO80" s="1086"/>
      <c r="NMP80" s="1086"/>
      <c r="NMQ80" s="1086"/>
      <c r="NMR80" s="7"/>
      <c r="NMS80" s="7"/>
      <c r="NMT80" s="7"/>
      <c r="NMU80" s="7"/>
      <c r="NMV80" s="1161"/>
      <c r="NMW80" s="7"/>
      <c r="NMX80" s="7"/>
      <c r="NMY80" s="7"/>
      <c r="NMZ80" s="7"/>
      <c r="NNA80" s="7"/>
      <c r="NNB80" s="1161"/>
      <c r="NNC80" s="1161"/>
      <c r="NND80" s="1161"/>
      <c r="NNE80" s="1365"/>
      <c r="NNF80" s="7"/>
      <c r="NNG80" s="7"/>
      <c r="NNH80" s="1365"/>
      <c r="NNI80" s="1365"/>
      <c r="NNL80" s="1158"/>
      <c r="NNM80" s="1158"/>
      <c r="NNN80" s="1158"/>
      <c r="NNO80" s="7"/>
      <c r="NNP80" s="7"/>
      <c r="NNQ80" s="7"/>
      <c r="NNR80" s="7"/>
      <c r="NNS80" s="1161"/>
      <c r="NNT80" s="7"/>
      <c r="NNU80" s="7"/>
      <c r="NNV80" s="7"/>
      <c r="NNW80" s="7"/>
      <c r="NNX80" s="7"/>
      <c r="NNY80" s="1161"/>
      <c r="NNZ80" s="1161"/>
      <c r="NOA80" s="1161"/>
      <c r="NOB80" s="1365"/>
      <c r="NOC80" s="7"/>
      <c r="NOD80" s="7"/>
      <c r="NOE80" s="1365"/>
      <c r="NOF80" s="1365"/>
      <c r="NOH80" s="1158"/>
      <c r="NOI80" s="1158"/>
      <c r="NOJ80" s="1158"/>
      <c r="NOK80" s="7"/>
      <c r="NOL80" s="7"/>
      <c r="NOM80" s="7"/>
      <c r="NON80" s="7"/>
      <c r="NOO80" s="1363"/>
      <c r="NOP80" s="1364"/>
      <c r="NOQ80" s="1364"/>
      <c r="NOR80" s="1364"/>
      <c r="NOS80" s="7"/>
      <c r="NOT80" s="7"/>
      <c r="NOU80" s="1363"/>
      <c r="NOV80" s="1363"/>
      <c r="NOW80" s="1363"/>
      <c r="NOX80" s="1365"/>
      <c r="NOY80" s="7"/>
      <c r="NOZ80" s="7"/>
      <c r="NPA80" s="1365"/>
      <c r="NPB80" s="1365"/>
      <c r="NPC80" s="299"/>
      <c r="NPE80" s="1086"/>
      <c r="NPF80" s="1086"/>
      <c r="NPG80" s="1086"/>
      <c r="NPH80" s="7"/>
      <c r="NPI80" s="7"/>
      <c r="NPJ80" s="7"/>
      <c r="NPK80" s="7"/>
      <c r="NPL80" s="1161"/>
      <c r="NPM80" s="7"/>
      <c r="NPN80" s="7"/>
      <c r="NPO80" s="7"/>
      <c r="NPP80" s="7"/>
      <c r="NPQ80" s="7"/>
      <c r="NPR80" s="1161"/>
      <c r="NPS80" s="1161"/>
      <c r="NPT80" s="1161"/>
      <c r="NPU80" s="1365"/>
      <c r="NPV80" s="7"/>
      <c r="NPW80" s="7"/>
      <c r="NPX80" s="1365"/>
      <c r="NPY80" s="1365"/>
      <c r="NQB80" s="1158"/>
      <c r="NQC80" s="1158"/>
      <c r="NQD80" s="1158"/>
      <c r="NQE80" s="7"/>
      <c r="NQF80" s="7"/>
      <c r="NQG80" s="7"/>
      <c r="NQH80" s="7"/>
      <c r="NQI80" s="1161"/>
      <c r="NQJ80" s="7"/>
      <c r="NQK80" s="7"/>
      <c r="NQL80" s="7"/>
      <c r="NQM80" s="7"/>
      <c r="NQN80" s="7"/>
      <c r="NQO80" s="1161"/>
      <c r="NQP80" s="1161"/>
      <c r="NQQ80" s="1161"/>
      <c r="NQR80" s="1365"/>
      <c r="NQS80" s="7"/>
      <c r="NQT80" s="7"/>
      <c r="NQU80" s="1365"/>
      <c r="NQV80" s="1365"/>
      <c r="NQX80" s="1158"/>
      <c r="NQY80" s="1158"/>
      <c r="NQZ80" s="1158"/>
      <c r="NRA80" s="7"/>
      <c r="NRB80" s="7"/>
      <c r="NRC80" s="7"/>
      <c r="NRD80" s="7"/>
      <c r="NRE80" s="1363"/>
      <c r="NRF80" s="1364"/>
      <c r="NRG80" s="1364"/>
      <c r="NRH80" s="1364"/>
      <c r="NRI80" s="7"/>
      <c r="NRJ80" s="7"/>
      <c r="NRK80" s="1363"/>
      <c r="NRL80" s="1363"/>
      <c r="NRM80" s="1363"/>
      <c r="NRN80" s="1365"/>
      <c r="NRO80" s="7"/>
      <c r="NRP80" s="7"/>
      <c r="NRQ80" s="1365"/>
      <c r="NRR80" s="1365"/>
      <c r="NRS80" s="299"/>
      <c r="NRU80" s="1086"/>
      <c r="NRV80" s="1086"/>
      <c r="NRW80" s="1086"/>
      <c r="NRX80" s="7"/>
      <c r="NRY80" s="7"/>
      <c r="NRZ80" s="7"/>
      <c r="NSA80" s="7"/>
      <c r="NSB80" s="1161"/>
      <c r="NSC80" s="7"/>
      <c r="NSD80" s="7"/>
      <c r="NSE80" s="7"/>
      <c r="NSF80" s="7"/>
      <c r="NSG80" s="7"/>
      <c r="NSH80" s="1161"/>
      <c r="NSI80" s="1161"/>
      <c r="NSJ80" s="1161"/>
      <c r="NSK80" s="1365"/>
      <c r="NSL80" s="7"/>
      <c r="NSM80" s="7"/>
      <c r="NSN80" s="1365"/>
      <c r="NSO80" s="1365"/>
      <c r="NSR80" s="1158"/>
      <c r="NSS80" s="1158"/>
      <c r="NST80" s="1158"/>
      <c r="NSU80" s="7"/>
      <c r="NSV80" s="7"/>
      <c r="NSW80" s="7"/>
      <c r="NSX80" s="7"/>
      <c r="NSY80" s="1161"/>
      <c r="NSZ80" s="7"/>
      <c r="NTA80" s="7"/>
      <c r="NTB80" s="7"/>
      <c r="NTC80" s="7"/>
      <c r="NTD80" s="7"/>
      <c r="NTE80" s="1161"/>
      <c r="NTF80" s="1161"/>
      <c r="NTG80" s="1161"/>
      <c r="NTH80" s="1365"/>
      <c r="NTI80" s="7"/>
      <c r="NTJ80" s="7"/>
      <c r="NTK80" s="1365"/>
      <c r="NTL80" s="1365"/>
      <c r="NTN80" s="1158"/>
      <c r="NTO80" s="1158"/>
      <c r="NTP80" s="1158"/>
      <c r="NTQ80" s="7"/>
      <c r="NTR80" s="7"/>
      <c r="NTS80" s="7"/>
      <c r="NTT80" s="7"/>
      <c r="NTU80" s="1363"/>
      <c r="NTV80" s="1364"/>
      <c r="NTW80" s="1364"/>
      <c r="NTX80" s="1364"/>
      <c r="NTY80" s="7"/>
      <c r="NTZ80" s="7"/>
      <c r="NUA80" s="1363"/>
      <c r="NUB80" s="1363"/>
      <c r="NUC80" s="1363"/>
      <c r="NUD80" s="1365"/>
      <c r="NUE80" s="7"/>
      <c r="NUF80" s="7"/>
      <c r="NUG80" s="1365"/>
      <c r="NUH80" s="1365"/>
      <c r="NUI80" s="299"/>
      <c r="NUK80" s="1086"/>
      <c r="NUL80" s="1086"/>
      <c r="NUM80" s="1086"/>
      <c r="NUN80" s="7"/>
      <c r="NUO80" s="7"/>
      <c r="NUP80" s="7"/>
      <c r="NUQ80" s="7"/>
      <c r="NUR80" s="1161"/>
      <c r="NUS80" s="7"/>
      <c r="NUT80" s="7"/>
      <c r="NUU80" s="7"/>
      <c r="NUV80" s="7"/>
      <c r="NUW80" s="7"/>
      <c r="NUX80" s="1161"/>
      <c r="NUY80" s="1161"/>
      <c r="NUZ80" s="1161"/>
      <c r="NVA80" s="1365"/>
      <c r="NVB80" s="7"/>
      <c r="NVC80" s="7"/>
      <c r="NVD80" s="1365"/>
      <c r="NVE80" s="1365"/>
      <c r="NVH80" s="1158"/>
      <c r="NVI80" s="1158"/>
      <c r="NVJ80" s="1158"/>
      <c r="NVK80" s="7"/>
      <c r="NVL80" s="7"/>
      <c r="NVM80" s="7"/>
      <c r="NVN80" s="7"/>
      <c r="NVO80" s="1161"/>
      <c r="NVP80" s="7"/>
      <c r="NVQ80" s="7"/>
      <c r="NVR80" s="7"/>
      <c r="NVS80" s="7"/>
      <c r="NVT80" s="7"/>
      <c r="NVU80" s="1161"/>
      <c r="NVV80" s="1161"/>
      <c r="NVW80" s="1161"/>
      <c r="NVX80" s="1365"/>
      <c r="NVY80" s="7"/>
      <c r="NVZ80" s="7"/>
      <c r="NWA80" s="1365"/>
      <c r="NWB80" s="1365"/>
      <c r="NWD80" s="1158"/>
      <c r="NWE80" s="1158"/>
      <c r="NWF80" s="1158"/>
      <c r="NWG80" s="7"/>
      <c r="NWH80" s="7"/>
      <c r="NWI80" s="7"/>
      <c r="NWJ80" s="7"/>
      <c r="NWK80" s="1363"/>
      <c r="NWL80" s="1364"/>
      <c r="NWM80" s="1364"/>
      <c r="NWN80" s="1364"/>
      <c r="NWO80" s="7"/>
      <c r="NWP80" s="7"/>
      <c r="NWQ80" s="1363"/>
      <c r="NWR80" s="1363"/>
      <c r="NWS80" s="1363"/>
      <c r="NWT80" s="1365"/>
      <c r="NWU80" s="7"/>
      <c r="NWV80" s="7"/>
      <c r="NWW80" s="1365"/>
      <c r="NWX80" s="1365"/>
      <c r="NWY80" s="299"/>
      <c r="NXA80" s="1086"/>
      <c r="NXB80" s="1086"/>
      <c r="NXC80" s="1086"/>
      <c r="NXD80" s="7"/>
      <c r="NXE80" s="7"/>
      <c r="NXF80" s="7"/>
      <c r="NXG80" s="7"/>
      <c r="NXH80" s="1161"/>
      <c r="NXI80" s="7"/>
      <c r="NXJ80" s="7"/>
      <c r="NXK80" s="7"/>
      <c r="NXL80" s="7"/>
      <c r="NXM80" s="7"/>
      <c r="NXN80" s="1161"/>
      <c r="NXO80" s="1161"/>
      <c r="NXP80" s="1161"/>
      <c r="NXQ80" s="1365"/>
      <c r="NXR80" s="7"/>
      <c r="NXS80" s="7"/>
      <c r="NXT80" s="1365"/>
      <c r="NXU80" s="1365"/>
      <c r="NXX80" s="1158"/>
      <c r="NXY80" s="1158"/>
      <c r="NXZ80" s="1158"/>
      <c r="NYA80" s="7"/>
      <c r="NYB80" s="7"/>
      <c r="NYC80" s="7"/>
      <c r="NYD80" s="7"/>
      <c r="NYE80" s="1161"/>
      <c r="NYF80" s="7"/>
      <c r="NYG80" s="7"/>
      <c r="NYH80" s="7"/>
      <c r="NYI80" s="7"/>
      <c r="NYJ80" s="7"/>
      <c r="NYK80" s="1161"/>
      <c r="NYL80" s="1161"/>
      <c r="NYM80" s="1161"/>
      <c r="NYN80" s="1365"/>
      <c r="NYO80" s="7"/>
      <c r="NYP80" s="7"/>
      <c r="NYQ80" s="1365"/>
      <c r="NYR80" s="1365"/>
      <c r="NYT80" s="1158"/>
      <c r="NYU80" s="1158"/>
      <c r="NYV80" s="1158"/>
      <c r="NYW80" s="7"/>
      <c r="NYX80" s="7"/>
      <c r="NYY80" s="7"/>
      <c r="NYZ80" s="7"/>
      <c r="NZA80" s="1363"/>
      <c r="NZB80" s="1364"/>
      <c r="NZC80" s="1364"/>
      <c r="NZD80" s="1364"/>
      <c r="NZE80" s="7"/>
      <c r="NZF80" s="7"/>
      <c r="NZG80" s="1363"/>
      <c r="NZH80" s="1363"/>
      <c r="NZI80" s="1363"/>
      <c r="NZJ80" s="1365"/>
      <c r="NZK80" s="7"/>
      <c r="NZL80" s="7"/>
      <c r="NZM80" s="1365"/>
      <c r="NZN80" s="1365"/>
      <c r="NZO80" s="299"/>
      <c r="NZQ80" s="1086"/>
      <c r="NZR80" s="1086"/>
      <c r="NZS80" s="1086"/>
      <c r="NZT80" s="7"/>
      <c r="NZU80" s="7"/>
      <c r="NZV80" s="7"/>
      <c r="NZW80" s="7"/>
      <c r="NZX80" s="1161"/>
      <c r="NZY80" s="7"/>
      <c r="NZZ80" s="7"/>
      <c r="OAA80" s="7"/>
      <c r="OAB80" s="7"/>
      <c r="OAC80" s="7"/>
      <c r="OAD80" s="1161"/>
      <c r="OAE80" s="1161"/>
      <c r="OAF80" s="1161"/>
      <c r="OAG80" s="1365"/>
      <c r="OAH80" s="7"/>
      <c r="OAI80" s="7"/>
      <c r="OAJ80" s="1365"/>
      <c r="OAK80" s="1365"/>
      <c r="OAN80" s="1158"/>
      <c r="OAO80" s="1158"/>
      <c r="OAP80" s="1158"/>
      <c r="OAQ80" s="7"/>
      <c r="OAR80" s="7"/>
      <c r="OAS80" s="7"/>
      <c r="OAT80" s="7"/>
      <c r="OAU80" s="1161"/>
      <c r="OAV80" s="7"/>
      <c r="OAW80" s="7"/>
      <c r="OAX80" s="7"/>
      <c r="OAY80" s="7"/>
      <c r="OAZ80" s="7"/>
      <c r="OBA80" s="1161"/>
      <c r="OBB80" s="1161"/>
      <c r="OBC80" s="1161"/>
      <c r="OBD80" s="1365"/>
      <c r="OBE80" s="7"/>
      <c r="OBF80" s="7"/>
      <c r="OBG80" s="1365"/>
      <c r="OBH80" s="1365"/>
      <c r="OBJ80" s="1158"/>
      <c r="OBK80" s="1158"/>
      <c r="OBL80" s="1158"/>
      <c r="OBM80" s="7"/>
      <c r="OBN80" s="7"/>
      <c r="OBO80" s="7"/>
      <c r="OBP80" s="7"/>
      <c r="OBQ80" s="1363"/>
      <c r="OBR80" s="1364"/>
      <c r="OBS80" s="1364"/>
      <c r="OBT80" s="1364"/>
      <c r="OBU80" s="7"/>
      <c r="OBV80" s="7"/>
      <c r="OBW80" s="1363"/>
      <c r="OBX80" s="1363"/>
      <c r="OBY80" s="1363"/>
      <c r="OBZ80" s="1365"/>
      <c r="OCA80" s="7"/>
      <c r="OCB80" s="7"/>
      <c r="OCC80" s="1365"/>
      <c r="OCD80" s="1365"/>
      <c r="OCE80" s="299"/>
      <c r="OCG80" s="1086"/>
      <c r="OCH80" s="1086"/>
      <c r="OCI80" s="1086"/>
      <c r="OCJ80" s="7"/>
      <c r="OCK80" s="7"/>
      <c r="OCL80" s="7"/>
      <c r="OCM80" s="7"/>
      <c r="OCN80" s="1161"/>
      <c r="OCO80" s="7"/>
      <c r="OCP80" s="7"/>
      <c r="OCQ80" s="7"/>
      <c r="OCR80" s="7"/>
      <c r="OCS80" s="7"/>
      <c r="OCT80" s="1161"/>
      <c r="OCU80" s="1161"/>
      <c r="OCV80" s="1161"/>
      <c r="OCW80" s="1365"/>
      <c r="OCX80" s="7"/>
      <c r="OCY80" s="7"/>
      <c r="OCZ80" s="1365"/>
      <c r="ODA80" s="1365"/>
      <c r="ODD80" s="1158"/>
      <c r="ODE80" s="1158"/>
      <c r="ODF80" s="1158"/>
      <c r="ODG80" s="7"/>
      <c r="ODH80" s="7"/>
      <c r="ODI80" s="7"/>
      <c r="ODJ80" s="7"/>
      <c r="ODK80" s="1161"/>
      <c r="ODL80" s="7"/>
      <c r="ODM80" s="7"/>
      <c r="ODN80" s="7"/>
      <c r="ODO80" s="7"/>
      <c r="ODP80" s="7"/>
      <c r="ODQ80" s="1161"/>
      <c r="ODR80" s="1161"/>
      <c r="ODS80" s="1161"/>
      <c r="ODT80" s="1365"/>
      <c r="ODU80" s="7"/>
      <c r="ODV80" s="7"/>
      <c r="ODW80" s="1365"/>
      <c r="ODX80" s="1365"/>
      <c r="ODZ80" s="1158"/>
      <c r="OEA80" s="1158"/>
      <c r="OEB80" s="1158"/>
      <c r="OEC80" s="7"/>
      <c r="OED80" s="7"/>
      <c r="OEE80" s="7"/>
      <c r="OEF80" s="7"/>
      <c r="OEG80" s="1363"/>
      <c r="OEH80" s="1364"/>
      <c r="OEI80" s="1364"/>
      <c r="OEJ80" s="1364"/>
      <c r="OEK80" s="7"/>
      <c r="OEL80" s="7"/>
      <c r="OEM80" s="1363"/>
      <c r="OEN80" s="1363"/>
      <c r="OEO80" s="1363"/>
      <c r="OEP80" s="1365"/>
      <c r="OEQ80" s="7"/>
      <c r="OER80" s="7"/>
      <c r="OES80" s="1365"/>
      <c r="OET80" s="1365"/>
      <c r="OEU80" s="299"/>
      <c r="OEW80" s="1086"/>
      <c r="OEX80" s="1086"/>
      <c r="OEY80" s="1086"/>
      <c r="OEZ80" s="7"/>
      <c r="OFA80" s="7"/>
      <c r="OFB80" s="7"/>
      <c r="OFC80" s="7"/>
      <c r="OFD80" s="1161"/>
      <c r="OFE80" s="7"/>
      <c r="OFF80" s="7"/>
      <c r="OFG80" s="7"/>
      <c r="OFH80" s="7"/>
      <c r="OFI80" s="7"/>
      <c r="OFJ80" s="1161"/>
      <c r="OFK80" s="1161"/>
      <c r="OFL80" s="1161"/>
      <c r="OFM80" s="1365"/>
      <c r="OFN80" s="7"/>
      <c r="OFO80" s="7"/>
      <c r="OFP80" s="1365"/>
      <c r="OFQ80" s="1365"/>
      <c r="OFT80" s="1158"/>
      <c r="OFU80" s="1158"/>
      <c r="OFV80" s="1158"/>
      <c r="OFW80" s="7"/>
      <c r="OFX80" s="7"/>
      <c r="OFY80" s="7"/>
      <c r="OFZ80" s="7"/>
      <c r="OGA80" s="1161"/>
      <c r="OGB80" s="7"/>
      <c r="OGC80" s="7"/>
      <c r="OGD80" s="7"/>
      <c r="OGE80" s="7"/>
      <c r="OGF80" s="7"/>
      <c r="OGG80" s="1161"/>
      <c r="OGH80" s="1161"/>
      <c r="OGI80" s="1161"/>
      <c r="OGJ80" s="1365"/>
      <c r="OGK80" s="7"/>
      <c r="OGL80" s="7"/>
      <c r="OGM80" s="1365"/>
      <c r="OGN80" s="1365"/>
      <c r="OGP80" s="1158"/>
      <c r="OGQ80" s="1158"/>
      <c r="OGR80" s="1158"/>
      <c r="OGS80" s="7"/>
      <c r="OGT80" s="7"/>
      <c r="OGU80" s="7"/>
      <c r="OGV80" s="7"/>
      <c r="OGW80" s="1363"/>
      <c r="OGX80" s="1364"/>
      <c r="OGY80" s="1364"/>
      <c r="OGZ80" s="1364"/>
      <c r="OHA80" s="7"/>
      <c r="OHB80" s="7"/>
      <c r="OHC80" s="1363"/>
      <c r="OHD80" s="1363"/>
      <c r="OHE80" s="1363"/>
      <c r="OHF80" s="1365"/>
      <c r="OHG80" s="7"/>
      <c r="OHH80" s="7"/>
      <c r="OHI80" s="1365"/>
      <c r="OHJ80" s="1365"/>
      <c r="OHK80" s="299"/>
      <c r="OHM80" s="1086"/>
      <c r="OHN80" s="1086"/>
      <c r="OHO80" s="1086"/>
      <c r="OHP80" s="7"/>
      <c r="OHQ80" s="7"/>
      <c r="OHR80" s="7"/>
      <c r="OHS80" s="7"/>
      <c r="OHT80" s="1161"/>
      <c r="OHU80" s="7"/>
      <c r="OHV80" s="7"/>
      <c r="OHW80" s="7"/>
      <c r="OHX80" s="7"/>
      <c r="OHY80" s="7"/>
      <c r="OHZ80" s="1161"/>
      <c r="OIA80" s="1161"/>
      <c r="OIB80" s="1161"/>
      <c r="OIC80" s="1365"/>
      <c r="OID80" s="7"/>
      <c r="OIE80" s="7"/>
      <c r="OIF80" s="1365"/>
      <c r="OIG80" s="1365"/>
      <c r="OIJ80" s="1158"/>
      <c r="OIK80" s="1158"/>
      <c r="OIL80" s="1158"/>
      <c r="OIM80" s="7"/>
      <c r="OIN80" s="7"/>
      <c r="OIO80" s="7"/>
      <c r="OIP80" s="7"/>
      <c r="OIQ80" s="1161"/>
      <c r="OIR80" s="7"/>
      <c r="OIS80" s="7"/>
      <c r="OIT80" s="7"/>
      <c r="OIU80" s="7"/>
      <c r="OIV80" s="7"/>
      <c r="OIW80" s="1161"/>
      <c r="OIX80" s="1161"/>
      <c r="OIY80" s="1161"/>
      <c r="OIZ80" s="1365"/>
      <c r="OJA80" s="7"/>
      <c r="OJB80" s="7"/>
      <c r="OJC80" s="1365"/>
      <c r="OJD80" s="1365"/>
      <c r="OJF80" s="1158"/>
      <c r="OJG80" s="1158"/>
      <c r="OJH80" s="1158"/>
      <c r="OJI80" s="7"/>
      <c r="OJJ80" s="7"/>
      <c r="OJK80" s="7"/>
      <c r="OJL80" s="7"/>
      <c r="OJM80" s="1363"/>
      <c r="OJN80" s="1364"/>
      <c r="OJO80" s="1364"/>
      <c r="OJP80" s="1364"/>
      <c r="OJQ80" s="7"/>
      <c r="OJR80" s="7"/>
      <c r="OJS80" s="1363"/>
      <c r="OJT80" s="1363"/>
      <c r="OJU80" s="1363"/>
      <c r="OJV80" s="1365"/>
      <c r="OJW80" s="7"/>
      <c r="OJX80" s="7"/>
      <c r="OJY80" s="1365"/>
      <c r="OJZ80" s="1365"/>
      <c r="OKA80" s="299"/>
      <c r="OKC80" s="1086"/>
      <c r="OKD80" s="1086"/>
      <c r="OKE80" s="1086"/>
      <c r="OKF80" s="7"/>
      <c r="OKG80" s="7"/>
      <c r="OKH80" s="7"/>
      <c r="OKI80" s="7"/>
      <c r="OKJ80" s="1161"/>
      <c r="OKK80" s="7"/>
      <c r="OKL80" s="7"/>
      <c r="OKM80" s="7"/>
      <c r="OKN80" s="7"/>
      <c r="OKO80" s="7"/>
      <c r="OKP80" s="1161"/>
      <c r="OKQ80" s="1161"/>
      <c r="OKR80" s="1161"/>
      <c r="OKS80" s="1365"/>
      <c r="OKT80" s="7"/>
      <c r="OKU80" s="7"/>
      <c r="OKV80" s="1365"/>
      <c r="OKW80" s="1365"/>
      <c r="OKZ80" s="1158"/>
      <c r="OLA80" s="1158"/>
      <c r="OLB80" s="1158"/>
      <c r="OLC80" s="7"/>
      <c r="OLD80" s="7"/>
      <c r="OLE80" s="7"/>
      <c r="OLF80" s="7"/>
      <c r="OLG80" s="1161"/>
      <c r="OLH80" s="7"/>
      <c r="OLI80" s="7"/>
      <c r="OLJ80" s="7"/>
      <c r="OLK80" s="7"/>
      <c r="OLL80" s="7"/>
      <c r="OLM80" s="1161"/>
      <c r="OLN80" s="1161"/>
      <c r="OLO80" s="1161"/>
      <c r="OLP80" s="1365"/>
      <c r="OLQ80" s="7"/>
      <c r="OLR80" s="7"/>
      <c r="OLS80" s="1365"/>
      <c r="OLT80" s="1365"/>
      <c r="OLV80" s="1158"/>
      <c r="OLW80" s="1158"/>
      <c r="OLX80" s="1158"/>
      <c r="OLY80" s="7"/>
      <c r="OLZ80" s="7"/>
      <c r="OMA80" s="7"/>
      <c r="OMB80" s="7"/>
      <c r="OMC80" s="1363"/>
      <c r="OMD80" s="1364"/>
      <c r="OME80" s="1364"/>
      <c r="OMF80" s="1364"/>
      <c r="OMG80" s="7"/>
      <c r="OMH80" s="7"/>
      <c r="OMI80" s="1363"/>
      <c r="OMJ80" s="1363"/>
      <c r="OMK80" s="1363"/>
      <c r="OML80" s="1365"/>
      <c r="OMM80" s="7"/>
      <c r="OMN80" s="7"/>
      <c r="OMO80" s="1365"/>
      <c r="OMP80" s="1365"/>
      <c r="OMQ80" s="299"/>
      <c r="OMS80" s="1086"/>
      <c r="OMT80" s="1086"/>
      <c r="OMU80" s="1086"/>
      <c r="OMV80" s="7"/>
      <c r="OMW80" s="7"/>
      <c r="OMX80" s="7"/>
      <c r="OMY80" s="7"/>
      <c r="OMZ80" s="1161"/>
      <c r="ONA80" s="7"/>
      <c r="ONB80" s="7"/>
      <c r="ONC80" s="7"/>
      <c r="OND80" s="7"/>
      <c r="ONE80" s="7"/>
      <c r="ONF80" s="1161"/>
      <c r="ONG80" s="1161"/>
      <c r="ONH80" s="1161"/>
      <c r="ONI80" s="1365"/>
      <c r="ONJ80" s="7"/>
      <c r="ONK80" s="7"/>
      <c r="ONL80" s="1365"/>
      <c r="ONM80" s="1365"/>
      <c r="ONP80" s="1158"/>
      <c r="ONQ80" s="1158"/>
      <c r="ONR80" s="1158"/>
      <c r="ONS80" s="7"/>
      <c r="ONT80" s="7"/>
      <c r="ONU80" s="7"/>
      <c r="ONV80" s="7"/>
      <c r="ONW80" s="1161"/>
      <c r="ONX80" s="7"/>
      <c r="ONY80" s="7"/>
      <c r="ONZ80" s="7"/>
      <c r="OOA80" s="7"/>
      <c r="OOB80" s="7"/>
      <c r="OOC80" s="1161"/>
      <c r="OOD80" s="1161"/>
      <c r="OOE80" s="1161"/>
      <c r="OOF80" s="1365"/>
      <c r="OOG80" s="7"/>
      <c r="OOH80" s="7"/>
      <c r="OOI80" s="1365"/>
      <c r="OOJ80" s="1365"/>
      <c r="OOL80" s="1158"/>
      <c r="OOM80" s="1158"/>
      <c r="OON80" s="1158"/>
      <c r="OOO80" s="7"/>
      <c r="OOP80" s="7"/>
      <c r="OOQ80" s="7"/>
      <c r="OOR80" s="7"/>
      <c r="OOS80" s="1363"/>
      <c r="OOT80" s="1364"/>
      <c r="OOU80" s="1364"/>
      <c r="OOV80" s="1364"/>
      <c r="OOW80" s="7"/>
      <c r="OOX80" s="7"/>
      <c r="OOY80" s="1363"/>
      <c r="OOZ80" s="1363"/>
      <c r="OPA80" s="1363"/>
      <c r="OPB80" s="1365"/>
      <c r="OPC80" s="7"/>
      <c r="OPD80" s="7"/>
      <c r="OPE80" s="1365"/>
      <c r="OPF80" s="1365"/>
      <c r="OPG80" s="299"/>
      <c r="OPI80" s="1086"/>
      <c r="OPJ80" s="1086"/>
      <c r="OPK80" s="1086"/>
      <c r="OPL80" s="7"/>
      <c r="OPM80" s="7"/>
      <c r="OPN80" s="7"/>
      <c r="OPO80" s="7"/>
      <c r="OPP80" s="1161"/>
      <c r="OPQ80" s="7"/>
      <c r="OPR80" s="7"/>
      <c r="OPS80" s="7"/>
      <c r="OPT80" s="7"/>
      <c r="OPU80" s="7"/>
      <c r="OPV80" s="1161"/>
      <c r="OPW80" s="1161"/>
      <c r="OPX80" s="1161"/>
      <c r="OPY80" s="1365"/>
      <c r="OPZ80" s="7"/>
      <c r="OQA80" s="7"/>
      <c r="OQB80" s="1365"/>
      <c r="OQC80" s="1365"/>
      <c r="OQF80" s="1158"/>
      <c r="OQG80" s="1158"/>
      <c r="OQH80" s="1158"/>
      <c r="OQI80" s="7"/>
      <c r="OQJ80" s="7"/>
      <c r="OQK80" s="7"/>
      <c r="OQL80" s="7"/>
      <c r="OQM80" s="1161"/>
      <c r="OQN80" s="7"/>
      <c r="OQO80" s="7"/>
      <c r="OQP80" s="7"/>
      <c r="OQQ80" s="7"/>
      <c r="OQR80" s="7"/>
      <c r="OQS80" s="1161"/>
      <c r="OQT80" s="1161"/>
      <c r="OQU80" s="1161"/>
      <c r="OQV80" s="1365"/>
      <c r="OQW80" s="7"/>
      <c r="OQX80" s="7"/>
      <c r="OQY80" s="1365"/>
      <c r="OQZ80" s="1365"/>
      <c r="ORB80" s="1158"/>
      <c r="ORC80" s="1158"/>
      <c r="ORD80" s="1158"/>
      <c r="ORE80" s="7"/>
      <c r="ORF80" s="7"/>
      <c r="ORG80" s="7"/>
      <c r="ORH80" s="7"/>
      <c r="ORI80" s="1363"/>
      <c r="ORJ80" s="1364"/>
      <c r="ORK80" s="1364"/>
      <c r="ORL80" s="1364"/>
      <c r="ORM80" s="7"/>
      <c r="ORN80" s="7"/>
      <c r="ORO80" s="1363"/>
      <c r="ORP80" s="1363"/>
      <c r="ORQ80" s="1363"/>
      <c r="ORR80" s="1365"/>
      <c r="ORS80" s="7"/>
      <c r="ORT80" s="7"/>
      <c r="ORU80" s="1365"/>
      <c r="ORV80" s="1365"/>
      <c r="ORW80" s="299"/>
      <c r="ORY80" s="1086"/>
      <c r="ORZ80" s="1086"/>
      <c r="OSA80" s="1086"/>
      <c r="OSB80" s="7"/>
      <c r="OSC80" s="7"/>
      <c r="OSD80" s="7"/>
      <c r="OSE80" s="7"/>
      <c r="OSF80" s="1161"/>
      <c r="OSG80" s="7"/>
      <c r="OSH80" s="7"/>
      <c r="OSI80" s="7"/>
      <c r="OSJ80" s="7"/>
      <c r="OSK80" s="7"/>
      <c r="OSL80" s="1161"/>
      <c r="OSM80" s="1161"/>
      <c r="OSN80" s="1161"/>
      <c r="OSO80" s="1365"/>
      <c r="OSP80" s="7"/>
      <c r="OSQ80" s="7"/>
      <c r="OSR80" s="1365"/>
      <c r="OSS80" s="1365"/>
      <c r="OSV80" s="1158"/>
      <c r="OSW80" s="1158"/>
      <c r="OSX80" s="1158"/>
      <c r="OSY80" s="7"/>
      <c r="OSZ80" s="7"/>
      <c r="OTA80" s="7"/>
      <c r="OTB80" s="7"/>
      <c r="OTC80" s="1161"/>
      <c r="OTD80" s="7"/>
      <c r="OTE80" s="7"/>
      <c r="OTF80" s="7"/>
      <c r="OTG80" s="7"/>
      <c r="OTH80" s="7"/>
      <c r="OTI80" s="1161"/>
      <c r="OTJ80" s="1161"/>
      <c r="OTK80" s="1161"/>
      <c r="OTL80" s="1365"/>
      <c r="OTM80" s="7"/>
      <c r="OTN80" s="7"/>
      <c r="OTO80" s="1365"/>
      <c r="OTP80" s="1365"/>
      <c r="OTR80" s="1158"/>
      <c r="OTS80" s="1158"/>
      <c r="OTT80" s="1158"/>
      <c r="OTU80" s="7"/>
      <c r="OTV80" s="7"/>
      <c r="OTW80" s="7"/>
      <c r="OTX80" s="7"/>
      <c r="OTY80" s="1363"/>
      <c r="OTZ80" s="1364"/>
      <c r="OUA80" s="1364"/>
      <c r="OUB80" s="1364"/>
      <c r="OUC80" s="7"/>
      <c r="OUD80" s="7"/>
      <c r="OUE80" s="1363"/>
      <c r="OUF80" s="1363"/>
      <c r="OUG80" s="1363"/>
      <c r="OUH80" s="1365"/>
      <c r="OUI80" s="7"/>
      <c r="OUJ80" s="7"/>
      <c r="OUK80" s="1365"/>
      <c r="OUL80" s="1365"/>
      <c r="OUM80" s="299"/>
      <c r="OUO80" s="1086"/>
      <c r="OUP80" s="1086"/>
      <c r="OUQ80" s="1086"/>
      <c r="OUR80" s="7"/>
      <c r="OUS80" s="7"/>
      <c r="OUT80" s="7"/>
      <c r="OUU80" s="7"/>
      <c r="OUV80" s="1161"/>
      <c r="OUW80" s="7"/>
      <c r="OUX80" s="7"/>
      <c r="OUY80" s="7"/>
      <c r="OUZ80" s="7"/>
      <c r="OVA80" s="7"/>
      <c r="OVB80" s="1161"/>
      <c r="OVC80" s="1161"/>
      <c r="OVD80" s="1161"/>
      <c r="OVE80" s="1365"/>
      <c r="OVF80" s="7"/>
      <c r="OVG80" s="7"/>
      <c r="OVH80" s="1365"/>
      <c r="OVI80" s="1365"/>
      <c r="OVL80" s="1158"/>
      <c r="OVM80" s="1158"/>
      <c r="OVN80" s="1158"/>
      <c r="OVO80" s="7"/>
      <c r="OVP80" s="7"/>
      <c r="OVQ80" s="7"/>
      <c r="OVR80" s="7"/>
      <c r="OVS80" s="1161"/>
      <c r="OVT80" s="7"/>
      <c r="OVU80" s="7"/>
      <c r="OVV80" s="7"/>
      <c r="OVW80" s="7"/>
      <c r="OVX80" s="7"/>
      <c r="OVY80" s="1161"/>
      <c r="OVZ80" s="1161"/>
      <c r="OWA80" s="1161"/>
      <c r="OWB80" s="1365"/>
      <c r="OWC80" s="7"/>
      <c r="OWD80" s="7"/>
      <c r="OWE80" s="1365"/>
      <c r="OWF80" s="1365"/>
      <c r="OWH80" s="1158"/>
      <c r="OWI80" s="1158"/>
      <c r="OWJ80" s="1158"/>
      <c r="OWK80" s="7"/>
      <c r="OWL80" s="7"/>
      <c r="OWM80" s="7"/>
      <c r="OWN80" s="7"/>
      <c r="OWO80" s="1363"/>
      <c r="OWP80" s="1364"/>
      <c r="OWQ80" s="1364"/>
      <c r="OWR80" s="1364"/>
      <c r="OWS80" s="7"/>
      <c r="OWT80" s="7"/>
      <c r="OWU80" s="1363"/>
      <c r="OWV80" s="1363"/>
      <c r="OWW80" s="1363"/>
      <c r="OWX80" s="1365"/>
      <c r="OWY80" s="7"/>
      <c r="OWZ80" s="7"/>
      <c r="OXA80" s="1365"/>
      <c r="OXB80" s="1365"/>
      <c r="OXC80" s="299"/>
      <c r="OXE80" s="1086"/>
      <c r="OXF80" s="1086"/>
      <c r="OXG80" s="1086"/>
      <c r="OXH80" s="7"/>
      <c r="OXI80" s="7"/>
      <c r="OXJ80" s="7"/>
      <c r="OXK80" s="7"/>
      <c r="OXL80" s="1161"/>
      <c r="OXM80" s="7"/>
      <c r="OXN80" s="7"/>
      <c r="OXO80" s="7"/>
      <c r="OXP80" s="7"/>
      <c r="OXQ80" s="7"/>
      <c r="OXR80" s="1161"/>
      <c r="OXS80" s="1161"/>
      <c r="OXT80" s="1161"/>
      <c r="OXU80" s="1365"/>
      <c r="OXV80" s="7"/>
      <c r="OXW80" s="7"/>
      <c r="OXX80" s="1365"/>
      <c r="OXY80" s="1365"/>
      <c r="OYB80" s="1158"/>
      <c r="OYC80" s="1158"/>
      <c r="OYD80" s="1158"/>
      <c r="OYE80" s="7"/>
      <c r="OYF80" s="7"/>
      <c r="OYG80" s="7"/>
      <c r="OYH80" s="7"/>
      <c r="OYI80" s="1161"/>
      <c r="OYJ80" s="7"/>
      <c r="OYK80" s="7"/>
      <c r="OYL80" s="7"/>
      <c r="OYM80" s="7"/>
      <c r="OYN80" s="7"/>
      <c r="OYO80" s="1161"/>
      <c r="OYP80" s="1161"/>
      <c r="OYQ80" s="1161"/>
      <c r="OYR80" s="1365"/>
      <c r="OYS80" s="7"/>
      <c r="OYT80" s="7"/>
      <c r="OYU80" s="1365"/>
      <c r="OYV80" s="1365"/>
      <c r="OYX80" s="1158"/>
      <c r="OYY80" s="1158"/>
      <c r="OYZ80" s="1158"/>
      <c r="OZA80" s="7"/>
      <c r="OZB80" s="7"/>
      <c r="OZC80" s="7"/>
      <c r="OZD80" s="7"/>
      <c r="OZE80" s="1363"/>
      <c r="OZF80" s="1364"/>
      <c r="OZG80" s="1364"/>
      <c r="OZH80" s="1364"/>
      <c r="OZI80" s="7"/>
      <c r="OZJ80" s="7"/>
      <c r="OZK80" s="1363"/>
      <c r="OZL80" s="1363"/>
      <c r="OZM80" s="1363"/>
      <c r="OZN80" s="1365"/>
      <c r="OZO80" s="7"/>
      <c r="OZP80" s="7"/>
      <c r="OZQ80" s="1365"/>
      <c r="OZR80" s="1365"/>
      <c r="OZS80" s="299"/>
      <c r="OZU80" s="1086"/>
      <c r="OZV80" s="1086"/>
      <c r="OZW80" s="1086"/>
      <c r="OZX80" s="7"/>
      <c r="OZY80" s="7"/>
      <c r="OZZ80" s="7"/>
      <c r="PAA80" s="7"/>
      <c r="PAB80" s="1161"/>
      <c r="PAC80" s="7"/>
      <c r="PAD80" s="7"/>
      <c r="PAE80" s="7"/>
      <c r="PAF80" s="7"/>
      <c r="PAG80" s="7"/>
      <c r="PAH80" s="1161"/>
      <c r="PAI80" s="1161"/>
      <c r="PAJ80" s="1161"/>
      <c r="PAK80" s="1365"/>
      <c r="PAL80" s="7"/>
      <c r="PAM80" s="7"/>
      <c r="PAN80" s="1365"/>
      <c r="PAO80" s="1365"/>
      <c r="PAR80" s="1158"/>
      <c r="PAS80" s="1158"/>
      <c r="PAT80" s="1158"/>
      <c r="PAU80" s="7"/>
      <c r="PAV80" s="7"/>
      <c r="PAW80" s="7"/>
      <c r="PAX80" s="7"/>
      <c r="PAY80" s="1161"/>
      <c r="PAZ80" s="7"/>
      <c r="PBA80" s="7"/>
      <c r="PBB80" s="7"/>
      <c r="PBC80" s="7"/>
      <c r="PBD80" s="7"/>
      <c r="PBE80" s="1161"/>
      <c r="PBF80" s="1161"/>
      <c r="PBG80" s="1161"/>
      <c r="PBH80" s="1365"/>
      <c r="PBI80" s="7"/>
      <c r="PBJ80" s="7"/>
      <c r="PBK80" s="1365"/>
      <c r="PBL80" s="1365"/>
      <c r="PBN80" s="1158"/>
      <c r="PBO80" s="1158"/>
      <c r="PBP80" s="1158"/>
      <c r="PBQ80" s="7"/>
      <c r="PBR80" s="7"/>
      <c r="PBS80" s="7"/>
      <c r="PBT80" s="7"/>
      <c r="PBU80" s="1363"/>
      <c r="PBV80" s="1364"/>
      <c r="PBW80" s="1364"/>
      <c r="PBX80" s="1364"/>
      <c r="PBY80" s="7"/>
      <c r="PBZ80" s="7"/>
      <c r="PCA80" s="1363"/>
      <c r="PCB80" s="1363"/>
      <c r="PCC80" s="1363"/>
      <c r="PCD80" s="1365"/>
      <c r="PCE80" s="7"/>
      <c r="PCF80" s="7"/>
      <c r="PCG80" s="1365"/>
      <c r="PCH80" s="1365"/>
      <c r="PCI80" s="299"/>
      <c r="PCK80" s="1086"/>
      <c r="PCL80" s="1086"/>
      <c r="PCM80" s="1086"/>
      <c r="PCN80" s="7"/>
      <c r="PCO80" s="7"/>
      <c r="PCP80" s="7"/>
      <c r="PCQ80" s="7"/>
      <c r="PCR80" s="1161"/>
      <c r="PCS80" s="7"/>
      <c r="PCT80" s="7"/>
      <c r="PCU80" s="7"/>
      <c r="PCV80" s="7"/>
      <c r="PCW80" s="7"/>
      <c r="PCX80" s="1161"/>
      <c r="PCY80" s="1161"/>
      <c r="PCZ80" s="1161"/>
      <c r="PDA80" s="1365"/>
      <c r="PDB80" s="7"/>
      <c r="PDC80" s="7"/>
      <c r="PDD80" s="1365"/>
      <c r="PDE80" s="1365"/>
      <c r="PDH80" s="1158"/>
      <c r="PDI80" s="1158"/>
      <c r="PDJ80" s="1158"/>
      <c r="PDK80" s="7"/>
      <c r="PDL80" s="7"/>
      <c r="PDM80" s="7"/>
      <c r="PDN80" s="7"/>
      <c r="PDO80" s="1161"/>
      <c r="PDP80" s="7"/>
      <c r="PDQ80" s="7"/>
      <c r="PDR80" s="7"/>
      <c r="PDS80" s="7"/>
      <c r="PDT80" s="7"/>
      <c r="PDU80" s="1161"/>
      <c r="PDV80" s="1161"/>
      <c r="PDW80" s="1161"/>
      <c r="PDX80" s="1365"/>
      <c r="PDY80" s="7"/>
      <c r="PDZ80" s="7"/>
      <c r="PEA80" s="1365"/>
      <c r="PEB80" s="1365"/>
      <c r="PED80" s="1158"/>
      <c r="PEE80" s="1158"/>
      <c r="PEF80" s="1158"/>
      <c r="PEG80" s="7"/>
      <c r="PEH80" s="7"/>
      <c r="PEI80" s="7"/>
      <c r="PEJ80" s="7"/>
      <c r="PEK80" s="1363"/>
      <c r="PEL80" s="1364"/>
      <c r="PEM80" s="1364"/>
      <c r="PEN80" s="1364"/>
      <c r="PEO80" s="7"/>
      <c r="PEP80" s="7"/>
      <c r="PEQ80" s="1363"/>
      <c r="PER80" s="1363"/>
      <c r="PES80" s="1363"/>
      <c r="PET80" s="1365"/>
      <c r="PEU80" s="7"/>
      <c r="PEV80" s="7"/>
      <c r="PEW80" s="1365"/>
      <c r="PEX80" s="1365"/>
      <c r="PEY80" s="299"/>
      <c r="PFA80" s="1086"/>
      <c r="PFB80" s="1086"/>
      <c r="PFC80" s="1086"/>
      <c r="PFD80" s="7"/>
      <c r="PFE80" s="7"/>
      <c r="PFF80" s="7"/>
      <c r="PFG80" s="7"/>
      <c r="PFH80" s="1161"/>
      <c r="PFI80" s="7"/>
      <c r="PFJ80" s="7"/>
      <c r="PFK80" s="7"/>
      <c r="PFL80" s="7"/>
      <c r="PFM80" s="7"/>
      <c r="PFN80" s="1161"/>
      <c r="PFO80" s="1161"/>
      <c r="PFP80" s="1161"/>
      <c r="PFQ80" s="1365"/>
      <c r="PFR80" s="7"/>
      <c r="PFS80" s="7"/>
      <c r="PFT80" s="1365"/>
      <c r="PFU80" s="1365"/>
      <c r="PFX80" s="1158"/>
      <c r="PFY80" s="1158"/>
      <c r="PFZ80" s="1158"/>
      <c r="PGA80" s="7"/>
      <c r="PGB80" s="7"/>
      <c r="PGC80" s="7"/>
      <c r="PGD80" s="7"/>
      <c r="PGE80" s="1161"/>
      <c r="PGF80" s="7"/>
      <c r="PGG80" s="7"/>
      <c r="PGH80" s="7"/>
      <c r="PGI80" s="7"/>
      <c r="PGJ80" s="7"/>
      <c r="PGK80" s="1161"/>
      <c r="PGL80" s="1161"/>
      <c r="PGM80" s="1161"/>
      <c r="PGN80" s="1365"/>
      <c r="PGO80" s="7"/>
      <c r="PGP80" s="7"/>
      <c r="PGQ80" s="1365"/>
      <c r="PGR80" s="1365"/>
      <c r="PGT80" s="1158"/>
      <c r="PGU80" s="1158"/>
      <c r="PGV80" s="1158"/>
      <c r="PGW80" s="7"/>
      <c r="PGX80" s="7"/>
      <c r="PGY80" s="7"/>
      <c r="PGZ80" s="7"/>
      <c r="PHA80" s="1363"/>
      <c r="PHB80" s="1364"/>
      <c r="PHC80" s="1364"/>
      <c r="PHD80" s="1364"/>
      <c r="PHE80" s="7"/>
      <c r="PHF80" s="7"/>
      <c r="PHG80" s="1363"/>
      <c r="PHH80" s="1363"/>
      <c r="PHI80" s="1363"/>
      <c r="PHJ80" s="1365"/>
      <c r="PHK80" s="7"/>
      <c r="PHL80" s="7"/>
      <c r="PHM80" s="1365"/>
      <c r="PHN80" s="1365"/>
      <c r="PHO80" s="299"/>
      <c r="PHQ80" s="1086"/>
      <c r="PHR80" s="1086"/>
      <c r="PHS80" s="1086"/>
      <c r="PHT80" s="7"/>
      <c r="PHU80" s="7"/>
      <c r="PHV80" s="7"/>
      <c r="PHW80" s="7"/>
      <c r="PHX80" s="1161"/>
      <c r="PHY80" s="7"/>
      <c r="PHZ80" s="7"/>
      <c r="PIA80" s="7"/>
      <c r="PIB80" s="7"/>
      <c r="PIC80" s="7"/>
      <c r="PID80" s="1161"/>
      <c r="PIE80" s="1161"/>
      <c r="PIF80" s="1161"/>
      <c r="PIG80" s="1365"/>
      <c r="PIH80" s="7"/>
      <c r="PII80" s="7"/>
      <c r="PIJ80" s="1365"/>
      <c r="PIK80" s="1365"/>
      <c r="PIN80" s="1158"/>
      <c r="PIO80" s="1158"/>
      <c r="PIP80" s="1158"/>
      <c r="PIQ80" s="7"/>
      <c r="PIR80" s="7"/>
      <c r="PIS80" s="7"/>
      <c r="PIT80" s="7"/>
      <c r="PIU80" s="1161"/>
      <c r="PIV80" s="7"/>
      <c r="PIW80" s="7"/>
      <c r="PIX80" s="7"/>
      <c r="PIY80" s="7"/>
      <c r="PIZ80" s="7"/>
      <c r="PJA80" s="1161"/>
      <c r="PJB80" s="1161"/>
      <c r="PJC80" s="1161"/>
      <c r="PJD80" s="1365"/>
      <c r="PJE80" s="7"/>
      <c r="PJF80" s="7"/>
      <c r="PJG80" s="1365"/>
      <c r="PJH80" s="1365"/>
      <c r="PJJ80" s="1158"/>
      <c r="PJK80" s="1158"/>
      <c r="PJL80" s="1158"/>
      <c r="PJM80" s="7"/>
      <c r="PJN80" s="7"/>
      <c r="PJO80" s="7"/>
      <c r="PJP80" s="7"/>
      <c r="PJQ80" s="1363"/>
      <c r="PJR80" s="1364"/>
      <c r="PJS80" s="1364"/>
      <c r="PJT80" s="1364"/>
      <c r="PJU80" s="7"/>
      <c r="PJV80" s="7"/>
      <c r="PJW80" s="1363"/>
      <c r="PJX80" s="1363"/>
      <c r="PJY80" s="1363"/>
      <c r="PJZ80" s="1365"/>
      <c r="PKA80" s="7"/>
      <c r="PKB80" s="7"/>
      <c r="PKC80" s="1365"/>
      <c r="PKD80" s="1365"/>
      <c r="PKE80" s="299"/>
      <c r="PKG80" s="1086"/>
      <c r="PKH80" s="1086"/>
      <c r="PKI80" s="1086"/>
      <c r="PKJ80" s="7"/>
      <c r="PKK80" s="7"/>
      <c r="PKL80" s="7"/>
      <c r="PKM80" s="7"/>
      <c r="PKN80" s="1161"/>
      <c r="PKO80" s="7"/>
      <c r="PKP80" s="7"/>
      <c r="PKQ80" s="7"/>
      <c r="PKR80" s="7"/>
      <c r="PKS80" s="7"/>
      <c r="PKT80" s="1161"/>
      <c r="PKU80" s="1161"/>
      <c r="PKV80" s="1161"/>
      <c r="PKW80" s="1365"/>
      <c r="PKX80" s="7"/>
      <c r="PKY80" s="7"/>
      <c r="PKZ80" s="1365"/>
      <c r="PLA80" s="1365"/>
      <c r="PLD80" s="1158"/>
      <c r="PLE80" s="1158"/>
      <c r="PLF80" s="1158"/>
      <c r="PLG80" s="7"/>
      <c r="PLH80" s="7"/>
      <c r="PLI80" s="7"/>
      <c r="PLJ80" s="7"/>
      <c r="PLK80" s="1161"/>
      <c r="PLL80" s="7"/>
      <c r="PLM80" s="7"/>
      <c r="PLN80" s="7"/>
      <c r="PLO80" s="7"/>
      <c r="PLP80" s="7"/>
      <c r="PLQ80" s="1161"/>
      <c r="PLR80" s="1161"/>
      <c r="PLS80" s="1161"/>
      <c r="PLT80" s="1365"/>
      <c r="PLU80" s="7"/>
      <c r="PLV80" s="7"/>
      <c r="PLW80" s="1365"/>
      <c r="PLX80" s="1365"/>
      <c r="PLZ80" s="1158"/>
      <c r="PMA80" s="1158"/>
      <c r="PMB80" s="1158"/>
      <c r="PMC80" s="7"/>
      <c r="PMD80" s="7"/>
      <c r="PME80" s="7"/>
      <c r="PMF80" s="7"/>
      <c r="PMG80" s="1363"/>
      <c r="PMH80" s="1364"/>
      <c r="PMI80" s="1364"/>
      <c r="PMJ80" s="1364"/>
      <c r="PMK80" s="7"/>
      <c r="PML80" s="7"/>
      <c r="PMM80" s="1363"/>
      <c r="PMN80" s="1363"/>
      <c r="PMO80" s="1363"/>
      <c r="PMP80" s="1365"/>
      <c r="PMQ80" s="7"/>
      <c r="PMR80" s="7"/>
      <c r="PMS80" s="1365"/>
      <c r="PMT80" s="1365"/>
      <c r="PMU80" s="299"/>
      <c r="PMW80" s="1086"/>
      <c r="PMX80" s="1086"/>
      <c r="PMY80" s="1086"/>
      <c r="PMZ80" s="7"/>
      <c r="PNA80" s="7"/>
      <c r="PNB80" s="7"/>
      <c r="PNC80" s="7"/>
      <c r="PND80" s="1161"/>
      <c r="PNE80" s="7"/>
      <c r="PNF80" s="7"/>
      <c r="PNG80" s="7"/>
      <c r="PNH80" s="7"/>
      <c r="PNI80" s="7"/>
      <c r="PNJ80" s="1161"/>
      <c r="PNK80" s="1161"/>
      <c r="PNL80" s="1161"/>
      <c r="PNM80" s="1365"/>
      <c r="PNN80" s="7"/>
      <c r="PNO80" s="7"/>
      <c r="PNP80" s="1365"/>
      <c r="PNQ80" s="1365"/>
      <c r="PNT80" s="1158"/>
      <c r="PNU80" s="1158"/>
      <c r="PNV80" s="1158"/>
      <c r="PNW80" s="7"/>
      <c r="PNX80" s="7"/>
      <c r="PNY80" s="7"/>
      <c r="PNZ80" s="7"/>
      <c r="POA80" s="1161"/>
      <c r="POB80" s="7"/>
      <c r="POC80" s="7"/>
      <c r="POD80" s="7"/>
      <c r="POE80" s="7"/>
      <c r="POF80" s="7"/>
      <c r="POG80" s="1161"/>
      <c r="POH80" s="1161"/>
      <c r="POI80" s="1161"/>
      <c r="POJ80" s="1365"/>
      <c r="POK80" s="7"/>
      <c r="POL80" s="7"/>
      <c r="POM80" s="1365"/>
      <c r="PON80" s="1365"/>
      <c r="POP80" s="1158"/>
      <c r="POQ80" s="1158"/>
      <c r="POR80" s="1158"/>
      <c r="POS80" s="7"/>
      <c r="POT80" s="7"/>
      <c r="POU80" s="7"/>
      <c r="POV80" s="7"/>
      <c r="POW80" s="1363"/>
      <c r="POX80" s="1364"/>
      <c r="POY80" s="1364"/>
      <c r="POZ80" s="1364"/>
      <c r="PPA80" s="7"/>
      <c r="PPB80" s="7"/>
      <c r="PPC80" s="1363"/>
      <c r="PPD80" s="1363"/>
      <c r="PPE80" s="1363"/>
      <c r="PPF80" s="1365"/>
      <c r="PPG80" s="7"/>
      <c r="PPH80" s="7"/>
      <c r="PPI80" s="1365"/>
      <c r="PPJ80" s="1365"/>
      <c r="PPK80" s="299"/>
      <c r="PPM80" s="1086"/>
      <c r="PPN80" s="1086"/>
      <c r="PPO80" s="1086"/>
      <c r="PPP80" s="7"/>
      <c r="PPQ80" s="7"/>
      <c r="PPR80" s="7"/>
      <c r="PPS80" s="7"/>
      <c r="PPT80" s="1161"/>
      <c r="PPU80" s="7"/>
      <c r="PPV80" s="7"/>
      <c r="PPW80" s="7"/>
      <c r="PPX80" s="7"/>
      <c r="PPY80" s="7"/>
      <c r="PPZ80" s="1161"/>
      <c r="PQA80" s="1161"/>
      <c r="PQB80" s="1161"/>
      <c r="PQC80" s="1365"/>
      <c r="PQD80" s="7"/>
      <c r="PQE80" s="7"/>
      <c r="PQF80" s="1365"/>
      <c r="PQG80" s="1365"/>
      <c r="PQJ80" s="1158"/>
      <c r="PQK80" s="1158"/>
      <c r="PQL80" s="1158"/>
      <c r="PQM80" s="7"/>
      <c r="PQN80" s="7"/>
      <c r="PQO80" s="7"/>
      <c r="PQP80" s="7"/>
      <c r="PQQ80" s="1161"/>
      <c r="PQR80" s="7"/>
      <c r="PQS80" s="7"/>
      <c r="PQT80" s="7"/>
      <c r="PQU80" s="7"/>
      <c r="PQV80" s="7"/>
      <c r="PQW80" s="1161"/>
      <c r="PQX80" s="1161"/>
      <c r="PQY80" s="1161"/>
      <c r="PQZ80" s="1365"/>
      <c r="PRA80" s="7"/>
      <c r="PRB80" s="7"/>
      <c r="PRC80" s="1365"/>
      <c r="PRD80" s="1365"/>
      <c r="PRF80" s="1158"/>
      <c r="PRG80" s="1158"/>
      <c r="PRH80" s="1158"/>
      <c r="PRI80" s="7"/>
      <c r="PRJ80" s="7"/>
      <c r="PRK80" s="7"/>
      <c r="PRL80" s="7"/>
      <c r="PRM80" s="1363"/>
      <c r="PRN80" s="1364"/>
      <c r="PRO80" s="1364"/>
      <c r="PRP80" s="1364"/>
      <c r="PRQ80" s="7"/>
      <c r="PRR80" s="7"/>
      <c r="PRS80" s="1363"/>
      <c r="PRT80" s="1363"/>
      <c r="PRU80" s="1363"/>
      <c r="PRV80" s="1365"/>
      <c r="PRW80" s="7"/>
      <c r="PRX80" s="7"/>
      <c r="PRY80" s="1365"/>
      <c r="PRZ80" s="1365"/>
      <c r="PSA80" s="299"/>
      <c r="PSC80" s="1086"/>
      <c r="PSD80" s="1086"/>
      <c r="PSE80" s="1086"/>
      <c r="PSF80" s="7"/>
      <c r="PSG80" s="7"/>
      <c r="PSH80" s="7"/>
      <c r="PSI80" s="7"/>
      <c r="PSJ80" s="1161"/>
      <c r="PSK80" s="7"/>
      <c r="PSL80" s="7"/>
      <c r="PSM80" s="7"/>
      <c r="PSN80" s="7"/>
      <c r="PSO80" s="7"/>
      <c r="PSP80" s="1161"/>
      <c r="PSQ80" s="1161"/>
      <c r="PSR80" s="1161"/>
      <c r="PSS80" s="1365"/>
      <c r="PST80" s="7"/>
      <c r="PSU80" s="7"/>
      <c r="PSV80" s="1365"/>
      <c r="PSW80" s="1365"/>
      <c r="PSZ80" s="1158"/>
      <c r="PTA80" s="1158"/>
      <c r="PTB80" s="1158"/>
      <c r="PTC80" s="7"/>
      <c r="PTD80" s="7"/>
      <c r="PTE80" s="7"/>
      <c r="PTF80" s="7"/>
      <c r="PTG80" s="1161"/>
      <c r="PTH80" s="7"/>
      <c r="PTI80" s="7"/>
      <c r="PTJ80" s="7"/>
      <c r="PTK80" s="7"/>
      <c r="PTL80" s="7"/>
      <c r="PTM80" s="1161"/>
      <c r="PTN80" s="1161"/>
      <c r="PTO80" s="1161"/>
      <c r="PTP80" s="1365"/>
      <c r="PTQ80" s="7"/>
      <c r="PTR80" s="7"/>
      <c r="PTS80" s="1365"/>
      <c r="PTT80" s="1365"/>
      <c r="PTV80" s="1158"/>
      <c r="PTW80" s="1158"/>
      <c r="PTX80" s="1158"/>
      <c r="PTY80" s="7"/>
      <c r="PTZ80" s="7"/>
      <c r="PUA80" s="7"/>
      <c r="PUB80" s="7"/>
      <c r="PUC80" s="1363"/>
      <c r="PUD80" s="1364"/>
      <c r="PUE80" s="1364"/>
      <c r="PUF80" s="1364"/>
      <c r="PUG80" s="7"/>
      <c r="PUH80" s="7"/>
      <c r="PUI80" s="1363"/>
      <c r="PUJ80" s="1363"/>
      <c r="PUK80" s="1363"/>
      <c r="PUL80" s="1365"/>
      <c r="PUM80" s="7"/>
      <c r="PUN80" s="7"/>
      <c r="PUO80" s="1365"/>
      <c r="PUP80" s="1365"/>
      <c r="PUQ80" s="299"/>
      <c r="PUS80" s="1086"/>
      <c r="PUT80" s="1086"/>
      <c r="PUU80" s="1086"/>
      <c r="PUV80" s="7"/>
      <c r="PUW80" s="7"/>
      <c r="PUX80" s="7"/>
      <c r="PUY80" s="7"/>
      <c r="PUZ80" s="1161"/>
      <c r="PVA80" s="7"/>
      <c r="PVB80" s="7"/>
      <c r="PVC80" s="7"/>
      <c r="PVD80" s="7"/>
      <c r="PVE80" s="7"/>
      <c r="PVF80" s="1161"/>
      <c r="PVG80" s="1161"/>
      <c r="PVH80" s="1161"/>
      <c r="PVI80" s="1365"/>
      <c r="PVJ80" s="7"/>
      <c r="PVK80" s="7"/>
      <c r="PVL80" s="1365"/>
      <c r="PVM80" s="1365"/>
      <c r="PVP80" s="1158"/>
      <c r="PVQ80" s="1158"/>
      <c r="PVR80" s="1158"/>
      <c r="PVS80" s="7"/>
      <c r="PVT80" s="7"/>
      <c r="PVU80" s="7"/>
      <c r="PVV80" s="7"/>
      <c r="PVW80" s="1161"/>
      <c r="PVX80" s="7"/>
      <c r="PVY80" s="7"/>
      <c r="PVZ80" s="7"/>
      <c r="PWA80" s="7"/>
      <c r="PWB80" s="7"/>
      <c r="PWC80" s="1161"/>
      <c r="PWD80" s="1161"/>
      <c r="PWE80" s="1161"/>
      <c r="PWF80" s="1365"/>
      <c r="PWG80" s="7"/>
      <c r="PWH80" s="7"/>
      <c r="PWI80" s="1365"/>
      <c r="PWJ80" s="1365"/>
      <c r="PWL80" s="1158"/>
      <c r="PWM80" s="1158"/>
      <c r="PWN80" s="1158"/>
      <c r="PWO80" s="7"/>
      <c r="PWP80" s="7"/>
      <c r="PWQ80" s="7"/>
      <c r="PWR80" s="7"/>
      <c r="PWS80" s="1363"/>
      <c r="PWT80" s="1364"/>
      <c r="PWU80" s="1364"/>
      <c r="PWV80" s="1364"/>
      <c r="PWW80" s="7"/>
      <c r="PWX80" s="7"/>
      <c r="PWY80" s="1363"/>
      <c r="PWZ80" s="1363"/>
      <c r="PXA80" s="1363"/>
      <c r="PXB80" s="1365"/>
      <c r="PXC80" s="7"/>
      <c r="PXD80" s="7"/>
      <c r="PXE80" s="1365"/>
      <c r="PXF80" s="1365"/>
      <c r="PXG80" s="299"/>
      <c r="PXI80" s="1086"/>
      <c r="PXJ80" s="1086"/>
      <c r="PXK80" s="1086"/>
      <c r="PXL80" s="7"/>
      <c r="PXM80" s="7"/>
      <c r="PXN80" s="7"/>
      <c r="PXO80" s="7"/>
      <c r="PXP80" s="1161"/>
      <c r="PXQ80" s="7"/>
      <c r="PXR80" s="7"/>
      <c r="PXS80" s="7"/>
      <c r="PXT80" s="7"/>
      <c r="PXU80" s="7"/>
      <c r="PXV80" s="1161"/>
      <c r="PXW80" s="1161"/>
      <c r="PXX80" s="1161"/>
      <c r="PXY80" s="1365"/>
      <c r="PXZ80" s="7"/>
      <c r="PYA80" s="7"/>
      <c r="PYB80" s="1365"/>
      <c r="PYC80" s="1365"/>
      <c r="PYF80" s="1158"/>
      <c r="PYG80" s="1158"/>
      <c r="PYH80" s="1158"/>
      <c r="PYI80" s="7"/>
      <c r="PYJ80" s="7"/>
      <c r="PYK80" s="7"/>
      <c r="PYL80" s="7"/>
      <c r="PYM80" s="1161"/>
      <c r="PYN80" s="7"/>
      <c r="PYO80" s="7"/>
      <c r="PYP80" s="7"/>
      <c r="PYQ80" s="7"/>
      <c r="PYR80" s="7"/>
      <c r="PYS80" s="1161"/>
      <c r="PYT80" s="1161"/>
      <c r="PYU80" s="1161"/>
      <c r="PYV80" s="1365"/>
      <c r="PYW80" s="7"/>
      <c r="PYX80" s="7"/>
      <c r="PYY80" s="1365"/>
      <c r="PYZ80" s="1365"/>
      <c r="PZB80" s="1158"/>
      <c r="PZC80" s="1158"/>
      <c r="PZD80" s="1158"/>
      <c r="PZE80" s="7"/>
      <c r="PZF80" s="7"/>
      <c r="PZG80" s="7"/>
      <c r="PZH80" s="7"/>
      <c r="PZI80" s="1363"/>
      <c r="PZJ80" s="1364"/>
      <c r="PZK80" s="1364"/>
      <c r="PZL80" s="1364"/>
      <c r="PZM80" s="7"/>
      <c r="PZN80" s="7"/>
      <c r="PZO80" s="1363"/>
      <c r="PZP80" s="1363"/>
      <c r="PZQ80" s="1363"/>
      <c r="PZR80" s="1365"/>
      <c r="PZS80" s="7"/>
      <c r="PZT80" s="7"/>
      <c r="PZU80" s="1365"/>
      <c r="PZV80" s="1365"/>
      <c r="PZW80" s="299"/>
      <c r="PZY80" s="1086"/>
      <c r="PZZ80" s="1086"/>
      <c r="QAA80" s="1086"/>
      <c r="QAB80" s="7"/>
      <c r="QAC80" s="7"/>
      <c r="QAD80" s="7"/>
      <c r="QAE80" s="7"/>
      <c r="QAF80" s="1161"/>
      <c r="QAG80" s="7"/>
      <c r="QAH80" s="7"/>
      <c r="QAI80" s="7"/>
      <c r="QAJ80" s="7"/>
      <c r="QAK80" s="7"/>
      <c r="QAL80" s="1161"/>
      <c r="QAM80" s="1161"/>
      <c r="QAN80" s="1161"/>
      <c r="QAO80" s="1365"/>
      <c r="QAP80" s="7"/>
      <c r="QAQ80" s="7"/>
      <c r="QAR80" s="1365"/>
      <c r="QAS80" s="1365"/>
      <c r="QAV80" s="1158"/>
      <c r="QAW80" s="1158"/>
      <c r="QAX80" s="1158"/>
      <c r="QAY80" s="7"/>
      <c r="QAZ80" s="7"/>
      <c r="QBA80" s="7"/>
      <c r="QBB80" s="7"/>
      <c r="QBC80" s="1161"/>
      <c r="QBD80" s="7"/>
      <c r="QBE80" s="7"/>
      <c r="QBF80" s="7"/>
      <c r="QBG80" s="7"/>
      <c r="QBH80" s="7"/>
      <c r="QBI80" s="1161"/>
      <c r="QBJ80" s="1161"/>
      <c r="QBK80" s="1161"/>
      <c r="QBL80" s="1365"/>
      <c r="QBM80" s="7"/>
      <c r="QBN80" s="7"/>
      <c r="QBO80" s="1365"/>
      <c r="QBP80" s="1365"/>
      <c r="QBR80" s="1158"/>
      <c r="QBS80" s="1158"/>
      <c r="QBT80" s="1158"/>
      <c r="QBU80" s="7"/>
      <c r="QBV80" s="7"/>
      <c r="QBW80" s="7"/>
      <c r="QBX80" s="7"/>
      <c r="QBY80" s="1363"/>
      <c r="QBZ80" s="1364"/>
      <c r="QCA80" s="1364"/>
      <c r="QCB80" s="1364"/>
      <c r="QCC80" s="7"/>
      <c r="QCD80" s="7"/>
      <c r="QCE80" s="1363"/>
      <c r="QCF80" s="1363"/>
      <c r="QCG80" s="1363"/>
      <c r="QCH80" s="1365"/>
      <c r="QCI80" s="7"/>
      <c r="QCJ80" s="7"/>
      <c r="QCK80" s="1365"/>
      <c r="QCL80" s="1365"/>
      <c r="QCM80" s="299"/>
      <c r="QCO80" s="1086"/>
      <c r="QCP80" s="1086"/>
      <c r="QCQ80" s="1086"/>
      <c r="QCR80" s="7"/>
      <c r="QCS80" s="7"/>
      <c r="QCT80" s="7"/>
      <c r="QCU80" s="7"/>
      <c r="QCV80" s="1161"/>
      <c r="QCW80" s="7"/>
      <c r="QCX80" s="7"/>
      <c r="QCY80" s="7"/>
      <c r="QCZ80" s="7"/>
      <c r="QDA80" s="7"/>
      <c r="QDB80" s="1161"/>
      <c r="QDC80" s="1161"/>
      <c r="QDD80" s="1161"/>
      <c r="QDE80" s="1365"/>
      <c r="QDF80" s="7"/>
      <c r="QDG80" s="7"/>
      <c r="QDH80" s="1365"/>
      <c r="QDI80" s="1365"/>
      <c r="QDL80" s="1158"/>
      <c r="QDM80" s="1158"/>
      <c r="QDN80" s="1158"/>
      <c r="QDO80" s="7"/>
      <c r="QDP80" s="7"/>
      <c r="QDQ80" s="7"/>
      <c r="QDR80" s="7"/>
      <c r="QDS80" s="1161"/>
      <c r="QDT80" s="7"/>
      <c r="QDU80" s="7"/>
      <c r="QDV80" s="7"/>
      <c r="QDW80" s="7"/>
      <c r="QDX80" s="7"/>
      <c r="QDY80" s="1161"/>
      <c r="QDZ80" s="1161"/>
      <c r="QEA80" s="1161"/>
      <c r="QEB80" s="1365"/>
      <c r="QEC80" s="7"/>
      <c r="QED80" s="7"/>
      <c r="QEE80" s="1365"/>
      <c r="QEF80" s="1365"/>
      <c r="QEH80" s="1158"/>
      <c r="QEI80" s="1158"/>
      <c r="QEJ80" s="1158"/>
      <c r="QEK80" s="7"/>
      <c r="QEL80" s="7"/>
      <c r="QEM80" s="7"/>
      <c r="QEN80" s="7"/>
      <c r="QEO80" s="1363"/>
      <c r="QEP80" s="1364"/>
      <c r="QEQ80" s="1364"/>
      <c r="QER80" s="1364"/>
      <c r="QES80" s="7"/>
      <c r="QET80" s="7"/>
      <c r="QEU80" s="1363"/>
      <c r="QEV80" s="1363"/>
      <c r="QEW80" s="1363"/>
      <c r="QEX80" s="1365"/>
      <c r="QEY80" s="7"/>
      <c r="QEZ80" s="7"/>
      <c r="QFA80" s="1365"/>
      <c r="QFB80" s="1365"/>
      <c r="QFC80" s="299"/>
      <c r="QFE80" s="1086"/>
      <c r="QFF80" s="1086"/>
      <c r="QFG80" s="1086"/>
      <c r="QFH80" s="7"/>
      <c r="QFI80" s="7"/>
      <c r="QFJ80" s="7"/>
      <c r="QFK80" s="7"/>
      <c r="QFL80" s="1161"/>
      <c r="QFM80" s="7"/>
      <c r="QFN80" s="7"/>
      <c r="QFO80" s="7"/>
      <c r="QFP80" s="7"/>
      <c r="QFQ80" s="7"/>
      <c r="QFR80" s="1161"/>
      <c r="QFS80" s="1161"/>
      <c r="QFT80" s="1161"/>
      <c r="QFU80" s="1365"/>
      <c r="QFV80" s="7"/>
      <c r="QFW80" s="7"/>
      <c r="QFX80" s="1365"/>
      <c r="QFY80" s="1365"/>
      <c r="QGB80" s="1158"/>
      <c r="QGC80" s="1158"/>
      <c r="QGD80" s="1158"/>
      <c r="QGE80" s="7"/>
      <c r="QGF80" s="7"/>
      <c r="QGG80" s="7"/>
      <c r="QGH80" s="7"/>
      <c r="QGI80" s="1161"/>
      <c r="QGJ80" s="7"/>
      <c r="QGK80" s="7"/>
      <c r="QGL80" s="7"/>
      <c r="QGM80" s="7"/>
      <c r="QGN80" s="7"/>
      <c r="QGO80" s="1161"/>
      <c r="QGP80" s="1161"/>
      <c r="QGQ80" s="1161"/>
      <c r="QGR80" s="1365"/>
      <c r="QGS80" s="7"/>
      <c r="QGT80" s="7"/>
      <c r="QGU80" s="1365"/>
      <c r="QGV80" s="1365"/>
      <c r="QGX80" s="1158"/>
      <c r="QGY80" s="1158"/>
      <c r="QGZ80" s="1158"/>
      <c r="QHA80" s="7"/>
      <c r="QHB80" s="7"/>
      <c r="QHC80" s="7"/>
      <c r="QHD80" s="7"/>
      <c r="QHE80" s="1363"/>
      <c r="QHF80" s="1364"/>
      <c r="QHG80" s="1364"/>
      <c r="QHH80" s="1364"/>
      <c r="QHI80" s="7"/>
      <c r="QHJ80" s="7"/>
      <c r="QHK80" s="1363"/>
      <c r="QHL80" s="1363"/>
      <c r="QHM80" s="1363"/>
      <c r="QHN80" s="1365"/>
      <c r="QHO80" s="7"/>
      <c r="QHP80" s="7"/>
      <c r="QHQ80" s="1365"/>
      <c r="QHR80" s="1365"/>
      <c r="QHS80" s="299"/>
      <c r="QHU80" s="1086"/>
      <c r="QHV80" s="1086"/>
      <c r="QHW80" s="1086"/>
      <c r="QHX80" s="7"/>
      <c r="QHY80" s="7"/>
      <c r="QHZ80" s="7"/>
      <c r="QIA80" s="7"/>
      <c r="QIB80" s="1161"/>
      <c r="QIC80" s="7"/>
      <c r="QID80" s="7"/>
      <c r="QIE80" s="7"/>
      <c r="QIF80" s="7"/>
      <c r="QIG80" s="7"/>
      <c r="QIH80" s="1161"/>
      <c r="QII80" s="1161"/>
      <c r="QIJ80" s="1161"/>
      <c r="QIK80" s="1365"/>
      <c r="QIL80" s="7"/>
      <c r="QIM80" s="7"/>
      <c r="QIN80" s="1365"/>
      <c r="QIO80" s="1365"/>
      <c r="QIR80" s="1158"/>
      <c r="QIS80" s="1158"/>
      <c r="QIT80" s="1158"/>
      <c r="QIU80" s="7"/>
      <c r="QIV80" s="7"/>
      <c r="QIW80" s="7"/>
      <c r="QIX80" s="7"/>
      <c r="QIY80" s="1161"/>
      <c r="QIZ80" s="7"/>
      <c r="QJA80" s="7"/>
      <c r="QJB80" s="7"/>
      <c r="QJC80" s="7"/>
      <c r="QJD80" s="7"/>
      <c r="QJE80" s="1161"/>
      <c r="QJF80" s="1161"/>
      <c r="QJG80" s="1161"/>
      <c r="QJH80" s="1365"/>
      <c r="QJI80" s="7"/>
      <c r="QJJ80" s="7"/>
      <c r="QJK80" s="1365"/>
      <c r="QJL80" s="1365"/>
      <c r="QJN80" s="1158"/>
      <c r="QJO80" s="1158"/>
      <c r="QJP80" s="1158"/>
      <c r="QJQ80" s="7"/>
      <c r="QJR80" s="7"/>
      <c r="QJS80" s="7"/>
      <c r="QJT80" s="7"/>
      <c r="QJU80" s="1363"/>
      <c r="QJV80" s="1364"/>
      <c r="QJW80" s="1364"/>
      <c r="QJX80" s="1364"/>
      <c r="QJY80" s="7"/>
      <c r="QJZ80" s="7"/>
      <c r="QKA80" s="1363"/>
      <c r="QKB80" s="1363"/>
      <c r="QKC80" s="1363"/>
      <c r="QKD80" s="1365"/>
      <c r="QKE80" s="7"/>
      <c r="QKF80" s="7"/>
      <c r="QKG80" s="1365"/>
      <c r="QKH80" s="1365"/>
      <c r="QKI80" s="299"/>
      <c r="QKK80" s="1086"/>
      <c r="QKL80" s="1086"/>
      <c r="QKM80" s="1086"/>
      <c r="QKN80" s="7"/>
      <c r="QKO80" s="7"/>
      <c r="QKP80" s="7"/>
      <c r="QKQ80" s="7"/>
      <c r="QKR80" s="1161"/>
      <c r="QKS80" s="7"/>
      <c r="QKT80" s="7"/>
      <c r="QKU80" s="7"/>
      <c r="QKV80" s="7"/>
      <c r="QKW80" s="7"/>
      <c r="QKX80" s="1161"/>
      <c r="QKY80" s="1161"/>
      <c r="QKZ80" s="1161"/>
      <c r="QLA80" s="1365"/>
      <c r="QLB80" s="7"/>
      <c r="QLC80" s="7"/>
      <c r="QLD80" s="1365"/>
      <c r="QLE80" s="1365"/>
      <c r="QLH80" s="1158"/>
      <c r="QLI80" s="1158"/>
      <c r="QLJ80" s="1158"/>
      <c r="QLK80" s="7"/>
      <c r="QLL80" s="7"/>
      <c r="QLM80" s="7"/>
      <c r="QLN80" s="7"/>
      <c r="QLO80" s="1161"/>
      <c r="QLP80" s="7"/>
      <c r="QLQ80" s="7"/>
      <c r="QLR80" s="7"/>
      <c r="QLS80" s="7"/>
      <c r="QLT80" s="7"/>
      <c r="QLU80" s="1161"/>
      <c r="QLV80" s="1161"/>
      <c r="QLW80" s="1161"/>
      <c r="QLX80" s="1365"/>
      <c r="QLY80" s="7"/>
      <c r="QLZ80" s="7"/>
      <c r="QMA80" s="1365"/>
      <c r="QMB80" s="1365"/>
      <c r="QMD80" s="1158"/>
      <c r="QME80" s="1158"/>
      <c r="QMF80" s="1158"/>
      <c r="QMG80" s="7"/>
      <c r="QMH80" s="7"/>
      <c r="QMI80" s="7"/>
      <c r="QMJ80" s="7"/>
      <c r="QMK80" s="1363"/>
      <c r="QML80" s="1364"/>
      <c r="QMM80" s="1364"/>
      <c r="QMN80" s="1364"/>
      <c r="QMO80" s="7"/>
      <c r="QMP80" s="7"/>
      <c r="QMQ80" s="1363"/>
      <c r="QMR80" s="1363"/>
      <c r="QMS80" s="1363"/>
      <c r="QMT80" s="1365"/>
      <c r="QMU80" s="7"/>
      <c r="QMV80" s="7"/>
      <c r="QMW80" s="1365"/>
      <c r="QMX80" s="1365"/>
      <c r="QMY80" s="299"/>
      <c r="QNA80" s="1086"/>
      <c r="QNB80" s="1086"/>
      <c r="QNC80" s="1086"/>
      <c r="QND80" s="7"/>
      <c r="QNE80" s="7"/>
      <c r="QNF80" s="7"/>
      <c r="QNG80" s="7"/>
      <c r="QNH80" s="1161"/>
      <c r="QNI80" s="7"/>
      <c r="QNJ80" s="7"/>
      <c r="QNK80" s="7"/>
      <c r="QNL80" s="7"/>
      <c r="QNM80" s="7"/>
      <c r="QNN80" s="1161"/>
      <c r="QNO80" s="1161"/>
      <c r="QNP80" s="1161"/>
      <c r="QNQ80" s="1365"/>
      <c r="QNR80" s="7"/>
      <c r="QNS80" s="7"/>
      <c r="QNT80" s="1365"/>
      <c r="QNU80" s="1365"/>
      <c r="QNX80" s="1158"/>
      <c r="QNY80" s="1158"/>
      <c r="QNZ80" s="1158"/>
      <c r="QOA80" s="7"/>
      <c r="QOB80" s="7"/>
      <c r="QOC80" s="7"/>
      <c r="QOD80" s="7"/>
      <c r="QOE80" s="1161"/>
      <c r="QOF80" s="7"/>
      <c r="QOG80" s="7"/>
      <c r="QOH80" s="7"/>
      <c r="QOI80" s="7"/>
      <c r="QOJ80" s="7"/>
      <c r="QOK80" s="1161"/>
      <c r="QOL80" s="1161"/>
      <c r="QOM80" s="1161"/>
      <c r="QON80" s="1365"/>
      <c r="QOO80" s="7"/>
      <c r="QOP80" s="7"/>
      <c r="QOQ80" s="1365"/>
      <c r="QOR80" s="1365"/>
      <c r="QOT80" s="1158"/>
      <c r="QOU80" s="1158"/>
      <c r="QOV80" s="1158"/>
      <c r="QOW80" s="7"/>
      <c r="QOX80" s="7"/>
      <c r="QOY80" s="7"/>
      <c r="QOZ80" s="7"/>
      <c r="QPA80" s="1363"/>
      <c r="QPB80" s="1364"/>
      <c r="QPC80" s="1364"/>
      <c r="QPD80" s="1364"/>
      <c r="QPE80" s="7"/>
      <c r="QPF80" s="7"/>
      <c r="QPG80" s="1363"/>
      <c r="QPH80" s="1363"/>
      <c r="QPI80" s="1363"/>
      <c r="QPJ80" s="1365"/>
      <c r="QPK80" s="7"/>
      <c r="QPL80" s="7"/>
      <c r="QPM80" s="1365"/>
      <c r="QPN80" s="1365"/>
      <c r="QPO80" s="299"/>
      <c r="QPQ80" s="1086"/>
      <c r="QPR80" s="1086"/>
      <c r="QPS80" s="1086"/>
      <c r="QPT80" s="7"/>
      <c r="QPU80" s="7"/>
      <c r="QPV80" s="7"/>
      <c r="QPW80" s="7"/>
      <c r="QPX80" s="1161"/>
      <c r="QPY80" s="7"/>
      <c r="QPZ80" s="7"/>
      <c r="QQA80" s="7"/>
      <c r="QQB80" s="7"/>
      <c r="QQC80" s="7"/>
      <c r="QQD80" s="1161"/>
      <c r="QQE80" s="1161"/>
      <c r="QQF80" s="1161"/>
      <c r="QQG80" s="1365"/>
      <c r="QQH80" s="7"/>
      <c r="QQI80" s="7"/>
      <c r="QQJ80" s="1365"/>
      <c r="QQK80" s="1365"/>
      <c r="QQN80" s="1158"/>
      <c r="QQO80" s="1158"/>
      <c r="QQP80" s="1158"/>
      <c r="QQQ80" s="7"/>
      <c r="QQR80" s="7"/>
      <c r="QQS80" s="7"/>
      <c r="QQT80" s="7"/>
      <c r="QQU80" s="1161"/>
      <c r="QQV80" s="7"/>
      <c r="QQW80" s="7"/>
      <c r="QQX80" s="7"/>
      <c r="QQY80" s="7"/>
      <c r="QQZ80" s="7"/>
      <c r="QRA80" s="1161"/>
      <c r="QRB80" s="1161"/>
      <c r="QRC80" s="1161"/>
      <c r="QRD80" s="1365"/>
      <c r="QRE80" s="7"/>
      <c r="QRF80" s="7"/>
      <c r="QRG80" s="1365"/>
      <c r="QRH80" s="1365"/>
      <c r="QRJ80" s="1158"/>
      <c r="QRK80" s="1158"/>
      <c r="QRL80" s="1158"/>
      <c r="QRM80" s="7"/>
      <c r="QRN80" s="7"/>
      <c r="QRO80" s="7"/>
      <c r="QRP80" s="7"/>
      <c r="QRQ80" s="1363"/>
      <c r="QRR80" s="1364"/>
      <c r="QRS80" s="1364"/>
      <c r="QRT80" s="1364"/>
      <c r="QRU80" s="7"/>
      <c r="QRV80" s="7"/>
      <c r="QRW80" s="1363"/>
      <c r="QRX80" s="1363"/>
      <c r="QRY80" s="1363"/>
      <c r="QRZ80" s="1365"/>
      <c r="QSA80" s="7"/>
      <c r="QSB80" s="7"/>
      <c r="QSC80" s="1365"/>
      <c r="QSD80" s="1365"/>
      <c r="QSE80" s="299"/>
      <c r="QSG80" s="1086"/>
      <c r="QSH80" s="1086"/>
      <c r="QSI80" s="1086"/>
      <c r="QSJ80" s="7"/>
      <c r="QSK80" s="7"/>
      <c r="QSL80" s="7"/>
      <c r="QSM80" s="7"/>
      <c r="QSN80" s="1161"/>
      <c r="QSO80" s="7"/>
      <c r="QSP80" s="7"/>
      <c r="QSQ80" s="7"/>
      <c r="QSR80" s="7"/>
      <c r="QSS80" s="7"/>
      <c r="QST80" s="1161"/>
      <c r="QSU80" s="1161"/>
      <c r="QSV80" s="1161"/>
      <c r="QSW80" s="1365"/>
      <c r="QSX80" s="7"/>
      <c r="QSY80" s="7"/>
      <c r="QSZ80" s="1365"/>
      <c r="QTA80" s="1365"/>
      <c r="QTD80" s="1158"/>
      <c r="QTE80" s="1158"/>
      <c r="QTF80" s="1158"/>
      <c r="QTG80" s="7"/>
      <c r="QTH80" s="7"/>
      <c r="QTI80" s="7"/>
      <c r="QTJ80" s="7"/>
      <c r="QTK80" s="1161"/>
      <c r="QTL80" s="7"/>
      <c r="QTM80" s="7"/>
      <c r="QTN80" s="7"/>
      <c r="QTO80" s="7"/>
      <c r="QTP80" s="7"/>
      <c r="QTQ80" s="1161"/>
      <c r="QTR80" s="1161"/>
      <c r="QTS80" s="1161"/>
      <c r="QTT80" s="1365"/>
      <c r="QTU80" s="7"/>
      <c r="QTV80" s="7"/>
      <c r="QTW80" s="1365"/>
      <c r="QTX80" s="1365"/>
      <c r="QTZ80" s="1158"/>
      <c r="QUA80" s="1158"/>
      <c r="QUB80" s="1158"/>
      <c r="QUC80" s="7"/>
      <c r="QUD80" s="7"/>
      <c r="QUE80" s="7"/>
      <c r="QUF80" s="7"/>
      <c r="QUG80" s="1363"/>
      <c r="QUH80" s="1364"/>
      <c r="QUI80" s="1364"/>
      <c r="QUJ80" s="1364"/>
      <c r="QUK80" s="7"/>
      <c r="QUL80" s="7"/>
      <c r="QUM80" s="1363"/>
      <c r="QUN80" s="1363"/>
      <c r="QUO80" s="1363"/>
      <c r="QUP80" s="1365"/>
      <c r="QUQ80" s="7"/>
      <c r="QUR80" s="7"/>
      <c r="QUS80" s="1365"/>
      <c r="QUT80" s="1365"/>
      <c r="QUU80" s="299"/>
      <c r="QUW80" s="1086"/>
      <c r="QUX80" s="1086"/>
      <c r="QUY80" s="1086"/>
      <c r="QUZ80" s="7"/>
      <c r="QVA80" s="7"/>
      <c r="QVB80" s="7"/>
      <c r="QVC80" s="7"/>
      <c r="QVD80" s="1161"/>
      <c r="QVE80" s="7"/>
      <c r="QVF80" s="7"/>
      <c r="QVG80" s="7"/>
      <c r="QVH80" s="7"/>
      <c r="QVI80" s="7"/>
      <c r="QVJ80" s="1161"/>
      <c r="QVK80" s="1161"/>
      <c r="QVL80" s="1161"/>
      <c r="QVM80" s="1365"/>
      <c r="QVN80" s="7"/>
      <c r="QVO80" s="7"/>
      <c r="QVP80" s="1365"/>
      <c r="QVQ80" s="1365"/>
      <c r="QVT80" s="1158"/>
      <c r="QVU80" s="1158"/>
      <c r="QVV80" s="1158"/>
      <c r="QVW80" s="7"/>
      <c r="QVX80" s="7"/>
      <c r="QVY80" s="7"/>
      <c r="QVZ80" s="7"/>
      <c r="QWA80" s="1161"/>
      <c r="QWB80" s="7"/>
      <c r="QWC80" s="7"/>
      <c r="QWD80" s="7"/>
      <c r="QWE80" s="7"/>
      <c r="QWF80" s="7"/>
      <c r="QWG80" s="1161"/>
      <c r="QWH80" s="1161"/>
      <c r="QWI80" s="1161"/>
      <c r="QWJ80" s="1365"/>
      <c r="QWK80" s="7"/>
      <c r="QWL80" s="7"/>
      <c r="QWM80" s="1365"/>
      <c r="QWN80" s="1365"/>
      <c r="QWP80" s="1158"/>
      <c r="QWQ80" s="1158"/>
      <c r="QWR80" s="1158"/>
      <c r="QWS80" s="7"/>
      <c r="QWT80" s="7"/>
      <c r="QWU80" s="7"/>
      <c r="QWV80" s="7"/>
      <c r="QWW80" s="1363"/>
      <c r="QWX80" s="1364"/>
      <c r="QWY80" s="1364"/>
      <c r="QWZ80" s="1364"/>
      <c r="QXA80" s="7"/>
      <c r="QXB80" s="7"/>
      <c r="QXC80" s="1363"/>
      <c r="QXD80" s="1363"/>
      <c r="QXE80" s="1363"/>
      <c r="QXF80" s="1365"/>
      <c r="QXG80" s="7"/>
      <c r="QXH80" s="7"/>
      <c r="QXI80" s="1365"/>
      <c r="QXJ80" s="1365"/>
      <c r="QXK80" s="299"/>
      <c r="QXM80" s="1086"/>
      <c r="QXN80" s="1086"/>
      <c r="QXO80" s="1086"/>
      <c r="QXP80" s="7"/>
      <c r="QXQ80" s="7"/>
      <c r="QXR80" s="7"/>
      <c r="QXS80" s="7"/>
      <c r="QXT80" s="1161"/>
      <c r="QXU80" s="7"/>
      <c r="QXV80" s="7"/>
      <c r="QXW80" s="7"/>
      <c r="QXX80" s="7"/>
      <c r="QXY80" s="7"/>
      <c r="QXZ80" s="1161"/>
      <c r="QYA80" s="1161"/>
      <c r="QYB80" s="1161"/>
      <c r="QYC80" s="1365"/>
      <c r="QYD80" s="7"/>
      <c r="QYE80" s="7"/>
      <c r="QYF80" s="1365"/>
      <c r="QYG80" s="1365"/>
      <c r="QYJ80" s="1158"/>
      <c r="QYK80" s="1158"/>
      <c r="QYL80" s="1158"/>
      <c r="QYM80" s="7"/>
      <c r="QYN80" s="7"/>
      <c r="QYO80" s="7"/>
      <c r="QYP80" s="7"/>
      <c r="QYQ80" s="1161"/>
      <c r="QYR80" s="7"/>
      <c r="QYS80" s="7"/>
      <c r="QYT80" s="7"/>
      <c r="QYU80" s="7"/>
      <c r="QYV80" s="7"/>
      <c r="QYW80" s="1161"/>
      <c r="QYX80" s="1161"/>
      <c r="QYY80" s="1161"/>
      <c r="QYZ80" s="1365"/>
      <c r="QZA80" s="7"/>
      <c r="QZB80" s="7"/>
      <c r="QZC80" s="1365"/>
      <c r="QZD80" s="1365"/>
      <c r="QZF80" s="1158"/>
      <c r="QZG80" s="1158"/>
      <c r="QZH80" s="1158"/>
      <c r="QZI80" s="7"/>
      <c r="QZJ80" s="7"/>
      <c r="QZK80" s="7"/>
      <c r="QZL80" s="7"/>
      <c r="QZM80" s="1363"/>
      <c r="QZN80" s="1364"/>
      <c r="QZO80" s="1364"/>
      <c r="QZP80" s="1364"/>
      <c r="QZQ80" s="7"/>
      <c r="QZR80" s="7"/>
      <c r="QZS80" s="1363"/>
      <c r="QZT80" s="1363"/>
      <c r="QZU80" s="1363"/>
      <c r="QZV80" s="1365"/>
      <c r="QZW80" s="7"/>
      <c r="QZX80" s="7"/>
      <c r="QZY80" s="1365"/>
      <c r="QZZ80" s="1365"/>
      <c r="RAA80" s="299"/>
      <c r="RAC80" s="1086"/>
      <c r="RAD80" s="1086"/>
      <c r="RAE80" s="1086"/>
      <c r="RAF80" s="7"/>
      <c r="RAG80" s="7"/>
      <c r="RAH80" s="7"/>
      <c r="RAI80" s="7"/>
      <c r="RAJ80" s="1161"/>
      <c r="RAK80" s="7"/>
      <c r="RAL80" s="7"/>
      <c r="RAM80" s="7"/>
      <c r="RAN80" s="7"/>
      <c r="RAO80" s="7"/>
      <c r="RAP80" s="1161"/>
      <c r="RAQ80" s="1161"/>
      <c r="RAR80" s="1161"/>
      <c r="RAS80" s="1365"/>
      <c r="RAT80" s="7"/>
      <c r="RAU80" s="7"/>
      <c r="RAV80" s="1365"/>
      <c r="RAW80" s="1365"/>
      <c r="RAZ80" s="1158"/>
      <c r="RBA80" s="1158"/>
      <c r="RBB80" s="1158"/>
      <c r="RBC80" s="7"/>
      <c r="RBD80" s="7"/>
      <c r="RBE80" s="7"/>
      <c r="RBF80" s="7"/>
      <c r="RBG80" s="1161"/>
      <c r="RBH80" s="7"/>
      <c r="RBI80" s="7"/>
      <c r="RBJ80" s="7"/>
      <c r="RBK80" s="7"/>
      <c r="RBL80" s="7"/>
      <c r="RBM80" s="1161"/>
      <c r="RBN80" s="1161"/>
      <c r="RBO80" s="1161"/>
      <c r="RBP80" s="1365"/>
      <c r="RBQ80" s="7"/>
      <c r="RBR80" s="7"/>
      <c r="RBS80" s="1365"/>
      <c r="RBT80" s="1365"/>
      <c r="RBV80" s="1158"/>
      <c r="RBW80" s="1158"/>
      <c r="RBX80" s="1158"/>
      <c r="RBY80" s="7"/>
      <c r="RBZ80" s="7"/>
      <c r="RCA80" s="7"/>
      <c r="RCB80" s="7"/>
      <c r="RCC80" s="1363"/>
      <c r="RCD80" s="1364"/>
      <c r="RCE80" s="1364"/>
      <c r="RCF80" s="1364"/>
      <c r="RCG80" s="7"/>
      <c r="RCH80" s="7"/>
      <c r="RCI80" s="1363"/>
      <c r="RCJ80" s="1363"/>
      <c r="RCK80" s="1363"/>
      <c r="RCL80" s="1365"/>
      <c r="RCM80" s="7"/>
      <c r="RCN80" s="7"/>
      <c r="RCO80" s="1365"/>
      <c r="RCP80" s="1365"/>
      <c r="RCQ80" s="299"/>
      <c r="RCS80" s="1086"/>
      <c r="RCT80" s="1086"/>
      <c r="RCU80" s="1086"/>
      <c r="RCV80" s="7"/>
      <c r="RCW80" s="7"/>
      <c r="RCX80" s="7"/>
      <c r="RCY80" s="7"/>
      <c r="RCZ80" s="1161"/>
      <c r="RDA80" s="7"/>
      <c r="RDB80" s="7"/>
      <c r="RDC80" s="7"/>
      <c r="RDD80" s="7"/>
      <c r="RDE80" s="7"/>
      <c r="RDF80" s="1161"/>
      <c r="RDG80" s="1161"/>
      <c r="RDH80" s="1161"/>
      <c r="RDI80" s="1365"/>
      <c r="RDJ80" s="7"/>
      <c r="RDK80" s="7"/>
      <c r="RDL80" s="1365"/>
      <c r="RDM80" s="1365"/>
      <c r="RDP80" s="1158"/>
      <c r="RDQ80" s="1158"/>
      <c r="RDR80" s="1158"/>
      <c r="RDS80" s="7"/>
      <c r="RDT80" s="7"/>
      <c r="RDU80" s="7"/>
      <c r="RDV80" s="7"/>
      <c r="RDW80" s="1161"/>
      <c r="RDX80" s="7"/>
      <c r="RDY80" s="7"/>
      <c r="RDZ80" s="7"/>
      <c r="REA80" s="7"/>
      <c r="REB80" s="7"/>
      <c r="REC80" s="1161"/>
      <c r="RED80" s="1161"/>
      <c r="REE80" s="1161"/>
      <c r="REF80" s="1365"/>
      <c r="REG80" s="7"/>
      <c r="REH80" s="7"/>
      <c r="REI80" s="1365"/>
      <c r="REJ80" s="1365"/>
      <c r="REL80" s="1158"/>
      <c r="REM80" s="1158"/>
      <c r="REN80" s="1158"/>
      <c r="REO80" s="7"/>
      <c r="REP80" s="7"/>
      <c r="REQ80" s="7"/>
      <c r="RER80" s="7"/>
      <c r="RES80" s="1363"/>
      <c r="RET80" s="1364"/>
      <c r="REU80" s="1364"/>
      <c r="REV80" s="1364"/>
      <c r="REW80" s="7"/>
      <c r="REX80" s="7"/>
      <c r="REY80" s="1363"/>
      <c r="REZ80" s="1363"/>
      <c r="RFA80" s="1363"/>
      <c r="RFB80" s="1365"/>
      <c r="RFC80" s="7"/>
      <c r="RFD80" s="7"/>
      <c r="RFE80" s="1365"/>
      <c r="RFF80" s="1365"/>
      <c r="RFG80" s="299"/>
      <c r="RFI80" s="1086"/>
      <c r="RFJ80" s="1086"/>
      <c r="RFK80" s="1086"/>
      <c r="RFL80" s="7"/>
      <c r="RFM80" s="7"/>
      <c r="RFN80" s="7"/>
      <c r="RFO80" s="7"/>
      <c r="RFP80" s="1161"/>
      <c r="RFQ80" s="7"/>
      <c r="RFR80" s="7"/>
      <c r="RFS80" s="7"/>
      <c r="RFT80" s="7"/>
      <c r="RFU80" s="7"/>
      <c r="RFV80" s="1161"/>
      <c r="RFW80" s="1161"/>
      <c r="RFX80" s="1161"/>
      <c r="RFY80" s="1365"/>
      <c r="RFZ80" s="7"/>
      <c r="RGA80" s="7"/>
      <c r="RGB80" s="1365"/>
      <c r="RGC80" s="1365"/>
      <c r="RGF80" s="1158"/>
      <c r="RGG80" s="1158"/>
      <c r="RGH80" s="1158"/>
      <c r="RGI80" s="7"/>
      <c r="RGJ80" s="7"/>
      <c r="RGK80" s="7"/>
      <c r="RGL80" s="7"/>
      <c r="RGM80" s="1161"/>
      <c r="RGN80" s="7"/>
      <c r="RGO80" s="7"/>
      <c r="RGP80" s="7"/>
      <c r="RGQ80" s="7"/>
      <c r="RGR80" s="7"/>
      <c r="RGS80" s="1161"/>
      <c r="RGT80" s="1161"/>
      <c r="RGU80" s="1161"/>
      <c r="RGV80" s="1365"/>
      <c r="RGW80" s="7"/>
      <c r="RGX80" s="7"/>
      <c r="RGY80" s="1365"/>
      <c r="RGZ80" s="1365"/>
      <c r="RHB80" s="1158"/>
      <c r="RHC80" s="1158"/>
      <c r="RHD80" s="1158"/>
      <c r="RHE80" s="7"/>
      <c r="RHF80" s="7"/>
      <c r="RHG80" s="7"/>
      <c r="RHH80" s="7"/>
      <c r="RHI80" s="1363"/>
      <c r="RHJ80" s="1364"/>
      <c r="RHK80" s="1364"/>
      <c r="RHL80" s="1364"/>
      <c r="RHM80" s="7"/>
      <c r="RHN80" s="7"/>
      <c r="RHO80" s="1363"/>
      <c r="RHP80" s="1363"/>
      <c r="RHQ80" s="1363"/>
      <c r="RHR80" s="1365"/>
      <c r="RHS80" s="7"/>
      <c r="RHT80" s="7"/>
      <c r="RHU80" s="1365"/>
      <c r="RHV80" s="1365"/>
      <c r="RHW80" s="299"/>
      <c r="RHY80" s="1086"/>
      <c r="RHZ80" s="1086"/>
      <c r="RIA80" s="1086"/>
      <c r="RIB80" s="7"/>
      <c r="RIC80" s="7"/>
      <c r="RID80" s="7"/>
      <c r="RIE80" s="7"/>
      <c r="RIF80" s="1161"/>
      <c r="RIG80" s="7"/>
      <c r="RIH80" s="7"/>
      <c r="RII80" s="7"/>
      <c r="RIJ80" s="7"/>
      <c r="RIK80" s="7"/>
      <c r="RIL80" s="1161"/>
      <c r="RIM80" s="1161"/>
      <c r="RIN80" s="1161"/>
      <c r="RIO80" s="1365"/>
      <c r="RIP80" s="7"/>
      <c r="RIQ80" s="7"/>
      <c r="RIR80" s="1365"/>
      <c r="RIS80" s="1365"/>
      <c r="RIV80" s="1158"/>
      <c r="RIW80" s="1158"/>
      <c r="RIX80" s="1158"/>
      <c r="RIY80" s="7"/>
      <c r="RIZ80" s="7"/>
      <c r="RJA80" s="7"/>
      <c r="RJB80" s="7"/>
      <c r="RJC80" s="1161"/>
      <c r="RJD80" s="7"/>
      <c r="RJE80" s="7"/>
      <c r="RJF80" s="7"/>
      <c r="RJG80" s="7"/>
      <c r="RJH80" s="7"/>
      <c r="RJI80" s="1161"/>
      <c r="RJJ80" s="1161"/>
      <c r="RJK80" s="1161"/>
      <c r="RJL80" s="1365"/>
      <c r="RJM80" s="7"/>
      <c r="RJN80" s="7"/>
      <c r="RJO80" s="1365"/>
      <c r="RJP80" s="1365"/>
      <c r="RJR80" s="1158"/>
      <c r="RJS80" s="1158"/>
      <c r="RJT80" s="1158"/>
      <c r="RJU80" s="7"/>
      <c r="RJV80" s="7"/>
      <c r="RJW80" s="7"/>
      <c r="RJX80" s="7"/>
      <c r="RJY80" s="1363"/>
      <c r="RJZ80" s="1364"/>
      <c r="RKA80" s="1364"/>
      <c r="RKB80" s="1364"/>
      <c r="RKC80" s="7"/>
      <c r="RKD80" s="7"/>
      <c r="RKE80" s="1363"/>
      <c r="RKF80" s="1363"/>
      <c r="RKG80" s="1363"/>
      <c r="RKH80" s="1365"/>
      <c r="RKI80" s="7"/>
      <c r="RKJ80" s="7"/>
      <c r="RKK80" s="1365"/>
      <c r="RKL80" s="1365"/>
      <c r="RKM80" s="299"/>
      <c r="RKO80" s="1086"/>
      <c r="RKP80" s="1086"/>
      <c r="RKQ80" s="1086"/>
      <c r="RKR80" s="7"/>
      <c r="RKS80" s="7"/>
      <c r="RKT80" s="7"/>
      <c r="RKU80" s="7"/>
      <c r="RKV80" s="1161"/>
      <c r="RKW80" s="7"/>
      <c r="RKX80" s="7"/>
      <c r="RKY80" s="7"/>
      <c r="RKZ80" s="7"/>
      <c r="RLA80" s="7"/>
      <c r="RLB80" s="1161"/>
      <c r="RLC80" s="1161"/>
      <c r="RLD80" s="1161"/>
      <c r="RLE80" s="1365"/>
      <c r="RLF80" s="7"/>
      <c r="RLG80" s="7"/>
      <c r="RLH80" s="1365"/>
      <c r="RLI80" s="1365"/>
      <c r="RLL80" s="1158"/>
      <c r="RLM80" s="1158"/>
      <c r="RLN80" s="1158"/>
      <c r="RLO80" s="7"/>
      <c r="RLP80" s="7"/>
      <c r="RLQ80" s="7"/>
      <c r="RLR80" s="7"/>
      <c r="RLS80" s="1161"/>
      <c r="RLT80" s="7"/>
      <c r="RLU80" s="7"/>
      <c r="RLV80" s="7"/>
      <c r="RLW80" s="7"/>
      <c r="RLX80" s="7"/>
      <c r="RLY80" s="1161"/>
      <c r="RLZ80" s="1161"/>
      <c r="RMA80" s="1161"/>
      <c r="RMB80" s="1365"/>
      <c r="RMC80" s="7"/>
      <c r="RMD80" s="7"/>
      <c r="RME80" s="1365"/>
      <c r="RMF80" s="1365"/>
      <c r="RMH80" s="1158"/>
      <c r="RMI80" s="1158"/>
      <c r="RMJ80" s="1158"/>
      <c r="RMK80" s="7"/>
      <c r="RML80" s="7"/>
      <c r="RMM80" s="7"/>
      <c r="RMN80" s="7"/>
      <c r="RMO80" s="1363"/>
      <c r="RMP80" s="1364"/>
      <c r="RMQ80" s="1364"/>
      <c r="RMR80" s="1364"/>
      <c r="RMS80" s="7"/>
      <c r="RMT80" s="7"/>
      <c r="RMU80" s="1363"/>
      <c r="RMV80" s="1363"/>
      <c r="RMW80" s="1363"/>
      <c r="RMX80" s="1365"/>
      <c r="RMY80" s="7"/>
      <c r="RMZ80" s="7"/>
      <c r="RNA80" s="1365"/>
      <c r="RNB80" s="1365"/>
      <c r="RNC80" s="299"/>
      <c r="RNE80" s="1086"/>
      <c r="RNF80" s="1086"/>
      <c r="RNG80" s="1086"/>
      <c r="RNH80" s="7"/>
      <c r="RNI80" s="7"/>
      <c r="RNJ80" s="7"/>
      <c r="RNK80" s="7"/>
      <c r="RNL80" s="1161"/>
      <c r="RNM80" s="7"/>
      <c r="RNN80" s="7"/>
      <c r="RNO80" s="7"/>
      <c r="RNP80" s="7"/>
      <c r="RNQ80" s="7"/>
      <c r="RNR80" s="1161"/>
      <c r="RNS80" s="1161"/>
      <c r="RNT80" s="1161"/>
      <c r="RNU80" s="1365"/>
      <c r="RNV80" s="7"/>
      <c r="RNW80" s="7"/>
      <c r="RNX80" s="1365"/>
      <c r="RNY80" s="1365"/>
      <c r="ROB80" s="1158"/>
      <c r="ROC80" s="1158"/>
      <c r="ROD80" s="1158"/>
      <c r="ROE80" s="7"/>
      <c r="ROF80" s="7"/>
      <c r="ROG80" s="7"/>
      <c r="ROH80" s="7"/>
      <c r="ROI80" s="1161"/>
      <c r="ROJ80" s="7"/>
      <c r="ROK80" s="7"/>
      <c r="ROL80" s="7"/>
      <c r="ROM80" s="7"/>
      <c r="RON80" s="7"/>
      <c r="ROO80" s="1161"/>
      <c r="ROP80" s="1161"/>
      <c r="ROQ80" s="1161"/>
      <c r="ROR80" s="1365"/>
      <c r="ROS80" s="7"/>
      <c r="ROT80" s="7"/>
      <c r="ROU80" s="1365"/>
      <c r="ROV80" s="1365"/>
      <c r="ROX80" s="1158"/>
      <c r="ROY80" s="1158"/>
      <c r="ROZ80" s="1158"/>
      <c r="RPA80" s="7"/>
      <c r="RPB80" s="7"/>
      <c r="RPC80" s="7"/>
      <c r="RPD80" s="7"/>
      <c r="RPE80" s="1363"/>
      <c r="RPF80" s="1364"/>
      <c r="RPG80" s="1364"/>
      <c r="RPH80" s="1364"/>
      <c r="RPI80" s="7"/>
      <c r="RPJ80" s="7"/>
      <c r="RPK80" s="1363"/>
      <c r="RPL80" s="1363"/>
      <c r="RPM80" s="1363"/>
      <c r="RPN80" s="1365"/>
      <c r="RPO80" s="7"/>
      <c r="RPP80" s="7"/>
      <c r="RPQ80" s="1365"/>
      <c r="RPR80" s="1365"/>
      <c r="RPS80" s="299"/>
      <c r="RPU80" s="1086"/>
      <c r="RPV80" s="1086"/>
      <c r="RPW80" s="1086"/>
      <c r="RPX80" s="7"/>
      <c r="RPY80" s="7"/>
      <c r="RPZ80" s="7"/>
      <c r="RQA80" s="7"/>
      <c r="RQB80" s="1161"/>
      <c r="RQC80" s="7"/>
      <c r="RQD80" s="7"/>
      <c r="RQE80" s="7"/>
      <c r="RQF80" s="7"/>
      <c r="RQG80" s="7"/>
      <c r="RQH80" s="1161"/>
      <c r="RQI80" s="1161"/>
      <c r="RQJ80" s="1161"/>
      <c r="RQK80" s="1365"/>
      <c r="RQL80" s="7"/>
      <c r="RQM80" s="7"/>
      <c r="RQN80" s="1365"/>
      <c r="RQO80" s="1365"/>
      <c r="RQR80" s="1158"/>
      <c r="RQS80" s="1158"/>
      <c r="RQT80" s="1158"/>
      <c r="RQU80" s="7"/>
      <c r="RQV80" s="7"/>
      <c r="RQW80" s="7"/>
      <c r="RQX80" s="7"/>
      <c r="RQY80" s="1161"/>
      <c r="RQZ80" s="7"/>
      <c r="RRA80" s="7"/>
      <c r="RRB80" s="7"/>
      <c r="RRC80" s="7"/>
      <c r="RRD80" s="7"/>
      <c r="RRE80" s="1161"/>
      <c r="RRF80" s="1161"/>
      <c r="RRG80" s="1161"/>
      <c r="RRH80" s="1365"/>
      <c r="RRI80" s="7"/>
      <c r="RRJ80" s="7"/>
      <c r="RRK80" s="1365"/>
      <c r="RRL80" s="1365"/>
      <c r="RRN80" s="1158"/>
      <c r="RRO80" s="1158"/>
      <c r="RRP80" s="1158"/>
      <c r="RRQ80" s="7"/>
      <c r="RRR80" s="7"/>
      <c r="RRS80" s="7"/>
      <c r="RRT80" s="7"/>
      <c r="RRU80" s="1363"/>
      <c r="RRV80" s="1364"/>
      <c r="RRW80" s="1364"/>
      <c r="RRX80" s="1364"/>
      <c r="RRY80" s="7"/>
      <c r="RRZ80" s="7"/>
      <c r="RSA80" s="1363"/>
      <c r="RSB80" s="1363"/>
      <c r="RSC80" s="1363"/>
      <c r="RSD80" s="1365"/>
      <c r="RSE80" s="7"/>
      <c r="RSF80" s="7"/>
      <c r="RSG80" s="1365"/>
      <c r="RSH80" s="1365"/>
      <c r="RSI80" s="299"/>
      <c r="RSK80" s="1086"/>
      <c r="RSL80" s="1086"/>
      <c r="RSM80" s="1086"/>
      <c r="RSN80" s="7"/>
      <c r="RSO80" s="7"/>
      <c r="RSP80" s="7"/>
      <c r="RSQ80" s="7"/>
      <c r="RSR80" s="1161"/>
      <c r="RSS80" s="7"/>
      <c r="RST80" s="7"/>
      <c r="RSU80" s="7"/>
      <c r="RSV80" s="7"/>
      <c r="RSW80" s="7"/>
      <c r="RSX80" s="1161"/>
      <c r="RSY80" s="1161"/>
      <c r="RSZ80" s="1161"/>
      <c r="RTA80" s="1365"/>
      <c r="RTB80" s="7"/>
      <c r="RTC80" s="7"/>
      <c r="RTD80" s="1365"/>
      <c r="RTE80" s="1365"/>
      <c r="RTH80" s="1158"/>
      <c r="RTI80" s="1158"/>
      <c r="RTJ80" s="1158"/>
      <c r="RTK80" s="7"/>
      <c r="RTL80" s="7"/>
      <c r="RTM80" s="7"/>
      <c r="RTN80" s="7"/>
      <c r="RTO80" s="1161"/>
      <c r="RTP80" s="7"/>
      <c r="RTQ80" s="7"/>
      <c r="RTR80" s="7"/>
      <c r="RTS80" s="7"/>
      <c r="RTT80" s="7"/>
      <c r="RTU80" s="1161"/>
      <c r="RTV80" s="1161"/>
      <c r="RTW80" s="1161"/>
      <c r="RTX80" s="1365"/>
      <c r="RTY80" s="7"/>
      <c r="RTZ80" s="7"/>
      <c r="RUA80" s="1365"/>
      <c r="RUB80" s="1365"/>
      <c r="RUD80" s="1158"/>
      <c r="RUE80" s="1158"/>
      <c r="RUF80" s="1158"/>
      <c r="RUG80" s="7"/>
      <c r="RUH80" s="7"/>
      <c r="RUI80" s="7"/>
      <c r="RUJ80" s="7"/>
      <c r="RUK80" s="1363"/>
      <c r="RUL80" s="1364"/>
      <c r="RUM80" s="1364"/>
      <c r="RUN80" s="1364"/>
      <c r="RUO80" s="7"/>
      <c r="RUP80" s="7"/>
      <c r="RUQ80" s="1363"/>
      <c r="RUR80" s="1363"/>
      <c r="RUS80" s="1363"/>
      <c r="RUT80" s="1365"/>
      <c r="RUU80" s="7"/>
      <c r="RUV80" s="7"/>
      <c r="RUW80" s="1365"/>
      <c r="RUX80" s="1365"/>
      <c r="RUY80" s="299"/>
      <c r="RVA80" s="1086"/>
      <c r="RVB80" s="1086"/>
      <c r="RVC80" s="1086"/>
      <c r="RVD80" s="7"/>
      <c r="RVE80" s="7"/>
      <c r="RVF80" s="7"/>
      <c r="RVG80" s="7"/>
      <c r="RVH80" s="1161"/>
      <c r="RVI80" s="7"/>
      <c r="RVJ80" s="7"/>
      <c r="RVK80" s="7"/>
      <c r="RVL80" s="7"/>
      <c r="RVM80" s="7"/>
      <c r="RVN80" s="1161"/>
      <c r="RVO80" s="1161"/>
      <c r="RVP80" s="1161"/>
      <c r="RVQ80" s="1365"/>
      <c r="RVR80" s="7"/>
      <c r="RVS80" s="7"/>
      <c r="RVT80" s="1365"/>
      <c r="RVU80" s="1365"/>
      <c r="RVX80" s="1158"/>
      <c r="RVY80" s="1158"/>
      <c r="RVZ80" s="1158"/>
      <c r="RWA80" s="7"/>
      <c r="RWB80" s="7"/>
      <c r="RWC80" s="7"/>
      <c r="RWD80" s="7"/>
      <c r="RWE80" s="1161"/>
      <c r="RWF80" s="7"/>
      <c r="RWG80" s="7"/>
      <c r="RWH80" s="7"/>
      <c r="RWI80" s="7"/>
      <c r="RWJ80" s="7"/>
      <c r="RWK80" s="1161"/>
      <c r="RWL80" s="1161"/>
      <c r="RWM80" s="1161"/>
      <c r="RWN80" s="1365"/>
      <c r="RWO80" s="7"/>
      <c r="RWP80" s="7"/>
      <c r="RWQ80" s="1365"/>
      <c r="RWR80" s="1365"/>
      <c r="RWT80" s="1158"/>
      <c r="RWU80" s="1158"/>
      <c r="RWV80" s="1158"/>
      <c r="RWW80" s="7"/>
      <c r="RWX80" s="7"/>
      <c r="RWY80" s="7"/>
      <c r="RWZ80" s="7"/>
      <c r="RXA80" s="1363"/>
      <c r="RXB80" s="1364"/>
      <c r="RXC80" s="1364"/>
      <c r="RXD80" s="1364"/>
      <c r="RXE80" s="7"/>
      <c r="RXF80" s="7"/>
      <c r="RXG80" s="1363"/>
      <c r="RXH80" s="1363"/>
      <c r="RXI80" s="1363"/>
      <c r="RXJ80" s="1365"/>
      <c r="RXK80" s="7"/>
      <c r="RXL80" s="7"/>
      <c r="RXM80" s="1365"/>
      <c r="RXN80" s="1365"/>
      <c r="RXO80" s="299"/>
      <c r="RXQ80" s="1086"/>
      <c r="RXR80" s="1086"/>
      <c r="RXS80" s="1086"/>
      <c r="RXT80" s="7"/>
      <c r="RXU80" s="7"/>
      <c r="RXV80" s="7"/>
      <c r="RXW80" s="7"/>
      <c r="RXX80" s="1161"/>
      <c r="RXY80" s="7"/>
      <c r="RXZ80" s="7"/>
      <c r="RYA80" s="7"/>
      <c r="RYB80" s="7"/>
      <c r="RYC80" s="7"/>
      <c r="RYD80" s="1161"/>
      <c r="RYE80" s="1161"/>
      <c r="RYF80" s="1161"/>
      <c r="RYG80" s="1365"/>
      <c r="RYH80" s="7"/>
      <c r="RYI80" s="7"/>
      <c r="RYJ80" s="1365"/>
      <c r="RYK80" s="1365"/>
      <c r="RYN80" s="1158"/>
      <c r="RYO80" s="1158"/>
      <c r="RYP80" s="1158"/>
      <c r="RYQ80" s="7"/>
      <c r="RYR80" s="7"/>
      <c r="RYS80" s="7"/>
      <c r="RYT80" s="7"/>
      <c r="RYU80" s="1161"/>
      <c r="RYV80" s="7"/>
      <c r="RYW80" s="7"/>
      <c r="RYX80" s="7"/>
      <c r="RYY80" s="7"/>
      <c r="RYZ80" s="7"/>
      <c r="RZA80" s="1161"/>
      <c r="RZB80" s="1161"/>
      <c r="RZC80" s="1161"/>
      <c r="RZD80" s="1365"/>
      <c r="RZE80" s="7"/>
      <c r="RZF80" s="7"/>
      <c r="RZG80" s="1365"/>
      <c r="RZH80" s="1365"/>
      <c r="RZJ80" s="1158"/>
      <c r="RZK80" s="1158"/>
      <c r="RZL80" s="1158"/>
      <c r="RZM80" s="7"/>
      <c r="RZN80" s="7"/>
      <c r="RZO80" s="7"/>
      <c r="RZP80" s="7"/>
      <c r="RZQ80" s="1363"/>
      <c r="RZR80" s="1364"/>
      <c r="RZS80" s="1364"/>
      <c r="RZT80" s="1364"/>
      <c r="RZU80" s="7"/>
      <c r="RZV80" s="7"/>
      <c r="RZW80" s="1363"/>
      <c r="RZX80" s="1363"/>
      <c r="RZY80" s="1363"/>
      <c r="RZZ80" s="1365"/>
      <c r="SAA80" s="7"/>
      <c r="SAB80" s="7"/>
      <c r="SAC80" s="1365"/>
      <c r="SAD80" s="1365"/>
      <c r="SAE80" s="299"/>
      <c r="SAG80" s="1086"/>
      <c r="SAH80" s="1086"/>
      <c r="SAI80" s="1086"/>
      <c r="SAJ80" s="7"/>
      <c r="SAK80" s="7"/>
      <c r="SAL80" s="7"/>
      <c r="SAM80" s="7"/>
      <c r="SAN80" s="1161"/>
      <c r="SAO80" s="7"/>
      <c r="SAP80" s="7"/>
      <c r="SAQ80" s="7"/>
      <c r="SAR80" s="7"/>
      <c r="SAS80" s="7"/>
      <c r="SAT80" s="1161"/>
      <c r="SAU80" s="1161"/>
      <c r="SAV80" s="1161"/>
      <c r="SAW80" s="1365"/>
      <c r="SAX80" s="7"/>
      <c r="SAY80" s="7"/>
      <c r="SAZ80" s="1365"/>
      <c r="SBA80" s="1365"/>
      <c r="SBD80" s="1158"/>
      <c r="SBE80" s="1158"/>
      <c r="SBF80" s="1158"/>
      <c r="SBG80" s="7"/>
      <c r="SBH80" s="7"/>
      <c r="SBI80" s="7"/>
      <c r="SBJ80" s="7"/>
      <c r="SBK80" s="1161"/>
      <c r="SBL80" s="7"/>
      <c r="SBM80" s="7"/>
      <c r="SBN80" s="7"/>
      <c r="SBO80" s="7"/>
      <c r="SBP80" s="7"/>
      <c r="SBQ80" s="1161"/>
      <c r="SBR80" s="1161"/>
      <c r="SBS80" s="1161"/>
      <c r="SBT80" s="1365"/>
      <c r="SBU80" s="7"/>
      <c r="SBV80" s="7"/>
      <c r="SBW80" s="1365"/>
      <c r="SBX80" s="1365"/>
      <c r="SBZ80" s="1158"/>
      <c r="SCA80" s="1158"/>
      <c r="SCB80" s="1158"/>
      <c r="SCC80" s="7"/>
      <c r="SCD80" s="7"/>
      <c r="SCE80" s="7"/>
      <c r="SCF80" s="7"/>
      <c r="SCG80" s="1363"/>
      <c r="SCH80" s="1364"/>
      <c r="SCI80" s="1364"/>
      <c r="SCJ80" s="1364"/>
      <c r="SCK80" s="7"/>
      <c r="SCL80" s="7"/>
      <c r="SCM80" s="1363"/>
      <c r="SCN80" s="1363"/>
      <c r="SCO80" s="1363"/>
      <c r="SCP80" s="1365"/>
      <c r="SCQ80" s="7"/>
      <c r="SCR80" s="7"/>
      <c r="SCS80" s="1365"/>
      <c r="SCT80" s="1365"/>
      <c r="SCU80" s="299"/>
      <c r="SCW80" s="1086"/>
      <c r="SCX80" s="1086"/>
      <c r="SCY80" s="1086"/>
      <c r="SCZ80" s="7"/>
      <c r="SDA80" s="7"/>
      <c r="SDB80" s="7"/>
      <c r="SDC80" s="7"/>
      <c r="SDD80" s="1161"/>
      <c r="SDE80" s="7"/>
      <c r="SDF80" s="7"/>
      <c r="SDG80" s="7"/>
      <c r="SDH80" s="7"/>
      <c r="SDI80" s="7"/>
      <c r="SDJ80" s="1161"/>
      <c r="SDK80" s="1161"/>
      <c r="SDL80" s="1161"/>
      <c r="SDM80" s="1365"/>
      <c r="SDN80" s="7"/>
      <c r="SDO80" s="7"/>
      <c r="SDP80" s="1365"/>
      <c r="SDQ80" s="1365"/>
      <c r="SDT80" s="1158"/>
      <c r="SDU80" s="1158"/>
      <c r="SDV80" s="1158"/>
      <c r="SDW80" s="7"/>
      <c r="SDX80" s="7"/>
      <c r="SDY80" s="7"/>
      <c r="SDZ80" s="7"/>
      <c r="SEA80" s="1161"/>
      <c r="SEB80" s="7"/>
      <c r="SEC80" s="7"/>
      <c r="SED80" s="7"/>
      <c r="SEE80" s="7"/>
      <c r="SEF80" s="7"/>
      <c r="SEG80" s="1161"/>
      <c r="SEH80" s="1161"/>
      <c r="SEI80" s="1161"/>
      <c r="SEJ80" s="1365"/>
      <c r="SEK80" s="7"/>
      <c r="SEL80" s="7"/>
      <c r="SEM80" s="1365"/>
      <c r="SEN80" s="1365"/>
      <c r="SEP80" s="1158"/>
      <c r="SEQ80" s="1158"/>
      <c r="SER80" s="1158"/>
      <c r="SES80" s="7"/>
      <c r="SET80" s="7"/>
      <c r="SEU80" s="7"/>
      <c r="SEV80" s="7"/>
      <c r="SEW80" s="1363"/>
      <c r="SEX80" s="1364"/>
      <c r="SEY80" s="1364"/>
      <c r="SEZ80" s="1364"/>
      <c r="SFA80" s="7"/>
      <c r="SFB80" s="7"/>
      <c r="SFC80" s="1363"/>
      <c r="SFD80" s="1363"/>
      <c r="SFE80" s="1363"/>
      <c r="SFF80" s="1365"/>
      <c r="SFG80" s="7"/>
      <c r="SFH80" s="7"/>
      <c r="SFI80" s="1365"/>
      <c r="SFJ80" s="1365"/>
      <c r="SFK80" s="299"/>
      <c r="SFM80" s="1086"/>
      <c r="SFN80" s="1086"/>
      <c r="SFO80" s="1086"/>
      <c r="SFP80" s="7"/>
      <c r="SFQ80" s="7"/>
      <c r="SFR80" s="7"/>
      <c r="SFS80" s="7"/>
      <c r="SFT80" s="1161"/>
      <c r="SFU80" s="7"/>
      <c r="SFV80" s="7"/>
      <c r="SFW80" s="7"/>
      <c r="SFX80" s="7"/>
      <c r="SFY80" s="7"/>
      <c r="SFZ80" s="1161"/>
      <c r="SGA80" s="1161"/>
      <c r="SGB80" s="1161"/>
      <c r="SGC80" s="1365"/>
      <c r="SGD80" s="7"/>
      <c r="SGE80" s="7"/>
      <c r="SGF80" s="1365"/>
      <c r="SGG80" s="1365"/>
      <c r="SGJ80" s="1158"/>
      <c r="SGK80" s="1158"/>
      <c r="SGL80" s="1158"/>
      <c r="SGM80" s="7"/>
      <c r="SGN80" s="7"/>
      <c r="SGO80" s="7"/>
      <c r="SGP80" s="7"/>
      <c r="SGQ80" s="1161"/>
      <c r="SGR80" s="7"/>
      <c r="SGS80" s="7"/>
      <c r="SGT80" s="7"/>
      <c r="SGU80" s="7"/>
      <c r="SGV80" s="7"/>
      <c r="SGW80" s="1161"/>
      <c r="SGX80" s="1161"/>
      <c r="SGY80" s="1161"/>
      <c r="SGZ80" s="1365"/>
      <c r="SHA80" s="7"/>
      <c r="SHB80" s="7"/>
      <c r="SHC80" s="1365"/>
      <c r="SHD80" s="1365"/>
      <c r="SHF80" s="1158"/>
      <c r="SHG80" s="1158"/>
      <c r="SHH80" s="1158"/>
      <c r="SHI80" s="7"/>
      <c r="SHJ80" s="7"/>
      <c r="SHK80" s="7"/>
      <c r="SHL80" s="7"/>
      <c r="SHM80" s="1363"/>
      <c r="SHN80" s="1364"/>
      <c r="SHO80" s="1364"/>
      <c r="SHP80" s="1364"/>
      <c r="SHQ80" s="7"/>
      <c r="SHR80" s="7"/>
      <c r="SHS80" s="1363"/>
      <c r="SHT80" s="1363"/>
      <c r="SHU80" s="1363"/>
      <c r="SHV80" s="1365"/>
      <c r="SHW80" s="7"/>
      <c r="SHX80" s="7"/>
      <c r="SHY80" s="1365"/>
      <c r="SHZ80" s="1365"/>
      <c r="SIA80" s="299"/>
      <c r="SIC80" s="1086"/>
      <c r="SID80" s="1086"/>
      <c r="SIE80" s="1086"/>
      <c r="SIF80" s="7"/>
      <c r="SIG80" s="7"/>
      <c r="SIH80" s="7"/>
      <c r="SII80" s="7"/>
      <c r="SIJ80" s="1161"/>
      <c r="SIK80" s="7"/>
      <c r="SIL80" s="7"/>
      <c r="SIM80" s="7"/>
      <c r="SIN80" s="7"/>
      <c r="SIO80" s="7"/>
      <c r="SIP80" s="1161"/>
      <c r="SIQ80" s="1161"/>
      <c r="SIR80" s="1161"/>
      <c r="SIS80" s="1365"/>
      <c r="SIT80" s="7"/>
      <c r="SIU80" s="7"/>
      <c r="SIV80" s="1365"/>
      <c r="SIW80" s="1365"/>
      <c r="SIZ80" s="1158"/>
      <c r="SJA80" s="1158"/>
      <c r="SJB80" s="1158"/>
      <c r="SJC80" s="7"/>
      <c r="SJD80" s="7"/>
      <c r="SJE80" s="7"/>
      <c r="SJF80" s="7"/>
      <c r="SJG80" s="1161"/>
      <c r="SJH80" s="7"/>
      <c r="SJI80" s="7"/>
      <c r="SJJ80" s="7"/>
      <c r="SJK80" s="7"/>
      <c r="SJL80" s="7"/>
      <c r="SJM80" s="1161"/>
      <c r="SJN80" s="1161"/>
      <c r="SJO80" s="1161"/>
      <c r="SJP80" s="1365"/>
      <c r="SJQ80" s="7"/>
      <c r="SJR80" s="7"/>
      <c r="SJS80" s="1365"/>
      <c r="SJT80" s="1365"/>
      <c r="SJV80" s="1158"/>
      <c r="SJW80" s="1158"/>
      <c r="SJX80" s="1158"/>
      <c r="SJY80" s="7"/>
      <c r="SJZ80" s="7"/>
      <c r="SKA80" s="7"/>
      <c r="SKB80" s="7"/>
      <c r="SKC80" s="1363"/>
      <c r="SKD80" s="1364"/>
      <c r="SKE80" s="1364"/>
      <c r="SKF80" s="1364"/>
      <c r="SKG80" s="7"/>
      <c r="SKH80" s="7"/>
      <c r="SKI80" s="1363"/>
      <c r="SKJ80" s="1363"/>
      <c r="SKK80" s="1363"/>
      <c r="SKL80" s="1365"/>
      <c r="SKM80" s="7"/>
      <c r="SKN80" s="7"/>
      <c r="SKO80" s="1365"/>
      <c r="SKP80" s="1365"/>
      <c r="SKQ80" s="299"/>
      <c r="SKS80" s="1086"/>
      <c r="SKT80" s="1086"/>
      <c r="SKU80" s="1086"/>
      <c r="SKV80" s="7"/>
      <c r="SKW80" s="7"/>
      <c r="SKX80" s="7"/>
      <c r="SKY80" s="7"/>
      <c r="SKZ80" s="1161"/>
      <c r="SLA80" s="7"/>
      <c r="SLB80" s="7"/>
      <c r="SLC80" s="7"/>
      <c r="SLD80" s="7"/>
      <c r="SLE80" s="7"/>
      <c r="SLF80" s="1161"/>
      <c r="SLG80" s="1161"/>
      <c r="SLH80" s="1161"/>
      <c r="SLI80" s="1365"/>
      <c r="SLJ80" s="7"/>
      <c r="SLK80" s="7"/>
      <c r="SLL80" s="1365"/>
      <c r="SLM80" s="1365"/>
      <c r="SLP80" s="1158"/>
      <c r="SLQ80" s="1158"/>
      <c r="SLR80" s="1158"/>
      <c r="SLS80" s="7"/>
      <c r="SLT80" s="7"/>
      <c r="SLU80" s="7"/>
      <c r="SLV80" s="7"/>
      <c r="SLW80" s="1161"/>
      <c r="SLX80" s="7"/>
      <c r="SLY80" s="7"/>
      <c r="SLZ80" s="7"/>
      <c r="SMA80" s="7"/>
      <c r="SMB80" s="7"/>
      <c r="SMC80" s="1161"/>
      <c r="SMD80" s="1161"/>
      <c r="SME80" s="1161"/>
      <c r="SMF80" s="1365"/>
      <c r="SMG80" s="7"/>
      <c r="SMH80" s="7"/>
      <c r="SMI80" s="1365"/>
      <c r="SMJ80" s="1365"/>
      <c r="SML80" s="1158"/>
      <c r="SMM80" s="1158"/>
      <c r="SMN80" s="1158"/>
      <c r="SMO80" s="7"/>
      <c r="SMP80" s="7"/>
      <c r="SMQ80" s="7"/>
      <c r="SMR80" s="7"/>
      <c r="SMS80" s="1363"/>
      <c r="SMT80" s="1364"/>
      <c r="SMU80" s="1364"/>
      <c r="SMV80" s="1364"/>
      <c r="SMW80" s="7"/>
      <c r="SMX80" s="7"/>
      <c r="SMY80" s="1363"/>
      <c r="SMZ80" s="1363"/>
      <c r="SNA80" s="1363"/>
      <c r="SNB80" s="1365"/>
      <c r="SNC80" s="7"/>
      <c r="SND80" s="7"/>
      <c r="SNE80" s="1365"/>
      <c r="SNF80" s="1365"/>
      <c r="SNG80" s="299"/>
      <c r="SNI80" s="1086"/>
      <c r="SNJ80" s="1086"/>
      <c r="SNK80" s="1086"/>
      <c r="SNL80" s="7"/>
      <c r="SNM80" s="7"/>
      <c r="SNN80" s="7"/>
      <c r="SNO80" s="7"/>
      <c r="SNP80" s="1161"/>
      <c r="SNQ80" s="7"/>
      <c r="SNR80" s="7"/>
      <c r="SNS80" s="7"/>
      <c r="SNT80" s="7"/>
      <c r="SNU80" s="7"/>
      <c r="SNV80" s="1161"/>
      <c r="SNW80" s="1161"/>
      <c r="SNX80" s="1161"/>
      <c r="SNY80" s="1365"/>
      <c r="SNZ80" s="7"/>
      <c r="SOA80" s="7"/>
      <c r="SOB80" s="1365"/>
      <c r="SOC80" s="1365"/>
      <c r="SOF80" s="1158"/>
      <c r="SOG80" s="1158"/>
      <c r="SOH80" s="1158"/>
      <c r="SOI80" s="7"/>
      <c r="SOJ80" s="7"/>
      <c r="SOK80" s="7"/>
      <c r="SOL80" s="7"/>
      <c r="SOM80" s="1161"/>
      <c r="SON80" s="7"/>
      <c r="SOO80" s="7"/>
      <c r="SOP80" s="7"/>
      <c r="SOQ80" s="7"/>
      <c r="SOR80" s="7"/>
      <c r="SOS80" s="1161"/>
      <c r="SOT80" s="1161"/>
      <c r="SOU80" s="1161"/>
      <c r="SOV80" s="1365"/>
      <c r="SOW80" s="7"/>
      <c r="SOX80" s="7"/>
      <c r="SOY80" s="1365"/>
      <c r="SOZ80" s="1365"/>
      <c r="SPB80" s="1158"/>
      <c r="SPC80" s="1158"/>
      <c r="SPD80" s="1158"/>
      <c r="SPE80" s="7"/>
      <c r="SPF80" s="7"/>
      <c r="SPG80" s="7"/>
      <c r="SPH80" s="7"/>
      <c r="SPI80" s="1363"/>
      <c r="SPJ80" s="1364"/>
      <c r="SPK80" s="1364"/>
      <c r="SPL80" s="1364"/>
      <c r="SPM80" s="7"/>
      <c r="SPN80" s="7"/>
      <c r="SPO80" s="1363"/>
      <c r="SPP80" s="1363"/>
      <c r="SPQ80" s="1363"/>
      <c r="SPR80" s="1365"/>
      <c r="SPS80" s="7"/>
      <c r="SPT80" s="7"/>
      <c r="SPU80" s="1365"/>
      <c r="SPV80" s="1365"/>
      <c r="SPW80" s="299"/>
      <c r="SPY80" s="1086"/>
      <c r="SPZ80" s="1086"/>
      <c r="SQA80" s="1086"/>
      <c r="SQB80" s="7"/>
      <c r="SQC80" s="7"/>
      <c r="SQD80" s="7"/>
      <c r="SQE80" s="7"/>
      <c r="SQF80" s="1161"/>
      <c r="SQG80" s="7"/>
      <c r="SQH80" s="7"/>
      <c r="SQI80" s="7"/>
      <c r="SQJ80" s="7"/>
      <c r="SQK80" s="7"/>
      <c r="SQL80" s="1161"/>
      <c r="SQM80" s="1161"/>
      <c r="SQN80" s="1161"/>
      <c r="SQO80" s="1365"/>
      <c r="SQP80" s="7"/>
      <c r="SQQ80" s="7"/>
      <c r="SQR80" s="1365"/>
      <c r="SQS80" s="1365"/>
      <c r="SQV80" s="1158"/>
      <c r="SQW80" s="1158"/>
      <c r="SQX80" s="1158"/>
      <c r="SQY80" s="7"/>
      <c r="SQZ80" s="7"/>
      <c r="SRA80" s="7"/>
      <c r="SRB80" s="7"/>
      <c r="SRC80" s="1161"/>
      <c r="SRD80" s="7"/>
      <c r="SRE80" s="7"/>
      <c r="SRF80" s="7"/>
      <c r="SRG80" s="7"/>
      <c r="SRH80" s="7"/>
      <c r="SRI80" s="1161"/>
      <c r="SRJ80" s="1161"/>
      <c r="SRK80" s="1161"/>
      <c r="SRL80" s="1365"/>
      <c r="SRM80" s="7"/>
      <c r="SRN80" s="7"/>
      <c r="SRO80" s="1365"/>
      <c r="SRP80" s="1365"/>
      <c r="SRR80" s="1158"/>
      <c r="SRS80" s="1158"/>
      <c r="SRT80" s="1158"/>
      <c r="SRU80" s="7"/>
      <c r="SRV80" s="7"/>
      <c r="SRW80" s="7"/>
      <c r="SRX80" s="7"/>
      <c r="SRY80" s="1363"/>
      <c r="SRZ80" s="1364"/>
      <c r="SSA80" s="1364"/>
      <c r="SSB80" s="1364"/>
      <c r="SSC80" s="7"/>
      <c r="SSD80" s="7"/>
      <c r="SSE80" s="1363"/>
      <c r="SSF80" s="1363"/>
      <c r="SSG80" s="1363"/>
      <c r="SSH80" s="1365"/>
      <c r="SSI80" s="7"/>
      <c r="SSJ80" s="7"/>
      <c r="SSK80" s="1365"/>
      <c r="SSL80" s="1365"/>
      <c r="SSM80" s="299"/>
      <c r="SSO80" s="1086"/>
      <c r="SSP80" s="1086"/>
      <c r="SSQ80" s="1086"/>
      <c r="SSR80" s="7"/>
      <c r="SSS80" s="7"/>
      <c r="SST80" s="7"/>
      <c r="SSU80" s="7"/>
      <c r="SSV80" s="1161"/>
      <c r="SSW80" s="7"/>
      <c r="SSX80" s="7"/>
      <c r="SSY80" s="7"/>
      <c r="SSZ80" s="7"/>
      <c r="STA80" s="7"/>
      <c r="STB80" s="1161"/>
      <c r="STC80" s="1161"/>
      <c r="STD80" s="1161"/>
      <c r="STE80" s="1365"/>
      <c r="STF80" s="7"/>
      <c r="STG80" s="7"/>
      <c r="STH80" s="1365"/>
      <c r="STI80" s="1365"/>
      <c r="STL80" s="1158"/>
      <c r="STM80" s="1158"/>
      <c r="STN80" s="1158"/>
      <c r="STO80" s="7"/>
      <c r="STP80" s="7"/>
      <c r="STQ80" s="7"/>
      <c r="STR80" s="7"/>
      <c r="STS80" s="1161"/>
      <c r="STT80" s="7"/>
      <c r="STU80" s="7"/>
      <c r="STV80" s="7"/>
      <c r="STW80" s="7"/>
      <c r="STX80" s="7"/>
      <c r="STY80" s="1161"/>
      <c r="STZ80" s="1161"/>
      <c r="SUA80" s="1161"/>
      <c r="SUB80" s="1365"/>
      <c r="SUC80" s="7"/>
      <c r="SUD80" s="7"/>
      <c r="SUE80" s="1365"/>
      <c r="SUF80" s="1365"/>
      <c r="SUH80" s="1158"/>
      <c r="SUI80" s="1158"/>
      <c r="SUJ80" s="1158"/>
      <c r="SUK80" s="7"/>
      <c r="SUL80" s="7"/>
      <c r="SUM80" s="7"/>
      <c r="SUN80" s="7"/>
      <c r="SUO80" s="1363"/>
      <c r="SUP80" s="1364"/>
      <c r="SUQ80" s="1364"/>
      <c r="SUR80" s="1364"/>
      <c r="SUS80" s="7"/>
      <c r="SUT80" s="7"/>
      <c r="SUU80" s="1363"/>
      <c r="SUV80" s="1363"/>
      <c r="SUW80" s="1363"/>
      <c r="SUX80" s="1365"/>
      <c r="SUY80" s="7"/>
      <c r="SUZ80" s="7"/>
      <c r="SVA80" s="1365"/>
      <c r="SVB80" s="1365"/>
      <c r="SVC80" s="299"/>
      <c r="SVE80" s="1086"/>
      <c r="SVF80" s="1086"/>
      <c r="SVG80" s="1086"/>
      <c r="SVH80" s="7"/>
      <c r="SVI80" s="7"/>
      <c r="SVJ80" s="7"/>
      <c r="SVK80" s="7"/>
      <c r="SVL80" s="1161"/>
      <c r="SVM80" s="7"/>
      <c r="SVN80" s="7"/>
      <c r="SVO80" s="7"/>
      <c r="SVP80" s="7"/>
      <c r="SVQ80" s="7"/>
      <c r="SVR80" s="1161"/>
      <c r="SVS80" s="1161"/>
      <c r="SVT80" s="1161"/>
      <c r="SVU80" s="1365"/>
      <c r="SVV80" s="7"/>
      <c r="SVW80" s="7"/>
      <c r="SVX80" s="1365"/>
      <c r="SVY80" s="1365"/>
      <c r="SWB80" s="1158"/>
      <c r="SWC80" s="1158"/>
      <c r="SWD80" s="1158"/>
      <c r="SWE80" s="7"/>
      <c r="SWF80" s="7"/>
      <c r="SWG80" s="7"/>
      <c r="SWH80" s="7"/>
      <c r="SWI80" s="1161"/>
      <c r="SWJ80" s="7"/>
      <c r="SWK80" s="7"/>
      <c r="SWL80" s="7"/>
      <c r="SWM80" s="7"/>
      <c r="SWN80" s="7"/>
      <c r="SWO80" s="1161"/>
      <c r="SWP80" s="1161"/>
      <c r="SWQ80" s="1161"/>
      <c r="SWR80" s="1365"/>
      <c r="SWS80" s="7"/>
      <c r="SWT80" s="7"/>
      <c r="SWU80" s="1365"/>
      <c r="SWV80" s="1365"/>
      <c r="SWX80" s="1158"/>
      <c r="SWY80" s="1158"/>
      <c r="SWZ80" s="1158"/>
      <c r="SXA80" s="7"/>
      <c r="SXB80" s="7"/>
      <c r="SXC80" s="7"/>
      <c r="SXD80" s="7"/>
      <c r="SXE80" s="1363"/>
      <c r="SXF80" s="1364"/>
      <c r="SXG80" s="1364"/>
      <c r="SXH80" s="1364"/>
      <c r="SXI80" s="7"/>
      <c r="SXJ80" s="7"/>
      <c r="SXK80" s="1363"/>
      <c r="SXL80" s="1363"/>
      <c r="SXM80" s="1363"/>
      <c r="SXN80" s="1365"/>
      <c r="SXO80" s="7"/>
      <c r="SXP80" s="7"/>
      <c r="SXQ80" s="1365"/>
      <c r="SXR80" s="1365"/>
      <c r="SXS80" s="299"/>
      <c r="SXU80" s="1086"/>
      <c r="SXV80" s="1086"/>
      <c r="SXW80" s="1086"/>
      <c r="SXX80" s="7"/>
      <c r="SXY80" s="7"/>
      <c r="SXZ80" s="7"/>
      <c r="SYA80" s="7"/>
      <c r="SYB80" s="1161"/>
      <c r="SYC80" s="7"/>
      <c r="SYD80" s="7"/>
      <c r="SYE80" s="7"/>
      <c r="SYF80" s="7"/>
      <c r="SYG80" s="7"/>
      <c r="SYH80" s="1161"/>
      <c r="SYI80" s="1161"/>
      <c r="SYJ80" s="1161"/>
      <c r="SYK80" s="1365"/>
      <c r="SYL80" s="7"/>
      <c r="SYM80" s="7"/>
      <c r="SYN80" s="1365"/>
      <c r="SYO80" s="1365"/>
      <c r="SYR80" s="1158"/>
      <c r="SYS80" s="1158"/>
      <c r="SYT80" s="1158"/>
      <c r="SYU80" s="7"/>
      <c r="SYV80" s="7"/>
      <c r="SYW80" s="7"/>
      <c r="SYX80" s="7"/>
      <c r="SYY80" s="1161"/>
      <c r="SYZ80" s="7"/>
      <c r="SZA80" s="7"/>
      <c r="SZB80" s="7"/>
      <c r="SZC80" s="7"/>
      <c r="SZD80" s="7"/>
      <c r="SZE80" s="1161"/>
      <c r="SZF80" s="1161"/>
      <c r="SZG80" s="1161"/>
      <c r="SZH80" s="1365"/>
      <c r="SZI80" s="7"/>
      <c r="SZJ80" s="7"/>
      <c r="SZK80" s="1365"/>
      <c r="SZL80" s="1365"/>
      <c r="SZN80" s="1158"/>
      <c r="SZO80" s="1158"/>
      <c r="SZP80" s="1158"/>
      <c r="SZQ80" s="7"/>
      <c r="SZR80" s="7"/>
      <c r="SZS80" s="7"/>
      <c r="SZT80" s="7"/>
      <c r="SZU80" s="1363"/>
      <c r="SZV80" s="1364"/>
      <c r="SZW80" s="1364"/>
      <c r="SZX80" s="1364"/>
      <c r="SZY80" s="7"/>
      <c r="SZZ80" s="7"/>
      <c r="TAA80" s="1363"/>
      <c r="TAB80" s="1363"/>
      <c r="TAC80" s="1363"/>
      <c r="TAD80" s="1365"/>
      <c r="TAE80" s="7"/>
      <c r="TAF80" s="7"/>
      <c r="TAG80" s="1365"/>
      <c r="TAH80" s="1365"/>
      <c r="TAI80" s="299"/>
      <c r="TAK80" s="1086"/>
      <c r="TAL80" s="1086"/>
      <c r="TAM80" s="1086"/>
      <c r="TAN80" s="7"/>
      <c r="TAO80" s="7"/>
      <c r="TAP80" s="7"/>
      <c r="TAQ80" s="7"/>
      <c r="TAR80" s="1161"/>
      <c r="TAS80" s="7"/>
      <c r="TAT80" s="7"/>
      <c r="TAU80" s="7"/>
      <c r="TAV80" s="7"/>
      <c r="TAW80" s="7"/>
      <c r="TAX80" s="1161"/>
      <c r="TAY80" s="1161"/>
      <c r="TAZ80" s="1161"/>
      <c r="TBA80" s="1365"/>
      <c r="TBB80" s="7"/>
      <c r="TBC80" s="7"/>
      <c r="TBD80" s="1365"/>
      <c r="TBE80" s="1365"/>
      <c r="TBH80" s="1158"/>
      <c r="TBI80" s="1158"/>
      <c r="TBJ80" s="1158"/>
      <c r="TBK80" s="7"/>
      <c r="TBL80" s="7"/>
      <c r="TBM80" s="7"/>
      <c r="TBN80" s="7"/>
      <c r="TBO80" s="1161"/>
      <c r="TBP80" s="7"/>
      <c r="TBQ80" s="7"/>
      <c r="TBR80" s="7"/>
      <c r="TBS80" s="7"/>
      <c r="TBT80" s="7"/>
      <c r="TBU80" s="1161"/>
      <c r="TBV80" s="1161"/>
      <c r="TBW80" s="1161"/>
      <c r="TBX80" s="1365"/>
      <c r="TBY80" s="7"/>
      <c r="TBZ80" s="7"/>
      <c r="TCA80" s="1365"/>
      <c r="TCB80" s="1365"/>
      <c r="TCD80" s="1158"/>
      <c r="TCE80" s="1158"/>
      <c r="TCF80" s="1158"/>
      <c r="TCG80" s="7"/>
      <c r="TCH80" s="7"/>
      <c r="TCI80" s="7"/>
      <c r="TCJ80" s="7"/>
      <c r="TCK80" s="1363"/>
      <c r="TCL80" s="1364"/>
      <c r="TCM80" s="1364"/>
      <c r="TCN80" s="1364"/>
      <c r="TCO80" s="7"/>
      <c r="TCP80" s="7"/>
      <c r="TCQ80" s="1363"/>
      <c r="TCR80" s="1363"/>
      <c r="TCS80" s="1363"/>
      <c r="TCT80" s="1365"/>
      <c r="TCU80" s="7"/>
      <c r="TCV80" s="7"/>
      <c r="TCW80" s="1365"/>
      <c r="TCX80" s="1365"/>
      <c r="TCY80" s="299"/>
      <c r="TDA80" s="1086"/>
      <c r="TDB80" s="1086"/>
      <c r="TDC80" s="1086"/>
      <c r="TDD80" s="7"/>
      <c r="TDE80" s="7"/>
      <c r="TDF80" s="7"/>
      <c r="TDG80" s="7"/>
      <c r="TDH80" s="1161"/>
      <c r="TDI80" s="7"/>
      <c r="TDJ80" s="7"/>
      <c r="TDK80" s="7"/>
      <c r="TDL80" s="7"/>
      <c r="TDM80" s="7"/>
      <c r="TDN80" s="1161"/>
      <c r="TDO80" s="1161"/>
      <c r="TDP80" s="1161"/>
      <c r="TDQ80" s="1365"/>
      <c r="TDR80" s="7"/>
      <c r="TDS80" s="7"/>
      <c r="TDT80" s="1365"/>
      <c r="TDU80" s="1365"/>
      <c r="TDX80" s="1158"/>
      <c r="TDY80" s="1158"/>
      <c r="TDZ80" s="1158"/>
      <c r="TEA80" s="7"/>
      <c r="TEB80" s="7"/>
      <c r="TEC80" s="7"/>
      <c r="TED80" s="7"/>
      <c r="TEE80" s="1161"/>
      <c r="TEF80" s="7"/>
      <c r="TEG80" s="7"/>
      <c r="TEH80" s="7"/>
      <c r="TEI80" s="7"/>
      <c r="TEJ80" s="7"/>
      <c r="TEK80" s="1161"/>
      <c r="TEL80" s="1161"/>
      <c r="TEM80" s="1161"/>
      <c r="TEN80" s="1365"/>
      <c r="TEO80" s="7"/>
      <c r="TEP80" s="7"/>
      <c r="TEQ80" s="1365"/>
      <c r="TER80" s="1365"/>
      <c r="TET80" s="1158"/>
      <c r="TEU80" s="1158"/>
      <c r="TEV80" s="1158"/>
      <c r="TEW80" s="7"/>
      <c r="TEX80" s="7"/>
      <c r="TEY80" s="7"/>
      <c r="TEZ80" s="7"/>
      <c r="TFA80" s="1363"/>
      <c r="TFB80" s="1364"/>
      <c r="TFC80" s="1364"/>
      <c r="TFD80" s="1364"/>
      <c r="TFE80" s="7"/>
      <c r="TFF80" s="7"/>
      <c r="TFG80" s="1363"/>
      <c r="TFH80" s="1363"/>
      <c r="TFI80" s="1363"/>
      <c r="TFJ80" s="1365"/>
      <c r="TFK80" s="7"/>
      <c r="TFL80" s="7"/>
      <c r="TFM80" s="1365"/>
      <c r="TFN80" s="1365"/>
      <c r="TFO80" s="299"/>
      <c r="TFQ80" s="1086"/>
      <c r="TFR80" s="1086"/>
      <c r="TFS80" s="1086"/>
      <c r="TFT80" s="7"/>
      <c r="TFU80" s="7"/>
      <c r="TFV80" s="7"/>
      <c r="TFW80" s="7"/>
      <c r="TFX80" s="1161"/>
      <c r="TFY80" s="7"/>
      <c r="TFZ80" s="7"/>
      <c r="TGA80" s="7"/>
      <c r="TGB80" s="7"/>
      <c r="TGC80" s="7"/>
      <c r="TGD80" s="1161"/>
      <c r="TGE80" s="1161"/>
      <c r="TGF80" s="1161"/>
      <c r="TGG80" s="1365"/>
      <c r="TGH80" s="7"/>
      <c r="TGI80" s="7"/>
      <c r="TGJ80" s="1365"/>
      <c r="TGK80" s="1365"/>
      <c r="TGN80" s="1158"/>
      <c r="TGO80" s="1158"/>
      <c r="TGP80" s="1158"/>
      <c r="TGQ80" s="7"/>
      <c r="TGR80" s="7"/>
      <c r="TGS80" s="7"/>
      <c r="TGT80" s="7"/>
      <c r="TGU80" s="1161"/>
      <c r="TGV80" s="7"/>
      <c r="TGW80" s="7"/>
      <c r="TGX80" s="7"/>
      <c r="TGY80" s="7"/>
      <c r="TGZ80" s="7"/>
      <c r="THA80" s="1161"/>
      <c r="THB80" s="1161"/>
      <c r="THC80" s="1161"/>
      <c r="THD80" s="1365"/>
      <c r="THE80" s="7"/>
      <c r="THF80" s="7"/>
      <c r="THG80" s="1365"/>
      <c r="THH80" s="1365"/>
      <c r="THJ80" s="1158"/>
      <c r="THK80" s="1158"/>
      <c r="THL80" s="1158"/>
      <c r="THM80" s="7"/>
      <c r="THN80" s="7"/>
      <c r="THO80" s="7"/>
      <c r="THP80" s="7"/>
      <c r="THQ80" s="1363"/>
      <c r="THR80" s="1364"/>
      <c r="THS80" s="1364"/>
      <c r="THT80" s="1364"/>
      <c r="THU80" s="7"/>
      <c r="THV80" s="7"/>
      <c r="THW80" s="1363"/>
      <c r="THX80" s="1363"/>
      <c r="THY80" s="1363"/>
      <c r="THZ80" s="1365"/>
      <c r="TIA80" s="7"/>
      <c r="TIB80" s="7"/>
      <c r="TIC80" s="1365"/>
      <c r="TID80" s="1365"/>
      <c r="TIE80" s="299"/>
      <c r="TIG80" s="1086"/>
      <c r="TIH80" s="1086"/>
      <c r="TII80" s="1086"/>
      <c r="TIJ80" s="7"/>
      <c r="TIK80" s="7"/>
      <c r="TIL80" s="7"/>
      <c r="TIM80" s="7"/>
      <c r="TIN80" s="1161"/>
      <c r="TIO80" s="7"/>
      <c r="TIP80" s="7"/>
      <c r="TIQ80" s="7"/>
      <c r="TIR80" s="7"/>
      <c r="TIS80" s="7"/>
      <c r="TIT80" s="1161"/>
      <c r="TIU80" s="1161"/>
      <c r="TIV80" s="1161"/>
      <c r="TIW80" s="1365"/>
      <c r="TIX80" s="7"/>
      <c r="TIY80" s="7"/>
      <c r="TIZ80" s="1365"/>
      <c r="TJA80" s="1365"/>
      <c r="TJD80" s="1158"/>
      <c r="TJE80" s="1158"/>
      <c r="TJF80" s="1158"/>
      <c r="TJG80" s="7"/>
      <c r="TJH80" s="7"/>
      <c r="TJI80" s="7"/>
      <c r="TJJ80" s="7"/>
      <c r="TJK80" s="1161"/>
      <c r="TJL80" s="7"/>
      <c r="TJM80" s="7"/>
      <c r="TJN80" s="7"/>
      <c r="TJO80" s="7"/>
      <c r="TJP80" s="7"/>
      <c r="TJQ80" s="1161"/>
      <c r="TJR80" s="1161"/>
      <c r="TJS80" s="1161"/>
      <c r="TJT80" s="1365"/>
      <c r="TJU80" s="7"/>
      <c r="TJV80" s="7"/>
      <c r="TJW80" s="1365"/>
      <c r="TJX80" s="1365"/>
      <c r="TJZ80" s="1158"/>
      <c r="TKA80" s="1158"/>
      <c r="TKB80" s="1158"/>
      <c r="TKC80" s="7"/>
      <c r="TKD80" s="7"/>
      <c r="TKE80" s="7"/>
      <c r="TKF80" s="7"/>
      <c r="TKG80" s="1363"/>
      <c r="TKH80" s="1364"/>
      <c r="TKI80" s="1364"/>
      <c r="TKJ80" s="1364"/>
      <c r="TKK80" s="7"/>
      <c r="TKL80" s="7"/>
      <c r="TKM80" s="1363"/>
      <c r="TKN80" s="1363"/>
      <c r="TKO80" s="1363"/>
      <c r="TKP80" s="1365"/>
      <c r="TKQ80" s="7"/>
      <c r="TKR80" s="7"/>
      <c r="TKS80" s="1365"/>
      <c r="TKT80" s="1365"/>
      <c r="TKU80" s="299"/>
      <c r="TKW80" s="1086"/>
      <c r="TKX80" s="1086"/>
      <c r="TKY80" s="1086"/>
      <c r="TKZ80" s="7"/>
      <c r="TLA80" s="7"/>
      <c r="TLB80" s="7"/>
      <c r="TLC80" s="7"/>
      <c r="TLD80" s="1161"/>
      <c r="TLE80" s="7"/>
      <c r="TLF80" s="7"/>
      <c r="TLG80" s="7"/>
      <c r="TLH80" s="7"/>
      <c r="TLI80" s="7"/>
      <c r="TLJ80" s="1161"/>
      <c r="TLK80" s="1161"/>
      <c r="TLL80" s="1161"/>
      <c r="TLM80" s="1365"/>
      <c r="TLN80" s="7"/>
      <c r="TLO80" s="7"/>
      <c r="TLP80" s="1365"/>
      <c r="TLQ80" s="1365"/>
      <c r="TLT80" s="1158"/>
      <c r="TLU80" s="1158"/>
      <c r="TLV80" s="1158"/>
      <c r="TLW80" s="7"/>
      <c r="TLX80" s="7"/>
      <c r="TLY80" s="7"/>
      <c r="TLZ80" s="7"/>
      <c r="TMA80" s="1161"/>
      <c r="TMB80" s="7"/>
      <c r="TMC80" s="7"/>
      <c r="TMD80" s="7"/>
      <c r="TME80" s="7"/>
      <c r="TMF80" s="7"/>
      <c r="TMG80" s="1161"/>
      <c r="TMH80" s="1161"/>
      <c r="TMI80" s="1161"/>
      <c r="TMJ80" s="1365"/>
      <c r="TMK80" s="7"/>
      <c r="TML80" s="7"/>
      <c r="TMM80" s="1365"/>
      <c r="TMN80" s="1365"/>
      <c r="TMP80" s="1158"/>
      <c r="TMQ80" s="1158"/>
      <c r="TMR80" s="1158"/>
      <c r="TMS80" s="7"/>
      <c r="TMT80" s="7"/>
      <c r="TMU80" s="7"/>
      <c r="TMV80" s="7"/>
      <c r="TMW80" s="1363"/>
      <c r="TMX80" s="1364"/>
      <c r="TMY80" s="1364"/>
      <c r="TMZ80" s="1364"/>
      <c r="TNA80" s="7"/>
      <c r="TNB80" s="7"/>
      <c r="TNC80" s="1363"/>
      <c r="TND80" s="1363"/>
      <c r="TNE80" s="1363"/>
      <c r="TNF80" s="1365"/>
      <c r="TNG80" s="7"/>
      <c r="TNH80" s="7"/>
      <c r="TNI80" s="1365"/>
      <c r="TNJ80" s="1365"/>
      <c r="TNK80" s="299"/>
      <c r="TNM80" s="1086"/>
      <c r="TNN80" s="1086"/>
      <c r="TNO80" s="1086"/>
      <c r="TNP80" s="7"/>
      <c r="TNQ80" s="7"/>
      <c r="TNR80" s="7"/>
      <c r="TNS80" s="7"/>
      <c r="TNT80" s="1161"/>
      <c r="TNU80" s="7"/>
      <c r="TNV80" s="7"/>
      <c r="TNW80" s="7"/>
      <c r="TNX80" s="7"/>
      <c r="TNY80" s="7"/>
      <c r="TNZ80" s="1161"/>
      <c r="TOA80" s="1161"/>
      <c r="TOB80" s="1161"/>
      <c r="TOC80" s="1365"/>
      <c r="TOD80" s="7"/>
      <c r="TOE80" s="7"/>
      <c r="TOF80" s="1365"/>
      <c r="TOG80" s="1365"/>
      <c r="TOJ80" s="1158"/>
      <c r="TOK80" s="1158"/>
      <c r="TOL80" s="1158"/>
      <c r="TOM80" s="7"/>
      <c r="TON80" s="7"/>
      <c r="TOO80" s="7"/>
      <c r="TOP80" s="7"/>
      <c r="TOQ80" s="1161"/>
      <c r="TOR80" s="7"/>
      <c r="TOS80" s="7"/>
      <c r="TOT80" s="7"/>
      <c r="TOU80" s="7"/>
      <c r="TOV80" s="7"/>
      <c r="TOW80" s="1161"/>
      <c r="TOX80" s="1161"/>
      <c r="TOY80" s="1161"/>
      <c r="TOZ80" s="1365"/>
      <c r="TPA80" s="7"/>
      <c r="TPB80" s="7"/>
      <c r="TPC80" s="1365"/>
      <c r="TPD80" s="1365"/>
      <c r="TPF80" s="1158"/>
      <c r="TPG80" s="1158"/>
      <c r="TPH80" s="1158"/>
      <c r="TPI80" s="7"/>
      <c r="TPJ80" s="7"/>
      <c r="TPK80" s="7"/>
      <c r="TPL80" s="7"/>
      <c r="TPM80" s="1363"/>
      <c r="TPN80" s="1364"/>
      <c r="TPO80" s="1364"/>
      <c r="TPP80" s="1364"/>
      <c r="TPQ80" s="7"/>
      <c r="TPR80" s="7"/>
      <c r="TPS80" s="1363"/>
      <c r="TPT80" s="1363"/>
      <c r="TPU80" s="1363"/>
      <c r="TPV80" s="1365"/>
      <c r="TPW80" s="7"/>
      <c r="TPX80" s="7"/>
      <c r="TPY80" s="1365"/>
      <c r="TPZ80" s="1365"/>
      <c r="TQA80" s="299"/>
      <c r="TQC80" s="1086"/>
      <c r="TQD80" s="1086"/>
      <c r="TQE80" s="1086"/>
      <c r="TQF80" s="7"/>
      <c r="TQG80" s="7"/>
      <c r="TQH80" s="7"/>
      <c r="TQI80" s="7"/>
      <c r="TQJ80" s="1161"/>
      <c r="TQK80" s="7"/>
      <c r="TQL80" s="7"/>
      <c r="TQM80" s="7"/>
      <c r="TQN80" s="7"/>
      <c r="TQO80" s="7"/>
      <c r="TQP80" s="1161"/>
      <c r="TQQ80" s="1161"/>
      <c r="TQR80" s="1161"/>
      <c r="TQS80" s="1365"/>
      <c r="TQT80" s="7"/>
      <c r="TQU80" s="7"/>
      <c r="TQV80" s="1365"/>
      <c r="TQW80" s="1365"/>
      <c r="TQZ80" s="1158"/>
      <c r="TRA80" s="1158"/>
      <c r="TRB80" s="1158"/>
      <c r="TRC80" s="7"/>
      <c r="TRD80" s="7"/>
      <c r="TRE80" s="7"/>
      <c r="TRF80" s="7"/>
      <c r="TRG80" s="1161"/>
      <c r="TRH80" s="7"/>
      <c r="TRI80" s="7"/>
      <c r="TRJ80" s="7"/>
      <c r="TRK80" s="7"/>
      <c r="TRL80" s="7"/>
      <c r="TRM80" s="1161"/>
      <c r="TRN80" s="1161"/>
      <c r="TRO80" s="1161"/>
      <c r="TRP80" s="1365"/>
      <c r="TRQ80" s="7"/>
      <c r="TRR80" s="7"/>
      <c r="TRS80" s="1365"/>
      <c r="TRT80" s="1365"/>
      <c r="TRV80" s="1158"/>
      <c r="TRW80" s="1158"/>
      <c r="TRX80" s="1158"/>
      <c r="TRY80" s="7"/>
      <c r="TRZ80" s="7"/>
      <c r="TSA80" s="7"/>
      <c r="TSB80" s="7"/>
      <c r="TSC80" s="1363"/>
      <c r="TSD80" s="1364"/>
      <c r="TSE80" s="1364"/>
      <c r="TSF80" s="1364"/>
      <c r="TSG80" s="7"/>
      <c r="TSH80" s="7"/>
      <c r="TSI80" s="1363"/>
      <c r="TSJ80" s="1363"/>
      <c r="TSK80" s="1363"/>
      <c r="TSL80" s="1365"/>
      <c r="TSM80" s="7"/>
      <c r="TSN80" s="7"/>
      <c r="TSO80" s="1365"/>
      <c r="TSP80" s="1365"/>
      <c r="TSQ80" s="299"/>
      <c r="TSS80" s="1086"/>
      <c r="TST80" s="1086"/>
      <c r="TSU80" s="1086"/>
      <c r="TSV80" s="7"/>
      <c r="TSW80" s="7"/>
      <c r="TSX80" s="7"/>
      <c r="TSY80" s="7"/>
      <c r="TSZ80" s="1161"/>
      <c r="TTA80" s="7"/>
      <c r="TTB80" s="7"/>
      <c r="TTC80" s="7"/>
      <c r="TTD80" s="7"/>
      <c r="TTE80" s="7"/>
      <c r="TTF80" s="1161"/>
      <c r="TTG80" s="1161"/>
      <c r="TTH80" s="1161"/>
      <c r="TTI80" s="1365"/>
      <c r="TTJ80" s="7"/>
      <c r="TTK80" s="7"/>
      <c r="TTL80" s="1365"/>
      <c r="TTM80" s="1365"/>
      <c r="TTP80" s="1158"/>
      <c r="TTQ80" s="1158"/>
      <c r="TTR80" s="1158"/>
      <c r="TTS80" s="7"/>
      <c r="TTT80" s="7"/>
      <c r="TTU80" s="7"/>
      <c r="TTV80" s="7"/>
      <c r="TTW80" s="1161"/>
      <c r="TTX80" s="7"/>
      <c r="TTY80" s="7"/>
      <c r="TTZ80" s="7"/>
      <c r="TUA80" s="7"/>
      <c r="TUB80" s="7"/>
      <c r="TUC80" s="1161"/>
      <c r="TUD80" s="1161"/>
      <c r="TUE80" s="1161"/>
      <c r="TUF80" s="1365"/>
      <c r="TUG80" s="7"/>
      <c r="TUH80" s="7"/>
      <c r="TUI80" s="1365"/>
      <c r="TUJ80" s="1365"/>
      <c r="TUL80" s="1158"/>
      <c r="TUM80" s="1158"/>
      <c r="TUN80" s="1158"/>
      <c r="TUO80" s="7"/>
      <c r="TUP80" s="7"/>
      <c r="TUQ80" s="7"/>
      <c r="TUR80" s="7"/>
      <c r="TUS80" s="1363"/>
      <c r="TUT80" s="1364"/>
      <c r="TUU80" s="1364"/>
      <c r="TUV80" s="1364"/>
      <c r="TUW80" s="7"/>
      <c r="TUX80" s="7"/>
      <c r="TUY80" s="1363"/>
      <c r="TUZ80" s="1363"/>
      <c r="TVA80" s="1363"/>
      <c r="TVB80" s="1365"/>
      <c r="TVC80" s="7"/>
      <c r="TVD80" s="7"/>
      <c r="TVE80" s="1365"/>
      <c r="TVF80" s="1365"/>
      <c r="TVG80" s="299"/>
      <c r="TVI80" s="1086"/>
      <c r="TVJ80" s="1086"/>
      <c r="TVK80" s="1086"/>
      <c r="TVL80" s="7"/>
      <c r="TVM80" s="7"/>
      <c r="TVN80" s="7"/>
      <c r="TVO80" s="7"/>
      <c r="TVP80" s="1161"/>
      <c r="TVQ80" s="7"/>
      <c r="TVR80" s="7"/>
      <c r="TVS80" s="7"/>
      <c r="TVT80" s="7"/>
      <c r="TVU80" s="7"/>
      <c r="TVV80" s="1161"/>
      <c r="TVW80" s="1161"/>
      <c r="TVX80" s="1161"/>
      <c r="TVY80" s="1365"/>
      <c r="TVZ80" s="7"/>
      <c r="TWA80" s="7"/>
      <c r="TWB80" s="1365"/>
      <c r="TWC80" s="1365"/>
      <c r="TWF80" s="1158"/>
      <c r="TWG80" s="1158"/>
      <c r="TWH80" s="1158"/>
      <c r="TWI80" s="7"/>
      <c r="TWJ80" s="7"/>
      <c r="TWK80" s="7"/>
      <c r="TWL80" s="7"/>
      <c r="TWM80" s="1161"/>
      <c r="TWN80" s="7"/>
      <c r="TWO80" s="7"/>
      <c r="TWP80" s="7"/>
      <c r="TWQ80" s="7"/>
      <c r="TWR80" s="7"/>
      <c r="TWS80" s="1161"/>
      <c r="TWT80" s="1161"/>
      <c r="TWU80" s="1161"/>
      <c r="TWV80" s="1365"/>
      <c r="TWW80" s="7"/>
      <c r="TWX80" s="7"/>
      <c r="TWY80" s="1365"/>
      <c r="TWZ80" s="1365"/>
      <c r="TXB80" s="1158"/>
      <c r="TXC80" s="1158"/>
      <c r="TXD80" s="1158"/>
      <c r="TXE80" s="7"/>
      <c r="TXF80" s="7"/>
      <c r="TXG80" s="7"/>
      <c r="TXH80" s="7"/>
      <c r="TXI80" s="1363"/>
      <c r="TXJ80" s="1364"/>
      <c r="TXK80" s="1364"/>
      <c r="TXL80" s="1364"/>
      <c r="TXM80" s="7"/>
      <c r="TXN80" s="7"/>
      <c r="TXO80" s="1363"/>
      <c r="TXP80" s="1363"/>
      <c r="TXQ80" s="1363"/>
      <c r="TXR80" s="1365"/>
      <c r="TXS80" s="7"/>
      <c r="TXT80" s="7"/>
      <c r="TXU80" s="1365"/>
      <c r="TXV80" s="1365"/>
      <c r="TXW80" s="299"/>
      <c r="TXY80" s="1086"/>
      <c r="TXZ80" s="1086"/>
      <c r="TYA80" s="1086"/>
      <c r="TYB80" s="7"/>
      <c r="TYC80" s="7"/>
      <c r="TYD80" s="7"/>
      <c r="TYE80" s="7"/>
      <c r="TYF80" s="1161"/>
      <c r="TYG80" s="7"/>
      <c r="TYH80" s="7"/>
      <c r="TYI80" s="7"/>
      <c r="TYJ80" s="7"/>
      <c r="TYK80" s="7"/>
      <c r="TYL80" s="1161"/>
      <c r="TYM80" s="1161"/>
      <c r="TYN80" s="1161"/>
      <c r="TYO80" s="1365"/>
      <c r="TYP80" s="7"/>
      <c r="TYQ80" s="7"/>
      <c r="TYR80" s="1365"/>
      <c r="TYS80" s="1365"/>
      <c r="TYV80" s="1158"/>
      <c r="TYW80" s="1158"/>
      <c r="TYX80" s="1158"/>
      <c r="TYY80" s="7"/>
      <c r="TYZ80" s="7"/>
      <c r="TZA80" s="7"/>
      <c r="TZB80" s="7"/>
      <c r="TZC80" s="1161"/>
      <c r="TZD80" s="7"/>
      <c r="TZE80" s="7"/>
      <c r="TZF80" s="7"/>
      <c r="TZG80" s="7"/>
      <c r="TZH80" s="7"/>
      <c r="TZI80" s="1161"/>
      <c r="TZJ80" s="1161"/>
      <c r="TZK80" s="1161"/>
      <c r="TZL80" s="1365"/>
      <c r="TZM80" s="7"/>
      <c r="TZN80" s="7"/>
      <c r="TZO80" s="1365"/>
      <c r="TZP80" s="1365"/>
      <c r="TZR80" s="1158"/>
      <c r="TZS80" s="1158"/>
      <c r="TZT80" s="1158"/>
      <c r="TZU80" s="7"/>
      <c r="TZV80" s="7"/>
      <c r="TZW80" s="7"/>
      <c r="TZX80" s="7"/>
      <c r="TZY80" s="1363"/>
      <c r="TZZ80" s="1364"/>
      <c r="UAA80" s="1364"/>
      <c r="UAB80" s="1364"/>
      <c r="UAC80" s="7"/>
      <c r="UAD80" s="7"/>
      <c r="UAE80" s="1363"/>
      <c r="UAF80" s="1363"/>
      <c r="UAG80" s="1363"/>
      <c r="UAH80" s="1365"/>
      <c r="UAI80" s="7"/>
      <c r="UAJ80" s="7"/>
      <c r="UAK80" s="1365"/>
      <c r="UAL80" s="1365"/>
      <c r="UAM80" s="299"/>
      <c r="UAO80" s="1086"/>
      <c r="UAP80" s="1086"/>
      <c r="UAQ80" s="1086"/>
      <c r="UAR80" s="7"/>
      <c r="UAS80" s="7"/>
      <c r="UAT80" s="7"/>
      <c r="UAU80" s="7"/>
      <c r="UAV80" s="1161"/>
      <c r="UAW80" s="7"/>
      <c r="UAX80" s="7"/>
      <c r="UAY80" s="7"/>
      <c r="UAZ80" s="7"/>
      <c r="UBA80" s="7"/>
      <c r="UBB80" s="1161"/>
      <c r="UBC80" s="1161"/>
      <c r="UBD80" s="1161"/>
      <c r="UBE80" s="1365"/>
      <c r="UBF80" s="7"/>
      <c r="UBG80" s="7"/>
      <c r="UBH80" s="1365"/>
      <c r="UBI80" s="1365"/>
      <c r="UBL80" s="1158"/>
      <c r="UBM80" s="1158"/>
      <c r="UBN80" s="1158"/>
      <c r="UBO80" s="7"/>
      <c r="UBP80" s="7"/>
      <c r="UBQ80" s="7"/>
      <c r="UBR80" s="7"/>
      <c r="UBS80" s="1161"/>
      <c r="UBT80" s="7"/>
      <c r="UBU80" s="7"/>
      <c r="UBV80" s="7"/>
      <c r="UBW80" s="7"/>
      <c r="UBX80" s="7"/>
      <c r="UBY80" s="1161"/>
      <c r="UBZ80" s="1161"/>
      <c r="UCA80" s="1161"/>
      <c r="UCB80" s="1365"/>
      <c r="UCC80" s="7"/>
      <c r="UCD80" s="7"/>
      <c r="UCE80" s="1365"/>
      <c r="UCF80" s="1365"/>
      <c r="UCH80" s="1158"/>
      <c r="UCI80" s="1158"/>
      <c r="UCJ80" s="1158"/>
      <c r="UCK80" s="7"/>
      <c r="UCL80" s="7"/>
      <c r="UCM80" s="7"/>
      <c r="UCN80" s="7"/>
      <c r="UCO80" s="1363"/>
      <c r="UCP80" s="1364"/>
      <c r="UCQ80" s="1364"/>
      <c r="UCR80" s="1364"/>
      <c r="UCS80" s="7"/>
      <c r="UCT80" s="7"/>
      <c r="UCU80" s="1363"/>
      <c r="UCV80" s="1363"/>
      <c r="UCW80" s="1363"/>
      <c r="UCX80" s="1365"/>
      <c r="UCY80" s="7"/>
      <c r="UCZ80" s="7"/>
      <c r="UDA80" s="1365"/>
      <c r="UDB80" s="1365"/>
      <c r="UDC80" s="299"/>
      <c r="UDE80" s="1086"/>
      <c r="UDF80" s="1086"/>
      <c r="UDG80" s="1086"/>
      <c r="UDH80" s="7"/>
      <c r="UDI80" s="7"/>
      <c r="UDJ80" s="7"/>
      <c r="UDK80" s="7"/>
      <c r="UDL80" s="1161"/>
      <c r="UDM80" s="7"/>
      <c r="UDN80" s="7"/>
      <c r="UDO80" s="7"/>
      <c r="UDP80" s="7"/>
      <c r="UDQ80" s="7"/>
      <c r="UDR80" s="1161"/>
      <c r="UDS80" s="1161"/>
      <c r="UDT80" s="1161"/>
      <c r="UDU80" s="1365"/>
      <c r="UDV80" s="7"/>
      <c r="UDW80" s="7"/>
      <c r="UDX80" s="1365"/>
      <c r="UDY80" s="1365"/>
      <c r="UEB80" s="1158"/>
      <c r="UEC80" s="1158"/>
      <c r="UED80" s="1158"/>
      <c r="UEE80" s="7"/>
      <c r="UEF80" s="7"/>
      <c r="UEG80" s="7"/>
      <c r="UEH80" s="7"/>
      <c r="UEI80" s="1161"/>
      <c r="UEJ80" s="7"/>
      <c r="UEK80" s="7"/>
      <c r="UEL80" s="7"/>
      <c r="UEM80" s="7"/>
      <c r="UEN80" s="7"/>
      <c r="UEO80" s="1161"/>
      <c r="UEP80" s="1161"/>
      <c r="UEQ80" s="1161"/>
      <c r="UER80" s="1365"/>
      <c r="UES80" s="7"/>
      <c r="UET80" s="7"/>
      <c r="UEU80" s="1365"/>
      <c r="UEV80" s="1365"/>
      <c r="UEX80" s="1158"/>
      <c r="UEY80" s="1158"/>
      <c r="UEZ80" s="1158"/>
      <c r="UFA80" s="7"/>
      <c r="UFB80" s="7"/>
      <c r="UFC80" s="7"/>
      <c r="UFD80" s="7"/>
      <c r="UFE80" s="1363"/>
      <c r="UFF80" s="1364"/>
      <c r="UFG80" s="1364"/>
      <c r="UFH80" s="1364"/>
      <c r="UFI80" s="7"/>
      <c r="UFJ80" s="7"/>
      <c r="UFK80" s="1363"/>
      <c r="UFL80" s="1363"/>
      <c r="UFM80" s="1363"/>
      <c r="UFN80" s="1365"/>
      <c r="UFO80" s="7"/>
      <c r="UFP80" s="7"/>
      <c r="UFQ80" s="1365"/>
      <c r="UFR80" s="1365"/>
      <c r="UFS80" s="299"/>
      <c r="UFU80" s="1086"/>
      <c r="UFV80" s="1086"/>
      <c r="UFW80" s="1086"/>
      <c r="UFX80" s="7"/>
      <c r="UFY80" s="7"/>
      <c r="UFZ80" s="7"/>
      <c r="UGA80" s="7"/>
      <c r="UGB80" s="1161"/>
      <c r="UGC80" s="7"/>
      <c r="UGD80" s="7"/>
      <c r="UGE80" s="7"/>
      <c r="UGF80" s="7"/>
      <c r="UGG80" s="7"/>
      <c r="UGH80" s="1161"/>
      <c r="UGI80" s="1161"/>
      <c r="UGJ80" s="1161"/>
      <c r="UGK80" s="1365"/>
      <c r="UGL80" s="7"/>
      <c r="UGM80" s="7"/>
      <c r="UGN80" s="1365"/>
      <c r="UGO80" s="1365"/>
      <c r="UGR80" s="1158"/>
      <c r="UGS80" s="1158"/>
      <c r="UGT80" s="1158"/>
      <c r="UGU80" s="7"/>
      <c r="UGV80" s="7"/>
      <c r="UGW80" s="7"/>
      <c r="UGX80" s="7"/>
      <c r="UGY80" s="1161"/>
      <c r="UGZ80" s="7"/>
      <c r="UHA80" s="7"/>
      <c r="UHB80" s="7"/>
      <c r="UHC80" s="7"/>
      <c r="UHD80" s="7"/>
      <c r="UHE80" s="1161"/>
      <c r="UHF80" s="1161"/>
      <c r="UHG80" s="1161"/>
      <c r="UHH80" s="1365"/>
      <c r="UHI80" s="7"/>
      <c r="UHJ80" s="7"/>
      <c r="UHK80" s="1365"/>
      <c r="UHL80" s="1365"/>
      <c r="UHN80" s="1158"/>
      <c r="UHO80" s="1158"/>
      <c r="UHP80" s="1158"/>
      <c r="UHQ80" s="7"/>
      <c r="UHR80" s="7"/>
      <c r="UHS80" s="7"/>
      <c r="UHT80" s="7"/>
      <c r="UHU80" s="1363"/>
      <c r="UHV80" s="1364"/>
      <c r="UHW80" s="1364"/>
      <c r="UHX80" s="1364"/>
      <c r="UHY80" s="7"/>
      <c r="UHZ80" s="7"/>
      <c r="UIA80" s="1363"/>
      <c r="UIB80" s="1363"/>
      <c r="UIC80" s="1363"/>
      <c r="UID80" s="1365"/>
      <c r="UIE80" s="7"/>
      <c r="UIF80" s="7"/>
      <c r="UIG80" s="1365"/>
      <c r="UIH80" s="1365"/>
      <c r="UII80" s="299"/>
      <c r="UIK80" s="1086"/>
      <c r="UIL80" s="1086"/>
      <c r="UIM80" s="1086"/>
      <c r="UIN80" s="7"/>
      <c r="UIO80" s="7"/>
      <c r="UIP80" s="7"/>
      <c r="UIQ80" s="7"/>
      <c r="UIR80" s="1161"/>
      <c r="UIS80" s="7"/>
      <c r="UIT80" s="7"/>
      <c r="UIU80" s="7"/>
      <c r="UIV80" s="7"/>
      <c r="UIW80" s="7"/>
      <c r="UIX80" s="1161"/>
      <c r="UIY80" s="1161"/>
      <c r="UIZ80" s="1161"/>
      <c r="UJA80" s="1365"/>
      <c r="UJB80" s="7"/>
      <c r="UJC80" s="7"/>
      <c r="UJD80" s="1365"/>
      <c r="UJE80" s="1365"/>
      <c r="UJH80" s="1158"/>
      <c r="UJI80" s="1158"/>
      <c r="UJJ80" s="1158"/>
      <c r="UJK80" s="7"/>
      <c r="UJL80" s="7"/>
      <c r="UJM80" s="7"/>
      <c r="UJN80" s="7"/>
      <c r="UJO80" s="1161"/>
      <c r="UJP80" s="7"/>
      <c r="UJQ80" s="7"/>
      <c r="UJR80" s="7"/>
      <c r="UJS80" s="7"/>
      <c r="UJT80" s="7"/>
      <c r="UJU80" s="1161"/>
      <c r="UJV80" s="1161"/>
      <c r="UJW80" s="1161"/>
      <c r="UJX80" s="1365"/>
      <c r="UJY80" s="7"/>
      <c r="UJZ80" s="7"/>
      <c r="UKA80" s="1365"/>
      <c r="UKB80" s="1365"/>
      <c r="UKD80" s="1158"/>
      <c r="UKE80" s="1158"/>
      <c r="UKF80" s="1158"/>
      <c r="UKG80" s="7"/>
      <c r="UKH80" s="7"/>
      <c r="UKI80" s="7"/>
      <c r="UKJ80" s="7"/>
      <c r="UKK80" s="1363"/>
      <c r="UKL80" s="1364"/>
      <c r="UKM80" s="1364"/>
      <c r="UKN80" s="1364"/>
      <c r="UKO80" s="7"/>
      <c r="UKP80" s="7"/>
      <c r="UKQ80" s="1363"/>
      <c r="UKR80" s="1363"/>
      <c r="UKS80" s="1363"/>
      <c r="UKT80" s="1365"/>
      <c r="UKU80" s="7"/>
      <c r="UKV80" s="7"/>
      <c r="UKW80" s="1365"/>
      <c r="UKX80" s="1365"/>
      <c r="UKY80" s="299"/>
      <c r="ULA80" s="1086"/>
      <c r="ULB80" s="1086"/>
      <c r="ULC80" s="1086"/>
      <c r="ULD80" s="7"/>
      <c r="ULE80" s="7"/>
      <c r="ULF80" s="7"/>
      <c r="ULG80" s="7"/>
      <c r="ULH80" s="1161"/>
      <c r="ULI80" s="7"/>
      <c r="ULJ80" s="7"/>
      <c r="ULK80" s="7"/>
      <c r="ULL80" s="7"/>
      <c r="ULM80" s="7"/>
      <c r="ULN80" s="1161"/>
      <c r="ULO80" s="1161"/>
      <c r="ULP80" s="1161"/>
      <c r="ULQ80" s="1365"/>
      <c r="ULR80" s="7"/>
      <c r="ULS80" s="7"/>
      <c r="ULT80" s="1365"/>
      <c r="ULU80" s="1365"/>
      <c r="ULX80" s="1158"/>
      <c r="ULY80" s="1158"/>
      <c r="ULZ80" s="1158"/>
      <c r="UMA80" s="7"/>
      <c r="UMB80" s="7"/>
      <c r="UMC80" s="7"/>
      <c r="UMD80" s="7"/>
      <c r="UME80" s="1161"/>
      <c r="UMF80" s="7"/>
      <c r="UMG80" s="7"/>
      <c r="UMH80" s="7"/>
      <c r="UMI80" s="7"/>
      <c r="UMJ80" s="7"/>
      <c r="UMK80" s="1161"/>
      <c r="UML80" s="1161"/>
      <c r="UMM80" s="1161"/>
      <c r="UMN80" s="1365"/>
      <c r="UMO80" s="7"/>
      <c r="UMP80" s="7"/>
      <c r="UMQ80" s="1365"/>
      <c r="UMR80" s="1365"/>
      <c r="UMT80" s="1158"/>
      <c r="UMU80" s="1158"/>
      <c r="UMV80" s="1158"/>
      <c r="UMW80" s="7"/>
      <c r="UMX80" s="7"/>
      <c r="UMY80" s="7"/>
      <c r="UMZ80" s="7"/>
      <c r="UNA80" s="1363"/>
      <c r="UNB80" s="1364"/>
      <c r="UNC80" s="1364"/>
      <c r="UND80" s="1364"/>
      <c r="UNE80" s="7"/>
      <c r="UNF80" s="7"/>
      <c r="UNG80" s="1363"/>
      <c r="UNH80" s="1363"/>
      <c r="UNI80" s="1363"/>
      <c r="UNJ80" s="1365"/>
      <c r="UNK80" s="7"/>
      <c r="UNL80" s="7"/>
      <c r="UNM80" s="1365"/>
      <c r="UNN80" s="1365"/>
      <c r="UNO80" s="299"/>
      <c r="UNQ80" s="1086"/>
      <c r="UNR80" s="1086"/>
      <c r="UNS80" s="1086"/>
      <c r="UNT80" s="7"/>
      <c r="UNU80" s="7"/>
      <c r="UNV80" s="7"/>
      <c r="UNW80" s="7"/>
      <c r="UNX80" s="1161"/>
      <c r="UNY80" s="7"/>
      <c r="UNZ80" s="7"/>
      <c r="UOA80" s="7"/>
      <c r="UOB80" s="7"/>
      <c r="UOC80" s="7"/>
      <c r="UOD80" s="1161"/>
      <c r="UOE80" s="1161"/>
      <c r="UOF80" s="1161"/>
      <c r="UOG80" s="1365"/>
      <c r="UOH80" s="7"/>
      <c r="UOI80" s="7"/>
      <c r="UOJ80" s="1365"/>
      <c r="UOK80" s="1365"/>
      <c r="UON80" s="1158"/>
      <c r="UOO80" s="1158"/>
      <c r="UOP80" s="1158"/>
      <c r="UOQ80" s="7"/>
      <c r="UOR80" s="7"/>
      <c r="UOS80" s="7"/>
      <c r="UOT80" s="7"/>
      <c r="UOU80" s="1161"/>
      <c r="UOV80" s="7"/>
      <c r="UOW80" s="7"/>
      <c r="UOX80" s="7"/>
      <c r="UOY80" s="7"/>
      <c r="UOZ80" s="7"/>
      <c r="UPA80" s="1161"/>
      <c r="UPB80" s="1161"/>
      <c r="UPC80" s="1161"/>
      <c r="UPD80" s="1365"/>
      <c r="UPE80" s="7"/>
      <c r="UPF80" s="7"/>
      <c r="UPG80" s="1365"/>
      <c r="UPH80" s="1365"/>
      <c r="UPJ80" s="1158"/>
      <c r="UPK80" s="1158"/>
      <c r="UPL80" s="1158"/>
      <c r="UPM80" s="7"/>
      <c r="UPN80" s="7"/>
      <c r="UPO80" s="7"/>
      <c r="UPP80" s="7"/>
      <c r="UPQ80" s="1363"/>
      <c r="UPR80" s="1364"/>
      <c r="UPS80" s="1364"/>
      <c r="UPT80" s="1364"/>
      <c r="UPU80" s="7"/>
      <c r="UPV80" s="7"/>
      <c r="UPW80" s="1363"/>
      <c r="UPX80" s="1363"/>
      <c r="UPY80" s="1363"/>
      <c r="UPZ80" s="1365"/>
      <c r="UQA80" s="7"/>
      <c r="UQB80" s="7"/>
      <c r="UQC80" s="1365"/>
      <c r="UQD80" s="1365"/>
      <c r="UQE80" s="299"/>
      <c r="UQG80" s="1086"/>
      <c r="UQH80" s="1086"/>
      <c r="UQI80" s="1086"/>
      <c r="UQJ80" s="7"/>
      <c r="UQK80" s="7"/>
      <c r="UQL80" s="7"/>
      <c r="UQM80" s="7"/>
      <c r="UQN80" s="1161"/>
      <c r="UQO80" s="7"/>
      <c r="UQP80" s="7"/>
      <c r="UQQ80" s="7"/>
      <c r="UQR80" s="7"/>
      <c r="UQS80" s="7"/>
      <c r="UQT80" s="1161"/>
      <c r="UQU80" s="1161"/>
      <c r="UQV80" s="1161"/>
      <c r="UQW80" s="1365"/>
      <c r="UQX80" s="7"/>
      <c r="UQY80" s="7"/>
      <c r="UQZ80" s="1365"/>
      <c r="URA80" s="1365"/>
      <c r="URD80" s="1158"/>
      <c r="URE80" s="1158"/>
      <c r="URF80" s="1158"/>
      <c r="URG80" s="7"/>
      <c r="URH80" s="7"/>
      <c r="URI80" s="7"/>
      <c r="URJ80" s="7"/>
      <c r="URK80" s="1161"/>
      <c r="URL80" s="7"/>
      <c r="URM80" s="7"/>
      <c r="URN80" s="7"/>
      <c r="URO80" s="7"/>
      <c r="URP80" s="7"/>
      <c r="URQ80" s="1161"/>
      <c r="URR80" s="1161"/>
      <c r="URS80" s="1161"/>
      <c r="URT80" s="1365"/>
      <c r="URU80" s="7"/>
      <c r="URV80" s="7"/>
      <c r="URW80" s="1365"/>
      <c r="URX80" s="1365"/>
      <c r="URZ80" s="1158"/>
      <c r="USA80" s="1158"/>
      <c r="USB80" s="1158"/>
      <c r="USC80" s="7"/>
      <c r="USD80" s="7"/>
      <c r="USE80" s="7"/>
      <c r="USF80" s="7"/>
      <c r="USG80" s="1363"/>
      <c r="USH80" s="1364"/>
      <c r="USI80" s="1364"/>
      <c r="USJ80" s="1364"/>
      <c r="USK80" s="7"/>
      <c r="USL80" s="7"/>
      <c r="USM80" s="1363"/>
      <c r="USN80" s="1363"/>
      <c r="USO80" s="1363"/>
      <c r="USP80" s="1365"/>
      <c r="USQ80" s="7"/>
      <c r="USR80" s="7"/>
      <c r="USS80" s="1365"/>
      <c r="UST80" s="1365"/>
      <c r="USU80" s="299"/>
      <c r="USW80" s="1086"/>
      <c r="USX80" s="1086"/>
      <c r="USY80" s="1086"/>
      <c r="USZ80" s="7"/>
      <c r="UTA80" s="7"/>
      <c r="UTB80" s="7"/>
      <c r="UTC80" s="7"/>
      <c r="UTD80" s="1161"/>
      <c r="UTE80" s="7"/>
      <c r="UTF80" s="7"/>
      <c r="UTG80" s="7"/>
      <c r="UTH80" s="7"/>
      <c r="UTI80" s="7"/>
      <c r="UTJ80" s="1161"/>
      <c r="UTK80" s="1161"/>
      <c r="UTL80" s="1161"/>
      <c r="UTM80" s="1365"/>
      <c r="UTN80" s="7"/>
      <c r="UTO80" s="7"/>
      <c r="UTP80" s="1365"/>
      <c r="UTQ80" s="1365"/>
      <c r="UTT80" s="1158"/>
      <c r="UTU80" s="1158"/>
      <c r="UTV80" s="1158"/>
      <c r="UTW80" s="7"/>
      <c r="UTX80" s="7"/>
      <c r="UTY80" s="7"/>
      <c r="UTZ80" s="7"/>
      <c r="UUA80" s="1161"/>
      <c r="UUB80" s="7"/>
      <c r="UUC80" s="7"/>
      <c r="UUD80" s="7"/>
      <c r="UUE80" s="7"/>
      <c r="UUF80" s="7"/>
      <c r="UUG80" s="1161"/>
      <c r="UUH80" s="1161"/>
      <c r="UUI80" s="1161"/>
      <c r="UUJ80" s="1365"/>
      <c r="UUK80" s="7"/>
      <c r="UUL80" s="7"/>
      <c r="UUM80" s="1365"/>
      <c r="UUN80" s="1365"/>
      <c r="UUP80" s="1158"/>
      <c r="UUQ80" s="1158"/>
      <c r="UUR80" s="1158"/>
      <c r="UUS80" s="7"/>
      <c r="UUT80" s="7"/>
      <c r="UUU80" s="7"/>
      <c r="UUV80" s="7"/>
      <c r="UUW80" s="1363"/>
      <c r="UUX80" s="1364"/>
      <c r="UUY80" s="1364"/>
      <c r="UUZ80" s="1364"/>
      <c r="UVA80" s="7"/>
      <c r="UVB80" s="7"/>
      <c r="UVC80" s="1363"/>
      <c r="UVD80" s="1363"/>
      <c r="UVE80" s="1363"/>
      <c r="UVF80" s="1365"/>
      <c r="UVG80" s="7"/>
      <c r="UVH80" s="7"/>
      <c r="UVI80" s="1365"/>
      <c r="UVJ80" s="1365"/>
      <c r="UVK80" s="299"/>
      <c r="UVM80" s="1086"/>
      <c r="UVN80" s="1086"/>
      <c r="UVO80" s="1086"/>
      <c r="UVP80" s="7"/>
      <c r="UVQ80" s="7"/>
      <c r="UVR80" s="7"/>
      <c r="UVS80" s="7"/>
      <c r="UVT80" s="1161"/>
      <c r="UVU80" s="7"/>
      <c r="UVV80" s="7"/>
      <c r="UVW80" s="7"/>
      <c r="UVX80" s="7"/>
      <c r="UVY80" s="7"/>
      <c r="UVZ80" s="1161"/>
      <c r="UWA80" s="1161"/>
      <c r="UWB80" s="1161"/>
      <c r="UWC80" s="1365"/>
      <c r="UWD80" s="7"/>
      <c r="UWE80" s="7"/>
      <c r="UWF80" s="1365"/>
      <c r="UWG80" s="1365"/>
      <c r="UWJ80" s="1158"/>
      <c r="UWK80" s="1158"/>
      <c r="UWL80" s="1158"/>
      <c r="UWM80" s="7"/>
      <c r="UWN80" s="7"/>
      <c r="UWO80" s="7"/>
      <c r="UWP80" s="7"/>
      <c r="UWQ80" s="1161"/>
      <c r="UWR80" s="7"/>
      <c r="UWS80" s="7"/>
      <c r="UWT80" s="7"/>
      <c r="UWU80" s="7"/>
      <c r="UWV80" s="7"/>
      <c r="UWW80" s="1161"/>
      <c r="UWX80" s="1161"/>
      <c r="UWY80" s="1161"/>
      <c r="UWZ80" s="1365"/>
      <c r="UXA80" s="7"/>
      <c r="UXB80" s="7"/>
      <c r="UXC80" s="1365"/>
      <c r="UXD80" s="1365"/>
      <c r="UXF80" s="1158"/>
      <c r="UXG80" s="1158"/>
      <c r="UXH80" s="1158"/>
      <c r="UXI80" s="7"/>
      <c r="UXJ80" s="7"/>
      <c r="UXK80" s="7"/>
      <c r="UXL80" s="7"/>
      <c r="UXM80" s="1363"/>
      <c r="UXN80" s="1364"/>
      <c r="UXO80" s="1364"/>
      <c r="UXP80" s="1364"/>
      <c r="UXQ80" s="7"/>
      <c r="UXR80" s="7"/>
      <c r="UXS80" s="1363"/>
      <c r="UXT80" s="1363"/>
      <c r="UXU80" s="1363"/>
      <c r="UXV80" s="1365"/>
      <c r="UXW80" s="7"/>
      <c r="UXX80" s="7"/>
      <c r="UXY80" s="1365"/>
      <c r="UXZ80" s="1365"/>
      <c r="UYA80" s="299"/>
      <c r="UYC80" s="1086"/>
      <c r="UYD80" s="1086"/>
      <c r="UYE80" s="1086"/>
      <c r="UYF80" s="7"/>
      <c r="UYG80" s="7"/>
      <c r="UYH80" s="7"/>
      <c r="UYI80" s="7"/>
      <c r="UYJ80" s="1161"/>
      <c r="UYK80" s="7"/>
      <c r="UYL80" s="7"/>
      <c r="UYM80" s="7"/>
      <c r="UYN80" s="7"/>
      <c r="UYO80" s="7"/>
      <c r="UYP80" s="1161"/>
      <c r="UYQ80" s="1161"/>
      <c r="UYR80" s="1161"/>
      <c r="UYS80" s="1365"/>
      <c r="UYT80" s="7"/>
      <c r="UYU80" s="7"/>
      <c r="UYV80" s="1365"/>
      <c r="UYW80" s="1365"/>
      <c r="UYZ80" s="1158"/>
      <c r="UZA80" s="1158"/>
      <c r="UZB80" s="1158"/>
      <c r="UZC80" s="7"/>
      <c r="UZD80" s="7"/>
      <c r="UZE80" s="7"/>
      <c r="UZF80" s="7"/>
      <c r="UZG80" s="1161"/>
      <c r="UZH80" s="7"/>
      <c r="UZI80" s="7"/>
      <c r="UZJ80" s="7"/>
      <c r="UZK80" s="7"/>
      <c r="UZL80" s="7"/>
      <c r="UZM80" s="1161"/>
      <c r="UZN80" s="1161"/>
      <c r="UZO80" s="1161"/>
      <c r="UZP80" s="1365"/>
      <c r="UZQ80" s="7"/>
      <c r="UZR80" s="7"/>
      <c r="UZS80" s="1365"/>
      <c r="UZT80" s="1365"/>
      <c r="UZV80" s="1158"/>
      <c r="UZW80" s="1158"/>
      <c r="UZX80" s="1158"/>
      <c r="UZY80" s="7"/>
      <c r="UZZ80" s="7"/>
      <c r="VAA80" s="7"/>
      <c r="VAB80" s="7"/>
      <c r="VAC80" s="1363"/>
      <c r="VAD80" s="1364"/>
      <c r="VAE80" s="1364"/>
      <c r="VAF80" s="1364"/>
      <c r="VAG80" s="7"/>
      <c r="VAH80" s="7"/>
      <c r="VAI80" s="1363"/>
      <c r="VAJ80" s="1363"/>
      <c r="VAK80" s="1363"/>
      <c r="VAL80" s="1365"/>
      <c r="VAM80" s="7"/>
      <c r="VAN80" s="7"/>
      <c r="VAO80" s="1365"/>
      <c r="VAP80" s="1365"/>
      <c r="VAQ80" s="299"/>
      <c r="VAS80" s="1086"/>
      <c r="VAT80" s="1086"/>
      <c r="VAU80" s="1086"/>
      <c r="VAV80" s="7"/>
      <c r="VAW80" s="7"/>
      <c r="VAX80" s="7"/>
      <c r="VAY80" s="7"/>
      <c r="VAZ80" s="1161"/>
      <c r="VBA80" s="7"/>
      <c r="VBB80" s="7"/>
      <c r="VBC80" s="7"/>
      <c r="VBD80" s="7"/>
      <c r="VBE80" s="7"/>
      <c r="VBF80" s="1161"/>
      <c r="VBG80" s="1161"/>
      <c r="VBH80" s="1161"/>
      <c r="VBI80" s="1365"/>
      <c r="VBJ80" s="7"/>
      <c r="VBK80" s="7"/>
      <c r="VBL80" s="1365"/>
      <c r="VBM80" s="1365"/>
      <c r="VBP80" s="1158"/>
      <c r="VBQ80" s="1158"/>
      <c r="VBR80" s="1158"/>
      <c r="VBS80" s="7"/>
      <c r="VBT80" s="7"/>
      <c r="VBU80" s="7"/>
      <c r="VBV80" s="7"/>
      <c r="VBW80" s="1161"/>
      <c r="VBX80" s="7"/>
      <c r="VBY80" s="7"/>
      <c r="VBZ80" s="7"/>
      <c r="VCA80" s="7"/>
      <c r="VCB80" s="7"/>
      <c r="VCC80" s="1161"/>
      <c r="VCD80" s="1161"/>
      <c r="VCE80" s="1161"/>
      <c r="VCF80" s="1365"/>
      <c r="VCG80" s="7"/>
      <c r="VCH80" s="7"/>
      <c r="VCI80" s="1365"/>
      <c r="VCJ80" s="1365"/>
      <c r="VCL80" s="1158"/>
      <c r="VCM80" s="1158"/>
      <c r="VCN80" s="1158"/>
      <c r="VCO80" s="7"/>
      <c r="VCP80" s="7"/>
      <c r="VCQ80" s="7"/>
      <c r="VCR80" s="7"/>
      <c r="VCS80" s="1363"/>
      <c r="VCT80" s="1364"/>
      <c r="VCU80" s="1364"/>
      <c r="VCV80" s="1364"/>
      <c r="VCW80" s="7"/>
      <c r="VCX80" s="7"/>
      <c r="VCY80" s="1363"/>
      <c r="VCZ80" s="1363"/>
      <c r="VDA80" s="1363"/>
      <c r="VDB80" s="1365"/>
      <c r="VDC80" s="7"/>
      <c r="VDD80" s="7"/>
      <c r="VDE80" s="1365"/>
      <c r="VDF80" s="1365"/>
      <c r="VDG80" s="299"/>
      <c r="VDI80" s="1086"/>
      <c r="VDJ80" s="1086"/>
      <c r="VDK80" s="1086"/>
      <c r="VDL80" s="7"/>
      <c r="VDM80" s="7"/>
      <c r="VDN80" s="7"/>
      <c r="VDO80" s="7"/>
      <c r="VDP80" s="1161"/>
      <c r="VDQ80" s="7"/>
      <c r="VDR80" s="7"/>
      <c r="VDS80" s="7"/>
      <c r="VDT80" s="7"/>
      <c r="VDU80" s="7"/>
      <c r="VDV80" s="1161"/>
      <c r="VDW80" s="1161"/>
      <c r="VDX80" s="1161"/>
      <c r="VDY80" s="1365"/>
      <c r="VDZ80" s="7"/>
      <c r="VEA80" s="7"/>
      <c r="VEB80" s="1365"/>
      <c r="VEC80" s="1365"/>
      <c r="VEF80" s="1158"/>
      <c r="VEG80" s="1158"/>
      <c r="VEH80" s="1158"/>
      <c r="VEI80" s="7"/>
      <c r="VEJ80" s="7"/>
      <c r="VEK80" s="7"/>
      <c r="VEL80" s="7"/>
      <c r="VEM80" s="1161"/>
      <c r="VEN80" s="7"/>
      <c r="VEO80" s="7"/>
      <c r="VEP80" s="7"/>
      <c r="VEQ80" s="7"/>
      <c r="VER80" s="7"/>
      <c r="VES80" s="1161"/>
      <c r="VET80" s="1161"/>
      <c r="VEU80" s="1161"/>
      <c r="VEV80" s="1365"/>
      <c r="VEW80" s="7"/>
      <c r="VEX80" s="7"/>
      <c r="VEY80" s="1365"/>
      <c r="VEZ80" s="1365"/>
      <c r="VFB80" s="1158"/>
      <c r="VFC80" s="1158"/>
      <c r="VFD80" s="1158"/>
      <c r="VFE80" s="7"/>
      <c r="VFF80" s="7"/>
      <c r="VFG80" s="7"/>
      <c r="VFH80" s="7"/>
      <c r="VFI80" s="1363"/>
      <c r="VFJ80" s="1364"/>
      <c r="VFK80" s="1364"/>
      <c r="VFL80" s="1364"/>
      <c r="VFM80" s="7"/>
      <c r="VFN80" s="7"/>
      <c r="VFO80" s="1363"/>
      <c r="VFP80" s="1363"/>
      <c r="VFQ80" s="1363"/>
      <c r="VFR80" s="1365"/>
      <c r="VFS80" s="7"/>
      <c r="VFT80" s="7"/>
      <c r="VFU80" s="1365"/>
      <c r="VFV80" s="1365"/>
      <c r="VFW80" s="299"/>
      <c r="VFY80" s="1086"/>
      <c r="VFZ80" s="1086"/>
      <c r="VGA80" s="1086"/>
      <c r="VGB80" s="7"/>
      <c r="VGC80" s="7"/>
      <c r="VGD80" s="7"/>
      <c r="VGE80" s="7"/>
      <c r="VGF80" s="1161"/>
      <c r="VGG80" s="7"/>
      <c r="VGH80" s="7"/>
      <c r="VGI80" s="7"/>
      <c r="VGJ80" s="7"/>
      <c r="VGK80" s="7"/>
      <c r="VGL80" s="1161"/>
      <c r="VGM80" s="1161"/>
      <c r="VGN80" s="1161"/>
      <c r="VGO80" s="1365"/>
      <c r="VGP80" s="7"/>
      <c r="VGQ80" s="7"/>
      <c r="VGR80" s="1365"/>
      <c r="VGS80" s="1365"/>
      <c r="VGV80" s="1158"/>
      <c r="VGW80" s="1158"/>
      <c r="VGX80" s="1158"/>
      <c r="VGY80" s="7"/>
      <c r="VGZ80" s="7"/>
      <c r="VHA80" s="7"/>
      <c r="VHB80" s="7"/>
      <c r="VHC80" s="1161"/>
      <c r="VHD80" s="7"/>
      <c r="VHE80" s="7"/>
      <c r="VHF80" s="7"/>
      <c r="VHG80" s="7"/>
      <c r="VHH80" s="7"/>
      <c r="VHI80" s="1161"/>
      <c r="VHJ80" s="1161"/>
      <c r="VHK80" s="1161"/>
      <c r="VHL80" s="1365"/>
      <c r="VHM80" s="7"/>
      <c r="VHN80" s="7"/>
      <c r="VHO80" s="1365"/>
      <c r="VHP80" s="1365"/>
      <c r="VHR80" s="1158"/>
      <c r="VHS80" s="1158"/>
      <c r="VHT80" s="1158"/>
      <c r="VHU80" s="7"/>
      <c r="VHV80" s="7"/>
      <c r="VHW80" s="7"/>
      <c r="VHX80" s="7"/>
      <c r="VHY80" s="1363"/>
      <c r="VHZ80" s="1364"/>
      <c r="VIA80" s="1364"/>
      <c r="VIB80" s="1364"/>
      <c r="VIC80" s="7"/>
      <c r="VID80" s="7"/>
      <c r="VIE80" s="1363"/>
      <c r="VIF80" s="1363"/>
      <c r="VIG80" s="1363"/>
      <c r="VIH80" s="1365"/>
      <c r="VII80" s="7"/>
      <c r="VIJ80" s="7"/>
      <c r="VIK80" s="1365"/>
      <c r="VIL80" s="1365"/>
      <c r="VIM80" s="299"/>
      <c r="VIO80" s="1086"/>
      <c r="VIP80" s="1086"/>
      <c r="VIQ80" s="1086"/>
      <c r="VIR80" s="7"/>
      <c r="VIS80" s="7"/>
      <c r="VIT80" s="7"/>
      <c r="VIU80" s="7"/>
      <c r="VIV80" s="1161"/>
      <c r="VIW80" s="7"/>
      <c r="VIX80" s="7"/>
      <c r="VIY80" s="7"/>
      <c r="VIZ80" s="7"/>
      <c r="VJA80" s="7"/>
      <c r="VJB80" s="1161"/>
      <c r="VJC80" s="1161"/>
      <c r="VJD80" s="1161"/>
      <c r="VJE80" s="1365"/>
      <c r="VJF80" s="7"/>
      <c r="VJG80" s="7"/>
      <c r="VJH80" s="1365"/>
      <c r="VJI80" s="1365"/>
      <c r="VJL80" s="1158"/>
      <c r="VJM80" s="1158"/>
      <c r="VJN80" s="1158"/>
      <c r="VJO80" s="7"/>
      <c r="VJP80" s="7"/>
      <c r="VJQ80" s="7"/>
      <c r="VJR80" s="7"/>
      <c r="VJS80" s="1161"/>
      <c r="VJT80" s="7"/>
      <c r="VJU80" s="7"/>
      <c r="VJV80" s="7"/>
      <c r="VJW80" s="7"/>
      <c r="VJX80" s="7"/>
      <c r="VJY80" s="1161"/>
      <c r="VJZ80" s="1161"/>
      <c r="VKA80" s="1161"/>
      <c r="VKB80" s="1365"/>
      <c r="VKC80" s="7"/>
      <c r="VKD80" s="7"/>
      <c r="VKE80" s="1365"/>
      <c r="VKF80" s="1365"/>
      <c r="VKH80" s="1158"/>
      <c r="VKI80" s="1158"/>
      <c r="VKJ80" s="1158"/>
      <c r="VKK80" s="7"/>
      <c r="VKL80" s="7"/>
      <c r="VKM80" s="7"/>
      <c r="VKN80" s="7"/>
      <c r="VKO80" s="1363"/>
      <c r="VKP80" s="1364"/>
      <c r="VKQ80" s="1364"/>
      <c r="VKR80" s="1364"/>
      <c r="VKS80" s="7"/>
      <c r="VKT80" s="7"/>
      <c r="VKU80" s="1363"/>
      <c r="VKV80" s="1363"/>
      <c r="VKW80" s="1363"/>
      <c r="VKX80" s="1365"/>
      <c r="VKY80" s="7"/>
      <c r="VKZ80" s="7"/>
      <c r="VLA80" s="1365"/>
      <c r="VLB80" s="1365"/>
      <c r="VLC80" s="299"/>
      <c r="VLE80" s="1086"/>
      <c r="VLF80" s="1086"/>
      <c r="VLG80" s="1086"/>
      <c r="VLH80" s="7"/>
      <c r="VLI80" s="7"/>
      <c r="VLJ80" s="7"/>
      <c r="VLK80" s="7"/>
      <c r="VLL80" s="1161"/>
      <c r="VLM80" s="7"/>
      <c r="VLN80" s="7"/>
      <c r="VLO80" s="7"/>
      <c r="VLP80" s="7"/>
      <c r="VLQ80" s="7"/>
      <c r="VLR80" s="1161"/>
      <c r="VLS80" s="1161"/>
      <c r="VLT80" s="1161"/>
      <c r="VLU80" s="1365"/>
      <c r="VLV80" s="7"/>
      <c r="VLW80" s="7"/>
      <c r="VLX80" s="1365"/>
      <c r="VLY80" s="1365"/>
      <c r="VMB80" s="1158"/>
      <c r="VMC80" s="1158"/>
      <c r="VMD80" s="1158"/>
      <c r="VME80" s="7"/>
      <c r="VMF80" s="7"/>
      <c r="VMG80" s="7"/>
      <c r="VMH80" s="7"/>
      <c r="VMI80" s="1161"/>
      <c r="VMJ80" s="7"/>
      <c r="VMK80" s="7"/>
      <c r="VML80" s="7"/>
      <c r="VMM80" s="7"/>
      <c r="VMN80" s="7"/>
      <c r="VMO80" s="1161"/>
      <c r="VMP80" s="1161"/>
      <c r="VMQ80" s="1161"/>
      <c r="VMR80" s="1365"/>
      <c r="VMS80" s="7"/>
      <c r="VMT80" s="7"/>
      <c r="VMU80" s="1365"/>
      <c r="VMV80" s="1365"/>
      <c r="VMX80" s="1158"/>
      <c r="VMY80" s="1158"/>
      <c r="VMZ80" s="1158"/>
      <c r="VNA80" s="7"/>
      <c r="VNB80" s="7"/>
      <c r="VNC80" s="7"/>
      <c r="VND80" s="7"/>
      <c r="VNE80" s="1363"/>
      <c r="VNF80" s="1364"/>
      <c r="VNG80" s="1364"/>
      <c r="VNH80" s="1364"/>
      <c r="VNI80" s="7"/>
      <c r="VNJ80" s="7"/>
      <c r="VNK80" s="1363"/>
      <c r="VNL80" s="1363"/>
      <c r="VNM80" s="1363"/>
      <c r="VNN80" s="1365"/>
      <c r="VNO80" s="7"/>
      <c r="VNP80" s="7"/>
      <c r="VNQ80" s="1365"/>
      <c r="VNR80" s="1365"/>
      <c r="VNS80" s="299"/>
      <c r="VNU80" s="1086"/>
      <c r="VNV80" s="1086"/>
      <c r="VNW80" s="1086"/>
      <c r="VNX80" s="7"/>
      <c r="VNY80" s="7"/>
      <c r="VNZ80" s="7"/>
      <c r="VOA80" s="7"/>
      <c r="VOB80" s="1161"/>
      <c r="VOC80" s="7"/>
      <c r="VOD80" s="7"/>
      <c r="VOE80" s="7"/>
      <c r="VOF80" s="7"/>
      <c r="VOG80" s="7"/>
      <c r="VOH80" s="1161"/>
      <c r="VOI80" s="1161"/>
      <c r="VOJ80" s="1161"/>
      <c r="VOK80" s="1365"/>
      <c r="VOL80" s="7"/>
      <c r="VOM80" s="7"/>
      <c r="VON80" s="1365"/>
      <c r="VOO80" s="1365"/>
      <c r="VOR80" s="1158"/>
      <c r="VOS80" s="1158"/>
      <c r="VOT80" s="1158"/>
      <c r="VOU80" s="7"/>
      <c r="VOV80" s="7"/>
      <c r="VOW80" s="7"/>
      <c r="VOX80" s="7"/>
      <c r="VOY80" s="1161"/>
      <c r="VOZ80" s="7"/>
      <c r="VPA80" s="7"/>
      <c r="VPB80" s="7"/>
      <c r="VPC80" s="7"/>
      <c r="VPD80" s="7"/>
      <c r="VPE80" s="1161"/>
      <c r="VPF80" s="1161"/>
      <c r="VPG80" s="1161"/>
      <c r="VPH80" s="1365"/>
      <c r="VPI80" s="7"/>
      <c r="VPJ80" s="7"/>
      <c r="VPK80" s="1365"/>
      <c r="VPL80" s="1365"/>
      <c r="VPN80" s="1158"/>
      <c r="VPO80" s="1158"/>
      <c r="VPP80" s="1158"/>
      <c r="VPQ80" s="7"/>
      <c r="VPR80" s="7"/>
      <c r="VPS80" s="7"/>
      <c r="VPT80" s="7"/>
      <c r="VPU80" s="1363"/>
      <c r="VPV80" s="1364"/>
      <c r="VPW80" s="1364"/>
      <c r="VPX80" s="1364"/>
      <c r="VPY80" s="7"/>
      <c r="VPZ80" s="7"/>
      <c r="VQA80" s="1363"/>
      <c r="VQB80" s="1363"/>
      <c r="VQC80" s="1363"/>
      <c r="VQD80" s="1365"/>
      <c r="VQE80" s="7"/>
      <c r="VQF80" s="7"/>
      <c r="VQG80" s="1365"/>
      <c r="VQH80" s="1365"/>
      <c r="VQI80" s="299"/>
      <c r="VQK80" s="1086"/>
      <c r="VQL80" s="1086"/>
      <c r="VQM80" s="1086"/>
      <c r="VQN80" s="7"/>
      <c r="VQO80" s="7"/>
      <c r="VQP80" s="7"/>
      <c r="VQQ80" s="7"/>
      <c r="VQR80" s="1161"/>
      <c r="VQS80" s="7"/>
      <c r="VQT80" s="7"/>
      <c r="VQU80" s="7"/>
      <c r="VQV80" s="7"/>
      <c r="VQW80" s="7"/>
      <c r="VQX80" s="1161"/>
      <c r="VQY80" s="1161"/>
      <c r="VQZ80" s="1161"/>
      <c r="VRA80" s="1365"/>
      <c r="VRB80" s="7"/>
      <c r="VRC80" s="7"/>
      <c r="VRD80" s="1365"/>
      <c r="VRE80" s="1365"/>
      <c r="VRH80" s="1158"/>
      <c r="VRI80" s="1158"/>
      <c r="VRJ80" s="1158"/>
      <c r="VRK80" s="7"/>
      <c r="VRL80" s="7"/>
      <c r="VRM80" s="7"/>
      <c r="VRN80" s="7"/>
      <c r="VRO80" s="1161"/>
      <c r="VRP80" s="7"/>
      <c r="VRQ80" s="7"/>
      <c r="VRR80" s="7"/>
      <c r="VRS80" s="7"/>
      <c r="VRT80" s="7"/>
      <c r="VRU80" s="1161"/>
      <c r="VRV80" s="1161"/>
      <c r="VRW80" s="1161"/>
      <c r="VRX80" s="1365"/>
      <c r="VRY80" s="7"/>
      <c r="VRZ80" s="7"/>
      <c r="VSA80" s="1365"/>
      <c r="VSB80" s="1365"/>
      <c r="VSD80" s="1158"/>
      <c r="VSE80" s="1158"/>
      <c r="VSF80" s="1158"/>
      <c r="VSG80" s="7"/>
      <c r="VSH80" s="7"/>
      <c r="VSI80" s="7"/>
      <c r="VSJ80" s="7"/>
      <c r="VSK80" s="1363"/>
      <c r="VSL80" s="1364"/>
      <c r="VSM80" s="1364"/>
      <c r="VSN80" s="1364"/>
      <c r="VSO80" s="7"/>
      <c r="VSP80" s="7"/>
      <c r="VSQ80" s="1363"/>
      <c r="VSR80" s="1363"/>
      <c r="VSS80" s="1363"/>
      <c r="VST80" s="1365"/>
      <c r="VSU80" s="7"/>
      <c r="VSV80" s="7"/>
      <c r="VSW80" s="1365"/>
      <c r="VSX80" s="1365"/>
      <c r="VSY80" s="299"/>
      <c r="VTA80" s="1086"/>
      <c r="VTB80" s="1086"/>
      <c r="VTC80" s="1086"/>
      <c r="VTD80" s="7"/>
      <c r="VTE80" s="7"/>
      <c r="VTF80" s="7"/>
      <c r="VTG80" s="7"/>
      <c r="VTH80" s="1161"/>
      <c r="VTI80" s="7"/>
      <c r="VTJ80" s="7"/>
      <c r="VTK80" s="7"/>
      <c r="VTL80" s="7"/>
      <c r="VTM80" s="7"/>
      <c r="VTN80" s="1161"/>
      <c r="VTO80" s="1161"/>
      <c r="VTP80" s="1161"/>
      <c r="VTQ80" s="1365"/>
      <c r="VTR80" s="7"/>
      <c r="VTS80" s="7"/>
      <c r="VTT80" s="1365"/>
      <c r="VTU80" s="1365"/>
      <c r="VTX80" s="1158"/>
      <c r="VTY80" s="1158"/>
      <c r="VTZ80" s="1158"/>
      <c r="VUA80" s="7"/>
      <c r="VUB80" s="7"/>
      <c r="VUC80" s="7"/>
      <c r="VUD80" s="7"/>
      <c r="VUE80" s="1161"/>
      <c r="VUF80" s="7"/>
      <c r="VUG80" s="7"/>
      <c r="VUH80" s="7"/>
      <c r="VUI80" s="7"/>
      <c r="VUJ80" s="7"/>
      <c r="VUK80" s="1161"/>
      <c r="VUL80" s="1161"/>
      <c r="VUM80" s="1161"/>
      <c r="VUN80" s="1365"/>
      <c r="VUO80" s="7"/>
      <c r="VUP80" s="7"/>
      <c r="VUQ80" s="1365"/>
      <c r="VUR80" s="1365"/>
      <c r="VUT80" s="1158"/>
      <c r="VUU80" s="1158"/>
      <c r="VUV80" s="1158"/>
      <c r="VUW80" s="7"/>
      <c r="VUX80" s="7"/>
      <c r="VUY80" s="7"/>
      <c r="VUZ80" s="7"/>
      <c r="VVA80" s="1363"/>
      <c r="VVB80" s="1364"/>
      <c r="VVC80" s="1364"/>
      <c r="VVD80" s="1364"/>
      <c r="VVE80" s="7"/>
      <c r="VVF80" s="7"/>
      <c r="VVG80" s="1363"/>
      <c r="VVH80" s="1363"/>
      <c r="VVI80" s="1363"/>
      <c r="VVJ80" s="1365"/>
      <c r="VVK80" s="7"/>
      <c r="VVL80" s="7"/>
      <c r="VVM80" s="1365"/>
      <c r="VVN80" s="1365"/>
      <c r="VVO80" s="299"/>
      <c r="VVQ80" s="1086"/>
      <c r="VVR80" s="1086"/>
      <c r="VVS80" s="1086"/>
      <c r="VVT80" s="7"/>
      <c r="VVU80" s="7"/>
      <c r="VVV80" s="7"/>
      <c r="VVW80" s="7"/>
      <c r="VVX80" s="1161"/>
      <c r="VVY80" s="7"/>
      <c r="VVZ80" s="7"/>
      <c r="VWA80" s="7"/>
      <c r="VWB80" s="7"/>
      <c r="VWC80" s="7"/>
      <c r="VWD80" s="1161"/>
      <c r="VWE80" s="1161"/>
      <c r="VWF80" s="1161"/>
      <c r="VWG80" s="1365"/>
      <c r="VWH80" s="7"/>
      <c r="VWI80" s="7"/>
      <c r="VWJ80" s="1365"/>
      <c r="VWK80" s="1365"/>
      <c r="VWN80" s="1158"/>
      <c r="VWO80" s="1158"/>
      <c r="VWP80" s="1158"/>
      <c r="VWQ80" s="7"/>
      <c r="VWR80" s="7"/>
      <c r="VWS80" s="7"/>
      <c r="VWT80" s="7"/>
      <c r="VWU80" s="1161"/>
      <c r="VWV80" s="7"/>
      <c r="VWW80" s="7"/>
      <c r="VWX80" s="7"/>
      <c r="VWY80" s="7"/>
      <c r="VWZ80" s="7"/>
      <c r="VXA80" s="1161"/>
      <c r="VXB80" s="1161"/>
      <c r="VXC80" s="1161"/>
      <c r="VXD80" s="1365"/>
      <c r="VXE80" s="7"/>
      <c r="VXF80" s="7"/>
      <c r="VXG80" s="1365"/>
      <c r="VXH80" s="1365"/>
      <c r="VXJ80" s="1158"/>
      <c r="VXK80" s="1158"/>
      <c r="VXL80" s="1158"/>
      <c r="VXM80" s="7"/>
      <c r="VXN80" s="7"/>
      <c r="VXO80" s="7"/>
      <c r="VXP80" s="7"/>
      <c r="VXQ80" s="1363"/>
      <c r="VXR80" s="1364"/>
      <c r="VXS80" s="1364"/>
      <c r="VXT80" s="1364"/>
      <c r="VXU80" s="7"/>
      <c r="VXV80" s="7"/>
      <c r="VXW80" s="1363"/>
      <c r="VXX80" s="1363"/>
      <c r="VXY80" s="1363"/>
      <c r="VXZ80" s="1365"/>
      <c r="VYA80" s="7"/>
      <c r="VYB80" s="7"/>
      <c r="VYC80" s="1365"/>
      <c r="VYD80" s="1365"/>
      <c r="VYE80" s="299"/>
      <c r="VYG80" s="1086"/>
      <c r="VYH80" s="1086"/>
      <c r="VYI80" s="1086"/>
      <c r="VYJ80" s="7"/>
      <c r="VYK80" s="7"/>
      <c r="VYL80" s="7"/>
      <c r="VYM80" s="7"/>
      <c r="VYN80" s="1161"/>
      <c r="VYO80" s="7"/>
      <c r="VYP80" s="7"/>
      <c r="VYQ80" s="7"/>
      <c r="VYR80" s="7"/>
      <c r="VYS80" s="7"/>
      <c r="VYT80" s="1161"/>
      <c r="VYU80" s="1161"/>
      <c r="VYV80" s="1161"/>
      <c r="VYW80" s="1365"/>
      <c r="VYX80" s="7"/>
      <c r="VYY80" s="7"/>
      <c r="VYZ80" s="1365"/>
      <c r="VZA80" s="1365"/>
      <c r="VZD80" s="1158"/>
      <c r="VZE80" s="1158"/>
      <c r="VZF80" s="1158"/>
      <c r="VZG80" s="7"/>
      <c r="VZH80" s="7"/>
      <c r="VZI80" s="7"/>
      <c r="VZJ80" s="7"/>
      <c r="VZK80" s="1161"/>
      <c r="VZL80" s="7"/>
      <c r="VZM80" s="7"/>
      <c r="VZN80" s="7"/>
      <c r="VZO80" s="7"/>
      <c r="VZP80" s="7"/>
      <c r="VZQ80" s="1161"/>
      <c r="VZR80" s="1161"/>
      <c r="VZS80" s="1161"/>
      <c r="VZT80" s="1365"/>
      <c r="VZU80" s="7"/>
      <c r="VZV80" s="7"/>
      <c r="VZW80" s="1365"/>
      <c r="VZX80" s="1365"/>
      <c r="VZZ80" s="1158"/>
      <c r="WAA80" s="1158"/>
      <c r="WAB80" s="1158"/>
      <c r="WAC80" s="7"/>
      <c r="WAD80" s="7"/>
      <c r="WAE80" s="7"/>
      <c r="WAF80" s="7"/>
      <c r="WAG80" s="1363"/>
      <c r="WAH80" s="1364"/>
      <c r="WAI80" s="1364"/>
      <c r="WAJ80" s="1364"/>
      <c r="WAK80" s="7"/>
      <c r="WAL80" s="7"/>
      <c r="WAM80" s="1363"/>
      <c r="WAN80" s="1363"/>
      <c r="WAO80" s="1363"/>
      <c r="WAP80" s="1365"/>
      <c r="WAQ80" s="7"/>
      <c r="WAR80" s="7"/>
      <c r="WAS80" s="1365"/>
      <c r="WAT80" s="1365"/>
      <c r="WAU80" s="299"/>
      <c r="WAW80" s="1086"/>
      <c r="WAX80" s="1086"/>
      <c r="WAY80" s="1086"/>
      <c r="WAZ80" s="7"/>
      <c r="WBA80" s="7"/>
      <c r="WBB80" s="7"/>
      <c r="WBC80" s="7"/>
      <c r="WBD80" s="1161"/>
      <c r="WBE80" s="7"/>
      <c r="WBF80" s="7"/>
      <c r="WBG80" s="7"/>
      <c r="WBH80" s="7"/>
      <c r="WBI80" s="7"/>
      <c r="WBJ80" s="1161"/>
      <c r="WBK80" s="1161"/>
      <c r="WBL80" s="1161"/>
      <c r="WBM80" s="1365"/>
      <c r="WBN80" s="7"/>
      <c r="WBO80" s="7"/>
      <c r="WBP80" s="1365"/>
      <c r="WBQ80" s="1365"/>
      <c r="WBT80" s="1158"/>
      <c r="WBU80" s="1158"/>
      <c r="WBV80" s="1158"/>
      <c r="WBW80" s="7"/>
      <c r="WBX80" s="7"/>
      <c r="WBY80" s="7"/>
      <c r="WBZ80" s="7"/>
      <c r="WCA80" s="1161"/>
      <c r="WCB80" s="7"/>
      <c r="WCC80" s="7"/>
      <c r="WCD80" s="7"/>
      <c r="WCE80" s="7"/>
      <c r="WCF80" s="7"/>
      <c r="WCG80" s="1161"/>
      <c r="WCH80" s="1161"/>
      <c r="WCI80" s="1161"/>
      <c r="WCJ80" s="1365"/>
      <c r="WCK80" s="7"/>
      <c r="WCL80" s="7"/>
      <c r="WCM80" s="1365"/>
      <c r="WCN80" s="1365"/>
      <c r="WCP80" s="1158"/>
      <c r="WCQ80" s="1158"/>
      <c r="WCR80" s="1158"/>
      <c r="WCS80" s="7"/>
      <c r="WCT80" s="7"/>
      <c r="WCU80" s="7"/>
      <c r="WCV80" s="7"/>
      <c r="WCW80" s="1363"/>
      <c r="WCX80" s="1364"/>
      <c r="WCY80" s="1364"/>
      <c r="WCZ80" s="1364"/>
      <c r="WDA80" s="7"/>
      <c r="WDB80" s="7"/>
      <c r="WDC80" s="1363"/>
      <c r="WDD80" s="1363"/>
      <c r="WDE80" s="1363"/>
      <c r="WDF80" s="1365"/>
      <c r="WDG80" s="7"/>
      <c r="WDH80" s="7"/>
      <c r="WDI80" s="1365"/>
      <c r="WDJ80" s="1365"/>
      <c r="WDK80" s="299"/>
      <c r="WDM80" s="1086"/>
      <c r="WDN80" s="1086"/>
      <c r="WDO80" s="1086"/>
      <c r="WDP80" s="7"/>
      <c r="WDQ80" s="7"/>
      <c r="WDR80" s="7"/>
      <c r="WDS80" s="7"/>
      <c r="WDT80" s="1161"/>
      <c r="WDU80" s="7"/>
      <c r="WDV80" s="7"/>
      <c r="WDW80" s="7"/>
      <c r="WDX80" s="7"/>
      <c r="WDY80" s="7"/>
      <c r="WDZ80" s="1161"/>
      <c r="WEA80" s="1161"/>
      <c r="WEB80" s="1161"/>
      <c r="WEC80" s="1365"/>
      <c r="WED80" s="7"/>
      <c r="WEE80" s="7"/>
      <c r="WEF80" s="1365"/>
      <c r="WEG80" s="1365"/>
      <c r="WEJ80" s="1158"/>
      <c r="WEK80" s="1158"/>
      <c r="WEL80" s="1158"/>
      <c r="WEM80" s="7"/>
      <c r="WEN80" s="7"/>
      <c r="WEO80" s="7"/>
      <c r="WEP80" s="7"/>
      <c r="WEQ80" s="1161"/>
      <c r="WER80" s="7"/>
      <c r="WES80" s="7"/>
      <c r="WET80" s="7"/>
      <c r="WEU80" s="7"/>
      <c r="WEV80" s="7"/>
      <c r="WEW80" s="1161"/>
      <c r="WEX80" s="1161"/>
      <c r="WEY80" s="1161"/>
      <c r="WEZ80" s="1365"/>
      <c r="WFA80" s="7"/>
      <c r="WFB80" s="7"/>
      <c r="WFC80" s="1365"/>
      <c r="WFD80" s="1365"/>
      <c r="WFF80" s="1158"/>
      <c r="WFG80" s="1158"/>
      <c r="WFH80" s="1158"/>
      <c r="WFI80" s="7"/>
      <c r="WFJ80" s="7"/>
      <c r="WFK80" s="7"/>
      <c r="WFL80" s="7"/>
      <c r="WFM80" s="1363"/>
      <c r="WFN80" s="1364"/>
      <c r="WFO80" s="1364"/>
      <c r="WFP80" s="1364"/>
      <c r="WFQ80" s="7"/>
      <c r="WFR80" s="7"/>
      <c r="WFS80" s="1363"/>
      <c r="WFT80" s="1363"/>
      <c r="WFU80" s="1363"/>
      <c r="WFV80" s="1365"/>
      <c r="WFW80" s="7"/>
      <c r="WFX80" s="7"/>
      <c r="WFY80" s="1365"/>
      <c r="WFZ80" s="1365"/>
      <c r="WGA80" s="299"/>
      <c r="WGC80" s="1086"/>
      <c r="WGD80" s="1086"/>
      <c r="WGE80" s="1086"/>
      <c r="WGF80" s="7"/>
      <c r="WGG80" s="7"/>
      <c r="WGH80" s="7"/>
      <c r="WGI80" s="7"/>
      <c r="WGJ80" s="1161"/>
      <c r="WGK80" s="7"/>
      <c r="WGL80" s="7"/>
      <c r="WGM80" s="7"/>
      <c r="WGN80" s="7"/>
      <c r="WGO80" s="7"/>
      <c r="WGP80" s="1161"/>
      <c r="WGQ80" s="1161"/>
      <c r="WGR80" s="1161"/>
      <c r="WGS80" s="1365"/>
      <c r="WGT80" s="7"/>
      <c r="WGU80" s="7"/>
      <c r="WGV80" s="1365"/>
      <c r="WGW80" s="1365"/>
      <c r="WGZ80" s="1158"/>
      <c r="WHA80" s="1158"/>
      <c r="WHB80" s="1158"/>
      <c r="WHC80" s="7"/>
      <c r="WHD80" s="7"/>
      <c r="WHE80" s="7"/>
      <c r="WHF80" s="7"/>
      <c r="WHG80" s="1161"/>
      <c r="WHH80" s="7"/>
      <c r="WHI80" s="7"/>
      <c r="WHJ80" s="7"/>
      <c r="WHK80" s="7"/>
      <c r="WHL80" s="7"/>
      <c r="WHM80" s="1161"/>
      <c r="WHN80" s="1161"/>
      <c r="WHO80" s="1161"/>
      <c r="WHP80" s="1365"/>
      <c r="WHQ80" s="7"/>
      <c r="WHR80" s="7"/>
      <c r="WHS80" s="1365"/>
      <c r="WHT80" s="1365"/>
      <c r="WHV80" s="1158"/>
      <c r="WHW80" s="1158"/>
      <c r="WHX80" s="1158"/>
      <c r="WHY80" s="7"/>
      <c r="WHZ80" s="7"/>
      <c r="WIA80" s="7"/>
      <c r="WIB80" s="7"/>
      <c r="WIC80" s="1363"/>
      <c r="WID80" s="1364"/>
      <c r="WIE80" s="1364"/>
      <c r="WIF80" s="1364"/>
      <c r="WIG80" s="7"/>
      <c r="WIH80" s="7"/>
      <c r="WII80" s="1363"/>
      <c r="WIJ80" s="1363"/>
      <c r="WIK80" s="1363"/>
      <c r="WIL80" s="1365"/>
      <c r="WIM80" s="7"/>
      <c r="WIN80" s="7"/>
      <c r="WIO80" s="1365"/>
      <c r="WIP80" s="1365"/>
      <c r="WIQ80" s="299"/>
      <c r="WIS80" s="1086"/>
      <c r="WIT80" s="1086"/>
      <c r="WIU80" s="1086"/>
      <c r="WIV80" s="7"/>
      <c r="WIW80" s="7"/>
      <c r="WIX80" s="7"/>
      <c r="WIY80" s="7"/>
      <c r="WIZ80" s="1161"/>
      <c r="WJA80" s="7"/>
      <c r="WJB80" s="7"/>
      <c r="WJC80" s="7"/>
      <c r="WJD80" s="7"/>
      <c r="WJE80" s="7"/>
      <c r="WJF80" s="1161"/>
      <c r="WJG80" s="1161"/>
      <c r="WJH80" s="1161"/>
      <c r="WJI80" s="1365"/>
      <c r="WJJ80" s="7"/>
      <c r="WJK80" s="7"/>
      <c r="WJL80" s="1365"/>
      <c r="WJM80" s="1365"/>
      <c r="WJP80" s="1158"/>
      <c r="WJQ80" s="1158"/>
      <c r="WJR80" s="1158"/>
      <c r="WJS80" s="7"/>
      <c r="WJT80" s="7"/>
      <c r="WJU80" s="7"/>
      <c r="WJV80" s="7"/>
      <c r="WJW80" s="1161"/>
      <c r="WJX80" s="7"/>
      <c r="WJY80" s="7"/>
      <c r="WJZ80" s="7"/>
      <c r="WKA80" s="7"/>
      <c r="WKB80" s="7"/>
      <c r="WKC80" s="1161"/>
      <c r="WKD80" s="1161"/>
      <c r="WKE80" s="1161"/>
      <c r="WKF80" s="1365"/>
      <c r="WKG80" s="7"/>
      <c r="WKH80" s="7"/>
      <c r="WKI80" s="1365"/>
      <c r="WKJ80" s="1365"/>
      <c r="WKL80" s="1158"/>
      <c r="WKM80" s="1158"/>
      <c r="WKN80" s="1158"/>
      <c r="WKO80" s="7"/>
      <c r="WKP80" s="7"/>
      <c r="WKQ80" s="7"/>
      <c r="WKR80" s="7"/>
      <c r="WKS80" s="1363"/>
      <c r="WKT80" s="1364"/>
      <c r="WKU80" s="1364"/>
      <c r="WKV80" s="1364"/>
      <c r="WKW80" s="7"/>
      <c r="WKX80" s="7"/>
      <c r="WKY80" s="1363"/>
      <c r="WKZ80" s="1363"/>
      <c r="WLA80" s="1363"/>
      <c r="WLB80" s="1365"/>
      <c r="WLC80" s="7"/>
      <c r="WLD80" s="7"/>
      <c r="WLE80" s="1365"/>
      <c r="WLF80" s="1365"/>
      <c r="WLG80" s="299"/>
      <c r="WLI80" s="1086"/>
      <c r="WLJ80" s="1086"/>
      <c r="WLK80" s="1086"/>
      <c r="WLL80" s="7"/>
      <c r="WLM80" s="7"/>
      <c r="WLN80" s="7"/>
      <c r="WLO80" s="7"/>
      <c r="WLP80" s="1161"/>
      <c r="WLQ80" s="7"/>
      <c r="WLR80" s="7"/>
      <c r="WLS80" s="7"/>
      <c r="WLT80" s="7"/>
      <c r="WLU80" s="7"/>
      <c r="WLV80" s="1161"/>
      <c r="WLW80" s="1161"/>
      <c r="WLX80" s="1161"/>
      <c r="WLY80" s="1365"/>
      <c r="WLZ80" s="7"/>
      <c r="WMA80" s="7"/>
      <c r="WMB80" s="1365"/>
      <c r="WMC80" s="1365"/>
      <c r="WMF80" s="1158"/>
      <c r="WMG80" s="1158"/>
      <c r="WMH80" s="1158"/>
      <c r="WMI80" s="7"/>
      <c r="WMJ80" s="7"/>
      <c r="WMK80" s="7"/>
      <c r="WML80" s="7"/>
      <c r="WMM80" s="1161"/>
      <c r="WMN80" s="7"/>
      <c r="WMO80" s="7"/>
      <c r="WMP80" s="7"/>
      <c r="WMQ80" s="7"/>
      <c r="WMR80" s="7"/>
      <c r="WMS80" s="1161"/>
      <c r="WMT80" s="1161"/>
      <c r="WMU80" s="1161"/>
      <c r="WMV80" s="1365"/>
      <c r="WMW80" s="7"/>
      <c r="WMX80" s="7"/>
      <c r="WMY80" s="1365"/>
      <c r="WMZ80" s="1365"/>
      <c r="WNB80" s="1158"/>
      <c r="WNC80" s="1158"/>
      <c r="WND80" s="1158"/>
      <c r="WNE80" s="7"/>
      <c r="WNF80" s="7"/>
      <c r="WNG80" s="7"/>
      <c r="WNH80" s="7"/>
      <c r="WNI80" s="1363"/>
      <c r="WNJ80" s="1364"/>
      <c r="WNK80" s="1364"/>
      <c r="WNL80" s="1364"/>
      <c r="WNM80" s="7"/>
      <c r="WNN80" s="7"/>
      <c r="WNO80" s="1363"/>
      <c r="WNP80" s="1363"/>
      <c r="WNQ80" s="1363"/>
      <c r="WNR80" s="1365"/>
      <c r="WNS80" s="7"/>
      <c r="WNT80" s="7"/>
      <c r="WNU80" s="1365"/>
      <c r="WNV80" s="1365"/>
      <c r="WNW80" s="299"/>
      <c r="WNY80" s="1086"/>
      <c r="WNZ80" s="1086"/>
      <c r="WOA80" s="1086"/>
      <c r="WOB80" s="7"/>
      <c r="WOC80" s="7"/>
      <c r="WOD80" s="7"/>
      <c r="WOE80" s="7"/>
      <c r="WOF80" s="1161"/>
      <c r="WOG80" s="7"/>
      <c r="WOH80" s="7"/>
      <c r="WOI80" s="7"/>
      <c r="WOJ80" s="7"/>
      <c r="WOK80" s="7"/>
      <c r="WOL80" s="1161"/>
      <c r="WOM80" s="1161"/>
      <c r="WON80" s="1161"/>
      <c r="WOO80" s="1365"/>
      <c r="WOP80" s="7"/>
      <c r="WOQ80" s="7"/>
      <c r="WOR80" s="1365"/>
      <c r="WOS80" s="1365"/>
      <c r="WOV80" s="1158"/>
      <c r="WOW80" s="1158"/>
      <c r="WOX80" s="1158"/>
      <c r="WOY80" s="7"/>
      <c r="WOZ80" s="7"/>
      <c r="WPA80" s="7"/>
      <c r="WPB80" s="7"/>
      <c r="WPC80" s="1161"/>
      <c r="WPD80" s="7"/>
      <c r="WPE80" s="7"/>
      <c r="WPF80" s="7"/>
      <c r="WPG80" s="7"/>
      <c r="WPH80" s="7"/>
      <c r="WPI80" s="1161"/>
      <c r="WPJ80" s="1161"/>
      <c r="WPK80" s="1161"/>
      <c r="WPL80" s="1365"/>
      <c r="WPM80" s="7"/>
      <c r="WPN80" s="7"/>
      <c r="WPO80" s="1365"/>
      <c r="WPP80" s="1365"/>
      <c r="WPR80" s="1158"/>
      <c r="WPS80" s="1158"/>
      <c r="WPT80" s="1158"/>
      <c r="WPU80" s="7"/>
      <c r="WPV80" s="7"/>
      <c r="WPW80" s="7"/>
      <c r="WPX80" s="7"/>
      <c r="WPY80" s="1363"/>
      <c r="WPZ80" s="1364"/>
      <c r="WQA80" s="1364"/>
      <c r="WQB80" s="1364"/>
      <c r="WQC80" s="7"/>
      <c r="WQD80" s="7"/>
      <c r="WQE80" s="1363"/>
      <c r="WQF80" s="1363"/>
      <c r="WQG80" s="1363"/>
      <c r="WQH80" s="1365"/>
      <c r="WQI80" s="7"/>
      <c r="WQJ80" s="7"/>
      <c r="WQK80" s="1365"/>
      <c r="WQL80" s="1365"/>
      <c r="WQM80" s="299"/>
      <c r="WQO80" s="1086"/>
      <c r="WQP80" s="1086"/>
      <c r="WQQ80" s="1086"/>
      <c r="WQR80" s="7"/>
      <c r="WQS80" s="7"/>
      <c r="WQT80" s="7"/>
      <c r="WQU80" s="7"/>
      <c r="WQV80" s="1161"/>
      <c r="WQW80" s="7"/>
      <c r="WQX80" s="7"/>
      <c r="WQY80" s="7"/>
      <c r="WQZ80" s="7"/>
      <c r="WRA80" s="7"/>
      <c r="WRB80" s="1161"/>
      <c r="WRC80" s="1161"/>
      <c r="WRD80" s="1161"/>
      <c r="WRE80" s="1365"/>
      <c r="WRF80" s="7"/>
      <c r="WRG80" s="7"/>
      <c r="WRH80" s="1365"/>
      <c r="WRI80" s="1365"/>
      <c r="WRL80" s="1158"/>
      <c r="WRM80" s="1158"/>
      <c r="WRN80" s="1158"/>
      <c r="WRO80" s="7"/>
      <c r="WRP80" s="7"/>
      <c r="WRQ80" s="7"/>
      <c r="WRR80" s="7"/>
      <c r="WRS80" s="1161"/>
      <c r="WRT80" s="7"/>
      <c r="WRU80" s="7"/>
      <c r="WRV80" s="7"/>
      <c r="WRW80" s="7"/>
      <c r="WRX80" s="7"/>
      <c r="WRY80" s="1161"/>
      <c r="WRZ80" s="1161"/>
      <c r="WSA80" s="1161"/>
      <c r="WSB80" s="1365"/>
      <c r="WSC80" s="7"/>
      <c r="WSD80" s="7"/>
      <c r="WSE80" s="1365"/>
      <c r="WSF80" s="1365"/>
      <c r="WSH80" s="1158"/>
      <c r="WSI80" s="1158"/>
      <c r="WSJ80" s="1158"/>
      <c r="WSK80" s="7"/>
      <c r="WSL80" s="7"/>
      <c r="WSM80" s="7"/>
      <c r="WSN80" s="7"/>
      <c r="WSO80" s="1363"/>
      <c r="WSP80" s="1364"/>
      <c r="WSQ80" s="1364"/>
      <c r="WSR80" s="1364"/>
      <c r="WSS80" s="7"/>
      <c r="WST80" s="7"/>
      <c r="WSU80" s="1363"/>
      <c r="WSV80" s="1363"/>
      <c r="WSW80" s="1363"/>
      <c r="WSX80" s="1365"/>
      <c r="WSY80" s="7"/>
      <c r="WSZ80" s="7"/>
      <c r="WTA80" s="1365"/>
      <c r="WTB80" s="1365"/>
      <c r="WTC80" s="299"/>
      <c r="WTE80" s="1086"/>
      <c r="WTF80" s="1086"/>
      <c r="WTG80" s="1086"/>
      <c r="WTH80" s="7"/>
      <c r="WTI80" s="7"/>
      <c r="WTJ80" s="7"/>
      <c r="WTK80" s="7"/>
      <c r="WTL80" s="1161"/>
      <c r="WTM80" s="7"/>
      <c r="WTN80" s="7"/>
      <c r="WTO80" s="7"/>
      <c r="WTP80" s="7"/>
      <c r="WTQ80" s="7"/>
      <c r="WTR80" s="1161"/>
      <c r="WTS80" s="1161"/>
      <c r="WTT80" s="1161"/>
      <c r="WTU80" s="1365"/>
      <c r="WTV80" s="7"/>
      <c r="WTW80" s="7"/>
      <c r="WTX80" s="1365"/>
      <c r="WTY80" s="1365"/>
      <c r="WUB80" s="1158"/>
      <c r="WUC80" s="1158"/>
      <c r="WUD80" s="1158"/>
      <c r="WUE80" s="7"/>
      <c r="WUF80" s="7"/>
      <c r="WUG80" s="7"/>
      <c r="WUH80" s="7"/>
      <c r="WUI80" s="1161"/>
      <c r="WUJ80" s="7"/>
      <c r="WUK80" s="7"/>
      <c r="WUL80" s="7"/>
      <c r="WUM80" s="7"/>
      <c r="WUN80" s="7"/>
      <c r="WUO80" s="1161"/>
      <c r="WUP80" s="1161"/>
      <c r="WUQ80" s="1161"/>
      <c r="WUR80" s="1365"/>
      <c r="WUS80" s="7"/>
      <c r="WUT80" s="7"/>
      <c r="WUU80" s="1365"/>
      <c r="WUV80" s="1365"/>
      <c r="WUX80" s="1158"/>
      <c r="WUY80" s="1158"/>
      <c r="WUZ80" s="1158"/>
      <c r="WVA80" s="7"/>
      <c r="WVB80" s="7"/>
      <c r="WVC80" s="7"/>
      <c r="WVD80" s="7"/>
      <c r="WVE80" s="1363"/>
      <c r="WVF80" s="1364"/>
      <c r="WVG80" s="1364"/>
      <c r="WVH80" s="1364"/>
      <c r="WVI80" s="7"/>
      <c r="WVJ80" s="7"/>
      <c r="WVK80" s="1363"/>
      <c r="WVL80" s="1363"/>
      <c r="WVM80" s="1363"/>
      <c r="WVN80" s="1365"/>
      <c r="WVO80" s="7"/>
      <c r="WVP80" s="7"/>
      <c r="WVQ80" s="1365"/>
      <c r="WVR80" s="1365"/>
      <c r="WVS80" s="299"/>
      <c r="WVU80" s="1086"/>
      <c r="WVV80" s="1086"/>
      <c r="WVW80" s="1086"/>
      <c r="WVX80" s="7"/>
      <c r="WVY80" s="7"/>
      <c r="WVZ80" s="7"/>
      <c r="WWA80" s="7"/>
      <c r="WWB80" s="1161"/>
      <c r="WWC80" s="7"/>
      <c r="WWD80" s="7"/>
      <c r="WWE80" s="7"/>
      <c r="WWF80" s="7"/>
      <c r="WWG80" s="7"/>
      <c r="WWH80" s="1161"/>
      <c r="WWI80" s="1161"/>
      <c r="WWJ80" s="1161"/>
      <c r="WWK80" s="1365"/>
      <c r="WWL80" s="7"/>
      <c r="WWM80" s="7"/>
      <c r="WWN80" s="1365"/>
      <c r="WWO80" s="1365"/>
      <c r="WWR80" s="1158"/>
      <c r="WWS80" s="1158"/>
      <c r="WWT80" s="1158"/>
      <c r="WWU80" s="7"/>
      <c r="WWV80" s="7"/>
      <c r="WWW80" s="7"/>
      <c r="WWX80" s="7"/>
      <c r="WWY80" s="1161"/>
      <c r="WWZ80" s="7"/>
      <c r="WXA80" s="7"/>
      <c r="WXB80" s="7"/>
      <c r="WXC80" s="7"/>
      <c r="WXD80" s="7"/>
      <c r="WXE80" s="1161"/>
      <c r="WXF80" s="1161"/>
      <c r="WXG80" s="1161"/>
      <c r="WXH80" s="1365"/>
      <c r="WXI80" s="7"/>
      <c r="WXJ80" s="7"/>
      <c r="WXK80" s="1365"/>
      <c r="WXL80" s="1365"/>
      <c r="WXN80" s="1158"/>
      <c r="WXO80" s="1158"/>
      <c r="WXP80" s="1158"/>
      <c r="WXQ80" s="7"/>
      <c r="WXR80" s="7"/>
      <c r="WXS80" s="7"/>
      <c r="WXT80" s="7"/>
      <c r="WXU80" s="1363"/>
      <c r="WXV80" s="1364"/>
      <c r="WXW80" s="1364"/>
      <c r="WXX80" s="1364"/>
      <c r="WXY80" s="7"/>
      <c r="WXZ80" s="7"/>
      <c r="WYA80" s="1363"/>
      <c r="WYB80" s="1363"/>
      <c r="WYC80" s="1363"/>
      <c r="WYD80" s="1365"/>
      <c r="WYE80" s="7"/>
      <c r="WYF80" s="7"/>
      <c r="WYG80" s="1365"/>
      <c r="WYH80" s="1365"/>
      <c r="WYI80" s="299"/>
      <c r="WYK80" s="1086"/>
      <c r="WYL80" s="1086"/>
      <c r="WYM80" s="1086"/>
      <c r="WYN80" s="7"/>
      <c r="WYO80" s="7"/>
      <c r="WYP80" s="7"/>
      <c r="WYQ80" s="7"/>
      <c r="WYR80" s="1161"/>
      <c r="WYS80" s="7"/>
      <c r="WYT80" s="7"/>
      <c r="WYU80" s="7"/>
      <c r="WYV80" s="7"/>
      <c r="WYW80" s="7"/>
      <c r="WYX80" s="1161"/>
      <c r="WYY80" s="1161"/>
      <c r="WYZ80" s="1161"/>
      <c r="WZA80" s="1365"/>
      <c r="WZB80" s="7"/>
      <c r="WZC80" s="7"/>
      <c r="WZD80" s="1365"/>
      <c r="WZE80" s="1365"/>
      <c r="WZH80" s="1158"/>
      <c r="WZI80" s="1158"/>
      <c r="WZJ80" s="1158"/>
      <c r="WZK80" s="7"/>
      <c r="WZL80" s="7"/>
      <c r="WZM80" s="7"/>
      <c r="WZN80" s="7"/>
      <c r="WZO80" s="1161"/>
      <c r="WZP80" s="7"/>
      <c r="WZQ80" s="7"/>
      <c r="WZR80" s="7"/>
      <c r="WZS80" s="7"/>
      <c r="WZT80" s="7"/>
      <c r="WZU80" s="1161"/>
      <c r="WZV80" s="1161"/>
      <c r="WZW80" s="1161"/>
      <c r="WZX80" s="1365"/>
      <c r="WZY80" s="7"/>
      <c r="WZZ80" s="7"/>
      <c r="XAA80" s="1365"/>
      <c r="XAB80" s="1365"/>
      <c r="XAD80" s="1158"/>
      <c r="XAE80" s="1158"/>
      <c r="XAF80" s="1158"/>
      <c r="XAG80" s="7"/>
      <c r="XAH80" s="7"/>
      <c r="XAI80" s="7"/>
      <c r="XAJ80" s="7"/>
      <c r="XAK80" s="1363"/>
      <c r="XAL80" s="1364"/>
      <c r="XAM80" s="1364"/>
      <c r="XAN80" s="1364"/>
      <c r="XAO80" s="7"/>
      <c r="XAP80" s="7"/>
      <c r="XAQ80" s="1363"/>
      <c r="XAR80" s="1363"/>
      <c r="XAS80" s="1363"/>
      <c r="XAT80" s="1365"/>
      <c r="XAU80" s="7"/>
      <c r="XAV80" s="7"/>
      <c r="XAW80" s="1365"/>
      <c r="XAX80" s="1365"/>
      <c r="XAY80" s="299"/>
      <c r="XBA80" s="1086"/>
      <c r="XBB80" s="1086"/>
      <c r="XBC80" s="1086"/>
      <c r="XBD80" s="7"/>
      <c r="XBE80" s="7"/>
      <c r="XBF80" s="7"/>
      <c r="XBG80" s="7"/>
      <c r="XBH80" s="1161"/>
      <c r="XBI80" s="7"/>
      <c r="XBJ80" s="7"/>
      <c r="XBK80" s="7"/>
      <c r="XBL80" s="7"/>
      <c r="XBM80" s="7"/>
      <c r="XBN80" s="1161"/>
      <c r="XBO80" s="1161"/>
      <c r="XBP80" s="1161"/>
      <c r="XBQ80" s="1365"/>
      <c r="XBR80" s="7"/>
      <c r="XBS80" s="7"/>
      <c r="XBT80" s="1365"/>
      <c r="XBU80" s="1365"/>
      <c r="XBX80" s="1158"/>
      <c r="XBY80" s="1158"/>
      <c r="XBZ80" s="1158"/>
      <c r="XCA80" s="7"/>
      <c r="XCB80" s="7"/>
      <c r="XCC80" s="7"/>
      <c r="XCD80" s="7"/>
      <c r="XCE80" s="1161"/>
      <c r="XCF80" s="7"/>
      <c r="XCG80" s="7"/>
      <c r="XCH80" s="7"/>
      <c r="XCI80" s="7"/>
      <c r="XCJ80" s="7"/>
      <c r="XCK80" s="1161"/>
      <c r="XCL80" s="1161"/>
      <c r="XCM80" s="1161"/>
      <c r="XCN80" s="1365"/>
      <c r="XCO80" s="7"/>
      <c r="XCP80" s="7"/>
      <c r="XCQ80" s="1365"/>
      <c r="XCR80" s="1365"/>
      <c r="XCT80" s="1158"/>
      <c r="XCU80" s="1158"/>
      <c r="XCV80" s="1158"/>
      <c r="XCW80" s="7"/>
      <c r="XCX80" s="7"/>
      <c r="XCY80" s="7"/>
      <c r="XCZ80" s="7"/>
      <c r="XDA80" s="1363"/>
      <c r="XDB80" s="1364"/>
      <c r="XDC80" s="1364"/>
      <c r="XDD80" s="1364"/>
      <c r="XDE80" s="7"/>
      <c r="XDF80" s="7"/>
      <c r="XDG80" s="1363"/>
      <c r="XDH80" s="1363"/>
      <c r="XDI80" s="1363"/>
      <c r="XDJ80" s="1365"/>
      <c r="XDK80" s="7"/>
      <c r="XDL80" s="7"/>
      <c r="XDM80" s="1365"/>
      <c r="XDN80" s="1365"/>
      <c r="XDO80" s="299"/>
      <c r="XDQ80" s="1086"/>
      <c r="XDR80" s="1086"/>
      <c r="XDS80" s="1086"/>
      <c r="XDT80" s="7"/>
      <c r="XDU80" s="7"/>
      <c r="XDV80" s="7"/>
      <c r="XDW80" s="7"/>
      <c r="XDX80" s="1161"/>
      <c r="XDY80" s="7"/>
      <c r="XDZ80" s="7"/>
      <c r="XEA80" s="7"/>
      <c r="XEB80" s="7"/>
      <c r="XEC80" s="7"/>
      <c r="XED80" s="1161"/>
      <c r="XEE80" s="1161"/>
      <c r="XEF80" s="1161"/>
      <c r="XEG80" s="1365"/>
      <c r="XEH80" s="7"/>
      <c r="XEI80" s="7"/>
      <c r="XEJ80" s="1365"/>
      <c r="XEK80" s="1365"/>
      <c r="XEN80" s="1158"/>
      <c r="XEO80" s="1158"/>
      <c r="XEP80" s="1158"/>
      <c r="XEQ80" s="7"/>
      <c r="XER80" s="7"/>
      <c r="XES80" s="7"/>
      <c r="XET80" s="7"/>
      <c r="XEU80" s="1161"/>
      <c r="XEV80" s="7"/>
      <c r="XEW80" s="7"/>
      <c r="XEX80" s="7"/>
      <c r="XEY80" s="7"/>
      <c r="XEZ80" s="7"/>
      <c r="XFA80" s="1161"/>
      <c r="XFB80" s="1161"/>
      <c r="XFC80" s="1161"/>
      <c r="XFD80" s="1365"/>
    </row>
    <row r="81" spans="1:75" s="804" customFormat="1" x14ac:dyDescent="0.2">
      <c r="A81" s="2">
        <v>2017</v>
      </c>
      <c r="B81" s="1157">
        <f>+B28*(1+'Conversion Factors'!$B28)</f>
        <v>16.756073465223224</v>
      </c>
      <c r="C81" s="1158">
        <f>+C28*(1+'Conversion Factors'!$B28)</f>
        <v>1.04081</v>
      </c>
      <c r="D81" s="1158">
        <f>+D28*(1+'Conversion Factors'!$B28)</f>
        <v>7.3901947211507304</v>
      </c>
      <c r="E81" s="299">
        <f>+E28*(1+'Conversion Factors'!$B28)</f>
        <v>34.00512208410683</v>
      </c>
      <c r="F81" s="299">
        <f>+F28*(1+'Conversion Factors'!$B28)</f>
        <v>9.947441817550386</v>
      </c>
      <c r="G81" s="299">
        <f>+G28*(1+'Conversion Factors'!$B28)</f>
        <v>8.6073772810721696</v>
      </c>
      <c r="H81" s="299">
        <f>+H28*(1+'Conversion Factors'!$B28)</f>
        <v>33.868723052897522</v>
      </c>
      <c r="I81" s="1159">
        <f>+I28*(1+'Conversion Factors'!$B28)</f>
        <v>26.325863335638481</v>
      </c>
      <c r="J81" s="299">
        <f>+J28*(1+'Conversion Factors'!$B28)</f>
        <v>1.3677117895000002</v>
      </c>
      <c r="K81" s="299">
        <f>+K28*(1+'Conversion Factors'!$B28)</f>
        <v>3.131014E-2</v>
      </c>
      <c r="L81" s="299">
        <f>+L28*(1+'Conversion Factors'!$B28)</f>
        <v>1.5090698825</v>
      </c>
      <c r="M81" s="299">
        <f>+M28*(1+'Conversion Factors'!$B28)</f>
        <v>0.12269796035410763</v>
      </c>
      <c r="N81" s="299">
        <f>+N28*(1+'Conversion Factors'!$B28)</f>
        <v>2.3820599999999996E-3</v>
      </c>
      <c r="O81" s="1159">
        <f>+O28*(1+'Conversion Factors'!$B28)</f>
        <v>0.26970928</v>
      </c>
      <c r="P81" s="1159">
        <f>+P28*(1+'Conversion Factors'!$B28)</f>
        <v>6.4379999999999993E-2</v>
      </c>
      <c r="Q81" s="1159">
        <f>+Q28*(1+'Conversion Factors'!$B28)</f>
        <v>1.2976593750000001</v>
      </c>
      <c r="R81" s="785">
        <f t="shared" si="32"/>
        <v>142.60652624499343</v>
      </c>
      <c r="S81" s="327">
        <f>+S28*(1+'Conversion Factors'!$B28)</f>
        <v>0</v>
      </c>
      <c r="T81" s="299">
        <f>+T28*(1+'Conversion Factors'!$B28)</f>
        <v>12.485948502635109</v>
      </c>
      <c r="U81" s="785">
        <f t="shared" si="38"/>
        <v>12.485948502635109</v>
      </c>
      <c r="V81" s="785">
        <f t="shared" si="39"/>
        <v>155.09247474762853</v>
      </c>
      <c r="W81" s="589"/>
      <c r="X81" s="2">
        <v>2017</v>
      </c>
      <c r="Y81" s="1157">
        <f>+Y28*(1+'Conversion Factors'!$C28)</f>
        <v>25.879217353504526</v>
      </c>
      <c r="Z81" s="1158">
        <f>+Z28*(1+'Conversion Factors'!$C28)</f>
        <v>1.4592800000000001</v>
      </c>
      <c r="AA81" s="1158">
        <f>+AA28*(1+'Conversion Factors'!$C28)</f>
        <v>7.7726771067256699</v>
      </c>
      <c r="AB81" s="299">
        <f>+AB28*(1+'Conversion Factors'!$C28)</f>
        <v>40.478667604304974</v>
      </c>
      <c r="AC81" s="299">
        <f>+AC28*(1+'Conversion Factors'!$C28)</f>
        <v>9.1964224845775178</v>
      </c>
      <c r="AD81" s="299">
        <f>+AD28*(1+'Conversion Factors'!$C28)</f>
        <v>9.7400038939201217</v>
      </c>
      <c r="AE81" s="299">
        <f>+AE28*(1+'Conversion Factors'!$C28)</f>
        <v>374.70013966065773</v>
      </c>
      <c r="AF81" s="1159">
        <f>+AF28*(1+'Conversion Factors'!$C28)</f>
        <v>51.773116454510834</v>
      </c>
      <c r="AG81" s="299">
        <f>+AG28*(1+'Conversion Factors'!$C28)</f>
        <v>1.7269934999999998</v>
      </c>
      <c r="AH81" s="299">
        <f>+AH28*(1+'Conversion Factors'!$C28)</f>
        <v>3.0797245999999997E-2</v>
      </c>
      <c r="AI81" s="299">
        <f>+AI28*(1+'Conversion Factors'!$C28)</f>
        <v>0.734292528</v>
      </c>
      <c r="AJ81" s="299">
        <f>+AJ28*(1+'Conversion Factors'!$C28)</f>
        <v>0.19844841368838526</v>
      </c>
      <c r="AK81" s="299">
        <f>+AK28*(1+'Conversion Factors'!$C28)</f>
        <v>7.4895399999999992E-4</v>
      </c>
      <c r="AL81" s="1159">
        <f>+AL28*(1+'Conversion Factors'!$C28)</f>
        <v>0.13321295</v>
      </c>
      <c r="AM81" s="1159">
        <f>+AM28*(1+'Conversion Factors'!$C28)</f>
        <v>0.11323369</v>
      </c>
      <c r="AN81" s="1159">
        <f>+AN28*(1+'Conversion Factors'!$C28)</f>
        <v>0</v>
      </c>
      <c r="AO81" s="282">
        <f t="shared" si="40"/>
        <v>523.93725183988977</v>
      </c>
      <c r="AP81" s="327">
        <f>+AP28*(1+'Conversion Factors'!$C28)</f>
        <v>0</v>
      </c>
      <c r="AQ81" s="299">
        <f>+AQ28*(1+'Conversion Factors'!$C28)</f>
        <v>17.159475435126836</v>
      </c>
      <c r="AR81" s="282">
        <f t="shared" si="41"/>
        <v>17.159475435126836</v>
      </c>
      <c r="AS81" s="282">
        <f t="shared" si="42"/>
        <v>541.09672727501663</v>
      </c>
      <c r="AT81" s="2"/>
      <c r="AU81" s="2">
        <v>2017</v>
      </c>
      <c r="AV81" s="1157">
        <f>+AV28*(1+'Conversion Factors'!$D28)</f>
        <v>87.684004071484097</v>
      </c>
      <c r="AW81" s="1158">
        <f>+AW28*(1+'Conversion Factors'!$D28)</f>
        <v>3.4531200000000002</v>
      </c>
      <c r="AX81" s="1158">
        <f>+AX28*(1+'Conversion Factors'!$D28)</f>
        <v>30.152942581030793</v>
      </c>
      <c r="AY81" s="299">
        <f>+AY28*(1+'Conversion Factors'!$D28)</f>
        <v>79.046364655107809</v>
      </c>
      <c r="AZ81" s="299">
        <f>+AZ28*(1+'Conversion Factors'!$D28)</f>
        <v>26.797833548413077</v>
      </c>
      <c r="BA81" s="299">
        <f>+BA28*(1+'Conversion Factors'!$D28)</f>
        <v>33.325547968064711</v>
      </c>
      <c r="BB81" s="299">
        <f>+BB28*(1+'Conversion Factors'!$D28)</f>
        <v>252.22173907346703</v>
      </c>
      <c r="BC81" s="1159">
        <f>+BC28*(1+'Conversion Factors'!$D28)</f>
        <v>69.22094307344031</v>
      </c>
      <c r="BD81" s="299">
        <f>+BD28*(1+'Conversion Factors'!$D28)</f>
        <v>3.4961303520000002</v>
      </c>
      <c r="BE81" s="299">
        <f>+BE28*(1+'Conversion Factors'!$D28)</f>
        <v>0.11741452800000002</v>
      </c>
      <c r="BF81" s="299">
        <f>+BF28*(1+'Conversion Factors'!$D28)</f>
        <v>4.0920190080000003</v>
      </c>
      <c r="BG81" s="299">
        <f>+BG28*(1+'Conversion Factors'!$D28)</f>
        <v>1.5802244350368271</v>
      </c>
      <c r="BH81" s="299">
        <f>+BH28*(1+'Conversion Factors'!$D28)</f>
        <v>6.0318720000000006E-3</v>
      </c>
      <c r="BI81" s="1159">
        <f>+BI28*(1+'Conversion Factors'!$D28)</f>
        <v>0.38387711999999996</v>
      </c>
      <c r="BJ81" s="1159">
        <f>+BJ28*(1+'Conversion Factors'!$D28)</f>
        <v>0.50181120000000001</v>
      </c>
      <c r="BK81" s="1159">
        <f>+BK28*(1+'Conversion Factors'!$D28)</f>
        <v>3.59511768</v>
      </c>
      <c r="BL81" s="277">
        <f t="shared" si="43"/>
        <v>595.67512116604473</v>
      </c>
      <c r="BM81" s="1183">
        <f>+BM28*(1+'Conversion Factors'!$D28)</f>
        <v>0</v>
      </c>
      <c r="BN81" s="299">
        <f>+BN28*(1+'Conversion Factors'!$D28)</f>
        <v>4.2203058402352944</v>
      </c>
      <c r="BO81" s="282">
        <f t="shared" si="44"/>
        <v>4.2203058402352944</v>
      </c>
      <c r="BP81" s="282">
        <f t="shared" si="45"/>
        <v>599.89542700627999</v>
      </c>
      <c r="BQ81" s="2"/>
      <c r="BR81" s="2"/>
      <c r="BS81" s="2"/>
      <c r="BT81" s="1176">
        <f t="shared" si="36"/>
        <v>548.57694700294314</v>
      </c>
      <c r="BU81" s="1176">
        <f t="shared" si="37"/>
        <v>51.318480003336845</v>
      </c>
      <c r="BV81" s="1176">
        <f>+BT81+'ComInd Summary'!DA81</f>
        <v>829.28686906792473</v>
      </c>
      <c r="BW81" s="1176">
        <f>+BU81+'ComInd Summary'!DB81</f>
        <v>121.30373506689386</v>
      </c>
    </row>
    <row r="82" spans="1:75" s="804" customFormat="1" x14ac:dyDescent="0.2">
      <c r="A82" s="2">
        <v>2018</v>
      </c>
      <c r="B82" s="1157">
        <f>+B29*(1+'Conversion Factors'!$B29)</f>
        <v>16.756073465223224</v>
      </c>
      <c r="C82" s="1158">
        <f>+C29*(1+'Conversion Factors'!$B29)</f>
        <v>1.04081</v>
      </c>
      <c r="D82" s="1158">
        <f>+D29*(1+'Conversion Factors'!$B29)</f>
        <v>7.3901947211507304</v>
      </c>
      <c r="E82" s="299">
        <f>+E29*(1+'Conversion Factors'!$B29)</f>
        <v>34.142734334106834</v>
      </c>
      <c r="F82" s="299">
        <f>+F29*(1+'Conversion Factors'!$B29)</f>
        <v>10.089882567550386</v>
      </c>
      <c r="G82" s="299">
        <f>+G29*(1+'Conversion Factors'!$B29)</f>
        <v>10.288231781072168</v>
      </c>
      <c r="H82" s="299">
        <f>+H29*(1+'Conversion Factors'!$B29)</f>
        <v>33.969960602897523</v>
      </c>
      <c r="I82" s="1159">
        <f>+I29*(1+'Conversion Factors'!$B29)</f>
        <v>26.325863335638481</v>
      </c>
      <c r="J82" s="299">
        <f>+J29*(1+'Conversion Factors'!$B29)</f>
        <v>1.6466917895000002</v>
      </c>
      <c r="K82" s="299">
        <f>+K29*(1+'Conversion Factors'!$B29)</f>
        <v>3.4434716000000004E-2</v>
      </c>
      <c r="L82" s="299">
        <f>+L29*(1+'Conversion Factors'!$B29)</f>
        <v>1.6759213824999999</v>
      </c>
      <c r="M82" s="299">
        <f>+M29*(1+'Conversion Factors'!$B29)</f>
        <v>0.13611046035410765</v>
      </c>
      <c r="N82" s="299">
        <f>+N29*(1+'Conversion Factors'!$B29)</f>
        <v>6.8081849999999996E-3</v>
      </c>
      <c r="O82" s="1159">
        <f>+O29*(1+'Conversion Factors'!$B29)</f>
        <v>0.26970928</v>
      </c>
      <c r="P82" s="1159">
        <f>+P29*(1+'Conversion Factors'!$B29)</f>
        <v>6.4379999999999993E-2</v>
      </c>
      <c r="Q82" s="1159">
        <f>+Q29*(1+'Conversion Factors'!$B29)</f>
        <v>1.2976593750000001</v>
      </c>
      <c r="R82" s="785">
        <f t="shared" si="32"/>
        <v>145.13546599599346</v>
      </c>
      <c r="S82" s="1181">
        <f>+S29*(1+'Conversion Factors'!$B29)</f>
        <v>0</v>
      </c>
      <c r="T82" s="299">
        <f>+T29*(1+'Conversion Factors'!$B29)</f>
        <v>14.64482450263511</v>
      </c>
      <c r="U82" s="785">
        <f t="shared" si="38"/>
        <v>14.64482450263511</v>
      </c>
      <c r="V82" s="785">
        <f t="shared" si="39"/>
        <v>159.78029049862857</v>
      </c>
      <c r="W82" s="589"/>
      <c r="X82" s="2">
        <v>2018</v>
      </c>
      <c r="Y82" s="1157">
        <f>+Y29*(1+'Conversion Factors'!$C29)</f>
        <v>25.879217353504526</v>
      </c>
      <c r="Z82" s="1158">
        <f>+Z29*(1+'Conversion Factors'!$C29)</f>
        <v>1.4592800000000001</v>
      </c>
      <c r="AA82" s="1158">
        <f>+AA29*(1+'Conversion Factors'!$C29)</f>
        <v>7.7726771067256699</v>
      </c>
      <c r="AB82" s="299">
        <f>+AB29*(1+'Conversion Factors'!$C29)</f>
        <v>40.653298354304972</v>
      </c>
      <c r="AC82" s="299">
        <f>+AC29*(1+'Conversion Factors'!$C29)</f>
        <v>9.3278649845775199</v>
      </c>
      <c r="AD82" s="299">
        <f>+AD29*(1+'Conversion Factors'!$C29)</f>
        <v>12.00001014392012</v>
      </c>
      <c r="AE82" s="299">
        <f>+AE29*(1+'Conversion Factors'!$C29)</f>
        <v>375.03958321065772</v>
      </c>
      <c r="AF82" s="1159">
        <f>+AF29*(1+'Conversion Factors'!$C29)</f>
        <v>51.773116454510834</v>
      </c>
      <c r="AG82" s="299">
        <f>+AG29*(1+'Conversion Factors'!$C29)</f>
        <v>2.1240034999999997</v>
      </c>
      <c r="AH82" s="299">
        <f>+AH29*(1+'Conversion Factors'!$C29)</f>
        <v>3.7587189999999999E-2</v>
      </c>
      <c r="AI82" s="299">
        <f>+AI29*(1+'Conversion Factors'!$C29)</f>
        <v>0.84803052800000001</v>
      </c>
      <c r="AJ82" s="299">
        <f>+AJ29*(1+'Conversion Factors'!$C29)</f>
        <v>0.22312741368838523</v>
      </c>
      <c r="AK82" s="299">
        <f>+AK29*(1+'Conversion Factors'!$C29)</f>
        <v>3.7962739999999992E-3</v>
      </c>
      <c r="AL82" s="1159">
        <f>+AL29*(1+'Conversion Factors'!$C29)</f>
        <v>0.13321295</v>
      </c>
      <c r="AM82" s="1159">
        <f>+AM29*(1+'Conversion Factors'!$C29)</f>
        <v>0.11323369</v>
      </c>
      <c r="AN82" s="1159">
        <f>+AN29*(1+'Conversion Factors'!$C29)</f>
        <v>0</v>
      </c>
      <c r="AO82" s="282">
        <f t="shared" si="40"/>
        <v>527.38803915388974</v>
      </c>
      <c r="AP82" s="1181">
        <f>+AP29*(1+'Conversion Factors'!$C29)</f>
        <v>0</v>
      </c>
      <c r="AQ82" s="299">
        <f>+AQ29*(1+'Conversion Factors'!$C29)</f>
        <v>20.522257435126836</v>
      </c>
      <c r="AR82" s="282">
        <f t="shared" si="41"/>
        <v>20.522257435126836</v>
      </c>
      <c r="AS82" s="282">
        <f t="shared" si="42"/>
        <v>547.91029658901653</v>
      </c>
      <c r="AT82" s="2"/>
      <c r="AU82" s="2">
        <v>2018</v>
      </c>
      <c r="AV82" s="1157">
        <f>+AV29*(1+'Conversion Factors'!$D29)</f>
        <v>87.684004071484097</v>
      </c>
      <c r="AW82" s="1158">
        <f>+AW29*(1+'Conversion Factors'!$D29)</f>
        <v>3.4531200000000002</v>
      </c>
      <c r="AX82" s="1158">
        <f>+AX29*(1+'Conversion Factors'!$D29)</f>
        <v>30.152942581030793</v>
      </c>
      <c r="AY82" s="299">
        <f>+AY29*(1+'Conversion Factors'!$D29)</f>
        <v>79.282380655107815</v>
      </c>
      <c r="AZ82" s="299">
        <f>+AZ29*(1+'Conversion Factors'!$D29)</f>
        <v>27.454929548413077</v>
      </c>
      <c r="BA82" s="299">
        <f>+BA29*(1+'Conversion Factors'!$D29)</f>
        <v>41.713355968064711</v>
      </c>
      <c r="BB82" s="299">
        <f>+BB29*(1+'Conversion Factors'!$D29)</f>
        <v>252.58413187346704</v>
      </c>
      <c r="BC82" s="1159">
        <f>+BC29*(1+'Conversion Factors'!$D29)</f>
        <v>69.22094307344031</v>
      </c>
      <c r="BD82" s="299">
        <f>+BD29*(1+'Conversion Factors'!$D29)</f>
        <v>4.3916183520000001</v>
      </c>
      <c r="BE82" s="299">
        <f>+BE29*(1+'Conversion Factors'!$D29)</f>
        <v>0.12921216000000002</v>
      </c>
      <c r="BF82" s="299">
        <f>+BF29*(1+'Conversion Factors'!$D29)</f>
        <v>4.6839070080000003</v>
      </c>
      <c r="BG82" s="299">
        <f>+BG29*(1+'Conversion Factors'!$D29)</f>
        <v>1.7608004350368271</v>
      </c>
      <c r="BH82" s="299">
        <f>+BH29*(1+'Conversion Factors'!$D29)</f>
        <v>1.7299392E-2</v>
      </c>
      <c r="BI82" s="1159">
        <f>+BI29*(1+'Conversion Factors'!$D29)</f>
        <v>0.38387711999999996</v>
      </c>
      <c r="BJ82" s="1159">
        <f>+BJ29*(1+'Conversion Factors'!$D29)</f>
        <v>0.50181120000000001</v>
      </c>
      <c r="BK82" s="1159">
        <f>+BK29*(1+'Conversion Factors'!$D29)</f>
        <v>3.59511768</v>
      </c>
      <c r="BL82" s="282">
        <f t="shared" si="43"/>
        <v>607.00945111804481</v>
      </c>
      <c r="BM82" s="1181">
        <f>+BM29*(1+'Conversion Factors'!$D29)</f>
        <v>0</v>
      </c>
      <c r="BN82" s="299">
        <f>+BN29*(1+'Conversion Factors'!$D29)</f>
        <v>4.4758578402352942</v>
      </c>
      <c r="BO82" s="282">
        <f t="shared" si="44"/>
        <v>4.4758578402352942</v>
      </c>
      <c r="BP82" s="282">
        <f t="shared" si="45"/>
        <v>611.48530895828014</v>
      </c>
      <c r="BQ82" s="2"/>
      <c r="BR82" s="2"/>
      <c r="BS82" s="2"/>
      <c r="BT82" s="1176">
        <f t="shared" si="36"/>
        <v>549.83245180294307</v>
      </c>
      <c r="BU82" s="1176">
        <f t="shared" si="37"/>
        <v>61.652857155337074</v>
      </c>
      <c r="BV82" s="1176">
        <f>+BT82+'ComInd Summary'!DA82</f>
        <v>830.87863703585731</v>
      </c>
      <c r="BW82" s="1176">
        <f>+BU82+'ComInd Summary'!DB82</f>
        <v>136.08690975889402</v>
      </c>
    </row>
    <row r="83" spans="1:75" s="804" customFormat="1" x14ac:dyDescent="0.2">
      <c r="A83" s="2">
        <v>2019</v>
      </c>
      <c r="B83" s="1157">
        <f>+B30*(1+'Conversion Factors'!$B30)</f>
        <v>16.756073465223224</v>
      </c>
      <c r="C83" s="1158">
        <f>+C30*(1+'Conversion Factors'!$B30)</f>
        <v>1.04081</v>
      </c>
      <c r="D83" s="1158">
        <f>+D30*(1+'Conversion Factors'!$B30)</f>
        <v>7.3901947211507304</v>
      </c>
      <c r="E83" s="299">
        <f>+E30*(1+'Conversion Factors'!$B30)</f>
        <v>34.257411209106834</v>
      </c>
      <c r="F83" s="299">
        <f>+F30*(1+'Conversion Factors'!$B30)</f>
        <v>10.232323317550387</v>
      </c>
      <c r="G83" s="299">
        <f>+G30*(1+'Conversion Factors'!$B30)</f>
        <v>12.066058656072167</v>
      </c>
      <c r="H83" s="299">
        <f>+H30*(1+'Conversion Factors'!$B30)</f>
        <v>34.068462002897519</v>
      </c>
      <c r="I83" s="1159">
        <f>+I30*(1+'Conversion Factors'!$B30)</f>
        <v>26.325863335638481</v>
      </c>
      <c r="J83" s="299">
        <f>+J30*(1+'Conversion Factors'!$B30)</f>
        <v>1.9954167894999999</v>
      </c>
      <c r="K83" s="299">
        <f>+K30*(1+'Conversion Factors'!$B30)</f>
        <v>3.7559292000000001E-2</v>
      </c>
      <c r="L83" s="299">
        <f>+L30*(1+'Conversion Factors'!$B30)</f>
        <v>1.8427728824999998</v>
      </c>
      <c r="M83" s="299">
        <f>+M30*(1+'Conversion Factors'!$B30)</f>
        <v>0.14952296035410764</v>
      </c>
      <c r="N83" s="299">
        <f>+N30*(1+'Conversion Factors'!$B30)</f>
        <v>1.2843809999999999E-2</v>
      </c>
      <c r="O83" s="1159">
        <f>+O30*(1+'Conversion Factors'!$B30)</f>
        <v>0.26970928</v>
      </c>
      <c r="P83" s="1159">
        <f>+P30*(1+'Conversion Factors'!$B30)</f>
        <v>6.4379999999999993E-2</v>
      </c>
      <c r="Q83" s="1159">
        <f>+Q30*(1+'Conversion Factors'!$B30)</f>
        <v>1.2976593750000001</v>
      </c>
      <c r="R83" s="785">
        <f t="shared" si="32"/>
        <v>147.80706109699344</v>
      </c>
      <c r="S83" s="1181">
        <f>+S30*(1+'Conversion Factors'!$B30)</f>
        <v>0</v>
      </c>
      <c r="T83" s="299">
        <f>+T30*(1+'Conversion Factors'!$B30)</f>
        <v>17.073560002635109</v>
      </c>
      <c r="U83" s="785">
        <f t="shared" si="38"/>
        <v>17.073560002635109</v>
      </c>
      <c r="V83" s="785">
        <f t="shared" si="39"/>
        <v>164.88062109962854</v>
      </c>
      <c r="W83" s="589"/>
      <c r="X83" s="2">
        <v>2019</v>
      </c>
      <c r="Y83" s="1157">
        <f>+Y30*(1+'Conversion Factors'!$C30)</f>
        <v>25.879217353504526</v>
      </c>
      <c r="Z83" s="1158">
        <f>+Z30*(1+'Conversion Factors'!$C30)</f>
        <v>1.4592800000000001</v>
      </c>
      <c r="AA83" s="1158">
        <f>+AA30*(1+'Conversion Factors'!$C30)</f>
        <v>7.7726771067256699</v>
      </c>
      <c r="AB83" s="299">
        <f>+AB30*(1+'Conversion Factors'!$C30)</f>
        <v>40.827929104304978</v>
      </c>
      <c r="AC83" s="299">
        <f>+AC30*(1+'Conversion Factors'!$C30)</f>
        <v>9.4593074845775202</v>
      </c>
      <c r="AD83" s="299">
        <f>+AD30*(1+'Conversion Factors'!$C30)</f>
        <v>14.440816893920122</v>
      </c>
      <c r="AE83" s="299">
        <f>+AE30*(1+'Conversion Factors'!$C30)</f>
        <v>375.36116131065768</v>
      </c>
      <c r="AF83" s="1159">
        <f>+AF30*(1+'Conversion Factors'!$C30)</f>
        <v>51.773116454510834</v>
      </c>
      <c r="AG83" s="299">
        <f>+AG30*(1+'Conversion Factors'!$C30)</f>
        <v>2.5210135</v>
      </c>
      <c r="AH83" s="299">
        <f>+AH30*(1+'Conversion Factors'!$C30)</f>
        <v>4.4377133999999999E-2</v>
      </c>
      <c r="AI83" s="299">
        <f>+AI30*(1+'Conversion Factors'!$C30)</f>
        <v>0.96176852800000001</v>
      </c>
      <c r="AJ83" s="299">
        <f>+AJ30*(1+'Conversion Factors'!$C30)</f>
        <v>0.24780641368838524</v>
      </c>
      <c r="AK83" s="299">
        <f>+AK30*(1+'Conversion Factors'!$C30)</f>
        <v>9.1290839999999974E-3</v>
      </c>
      <c r="AL83" s="1159">
        <f>+AL30*(1+'Conversion Factors'!$C30)</f>
        <v>0.13321295</v>
      </c>
      <c r="AM83" s="1159">
        <f>+AM30*(1+'Conversion Factors'!$C30)</f>
        <v>0.11323369</v>
      </c>
      <c r="AN83" s="1159">
        <f>+AN30*(1+'Conversion Factors'!$C30)</f>
        <v>0</v>
      </c>
      <c r="AO83" s="282">
        <f t="shared" si="40"/>
        <v>531.00404700788977</v>
      </c>
      <c r="AP83" s="1181">
        <f>+AP30*(1+'Conversion Factors'!$C30)</f>
        <v>0</v>
      </c>
      <c r="AQ83" s="299">
        <f>+AQ30*(1+'Conversion Factors'!$C30)</f>
        <v>23.885039435126838</v>
      </c>
      <c r="AR83" s="282">
        <f t="shared" si="41"/>
        <v>23.885039435126838</v>
      </c>
      <c r="AS83" s="282">
        <f t="shared" si="42"/>
        <v>554.88908644301659</v>
      </c>
      <c r="AT83" s="2"/>
      <c r="AU83" s="2">
        <v>2019</v>
      </c>
      <c r="AV83" s="1157">
        <f>+AV30*(1+'Conversion Factors'!$D30)</f>
        <v>87.684004071484097</v>
      </c>
      <c r="AW83" s="1158">
        <f>+AW30*(1+'Conversion Factors'!$D30)</f>
        <v>3.4531200000000002</v>
      </c>
      <c r="AX83" s="1158">
        <f>+AX30*(1+'Conversion Factors'!$D30)</f>
        <v>30.152942581030793</v>
      </c>
      <c r="AY83" s="299">
        <f>+AY30*(1+'Conversion Factors'!$D30)</f>
        <v>79.479060655107816</v>
      </c>
      <c r="AZ83" s="299">
        <f>+AZ30*(1+'Conversion Factors'!$D30)</f>
        <v>28.112025548413079</v>
      </c>
      <c r="BA83" s="299">
        <f>+BA30*(1+'Conversion Factors'!$D30)</f>
        <v>50.585075968064707</v>
      </c>
      <c r="BB83" s="299">
        <f>+BB30*(1+'Conversion Factors'!$D30)</f>
        <v>252.93673027346705</v>
      </c>
      <c r="BC83" s="1159">
        <f>+BC30*(1+'Conversion Factors'!$D30)</f>
        <v>69.22094307344031</v>
      </c>
      <c r="BD83" s="299">
        <f>+BD30*(1+'Conversion Factors'!$D30)</f>
        <v>5.5109783520000004</v>
      </c>
      <c r="BE83" s="299">
        <f>+BE30*(1+'Conversion Factors'!$D30)</f>
        <v>0.14100979200000002</v>
      </c>
      <c r="BF83" s="299">
        <f>+BF30*(1+'Conversion Factors'!$D30)</f>
        <v>5.2757950080000002</v>
      </c>
      <c r="BG83" s="299">
        <f>+BG30*(1+'Conversion Factors'!$D30)</f>
        <v>1.9413764350368272</v>
      </c>
      <c r="BH83" s="299">
        <f>+BH30*(1+'Conversion Factors'!$D30)</f>
        <v>3.2664192000000002E-2</v>
      </c>
      <c r="BI83" s="1159">
        <f>+BI30*(1+'Conversion Factors'!$D30)</f>
        <v>0.38387711999999996</v>
      </c>
      <c r="BJ83" s="1159">
        <f>+BJ30*(1+'Conversion Factors'!$D30)</f>
        <v>0.50181120000000001</v>
      </c>
      <c r="BK83" s="1159">
        <f>+BK30*(1+'Conversion Factors'!$D30)</f>
        <v>3.59511768</v>
      </c>
      <c r="BL83" s="282">
        <f t="shared" si="43"/>
        <v>619.00653195004463</v>
      </c>
      <c r="BM83" s="1181">
        <f>+BM30*(1+'Conversion Factors'!$D30)</f>
        <v>0</v>
      </c>
      <c r="BN83" s="299">
        <f>+BN30*(1+'Conversion Factors'!$D30)</f>
        <v>4.7633538402352942</v>
      </c>
      <c r="BO83" s="282">
        <f t="shared" si="44"/>
        <v>4.7633538402352942</v>
      </c>
      <c r="BP83" s="282">
        <f t="shared" si="45"/>
        <v>623.76988579027989</v>
      </c>
      <c r="BQ83" s="2"/>
      <c r="BR83" s="2"/>
      <c r="BS83" s="2"/>
      <c r="BT83" s="1176">
        <f t="shared" si="36"/>
        <v>551.03882620294314</v>
      </c>
      <c r="BU83" s="1176">
        <f t="shared" si="37"/>
        <v>72.731059587336745</v>
      </c>
      <c r="BV83" s="1176">
        <f>+BT83+'ComInd Summary'!DA83</f>
        <v>832.42127460379015</v>
      </c>
      <c r="BW83" s="1176">
        <f>+BU83+'ComInd Summary'!DB83</f>
        <v>152.19358066689381</v>
      </c>
    </row>
    <row r="84" spans="1:75" s="804" customFormat="1" x14ac:dyDescent="0.2">
      <c r="A84" s="2">
        <v>2020</v>
      </c>
      <c r="B84" s="1157">
        <f>+B31*(1+'Conversion Factors'!$B31)</f>
        <v>16.756073465223224</v>
      </c>
      <c r="C84" s="1158">
        <f>+C31*(1+'Conversion Factors'!$B31)</f>
        <v>1.04081</v>
      </c>
      <c r="D84" s="1158">
        <f>+D31*(1+'Conversion Factors'!$B31)</f>
        <v>7.3901947211507304</v>
      </c>
      <c r="E84" s="299">
        <f>+E31*(1+'Conversion Factors'!$B31)</f>
        <v>34.349152709106832</v>
      </c>
      <c r="F84" s="299">
        <f>+F31*(1+'Conversion Factors'!$B31)</f>
        <v>10.374764067550386</v>
      </c>
      <c r="G84" s="299">
        <f>+G31*(1+'Conversion Factors'!$B31)</f>
        <v>13.876209656072167</v>
      </c>
      <c r="H84" s="299">
        <f>+H31*(1+'Conversion Factors'!$B31)</f>
        <v>34.166963402897515</v>
      </c>
      <c r="I84" s="1159">
        <f>+I31*(1+'Conversion Factors'!$B31)</f>
        <v>26.325863335638481</v>
      </c>
      <c r="J84" s="299">
        <f>+J31*(1+'Conversion Factors'!$B31)</f>
        <v>2.4138867895000002</v>
      </c>
      <c r="K84" s="299">
        <f>+K31*(1+'Conversion Factors'!$B31)</f>
        <v>4.0683867999999998E-2</v>
      </c>
      <c r="L84" s="299">
        <f>+L31*(1+'Conversion Factors'!$B31)</f>
        <v>2.0096243824999998</v>
      </c>
      <c r="M84" s="299">
        <f>+M31*(1+'Conversion Factors'!$B31)</f>
        <v>0.16293546035410766</v>
      </c>
      <c r="N84" s="299">
        <f>+N31*(1+'Conversion Factors'!$B31)</f>
        <v>1.928181E-2</v>
      </c>
      <c r="O84" s="1159">
        <f>+O31*(1+'Conversion Factors'!$B31)</f>
        <v>0.26970928</v>
      </c>
      <c r="P84" s="1159">
        <f>+P31*(1+'Conversion Factors'!$B31)</f>
        <v>6.4379999999999993E-2</v>
      </c>
      <c r="Q84" s="1159">
        <f>+Q31*(1+'Conversion Factors'!$B31)</f>
        <v>1.2976593750000001</v>
      </c>
      <c r="R84" s="785">
        <f t="shared" si="32"/>
        <v>150.55819232299342</v>
      </c>
      <c r="S84" s="1181">
        <f>+S31*(1+'Conversion Factors'!$B31)</f>
        <v>0</v>
      </c>
      <c r="T84" s="299">
        <f>+T31*(1+'Conversion Factors'!$B31)</f>
        <v>19.77215500263511</v>
      </c>
      <c r="U84" s="785">
        <f t="shared" si="38"/>
        <v>19.77215500263511</v>
      </c>
      <c r="V84" s="785">
        <f t="shared" si="39"/>
        <v>170.33034732562854</v>
      </c>
      <c r="W84" s="589"/>
      <c r="X84" s="2">
        <v>2020</v>
      </c>
      <c r="Y84" s="1157">
        <f>+Y31*(1+'Conversion Factors'!$C31)</f>
        <v>25.879217353504526</v>
      </c>
      <c r="Z84" s="1158">
        <f>+Z31*(1+'Conversion Factors'!$C31)</f>
        <v>1.4592800000000001</v>
      </c>
      <c r="AA84" s="1158">
        <f>+AA31*(1+'Conversion Factors'!$C31)</f>
        <v>7.7726771067256699</v>
      </c>
      <c r="AB84" s="299">
        <f>+AB31*(1+'Conversion Factors'!$C31)</f>
        <v>40.944349604304975</v>
      </c>
      <c r="AC84" s="299">
        <f>+AC31*(1+'Conversion Factors'!$C31)</f>
        <v>9.5907499845775206</v>
      </c>
      <c r="AD84" s="299">
        <f>+AD31*(1+'Conversion Factors'!$C31)</f>
        <v>16.97202389392012</v>
      </c>
      <c r="AE84" s="299">
        <f>+AE31*(1+'Conversion Factors'!$C31)</f>
        <v>375.68273941065769</v>
      </c>
      <c r="AF84" s="1159">
        <f>+AF31*(1+'Conversion Factors'!$C31)</f>
        <v>51.773116454510834</v>
      </c>
      <c r="AG84" s="299">
        <f>+AG31*(1+'Conversion Factors'!$C31)</f>
        <v>3.1165284999999998</v>
      </c>
      <c r="AH84" s="299">
        <f>+AH31*(1+'Conversion Factors'!$C31)</f>
        <v>5.1167077999999998E-2</v>
      </c>
      <c r="AI84" s="299">
        <f>+AI31*(1+'Conversion Factors'!$C31)</f>
        <v>1.075506528</v>
      </c>
      <c r="AJ84" s="299">
        <f>+AJ31*(1+'Conversion Factors'!$C31)</f>
        <v>0.27248541368838525</v>
      </c>
      <c r="AK84" s="299">
        <f>+AK31*(1+'Conversion Factors'!$C31)</f>
        <v>1.5223723999999998E-2</v>
      </c>
      <c r="AL84" s="1159">
        <f>+AL31*(1+'Conversion Factors'!$C31)</f>
        <v>0.13321295</v>
      </c>
      <c r="AM84" s="1159">
        <f>+AM31*(1+'Conversion Factors'!$C31)</f>
        <v>0.11323369</v>
      </c>
      <c r="AN84" s="1159">
        <f>+AN31*(1+'Conversion Factors'!$C31)</f>
        <v>0</v>
      </c>
      <c r="AO84" s="282">
        <f t="shared" si="40"/>
        <v>534.85151169188975</v>
      </c>
      <c r="AP84" s="1181">
        <f>+AP31*(1+'Conversion Factors'!$C31)</f>
        <v>0</v>
      </c>
      <c r="AQ84" s="299">
        <f>+AQ31*(1+'Conversion Factors'!$C31)</f>
        <v>28.088516935126837</v>
      </c>
      <c r="AR84" s="282">
        <f t="shared" si="41"/>
        <v>28.088516935126837</v>
      </c>
      <c r="AS84" s="282">
        <f t="shared" si="42"/>
        <v>562.94002862701655</v>
      </c>
      <c r="AT84" s="2"/>
      <c r="AU84" s="2">
        <v>2020</v>
      </c>
      <c r="AV84" s="1157">
        <f>+AV31*(1+'Conversion Factors'!$D31)</f>
        <v>87.684004071484097</v>
      </c>
      <c r="AW84" s="1158">
        <f>+AW31*(1+'Conversion Factors'!$D31)</f>
        <v>3.4531200000000002</v>
      </c>
      <c r="AX84" s="1158">
        <f>+AX31*(1+'Conversion Factors'!$D31)</f>
        <v>30.152942581030793</v>
      </c>
      <c r="AY84" s="299">
        <f>+AY31*(1+'Conversion Factors'!$D31)</f>
        <v>79.63640465510781</v>
      </c>
      <c r="AZ84" s="299">
        <f>+AZ31*(1+'Conversion Factors'!$D31)</f>
        <v>28.769121548413079</v>
      </c>
      <c r="BA84" s="299">
        <f>+BA31*(1+'Conversion Factors'!$D31)</f>
        <v>59.618099968064712</v>
      </c>
      <c r="BB84" s="299">
        <f>+BB31*(1+'Conversion Factors'!$D31)</f>
        <v>253.28932867346703</v>
      </c>
      <c r="BC84" s="1159">
        <f>+BC31*(1+'Conversion Factors'!$D31)</f>
        <v>69.22094307344031</v>
      </c>
      <c r="BD84" s="299">
        <f>+BD31*(1+'Conversion Factors'!$D31)</f>
        <v>6.8542103520000008</v>
      </c>
      <c r="BE84" s="299">
        <f>+BE31*(1+'Conversion Factors'!$D31)</f>
        <v>0.152807424</v>
      </c>
      <c r="BF84" s="299">
        <f>+BF31*(1+'Conversion Factors'!$D31)</f>
        <v>5.8676830080000011</v>
      </c>
      <c r="BG84" s="299">
        <f>+BG31*(1+'Conversion Factors'!$D31)</f>
        <v>2.1219524350368273</v>
      </c>
      <c r="BH84" s="299">
        <f>+BH31*(1+'Conversion Factors'!$D31)</f>
        <v>4.9053312000000002E-2</v>
      </c>
      <c r="BI84" s="1159">
        <f>+BI31*(1+'Conversion Factors'!$D31)</f>
        <v>0.38387711999999996</v>
      </c>
      <c r="BJ84" s="1159">
        <f>+BJ31*(1+'Conversion Factors'!$D31)</f>
        <v>0.50181120000000001</v>
      </c>
      <c r="BK84" s="1159">
        <f>+BK31*(1+'Conversion Factors'!$D31)</f>
        <v>3.59511768</v>
      </c>
      <c r="BL84" s="282">
        <f t="shared" si="43"/>
        <v>631.35047710204458</v>
      </c>
      <c r="BM84" s="1181">
        <f>+BM31*(1+'Conversion Factors'!$D31)</f>
        <v>0</v>
      </c>
      <c r="BN84" s="299">
        <f>+BN31*(1+'Conversion Factors'!$D31)</f>
        <v>5.0827938402352943</v>
      </c>
      <c r="BO84" s="282">
        <f t="shared" si="44"/>
        <v>5.0827938402352943</v>
      </c>
      <c r="BP84" s="282">
        <f t="shared" si="45"/>
        <v>636.43327094227982</v>
      </c>
      <c r="BQ84" s="2"/>
      <c r="BR84" s="2"/>
      <c r="BS84" s="2"/>
      <c r="BT84" s="1176">
        <f t="shared" si="36"/>
        <v>552.20586460294317</v>
      </c>
      <c r="BU84" s="1176">
        <f t="shared" si="37"/>
        <v>84.227406339336653</v>
      </c>
      <c r="BV84" s="1176">
        <f>+BT84+'ComInd Summary'!DA84</f>
        <v>833.92457617172272</v>
      </c>
      <c r="BW84" s="1176">
        <f>+BU84+'ComInd Summary'!DB84</f>
        <v>169.39794476289364</v>
      </c>
    </row>
    <row r="85" spans="1:75" s="804" customFormat="1" x14ac:dyDescent="0.2">
      <c r="A85" s="2">
        <v>2021</v>
      </c>
      <c r="B85" s="1157">
        <f>+B32*(1+'Conversion Factors'!$B32)</f>
        <v>16.756073465223224</v>
      </c>
      <c r="C85" s="1158">
        <f>+C32*(1+'Conversion Factors'!$B32)</f>
        <v>1.04081</v>
      </c>
      <c r="D85" s="1158">
        <f>+D32*(1+'Conversion Factors'!$B32)</f>
        <v>7.3901947211507304</v>
      </c>
      <c r="E85" s="299">
        <f>+E32*(1+'Conversion Factors'!$B32)</f>
        <v>34.440894209106837</v>
      </c>
      <c r="F85" s="299">
        <f>+F32*(1+'Conversion Factors'!$B32)</f>
        <v>10.517204817550386</v>
      </c>
      <c r="G85" s="299">
        <f>+G32*(1+'Conversion Factors'!$B32)</f>
        <v>15.686360656072166</v>
      </c>
      <c r="H85" s="299">
        <f>+H32*(1+'Conversion Factors'!$B32)</f>
        <v>34.265464802897519</v>
      </c>
      <c r="I85" s="1159">
        <f>+I32*(1+'Conversion Factors'!$B32)</f>
        <v>26.325863335638481</v>
      </c>
      <c r="J85" s="299">
        <f>+J32*(1+'Conversion Factors'!$B32)</f>
        <v>2.8323567895000004</v>
      </c>
      <c r="K85" s="299">
        <f>+K32*(1+'Conversion Factors'!$B32)</f>
        <v>4.3808443999999995E-2</v>
      </c>
      <c r="L85" s="299">
        <f>+L32*(1+'Conversion Factors'!$B32)</f>
        <v>2.1764758824999997</v>
      </c>
      <c r="M85" s="299">
        <f>+M32*(1+'Conversion Factors'!$B32)</f>
        <v>0.17634796035410769</v>
      </c>
      <c r="N85" s="299">
        <f>+N32*(1+'Conversion Factors'!$B32)</f>
        <v>2.5719809999999996E-2</v>
      </c>
      <c r="O85" s="1159">
        <f>+O32*(1+'Conversion Factors'!$B32)</f>
        <v>0.26970928</v>
      </c>
      <c r="P85" s="1159">
        <f>+P32*(1+'Conversion Factors'!$B32)</f>
        <v>6.4379999999999993E-2</v>
      </c>
      <c r="Q85" s="1159">
        <f>+Q32*(1+'Conversion Factors'!$B32)</f>
        <v>1.2976593750000001</v>
      </c>
      <c r="R85" s="785">
        <f t="shared" si="32"/>
        <v>153.30932354899349</v>
      </c>
      <c r="S85" s="1181">
        <f>+S32*(1+'Conversion Factors'!$B32)</f>
        <v>0</v>
      </c>
      <c r="T85" s="299">
        <f>+T32*(1+'Conversion Factors'!$B32)</f>
        <v>22.470750002635111</v>
      </c>
      <c r="U85" s="785">
        <f t="shared" si="38"/>
        <v>22.470750002635111</v>
      </c>
      <c r="V85" s="785">
        <f t="shared" si="39"/>
        <v>175.78007355162859</v>
      </c>
      <c r="W85" s="589"/>
      <c r="X85" s="2">
        <v>2021</v>
      </c>
      <c r="Y85" s="1157">
        <f>+Y32*(1+'Conversion Factors'!$C32)</f>
        <v>25.879217353504526</v>
      </c>
      <c r="Z85" s="1158">
        <f>+Z32*(1+'Conversion Factors'!$C32)</f>
        <v>1.4592800000000001</v>
      </c>
      <c r="AA85" s="1158">
        <f>+AA32*(1+'Conversion Factors'!$C32)</f>
        <v>7.7726771067256699</v>
      </c>
      <c r="AB85" s="299">
        <f>+AB32*(1+'Conversion Factors'!$C32)</f>
        <v>41.060770104304972</v>
      </c>
      <c r="AC85" s="299">
        <f>+AC32*(1+'Conversion Factors'!$C32)</f>
        <v>9.7221924845775209</v>
      </c>
      <c r="AD85" s="299">
        <f>+AD32*(1+'Conversion Factors'!$C32)</f>
        <v>19.503230893920122</v>
      </c>
      <c r="AE85" s="299">
        <f>+AE32*(1+'Conversion Factors'!$C32)</f>
        <v>376.00431751065764</v>
      </c>
      <c r="AF85" s="1159">
        <f>+AF32*(1+'Conversion Factors'!$C32)</f>
        <v>51.773116454510834</v>
      </c>
      <c r="AG85" s="299">
        <f>+AG32*(1+'Conversion Factors'!$C32)</f>
        <v>3.7120435000000001</v>
      </c>
      <c r="AH85" s="299">
        <f>+AH32*(1+'Conversion Factors'!$C32)</f>
        <v>5.7957021999999997E-2</v>
      </c>
      <c r="AI85" s="299">
        <f>+AI32*(1+'Conversion Factors'!$C32)</f>
        <v>1.1892445280000001</v>
      </c>
      <c r="AJ85" s="299">
        <f>+AJ32*(1+'Conversion Factors'!$C32)</f>
        <v>0.29716441368838525</v>
      </c>
      <c r="AK85" s="299">
        <f>+AK32*(1+'Conversion Factors'!$C32)</f>
        <v>2.1318363999999996E-2</v>
      </c>
      <c r="AL85" s="1159">
        <f>+AL32*(1+'Conversion Factors'!$C32)</f>
        <v>0.13321295</v>
      </c>
      <c r="AM85" s="1159">
        <f>+AM32*(1+'Conversion Factors'!$C32)</f>
        <v>0.11323369</v>
      </c>
      <c r="AN85" s="1159">
        <f>+AN32*(1+'Conversion Factors'!$C32)</f>
        <v>0</v>
      </c>
      <c r="AO85" s="282">
        <f t="shared" si="40"/>
        <v>538.69897637588974</v>
      </c>
      <c r="AP85" s="1181">
        <f>+AP32*(1+'Conversion Factors'!$C32)</f>
        <v>0</v>
      </c>
      <c r="AQ85" s="299">
        <f>+AQ32*(1+'Conversion Factors'!$C32)</f>
        <v>32.291994435126838</v>
      </c>
      <c r="AR85" s="282">
        <f t="shared" si="41"/>
        <v>32.291994435126838</v>
      </c>
      <c r="AS85" s="282">
        <f t="shared" si="42"/>
        <v>570.99097081101661</v>
      </c>
      <c r="AT85" s="2"/>
      <c r="AU85" s="2">
        <v>2021</v>
      </c>
      <c r="AV85" s="1157">
        <f>+AV32*(1+'Conversion Factors'!$D32)</f>
        <v>87.684004071484097</v>
      </c>
      <c r="AW85" s="1158">
        <f>+AW32*(1+'Conversion Factors'!$D32)</f>
        <v>3.4531200000000002</v>
      </c>
      <c r="AX85" s="1158">
        <f>+AX32*(1+'Conversion Factors'!$D32)</f>
        <v>30.152942581030793</v>
      </c>
      <c r="AY85" s="299">
        <f>+AY32*(1+'Conversion Factors'!$D32)</f>
        <v>79.793748655107819</v>
      </c>
      <c r="AZ85" s="299">
        <f>+AZ32*(1+'Conversion Factors'!$D32)</f>
        <v>29.426217548413081</v>
      </c>
      <c r="BA85" s="299">
        <f>+BA32*(1+'Conversion Factors'!$D32)</f>
        <v>68.651123968064709</v>
      </c>
      <c r="BB85" s="299">
        <f>+BB32*(1+'Conversion Factors'!$D32)</f>
        <v>253.64192707346703</v>
      </c>
      <c r="BC85" s="1159">
        <f>+BC32*(1+'Conversion Factors'!$D32)</f>
        <v>69.22094307344031</v>
      </c>
      <c r="BD85" s="299">
        <f>+BD32*(1+'Conversion Factors'!$D32)</f>
        <v>8.1974423520000013</v>
      </c>
      <c r="BE85" s="299">
        <f>+BE32*(1+'Conversion Factors'!$D32)</f>
        <v>0.164605056</v>
      </c>
      <c r="BF85" s="299">
        <f>+BF32*(1+'Conversion Factors'!$D32)</f>
        <v>6.4595710080000011</v>
      </c>
      <c r="BG85" s="299">
        <f>+BG32*(1+'Conversion Factors'!$D32)</f>
        <v>2.3025284350368271</v>
      </c>
      <c r="BH85" s="299">
        <f>+BH32*(1+'Conversion Factors'!$D32)</f>
        <v>6.5442432000000009E-2</v>
      </c>
      <c r="BI85" s="1159">
        <f>+BI32*(1+'Conversion Factors'!$D32)</f>
        <v>0.38387711999999996</v>
      </c>
      <c r="BJ85" s="1159">
        <f>+BJ32*(1+'Conversion Factors'!$D32)</f>
        <v>0.50181120000000001</v>
      </c>
      <c r="BK85" s="1159">
        <f>+BK32*(1+'Conversion Factors'!$D32)</f>
        <v>3.59511768</v>
      </c>
      <c r="BL85" s="282">
        <f t="shared" si="43"/>
        <v>643.69442225404498</v>
      </c>
      <c r="BM85" s="1181">
        <f>+BM32*(1+'Conversion Factors'!$D32)</f>
        <v>0</v>
      </c>
      <c r="BN85" s="299">
        <f>+BN32*(1+'Conversion Factors'!$D32)</f>
        <v>5.4022338402352945</v>
      </c>
      <c r="BO85" s="282">
        <f t="shared" si="44"/>
        <v>5.4022338402352945</v>
      </c>
      <c r="BP85" s="282">
        <f t="shared" si="45"/>
        <v>649.09665609428032</v>
      </c>
      <c r="BQ85" s="2"/>
      <c r="BR85" s="2"/>
      <c r="BS85" s="2"/>
      <c r="BT85" s="1176">
        <f t="shared" si="36"/>
        <v>553.37290300294319</v>
      </c>
      <c r="BU85" s="1176">
        <f t="shared" si="37"/>
        <v>95.72375309133713</v>
      </c>
      <c r="BV85" s="1176">
        <f>+BT85+'ComInd Summary'!DA85</f>
        <v>835.42787773965551</v>
      </c>
      <c r="BW85" s="1176">
        <f>+BU85+'ComInd Summary'!DB85</f>
        <v>186.72243147889412</v>
      </c>
    </row>
    <row r="86" spans="1:75" s="804" customFormat="1" x14ac:dyDescent="0.2">
      <c r="A86" s="2">
        <v>2022</v>
      </c>
      <c r="B86" s="1157">
        <f>+B33*(1+'Conversion Factors'!$B33)</f>
        <v>16.756073465223224</v>
      </c>
      <c r="C86" s="1158">
        <f>+C33*(1+'Conversion Factors'!$B33)</f>
        <v>1.04081</v>
      </c>
      <c r="D86" s="1158">
        <f>+D33*(1+'Conversion Factors'!$B33)</f>
        <v>7.3901947211507304</v>
      </c>
      <c r="E86" s="299">
        <f>+E33*(1+'Conversion Factors'!$B33)</f>
        <v>34.532635709106842</v>
      </c>
      <c r="F86" s="299">
        <f>+F33*(1+'Conversion Factors'!$B33)</f>
        <v>10.659645567550385</v>
      </c>
      <c r="G86" s="299">
        <f>+G33*(1+'Conversion Factors'!$B33)</f>
        <v>17.496511656072165</v>
      </c>
      <c r="H86" s="299">
        <f>+H33*(1+'Conversion Factors'!$B33)</f>
        <v>34.35302160289752</v>
      </c>
      <c r="I86" s="1159">
        <f>+I33*(1+'Conversion Factors'!$B33)</f>
        <v>26.325863335638481</v>
      </c>
      <c r="J86" s="299">
        <f>+J33*(1+'Conversion Factors'!$B33)</f>
        <v>3.2508267895000005</v>
      </c>
      <c r="K86" s="299">
        <f>+K33*(1+'Conversion Factors'!$B33)</f>
        <v>4.6933019999999992E-2</v>
      </c>
      <c r="L86" s="299">
        <f>+L33*(1+'Conversion Factors'!$B33)</f>
        <v>2.3433273824999996</v>
      </c>
      <c r="M86" s="299">
        <f>+M33*(1+'Conversion Factors'!$B33)</f>
        <v>0.18976046035410768</v>
      </c>
      <c r="N86" s="299">
        <f>+N33*(1+'Conversion Factors'!$B33)</f>
        <v>3.2157809999999995E-2</v>
      </c>
      <c r="O86" s="1159">
        <f>+O33*(1+'Conversion Factors'!$B33)</f>
        <v>0.26970928</v>
      </c>
      <c r="P86" s="1159">
        <f>+P33*(1+'Conversion Factors'!$B33)</f>
        <v>6.4379999999999993E-2</v>
      </c>
      <c r="Q86" s="1159">
        <f>+Q33*(1+'Conversion Factors'!$B33)</f>
        <v>1.2976593750000001</v>
      </c>
      <c r="R86" s="785">
        <f t="shared" si="32"/>
        <v>156.04951017499346</v>
      </c>
      <c r="S86" s="1181">
        <f>+S33*(1+'Conversion Factors'!$B33)</f>
        <v>0</v>
      </c>
      <c r="T86" s="299">
        <f>+T33*(1+'Conversion Factors'!$B33)</f>
        <v>25.169345002635112</v>
      </c>
      <c r="U86" s="785">
        <f t="shared" si="38"/>
        <v>25.169345002635112</v>
      </c>
      <c r="V86" s="785">
        <f t="shared" si="39"/>
        <v>181.21885517762857</v>
      </c>
      <c r="W86" s="589"/>
      <c r="X86" s="2">
        <v>2022</v>
      </c>
      <c r="Y86" s="1157">
        <f>+Y33*(1+'Conversion Factors'!$C33)</f>
        <v>25.879217353504526</v>
      </c>
      <c r="Z86" s="1158">
        <f>+Z33*(1+'Conversion Factors'!$C33)</f>
        <v>1.4592800000000001</v>
      </c>
      <c r="AA86" s="1158">
        <f>+AA33*(1+'Conversion Factors'!$C33)</f>
        <v>7.7726771067256699</v>
      </c>
      <c r="AB86" s="299">
        <f>+AB33*(1+'Conversion Factors'!$C33)</f>
        <v>41.177190604304975</v>
      </c>
      <c r="AC86" s="299">
        <f>+AC33*(1+'Conversion Factors'!$C33)</f>
        <v>9.8536349845775213</v>
      </c>
      <c r="AD86" s="299">
        <f>+AD33*(1+'Conversion Factors'!$C33)</f>
        <v>22.034437893920121</v>
      </c>
      <c r="AE86" s="299">
        <f>+AE33*(1+'Conversion Factors'!$C33)</f>
        <v>376.3258956106576</v>
      </c>
      <c r="AF86" s="1159">
        <f>+AF33*(1+'Conversion Factors'!$C33)</f>
        <v>51.773116454510834</v>
      </c>
      <c r="AG86" s="299">
        <f>+AG33*(1+'Conversion Factors'!$C33)</f>
        <v>4.3075584999999998</v>
      </c>
      <c r="AH86" s="299">
        <f>+AH33*(1+'Conversion Factors'!$C33)</f>
        <v>6.4746966000000003E-2</v>
      </c>
      <c r="AI86" s="299">
        <f>+AI33*(1+'Conversion Factors'!$C33)</f>
        <v>1.3029825280000003</v>
      </c>
      <c r="AJ86" s="299">
        <f>+AJ33*(1+'Conversion Factors'!$C33)</f>
        <v>0.32184341368838532</v>
      </c>
      <c r="AK86" s="299">
        <f>+AK33*(1+'Conversion Factors'!$C33)</f>
        <v>2.7413003999999994E-2</v>
      </c>
      <c r="AL86" s="1159">
        <f>+AL33*(1+'Conversion Factors'!$C33)</f>
        <v>0.13321295</v>
      </c>
      <c r="AM86" s="1159">
        <f>+AM33*(1+'Conversion Factors'!$C33)</f>
        <v>0.11323369</v>
      </c>
      <c r="AN86" s="1159">
        <f>+AN33*(1+'Conversion Factors'!$C33)</f>
        <v>0</v>
      </c>
      <c r="AO86" s="282">
        <f t="shared" si="40"/>
        <v>542.54644105988973</v>
      </c>
      <c r="AP86" s="1181">
        <f>+AP33*(1+'Conversion Factors'!$C33)</f>
        <v>0</v>
      </c>
      <c r="AQ86" s="299">
        <f>+AQ33*(1+'Conversion Factors'!$C33)</f>
        <v>36.495471935126837</v>
      </c>
      <c r="AR86" s="282">
        <f t="shared" si="41"/>
        <v>36.495471935126837</v>
      </c>
      <c r="AS86" s="282">
        <f t="shared" si="42"/>
        <v>579.04191299501656</v>
      </c>
      <c r="AT86" s="2"/>
      <c r="AU86" s="2">
        <v>2022</v>
      </c>
      <c r="AV86" s="1157">
        <f>+AV33*(1+'Conversion Factors'!$D33)</f>
        <v>87.684004071484097</v>
      </c>
      <c r="AW86" s="1158">
        <f>+AW33*(1+'Conversion Factors'!$D33)</f>
        <v>3.4531200000000002</v>
      </c>
      <c r="AX86" s="1158">
        <f>+AX33*(1+'Conversion Factors'!$D33)</f>
        <v>30.152942581030793</v>
      </c>
      <c r="AY86" s="299">
        <f>+AY33*(1+'Conversion Factors'!$D33)</f>
        <v>79.951092655107814</v>
      </c>
      <c r="AZ86" s="299">
        <f>+AZ33*(1+'Conversion Factors'!$D33)</f>
        <v>30.083313548413084</v>
      </c>
      <c r="BA86" s="299">
        <f>+BA33*(1+'Conversion Factors'!$D33)</f>
        <v>77.684147968064721</v>
      </c>
      <c r="BB86" s="299">
        <f>+BB33*(1+'Conversion Factors'!$D33)</f>
        <v>253.95534787346702</v>
      </c>
      <c r="BC86" s="1159">
        <f>+BC33*(1+'Conversion Factors'!$D33)</f>
        <v>69.22094307344031</v>
      </c>
      <c r="BD86" s="299">
        <f>+BD33*(1+'Conversion Factors'!$D33)</f>
        <v>9.5406743520000017</v>
      </c>
      <c r="BE86" s="299">
        <f>+BE33*(1+'Conversion Factors'!$D33)</f>
        <v>0.17640268799999997</v>
      </c>
      <c r="BF86" s="299">
        <f>+BF33*(1+'Conversion Factors'!$D33)</f>
        <v>7.051459008000001</v>
      </c>
      <c r="BG86" s="299">
        <f>+BG33*(1+'Conversion Factors'!$D33)</f>
        <v>2.483104435036827</v>
      </c>
      <c r="BH86" s="299">
        <f>+BH33*(1+'Conversion Factors'!$D33)</f>
        <v>8.1831552000000016E-2</v>
      </c>
      <c r="BI86" s="1159">
        <f>+BI33*(1+'Conversion Factors'!$D33)</f>
        <v>0.38387711999999996</v>
      </c>
      <c r="BJ86" s="1159">
        <f>+BJ33*(1+'Conversion Factors'!$D33)</f>
        <v>0.50181120000000001</v>
      </c>
      <c r="BK86" s="1159">
        <f>+BK33*(1+'Conversion Factors'!$D33)</f>
        <v>3.59511768</v>
      </c>
      <c r="BL86" s="282">
        <f t="shared" si="43"/>
        <v>655.9991898060448</v>
      </c>
      <c r="BM86" s="1181">
        <f>+BM33*(1+'Conversion Factors'!$D33)</f>
        <v>0</v>
      </c>
      <c r="BN86" s="299">
        <f>+BN33*(1+'Conversion Factors'!$D33)</f>
        <v>5.7216738402352947</v>
      </c>
      <c r="BO86" s="282">
        <f t="shared" si="44"/>
        <v>5.7216738402352947</v>
      </c>
      <c r="BP86" s="282">
        <f t="shared" si="45"/>
        <v>661.72086364628012</v>
      </c>
      <c r="BQ86" s="2"/>
      <c r="BR86" s="2"/>
      <c r="BS86" s="2"/>
      <c r="BT86" s="1176">
        <f t="shared" si="36"/>
        <v>554.50076380294308</v>
      </c>
      <c r="BU86" s="1176">
        <f t="shared" si="37"/>
        <v>107.22009984333704</v>
      </c>
      <c r="BV86" s="1176">
        <f>+BT86+'ComInd Summary'!DA86</f>
        <v>836.89200170758807</v>
      </c>
      <c r="BW86" s="1176">
        <f>+BU86+'ComInd Summary'!DB86</f>
        <v>204.05372095289397</v>
      </c>
    </row>
    <row r="87" spans="1:75" s="804" customFormat="1" x14ac:dyDescent="0.2">
      <c r="A87" s="2">
        <v>2023</v>
      </c>
      <c r="B87" s="1157">
        <f>+B34*(1+'Conversion Factors'!$B34)</f>
        <v>16.756073465223224</v>
      </c>
      <c r="C87" s="1158">
        <f>+C34*(1+'Conversion Factors'!$B34)</f>
        <v>1.04081</v>
      </c>
      <c r="D87" s="1158">
        <f>+D34*(1+'Conversion Factors'!$B34)</f>
        <v>7.3901947211507304</v>
      </c>
      <c r="E87" s="299">
        <f>+E34*(1+'Conversion Factors'!$B34)</f>
        <v>34.624377209106839</v>
      </c>
      <c r="F87" s="299">
        <f>+F34*(1+'Conversion Factors'!$B34)</f>
        <v>10.802086317550385</v>
      </c>
      <c r="G87" s="299">
        <f>+G34*(1+'Conversion Factors'!$B34)</f>
        <v>19.306662656072167</v>
      </c>
      <c r="H87" s="299">
        <f>+H34*(1+'Conversion Factors'!$B34)</f>
        <v>34.424161502897519</v>
      </c>
      <c r="I87" s="1159">
        <f>+I34*(1+'Conversion Factors'!$B34)</f>
        <v>26.325863335638481</v>
      </c>
      <c r="J87" s="299">
        <f>+J34*(1+'Conversion Factors'!$B34)</f>
        <v>3.6692967895000006</v>
      </c>
      <c r="K87" s="299">
        <f>+K34*(1+'Conversion Factors'!$B34)</f>
        <v>5.0057595999999989E-2</v>
      </c>
      <c r="L87" s="299">
        <f>+L34*(1+'Conversion Factors'!$B34)</f>
        <v>2.5101788824999995</v>
      </c>
      <c r="M87" s="299">
        <f>+M34*(1+'Conversion Factors'!$B34)</f>
        <v>0.2031729603541077</v>
      </c>
      <c r="N87" s="299">
        <f>+N34*(1+'Conversion Factors'!$B34)</f>
        <v>3.8595809999999994E-2</v>
      </c>
      <c r="O87" s="1159">
        <f>+O34*(1+'Conversion Factors'!$B34)</f>
        <v>0.26970928</v>
      </c>
      <c r="P87" s="1159">
        <f>+P34*(1+'Conversion Factors'!$B34)</f>
        <v>6.4379999999999993E-2</v>
      </c>
      <c r="Q87" s="1159">
        <f>+Q34*(1+'Conversion Factors'!$B34)</f>
        <v>1.2976593750000001</v>
      </c>
      <c r="R87" s="785">
        <f t="shared" si="32"/>
        <v>158.77327990099343</v>
      </c>
      <c r="S87" s="1181">
        <f>+S34*(1+'Conversion Factors'!$B34)</f>
        <v>0</v>
      </c>
      <c r="T87" s="299">
        <f>+T34*(1+'Conversion Factors'!$B34)</f>
        <v>27.867940002635113</v>
      </c>
      <c r="U87" s="785">
        <f t="shared" si="38"/>
        <v>27.867940002635113</v>
      </c>
      <c r="V87" s="785">
        <f t="shared" si="39"/>
        <v>186.64121990362855</v>
      </c>
      <c r="W87" s="589"/>
      <c r="X87" s="2">
        <v>2023</v>
      </c>
      <c r="Y87" s="1157">
        <f>+Y34*(1+'Conversion Factors'!$C34)</f>
        <v>25.879217353504526</v>
      </c>
      <c r="Z87" s="1158">
        <f>+Z34*(1+'Conversion Factors'!$C34)</f>
        <v>1.4592800000000001</v>
      </c>
      <c r="AA87" s="1158">
        <f>+AA34*(1+'Conversion Factors'!$C34)</f>
        <v>7.7726771067256699</v>
      </c>
      <c r="AB87" s="299">
        <f>+AB34*(1+'Conversion Factors'!$C34)</f>
        <v>41.293611104304972</v>
      </c>
      <c r="AC87" s="299">
        <f>+AC34*(1+'Conversion Factors'!$C34)</f>
        <v>9.9850774845775216</v>
      </c>
      <c r="AD87" s="299">
        <f>+AD34*(1+'Conversion Factors'!$C34)</f>
        <v>24.565644893920123</v>
      </c>
      <c r="AE87" s="299">
        <f>+AE34*(1+'Conversion Factors'!$C34)</f>
        <v>376.5760119106576</v>
      </c>
      <c r="AF87" s="1159">
        <f>+AF34*(1+'Conversion Factors'!$C34)</f>
        <v>51.773116454510834</v>
      </c>
      <c r="AG87" s="299">
        <f>+AG34*(1+'Conversion Factors'!$C34)</f>
        <v>4.9030734999999996</v>
      </c>
      <c r="AH87" s="299">
        <f>+AH34*(1+'Conversion Factors'!$C34)</f>
        <v>7.1536910000000009E-2</v>
      </c>
      <c r="AI87" s="299">
        <f>+AI34*(1+'Conversion Factors'!$C34)</f>
        <v>1.4167205280000004</v>
      </c>
      <c r="AJ87" s="299">
        <f>+AJ34*(1+'Conversion Factors'!$C34)</f>
        <v>0.34652241368838532</v>
      </c>
      <c r="AK87" s="299">
        <f>+AK34*(1+'Conversion Factors'!$C34)</f>
        <v>3.3507643999999989E-2</v>
      </c>
      <c r="AL87" s="1159">
        <f>+AL34*(1+'Conversion Factors'!$C34)</f>
        <v>0.13321295</v>
      </c>
      <c r="AM87" s="1159">
        <f>+AM34*(1+'Conversion Factors'!$C34)</f>
        <v>0.11323369</v>
      </c>
      <c r="AN87" s="1159">
        <f>+AN34*(1+'Conversion Factors'!$C34)</f>
        <v>0</v>
      </c>
      <c r="AO87" s="282">
        <f t="shared" si="40"/>
        <v>546.32244394388965</v>
      </c>
      <c r="AP87" s="1181">
        <f>+AP34*(1+'Conversion Factors'!$C34)</f>
        <v>0</v>
      </c>
      <c r="AQ87" s="299">
        <f>+AQ34*(1+'Conversion Factors'!$C34)</f>
        <v>40.698949435126835</v>
      </c>
      <c r="AR87" s="282">
        <f t="shared" si="41"/>
        <v>40.698949435126835</v>
      </c>
      <c r="AS87" s="282">
        <f t="shared" si="42"/>
        <v>587.02139337901644</v>
      </c>
      <c r="AT87" s="2"/>
      <c r="AU87" s="2">
        <v>2023</v>
      </c>
      <c r="AV87" s="1157">
        <f>+AV34*(1+'Conversion Factors'!$D34)</f>
        <v>87.684004071484097</v>
      </c>
      <c r="AW87" s="1158">
        <f>+AW34*(1+'Conversion Factors'!$D34)</f>
        <v>3.4531200000000002</v>
      </c>
      <c r="AX87" s="1158">
        <f>+AX34*(1+'Conversion Factors'!$D34)</f>
        <v>30.152942581030793</v>
      </c>
      <c r="AY87" s="299">
        <f>+AY34*(1+'Conversion Factors'!$D34)</f>
        <v>80.108436655107823</v>
      </c>
      <c r="AZ87" s="299">
        <f>+AZ34*(1+'Conversion Factors'!$D34)</f>
        <v>30.740409548413083</v>
      </c>
      <c r="BA87" s="299">
        <f>+BA34*(1+'Conversion Factors'!$D34)</f>
        <v>86.717171968064719</v>
      </c>
      <c r="BB87" s="299">
        <f>+BB34*(1+'Conversion Factors'!$D34)</f>
        <v>254.21000227346704</v>
      </c>
      <c r="BC87" s="1159">
        <f>+BC34*(1+'Conversion Factors'!$D34)</f>
        <v>69.22094307344031</v>
      </c>
      <c r="BD87" s="299">
        <f>+BD34*(1+'Conversion Factors'!$D34)</f>
        <v>10.883906352000002</v>
      </c>
      <c r="BE87" s="299">
        <f>+BE34*(1+'Conversion Factors'!$D34)</f>
        <v>0.18820031999999998</v>
      </c>
      <c r="BF87" s="299">
        <f>+BF34*(1+'Conversion Factors'!$D34)</f>
        <v>7.6433470080000019</v>
      </c>
      <c r="BG87" s="299">
        <f>+BG34*(1+'Conversion Factors'!$D34)</f>
        <v>2.6636804350368268</v>
      </c>
      <c r="BH87" s="299">
        <f>+BH34*(1+'Conversion Factors'!$D34)</f>
        <v>9.8220672000000023E-2</v>
      </c>
      <c r="BI87" s="1159">
        <f>+BI34*(1+'Conversion Factors'!$D34)</f>
        <v>0.38387711999999996</v>
      </c>
      <c r="BJ87" s="1159">
        <f>+BJ34*(1+'Conversion Factors'!$D34)</f>
        <v>0.50181120000000001</v>
      </c>
      <c r="BK87" s="1159">
        <f>+BK34*(1+'Conversion Factors'!$D34)</f>
        <v>3.59511768</v>
      </c>
      <c r="BL87" s="282">
        <f t="shared" si="43"/>
        <v>668.24519095804476</v>
      </c>
      <c r="BM87" s="1181">
        <f>+BM34*(1+'Conversion Factors'!$D34)</f>
        <v>0</v>
      </c>
      <c r="BN87" s="299">
        <f>+BN34*(1+'Conversion Factors'!$D34)</f>
        <v>6.0411138402352949</v>
      </c>
      <c r="BO87" s="282">
        <f t="shared" si="44"/>
        <v>6.0411138402352949</v>
      </c>
      <c r="BP87" s="282">
        <f t="shared" si="45"/>
        <v>674.28630479828007</v>
      </c>
      <c r="BQ87" s="2"/>
      <c r="BR87" s="2"/>
      <c r="BS87" s="2"/>
      <c r="BT87" s="1176">
        <f t="shared" si="36"/>
        <v>555.56985820294312</v>
      </c>
      <c r="BU87" s="1176">
        <f t="shared" si="37"/>
        <v>118.71644659533695</v>
      </c>
      <c r="BV87" s="1176">
        <f>+BT87+'ComInd Summary'!DA87</f>
        <v>838.29735927552076</v>
      </c>
      <c r="BW87" s="1176">
        <f>+BU87+'ComInd Summary'!DB87</f>
        <v>221.39181318489398</v>
      </c>
    </row>
    <row r="88" spans="1:75" s="804" customFormat="1" x14ac:dyDescent="0.2">
      <c r="A88" s="2">
        <v>2024</v>
      </c>
      <c r="B88" s="1157">
        <f>+B35*(1+'Conversion Factors'!$B35)</f>
        <v>16.756073465223224</v>
      </c>
      <c r="C88" s="1158">
        <f>+C35*(1+'Conversion Factors'!$B35)</f>
        <v>1.04081</v>
      </c>
      <c r="D88" s="1158">
        <f>+D35*(1+'Conversion Factors'!$B35)</f>
        <v>7.3901947211507304</v>
      </c>
      <c r="E88" s="299">
        <f>+E35*(1+'Conversion Factors'!$B35)</f>
        <v>34.716118709106844</v>
      </c>
      <c r="F88" s="299">
        <f>+F35*(1+'Conversion Factors'!$B35)</f>
        <v>10.944527067550384</v>
      </c>
      <c r="G88" s="299">
        <f>+G35*(1+'Conversion Factors'!$B35)</f>
        <v>21.116813656072168</v>
      </c>
      <c r="H88" s="299">
        <f>+H35*(1+'Conversion Factors'!$B35)</f>
        <v>34.484356802897516</v>
      </c>
      <c r="I88" s="1159">
        <f>+I35*(1+'Conversion Factors'!$B35)</f>
        <v>26.325863335638481</v>
      </c>
      <c r="J88" s="299">
        <f>+J35*(1+'Conversion Factors'!$B35)</f>
        <v>4.0877667895000007</v>
      </c>
      <c r="K88" s="299">
        <f>+K35*(1+'Conversion Factors'!$B35)</f>
        <v>5.3182171999999986E-2</v>
      </c>
      <c r="L88" s="299">
        <f>+L35*(1+'Conversion Factors'!$B35)</f>
        <v>2.6770303824999995</v>
      </c>
      <c r="M88" s="299">
        <f>+M35*(1+'Conversion Factors'!$B35)</f>
        <v>0.21658546035410772</v>
      </c>
      <c r="N88" s="299">
        <f>+N35*(1+'Conversion Factors'!$B35)</f>
        <v>4.5033809999999994E-2</v>
      </c>
      <c r="O88" s="1159">
        <f>+O35*(1+'Conversion Factors'!$B35)</f>
        <v>0.26970928</v>
      </c>
      <c r="P88" s="1159">
        <f>+P35*(1+'Conversion Factors'!$B35)</f>
        <v>6.4379999999999993E-2</v>
      </c>
      <c r="Q88" s="1159">
        <f>+Q35*(1+'Conversion Factors'!$B35)</f>
        <v>1.2976593750000001</v>
      </c>
      <c r="R88" s="785">
        <f t="shared" si="32"/>
        <v>161.48610502699344</v>
      </c>
      <c r="S88" s="1181">
        <f>+S35*(1+'Conversion Factors'!$B35)</f>
        <v>0</v>
      </c>
      <c r="T88" s="299">
        <f>+T35*(1+'Conversion Factors'!$B35)</f>
        <v>30.566535002635113</v>
      </c>
      <c r="U88" s="785">
        <f t="shared" si="38"/>
        <v>30.566535002635113</v>
      </c>
      <c r="V88" s="785">
        <f t="shared" si="39"/>
        <v>192.05264002962855</v>
      </c>
      <c r="W88" s="589"/>
      <c r="X88" s="2">
        <v>2024</v>
      </c>
      <c r="Y88" s="1157">
        <f>+Y35*(1+'Conversion Factors'!$C35)</f>
        <v>25.879217353504526</v>
      </c>
      <c r="Z88" s="1158">
        <f>+Z35*(1+'Conversion Factors'!$C35)</f>
        <v>1.4592800000000001</v>
      </c>
      <c r="AA88" s="1158">
        <f>+AA35*(1+'Conversion Factors'!$C35)</f>
        <v>7.7726771067256699</v>
      </c>
      <c r="AB88" s="299">
        <f>+AB35*(1+'Conversion Factors'!$C35)</f>
        <v>41.410031604304976</v>
      </c>
      <c r="AC88" s="299">
        <f>+AC35*(1+'Conversion Factors'!$C35)</f>
        <v>10.116519984577522</v>
      </c>
      <c r="AD88" s="299">
        <f>+AD35*(1+'Conversion Factors'!$C35)</f>
        <v>27.096851893920121</v>
      </c>
      <c r="AE88" s="299">
        <f>+AE35*(1+'Conversion Factors'!$C35)</f>
        <v>376.79039731065757</v>
      </c>
      <c r="AF88" s="1159">
        <f>+AF35*(1+'Conversion Factors'!$C35)</f>
        <v>51.773116454510834</v>
      </c>
      <c r="AG88" s="299">
        <f>+AG35*(1+'Conversion Factors'!$C35)</f>
        <v>5.4985884999999994</v>
      </c>
      <c r="AH88" s="299">
        <f>+AH35*(1+'Conversion Factors'!$C35)</f>
        <v>7.8326854000000001E-2</v>
      </c>
      <c r="AI88" s="299">
        <f>+AI35*(1+'Conversion Factors'!$C35)</f>
        <v>1.5304585280000005</v>
      </c>
      <c r="AJ88" s="299">
        <f>+AJ35*(1+'Conversion Factors'!$C35)</f>
        <v>0.37120141368838533</v>
      </c>
      <c r="AK88" s="299">
        <f>+AK35*(1+'Conversion Factors'!$C35)</f>
        <v>3.9602283999999988E-2</v>
      </c>
      <c r="AL88" s="1159">
        <f>+AL35*(1+'Conversion Factors'!$C35)</f>
        <v>0.13321295</v>
      </c>
      <c r="AM88" s="1159">
        <f>+AM35*(1+'Conversion Factors'!$C35)</f>
        <v>0.11323369</v>
      </c>
      <c r="AN88" s="1159">
        <f>+AN35*(1+'Conversion Factors'!$C35)</f>
        <v>0</v>
      </c>
      <c r="AO88" s="282">
        <f t="shared" si="40"/>
        <v>550.06271592788971</v>
      </c>
      <c r="AP88" s="1181">
        <f>+AP35*(1+'Conversion Factors'!$C35)</f>
        <v>0</v>
      </c>
      <c r="AQ88" s="299">
        <f>+AQ35*(1+'Conversion Factors'!$C35)</f>
        <v>44.902426935126833</v>
      </c>
      <c r="AR88" s="282">
        <f t="shared" si="41"/>
        <v>44.902426935126833</v>
      </c>
      <c r="AS88" s="282">
        <f t="shared" si="42"/>
        <v>594.96514286301658</v>
      </c>
      <c r="AT88" s="2"/>
      <c r="AU88" s="2">
        <v>2024</v>
      </c>
      <c r="AV88" s="1157">
        <f>+AV35*(1+'Conversion Factors'!$D35)</f>
        <v>87.684004071484097</v>
      </c>
      <c r="AW88" s="1158">
        <f>+AW35*(1+'Conversion Factors'!$D35)</f>
        <v>3.4531200000000002</v>
      </c>
      <c r="AX88" s="1158">
        <f>+AX35*(1+'Conversion Factors'!$D35)</f>
        <v>30.152942581030793</v>
      </c>
      <c r="AY88" s="299">
        <f>+AY35*(1+'Conversion Factors'!$D35)</f>
        <v>80.265780655107818</v>
      </c>
      <c r="AZ88" s="299">
        <f>+AZ35*(1+'Conversion Factors'!$D35)</f>
        <v>31.397505548413086</v>
      </c>
      <c r="BA88" s="299">
        <f>+BA35*(1+'Conversion Factors'!$D35)</f>
        <v>95.750195968064716</v>
      </c>
      <c r="BB88" s="299">
        <f>+BB35*(1+'Conversion Factors'!$D35)</f>
        <v>254.42547907346702</v>
      </c>
      <c r="BC88" s="1159">
        <f>+BC35*(1+'Conversion Factors'!$D35)</f>
        <v>69.22094307344031</v>
      </c>
      <c r="BD88" s="299">
        <f>+BD35*(1+'Conversion Factors'!$D35)</f>
        <v>12.227138352000003</v>
      </c>
      <c r="BE88" s="299">
        <f>+BE35*(1+'Conversion Factors'!$D35)</f>
        <v>0.19999795199999995</v>
      </c>
      <c r="BF88" s="299">
        <f>+BF35*(1+'Conversion Factors'!$D35)</f>
        <v>8.2352350080000019</v>
      </c>
      <c r="BG88" s="299">
        <f>+BG35*(1+'Conversion Factors'!$D35)</f>
        <v>2.8442564350368267</v>
      </c>
      <c r="BH88" s="299">
        <f>+BH35*(1+'Conversion Factors'!$D35)</f>
        <v>0.11460979200000003</v>
      </c>
      <c r="BI88" s="1159">
        <f>+BI35*(1+'Conversion Factors'!$D35)</f>
        <v>0.38387711999999996</v>
      </c>
      <c r="BJ88" s="1159">
        <f>+BJ35*(1+'Conversion Factors'!$D35)</f>
        <v>0.50181120000000001</v>
      </c>
      <c r="BK88" s="1159">
        <f>+BK35*(1+'Conversion Factors'!$D35)</f>
        <v>3.59511768</v>
      </c>
      <c r="BL88" s="282">
        <f t="shared" si="43"/>
        <v>680.45201451004482</v>
      </c>
      <c r="BM88" s="1181">
        <f>+BM35*(1+'Conversion Factors'!$D35)</f>
        <v>0</v>
      </c>
      <c r="BN88" s="299">
        <f>+BN35*(1+'Conversion Factors'!$D35)</f>
        <v>6.360553840235295</v>
      </c>
      <c r="BO88" s="282">
        <f t="shared" si="44"/>
        <v>6.360553840235295</v>
      </c>
      <c r="BP88" s="282">
        <f t="shared" si="45"/>
        <v>686.81256835028012</v>
      </c>
      <c r="BQ88" s="2"/>
      <c r="BR88" s="2"/>
      <c r="BS88" s="2"/>
      <c r="BT88" s="1176">
        <f t="shared" si="36"/>
        <v>556.59977500294315</v>
      </c>
      <c r="BU88" s="1176">
        <f t="shared" si="37"/>
        <v>130.21279334733697</v>
      </c>
      <c r="BV88" s="1176">
        <f>+BT88+'ComInd Summary'!DA88</f>
        <v>839.66353924345344</v>
      </c>
      <c r="BW88" s="1176">
        <f>+BU88+'ComInd Summary'!DB88</f>
        <v>238.72990541689393</v>
      </c>
    </row>
    <row r="89" spans="1:75" s="804" customFormat="1" x14ac:dyDescent="0.2">
      <c r="A89" s="2">
        <v>2025</v>
      </c>
      <c r="B89" s="1157">
        <f>+B36*(1+'Conversion Factors'!$B36)</f>
        <v>16.756073465223224</v>
      </c>
      <c r="C89" s="1158">
        <f>+C36*(1+'Conversion Factors'!$B36)</f>
        <v>1.04081</v>
      </c>
      <c r="D89" s="1158">
        <f>+D36*(1+'Conversion Factors'!$B36)</f>
        <v>7.3901947211507304</v>
      </c>
      <c r="E89" s="299">
        <f>+E36*(1+'Conversion Factors'!$B36)</f>
        <v>34.807860209106849</v>
      </c>
      <c r="F89" s="299">
        <f>+F36*(1+'Conversion Factors'!$B36)</f>
        <v>11.086967817550384</v>
      </c>
      <c r="G89" s="299">
        <f>+G36*(1+'Conversion Factors'!$B36)</f>
        <v>22.926964656072169</v>
      </c>
      <c r="H89" s="299">
        <f>+H36*(1+'Conversion Factors'!$B36)</f>
        <v>34.539079802897518</v>
      </c>
      <c r="I89" s="1159">
        <f>+I36*(1+'Conversion Factors'!$B36)</f>
        <v>26.325863335638481</v>
      </c>
      <c r="J89" s="299">
        <f>+J36*(1+'Conversion Factors'!$B36)</f>
        <v>4.5062367895</v>
      </c>
      <c r="K89" s="299">
        <f>+K36*(1+'Conversion Factors'!$B36)</f>
        <v>5.6306747999999983E-2</v>
      </c>
      <c r="L89" s="299">
        <f>+L36*(1+'Conversion Factors'!$B36)</f>
        <v>2.8438818824999998</v>
      </c>
      <c r="M89" s="299">
        <f>+M36*(1+'Conversion Factors'!$B36)</f>
        <v>0.22999796035410772</v>
      </c>
      <c r="N89" s="299">
        <f>+N36*(1+'Conversion Factors'!$B36)</f>
        <v>5.1471809999999986E-2</v>
      </c>
      <c r="O89" s="1159">
        <f>+O36*(1+'Conversion Factors'!$B36)</f>
        <v>0.26970928</v>
      </c>
      <c r="P89" s="1159">
        <f>+P36*(1+'Conversion Factors'!$B36)</f>
        <v>6.4379999999999993E-2</v>
      </c>
      <c r="Q89" s="1159">
        <f>+Q36*(1+'Conversion Factors'!$B36)</f>
        <v>1.2976593750000001</v>
      </c>
      <c r="R89" s="785">
        <f t="shared" si="32"/>
        <v>164.19345785299345</v>
      </c>
      <c r="S89" s="1181">
        <f>+S36*(1+'Conversion Factors'!$B36)</f>
        <v>0</v>
      </c>
      <c r="T89" s="299">
        <f>+T36*(1+'Conversion Factors'!$B36)</f>
        <v>33.265130002635111</v>
      </c>
      <c r="U89" s="785">
        <f t="shared" si="38"/>
        <v>33.265130002635111</v>
      </c>
      <c r="V89" s="785">
        <f t="shared" si="39"/>
        <v>197.45858785562856</v>
      </c>
      <c r="W89" s="589"/>
      <c r="X89" s="2">
        <v>2025</v>
      </c>
      <c r="Y89" s="1157">
        <f>+Y36*(1+'Conversion Factors'!$C36)</f>
        <v>25.879217353504526</v>
      </c>
      <c r="Z89" s="1158">
        <f>+Z36*(1+'Conversion Factors'!$C36)</f>
        <v>1.4592800000000001</v>
      </c>
      <c r="AA89" s="1158">
        <f>+AA36*(1+'Conversion Factors'!$C36)</f>
        <v>7.7726771067256699</v>
      </c>
      <c r="AB89" s="299">
        <f>+AB36*(1+'Conversion Factors'!$C36)</f>
        <v>41.526452104304973</v>
      </c>
      <c r="AC89" s="299">
        <f>+AC36*(1+'Conversion Factors'!$C36)</f>
        <v>10.247962484577522</v>
      </c>
      <c r="AD89" s="299">
        <f>+AD36*(1+'Conversion Factors'!$C36)</f>
        <v>29.628058893920123</v>
      </c>
      <c r="AE89" s="299">
        <f>+AE36*(1+'Conversion Factors'!$C36)</f>
        <v>376.96905181065756</v>
      </c>
      <c r="AF89" s="1159">
        <f>+AF36*(1+'Conversion Factors'!$C36)</f>
        <v>51.773116454510834</v>
      </c>
      <c r="AG89" s="299">
        <f>+AG36*(1+'Conversion Factors'!$C36)</f>
        <v>6.0941034999999983</v>
      </c>
      <c r="AH89" s="299">
        <f>+AH36*(1+'Conversion Factors'!$C36)</f>
        <v>8.5116798000000007E-2</v>
      </c>
      <c r="AI89" s="299">
        <f>+AI36*(1+'Conversion Factors'!$C36)</f>
        <v>1.6441965280000006</v>
      </c>
      <c r="AJ89" s="299">
        <f>+AJ36*(1+'Conversion Factors'!$C36)</f>
        <v>0.39588041368838534</v>
      </c>
      <c r="AK89" s="299">
        <f>+AK36*(1+'Conversion Factors'!$C36)</f>
        <v>4.5696923999999986E-2</v>
      </c>
      <c r="AL89" s="1159">
        <f>+AL36*(1+'Conversion Factors'!$C36)</f>
        <v>0.13321295</v>
      </c>
      <c r="AM89" s="1159">
        <f>+AM36*(1+'Conversion Factors'!$C36)</f>
        <v>0.11323369</v>
      </c>
      <c r="AN89" s="1159">
        <f>+AN36*(1+'Conversion Factors'!$C36)</f>
        <v>0</v>
      </c>
      <c r="AO89" s="282">
        <f t="shared" si="40"/>
        <v>553.76725701188946</v>
      </c>
      <c r="AP89" s="1181">
        <f>+AP36*(1+'Conversion Factors'!$C36)</f>
        <v>0</v>
      </c>
      <c r="AQ89" s="299">
        <f>+AQ36*(1+'Conversion Factors'!$C36)</f>
        <v>49.105904435126824</v>
      </c>
      <c r="AR89" s="282">
        <f t="shared" si="41"/>
        <v>49.105904435126824</v>
      </c>
      <c r="AS89" s="282">
        <f t="shared" si="42"/>
        <v>602.87316144701629</v>
      </c>
      <c r="AT89" s="2"/>
      <c r="AU89" s="2">
        <v>2025</v>
      </c>
      <c r="AV89" s="1157">
        <f>+AV36*(1+'Conversion Factors'!$D36)</f>
        <v>87.684004071484097</v>
      </c>
      <c r="AW89" s="1158">
        <f>+AW36*(1+'Conversion Factors'!$D36)</f>
        <v>3.4531200000000002</v>
      </c>
      <c r="AX89" s="1158">
        <f>+AX36*(1+'Conversion Factors'!$D36)</f>
        <v>30.152942581030793</v>
      </c>
      <c r="AY89" s="299">
        <f>+AY36*(1+'Conversion Factors'!$D36)</f>
        <v>80.423124655107827</v>
      </c>
      <c r="AZ89" s="299">
        <f>+AZ36*(1+'Conversion Factors'!$D36)</f>
        <v>32.054601548413089</v>
      </c>
      <c r="BA89" s="299">
        <f>+BA36*(1+'Conversion Factors'!$D36)</f>
        <v>104.78321996806473</v>
      </c>
      <c r="BB89" s="299">
        <f>+BB36*(1+'Conversion Factors'!$D36)</f>
        <v>254.62136707346701</v>
      </c>
      <c r="BC89" s="1159">
        <f>+BC36*(1+'Conversion Factors'!$D36)</f>
        <v>69.22094307344031</v>
      </c>
      <c r="BD89" s="299">
        <f>+BD36*(1+'Conversion Factors'!$D36)</f>
        <v>13.570370352000003</v>
      </c>
      <c r="BE89" s="299">
        <f>+BE36*(1+'Conversion Factors'!$D36)</f>
        <v>0.21179558399999995</v>
      </c>
      <c r="BF89" s="299">
        <f>+BF36*(1+'Conversion Factors'!$D36)</f>
        <v>8.8271230080000009</v>
      </c>
      <c r="BG89" s="299">
        <f>+BG36*(1+'Conversion Factors'!$D36)</f>
        <v>3.0248324350368265</v>
      </c>
      <c r="BH89" s="299">
        <f>+BH36*(1+'Conversion Factors'!$D36)</f>
        <v>0.13099891200000002</v>
      </c>
      <c r="BI89" s="1159">
        <f>+BI36*(1+'Conversion Factors'!$D36)</f>
        <v>0.38387711999999996</v>
      </c>
      <c r="BJ89" s="1159">
        <f>+BJ36*(1+'Conversion Factors'!$D36)</f>
        <v>0.50181120000000001</v>
      </c>
      <c r="BK89" s="1159">
        <f>+BK36*(1+'Conversion Factors'!$D36)</f>
        <v>3.59511768</v>
      </c>
      <c r="BL89" s="282">
        <f t="shared" si="43"/>
        <v>692.63924926204481</v>
      </c>
      <c r="BM89" s="1181">
        <f>+BM36*(1+'Conversion Factors'!$D36)</f>
        <v>0</v>
      </c>
      <c r="BN89" s="299">
        <f>+BN36*(1+'Conversion Factors'!$D36)</f>
        <v>6.6799938402352952</v>
      </c>
      <c r="BO89" s="282">
        <f t="shared" si="44"/>
        <v>6.6799938402352952</v>
      </c>
      <c r="BP89" s="282">
        <f t="shared" si="45"/>
        <v>699.3192431022801</v>
      </c>
      <c r="BQ89" s="2"/>
      <c r="BR89" s="2"/>
      <c r="BS89" s="2"/>
      <c r="BT89" s="1176">
        <f t="shared" si="36"/>
        <v>557.61010300294311</v>
      </c>
      <c r="BU89" s="1176">
        <f t="shared" si="37"/>
        <v>141.70914009933699</v>
      </c>
      <c r="BV89" s="1176">
        <f>+BT89+'ComInd Summary'!DA89</f>
        <v>841.01013041138594</v>
      </c>
      <c r="BW89" s="1176">
        <f>+BU89+'ComInd Summary'!DB89</f>
        <v>256.06799764889405</v>
      </c>
    </row>
    <row r="90" spans="1:75" s="804" customFormat="1" x14ac:dyDescent="0.2">
      <c r="A90" s="8">
        <v>2026</v>
      </c>
      <c r="B90" s="1157">
        <f>+B37*(1+'Conversion Factors'!$B37)</f>
        <v>16.756073465223224</v>
      </c>
      <c r="C90" s="1158">
        <f>+C37*(1+'Conversion Factors'!$B37)</f>
        <v>1.04081</v>
      </c>
      <c r="D90" s="1158">
        <f>+D37*(1+'Conversion Factors'!$B37)</f>
        <v>7.3901947211507304</v>
      </c>
      <c r="E90" s="299">
        <f>+E37*(1+'Conversion Factors'!$B37)</f>
        <v>34.899601709106854</v>
      </c>
      <c r="F90" s="299">
        <f>+F37*(1+'Conversion Factors'!$B37)</f>
        <v>11.229408567550383</v>
      </c>
      <c r="G90" s="299">
        <f>+G37*(1+'Conversion Factors'!$B37)</f>
        <v>24.73711565607217</v>
      </c>
      <c r="H90" s="299">
        <f>+H37*(1+'Conversion Factors'!$B37)</f>
        <v>34.593802802897521</v>
      </c>
      <c r="I90" s="1159">
        <f>+I37*(1+'Conversion Factors'!$B37)</f>
        <v>26.325863335638481</v>
      </c>
      <c r="J90" s="299">
        <f>+J37*(1+'Conversion Factors'!$B37)</f>
        <v>4.9247067895000001</v>
      </c>
      <c r="K90" s="299">
        <f>+K37*(1+'Conversion Factors'!$B37)</f>
        <v>5.943132399999998E-2</v>
      </c>
      <c r="L90" s="299">
        <f>+L37*(1+'Conversion Factors'!$B37)</f>
        <v>3.0107333824999998</v>
      </c>
      <c r="M90" s="299">
        <f>+M37*(1+'Conversion Factors'!$B37)</f>
        <v>0.24341046035410774</v>
      </c>
      <c r="N90" s="299">
        <f>+N37*(1+'Conversion Factors'!$B37)</f>
        <v>5.7909809999999985E-2</v>
      </c>
      <c r="O90" s="1159">
        <f>+O37*(1+'Conversion Factors'!$B37)</f>
        <v>0.26970928</v>
      </c>
      <c r="P90" s="1159">
        <f>+P37*(1+'Conversion Factors'!$B37)</f>
        <v>6.4379999999999993E-2</v>
      </c>
      <c r="Q90" s="1159">
        <f>+Q37*(1+'Conversion Factors'!$B37)</f>
        <v>1.2976593750000001</v>
      </c>
      <c r="R90" s="785">
        <f t="shared" si="32"/>
        <v>166.90081067899348</v>
      </c>
      <c r="S90" s="1181">
        <f>+S37*(1+'Conversion Factors'!$B37)</f>
        <v>0</v>
      </c>
      <c r="T90" s="299">
        <f>+T37*(1+'Conversion Factors'!$B37)</f>
        <v>35.963725002635108</v>
      </c>
      <c r="U90" s="785">
        <f t="shared" si="38"/>
        <v>35.963725002635108</v>
      </c>
      <c r="V90" s="785">
        <f t="shared" si="39"/>
        <v>202.86453568162858</v>
      </c>
      <c r="W90" s="589"/>
      <c r="X90" s="8">
        <v>2026</v>
      </c>
      <c r="Y90" s="1157">
        <f>+Y37*(1+'Conversion Factors'!$C37)</f>
        <v>25.879217353504526</v>
      </c>
      <c r="Z90" s="1158">
        <f>+Z37*(1+'Conversion Factors'!$C37)</f>
        <v>1.4592800000000001</v>
      </c>
      <c r="AA90" s="1158">
        <f>+AA37*(1+'Conversion Factors'!$C37)</f>
        <v>7.7726771067256699</v>
      </c>
      <c r="AB90" s="299">
        <f>+AB37*(1+'Conversion Factors'!$C37)</f>
        <v>41.642872604304969</v>
      </c>
      <c r="AC90" s="299">
        <f>+AC37*(1+'Conversion Factors'!$C37)</f>
        <v>10.379404984577523</v>
      </c>
      <c r="AD90" s="299">
        <f>+AD37*(1+'Conversion Factors'!$C37)</f>
        <v>32.159265893920129</v>
      </c>
      <c r="AE90" s="299">
        <f>+AE37*(1+'Conversion Factors'!$C37)</f>
        <v>377.14770631065755</v>
      </c>
      <c r="AF90" s="1159">
        <f>+AF37*(1+'Conversion Factors'!$C37)</f>
        <v>51.773116454510834</v>
      </c>
      <c r="AG90" s="299">
        <f>+AG37*(1+'Conversion Factors'!$C37)</f>
        <v>6.6896184999999981</v>
      </c>
      <c r="AH90" s="299">
        <f>+AH37*(1+'Conversion Factors'!$C37)</f>
        <v>9.1906742E-2</v>
      </c>
      <c r="AI90" s="299">
        <f>+AI37*(1+'Conversion Factors'!$C37)</f>
        <v>1.7579345280000007</v>
      </c>
      <c r="AJ90" s="299">
        <f>+AJ37*(1+'Conversion Factors'!$C37)</f>
        <v>0.4205594136883854</v>
      </c>
      <c r="AK90" s="299">
        <f>+AK37*(1+'Conversion Factors'!$C37)</f>
        <v>5.1791563999999984E-2</v>
      </c>
      <c r="AL90" s="1159">
        <f>+AL37*(1+'Conversion Factors'!$C37)</f>
        <v>0.13321295</v>
      </c>
      <c r="AM90" s="1159">
        <f>+AM37*(1+'Conversion Factors'!$C37)</f>
        <v>0.11323369</v>
      </c>
      <c r="AN90" s="1159">
        <f>+AN37*(1+'Conversion Factors'!$C37)</f>
        <v>0</v>
      </c>
      <c r="AO90" s="282">
        <f t="shared" si="40"/>
        <v>557.47179809588965</v>
      </c>
      <c r="AP90" s="1181">
        <f>+AP37*(1+'Conversion Factors'!$C37)</f>
        <v>0</v>
      </c>
      <c r="AQ90" s="299">
        <f>+AQ37*(1+'Conversion Factors'!$C37)</f>
        <v>53.309381935126822</v>
      </c>
      <c r="AR90" s="282">
        <f t="shared" si="41"/>
        <v>53.309381935126822</v>
      </c>
      <c r="AS90" s="282">
        <f t="shared" si="42"/>
        <v>610.78118003101645</v>
      </c>
      <c r="AT90" s="2"/>
      <c r="AU90" s="8">
        <v>2026</v>
      </c>
      <c r="AV90" s="1157">
        <f>+AV37*(1+'Conversion Factors'!$D37)</f>
        <v>87.684004071484097</v>
      </c>
      <c r="AW90" s="1158">
        <f>+AW37*(1+'Conversion Factors'!$D37)</f>
        <v>3.4531200000000002</v>
      </c>
      <c r="AX90" s="1158">
        <f>+AX37*(1+'Conversion Factors'!$D37)</f>
        <v>30.152942581030793</v>
      </c>
      <c r="AY90" s="299">
        <f>+AY37*(1+'Conversion Factors'!$D37)</f>
        <v>80.580468655107822</v>
      </c>
      <c r="AZ90" s="299">
        <f>+AZ37*(1+'Conversion Factors'!$D37)</f>
        <v>32.711697548413085</v>
      </c>
      <c r="BA90" s="299">
        <f>+BA37*(1+'Conversion Factors'!$D37)</f>
        <v>113.81624396806473</v>
      </c>
      <c r="BB90" s="299">
        <f>+BB37*(1+'Conversion Factors'!$D37)</f>
        <v>254.81725507346701</v>
      </c>
      <c r="BC90" s="1159">
        <f>+BC37*(1+'Conversion Factors'!$D37)</f>
        <v>69.22094307344031</v>
      </c>
      <c r="BD90" s="299">
        <f>+BD37*(1+'Conversion Factors'!$D37)</f>
        <v>14.913602352000003</v>
      </c>
      <c r="BE90" s="299">
        <f>+BE37*(1+'Conversion Factors'!$D37)</f>
        <v>0.22359321599999993</v>
      </c>
      <c r="BF90" s="299">
        <f>+BF37*(1+'Conversion Factors'!$D37)</f>
        <v>9.419011008</v>
      </c>
      <c r="BG90" s="299">
        <f>+BG37*(1+'Conversion Factors'!$D37)</f>
        <v>3.2054084350368264</v>
      </c>
      <c r="BH90" s="299">
        <f>+BH37*(1+'Conversion Factors'!$D37)</f>
        <v>0.14738803200000003</v>
      </c>
      <c r="BI90" s="1159">
        <f>+BI37*(1+'Conversion Factors'!$D37)</f>
        <v>0.38387711999999996</v>
      </c>
      <c r="BJ90" s="1159">
        <f>+BJ37*(1+'Conversion Factors'!$D37)</f>
        <v>0.50181120000000001</v>
      </c>
      <c r="BK90" s="1159">
        <f>+BK37*(1+'Conversion Factors'!$D37)</f>
        <v>3.59511768</v>
      </c>
      <c r="BL90" s="282">
        <f t="shared" si="43"/>
        <v>704.82648401404481</v>
      </c>
      <c r="BM90" s="1181">
        <f>+BM37*(1+'Conversion Factors'!$D37)</f>
        <v>0</v>
      </c>
      <c r="BN90" s="299">
        <f>+BN37*(1+'Conversion Factors'!$D37)</f>
        <v>6.9994338402352954</v>
      </c>
      <c r="BO90" s="282">
        <f t="shared" si="44"/>
        <v>6.9994338402352954</v>
      </c>
      <c r="BP90" s="282">
        <f t="shared" si="45"/>
        <v>711.82591785428008</v>
      </c>
      <c r="BQ90" s="2"/>
      <c r="BR90" s="2"/>
      <c r="BS90" s="2"/>
      <c r="BT90" s="1176">
        <f t="shared" si="36"/>
        <v>558.62043100294306</v>
      </c>
      <c r="BU90" s="1176">
        <f t="shared" si="37"/>
        <v>153.20548685133701</v>
      </c>
      <c r="BV90" s="1176">
        <f>+BT90+'ComInd Summary'!DA90</f>
        <v>842.35159097531869</v>
      </c>
      <c r="BW90" s="1176">
        <f>+BU90+'ComInd Summary'!DB90</f>
        <v>273.36896059289398</v>
      </c>
    </row>
    <row r="91" spans="1:75" s="804" customFormat="1" x14ac:dyDescent="0.2">
      <c r="A91" s="176">
        <v>2027</v>
      </c>
      <c r="B91" s="1081">
        <f>+B38*(1+'Conversion Factors'!$B38)</f>
        <v>16.756073465223224</v>
      </c>
      <c r="C91" s="1082">
        <f>+C38*(1+'Conversion Factors'!$B38)</f>
        <v>1.04081</v>
      </c>
      <c r="D91" s="1082">
        <f>+D38*(1+'Conversion Factors'!$B38)</f>
        <v>7.3901947211507304</v>
      </c>
      <c r="E91" s="276">
        <f>+E38*(1+'Conversion Factors'!$B38)</f>
        <v>34.991343209106859</v>
      </c>
      <c r="F91" s="276">
        <f>+F38*(1+'Conversion Factors'!$B38)</f>
        <v>11.371849317550383</v>
      </c>
      <c r="G91" s="276">
        <f>+G38*(1+'Conversion Factors'!$B38)</f>
        <v>26.547266656072171</v>
      </c>
      <c r="H91" s="276">
        <f>+H38*(1+'Conversion Factors'!$B38)</f>
        <v>34.648525802897524</v>
      </c>
      <c r="I91" s="981">
        <f>+I38*(1+'Conversion Factors'!$B38)</f>
        <v>26.325863335638481</v>
      </c>
      <c r="J91" s="276">
        <f>+J38*(1+'Conversion Factors'!$B38)</f>
        <v>5.3431767894999993</v>
      </c>
      <c r="K91" s="276">
        <f>+K38*(1+'Conversion Factors'!$B38)</f>
        <v>6.2555899999999984E-2</v>
      </c>
      <c r="L91" s="276">
        <f>+L38*(1+'Conversion Factors'!$B38)</f>
        <v>3.1775848824999997</v>
      </c>
      <c r="M91" s="276">
        <f>+M38*(1+'Conversion Factors'!$B38)</f>
        <v>0.25682296035410773</v>
      </c>
      <c r="N91" s="276">
        <f>+N38*(1+'Conversion Factors'!$B38)</f>
        <v>6.4347809999999991E-2</v>
      </c>
      <c r="O91" s="981">
        <f>+O38*(1+'Conversion Factors'!$B38)</f>
        <v>0.26970928</v>
      </c>
      <c r="P91" s="981">
        <f>+P38*(1+'Conversion Factors'!$B38)</f>
        <v>6.4379999999999993E-2</v>
      </c>
      <c r="Q91" s="981">
        <f>+Q38*(1+'Conversion Factors'!$B38)</f>
        <v>1.2976593750000001</v>
      </c>
      <c r="R91" s="784">
        <f t="shared" si="32"/>
        <v>169.60816350499346</v>
      </c>
      <c r="S91" s="1182">
        <f>+S38*(1+'Conversion Factors'!$B38)</f>
        <v>0</v>
      </c>
      <c r="T91" s="276">
        <f>+T38*(1+'Conversion Factors'!$B38)</f>
        <v>38.662320002635113</v>
      </c>
      <c r="U91" s="784">
        <f t="shared" si="38"/>
        <v>38.662320002635113</v>
      </c>
      <c r="V91" s="784">
        <f t="shared" si="39"/>
        <v>208.27048350762857</v>
      </c>
      <c r="W91" s="162"/>
      <c r="X91" s="176">
        <v>2027</v>
      </c>
      <c r="Y91" s="1081">
        <f>+Y38*(1+'Conversion Factors'!$C38)</f>
        <v>25.879217353504526</v>
      </c>
      <c r="Z91" s="1082">
        <f>+Z38*(1+'Conversion Factors'!$C38)</f>
        <v>1.4592800000000001</v>
      </c>
      <c r="AA91" s="1082">
        <f>+AA38*(1+'Conversion Factors'!$C38)</f>
        <v>7.7726771067256699</v>
      </c>
      <c r="AB91" s="276">
        <f>+AB38*(1+'Conversion Factors'!$C38)</f>
        <v>41.759293104304973</v>
      </c>
      <c r="AC91" s="276">
        <f>+AC38*(1+'Conversion Factors'!$C38)</f>
        <v>10.510847484577523</v>
      </c>
      <c r="AD91" s="276">
        <f>+AD38*(1+'Conversion Factors'!$C38)</f>
        <v>34.690472893920131</v>
      </c>
      <c r="AE91" s="276">
        <f>+AE38*(1+'Conversion Factors'!$C38)</f>
        <v>377.32636081065749</v>
      </c>
      <c r="AF91" s="981">
        <f>+AF38*(1+'Conversion Factors'!$C38)</f>
        <v>51.773116454510834</v>
      </c>
      <c r="AG91" s="276">
        <f>+AG38*(1+'Conversion Factors'!$C38)</f>
        <v>7.2851334999999979</v>
      </c>
      <c r="AH91" s="276">
        <f>+AH38*(1+'Conversion Factors'!$C38)</f>
        <v>9.8696686000000006E-2</v>
      </c>
      <c r="AI91" s="276">
        <f>+AI38*(1+'Conversion Factors'!$C38)</f>
        <v>1.8716725280000008</v>
      </c>
      <c r="AJ91" s="276">
        <f>+AJ38*(1+'Conversion Factors'!$C38)</f>
        <v>0.4452384136883854</v>
      </c>
      <c r="AK91" s="276">
        <f>+AK38*(1+'Conversion Factors'!$C38)</f>
        <v>5.7886203999999976E-2</v>
      </c>
      <c r="AL91" s="981">
        <f>+AL38*(1+'Conversion Factors'!$C38)</f>
        <v>0.13321295</v>
      </c>
      <c r="AM91" s="981">
        <f>+AM38*(1+'Conversion Factors'!$C38)</f>
        <v>0.11323369</v>
      </c>
      <c r="AN91" s="981">
        <f>+AN38*(1+'Conversion Factors'!$C38)</f>
        <v>0</v>
      </c>
      <c r="AO91" s="277">
        <f t="shared" si="40"/>
        <v>561.17633917988962</v>
      </c>
      <c r="AP91" s="1182">
        <f>+AP38*(1+'Conversion Factors'!$C38)</f>
        <v>0</v>
      </c>
      <c r="AQ91" s="276">
        <f>+AQ38*(1+'Conversion Factors'!$C38)</f>
        <v>57.512859435126821</v>
      </c>
      <c r="AR91" s="277">
        <f t="shared" si="41"/>
        <v>57.512859435126821</v>
      </c>
      <c r="AS91" s="277">
        <f t="shared" si="42"/>
        <v>618.68919861501649</v>
      </c>
      <c r="AT91"/>
      <c r="AU91" s="176">
        <v>2027</v>
      </c>
      <c r="AV91" s="1081">
        <f>+AV38*(1+'Conversion Factors'!$D38)</f>
        <v>87.684004071484097</v>
      </c>
      <c r="AW91" s="1082">
        <f>+AW38*(1+'Conversion Factors'!$D38)</f>
        <v>3.4531200000000002</v>
      </c>
      <c r="AX91" s="1082">
        <f>+AX38*(1+'Conversion Factors'!$D38)</f>
        <v>30.152942581030793</v>
      </c>
      <c r="AY91" s="276">
        <f>+AY38*(1+'Conversion Factors'!$D38)</f>
        <v>80.737812655107831</v>
      </c>
      <c r="AZ91" s="276">
        <f>+AZ38*(1+'Conversion Factors'!$D38)</f>
        <v>33.368793548413088</v>
      </c>
      <c r="BA91" s="276">
        <f>+BA38*(1+'Conversion Factors'!$D38)</f>
        <v>122.84926796806472</v>
      </c>
      <c r="BB91" s="276">
        <f>+BB38*(1+'Conversion Factors'!$D38)</f>
        <v>255.01314307346701</v>
      </c>
      <c r="BC91" s="981">
        <f>+BC38*(1+'Conversion Factors'!$D38)</f>
        <v>69.22094307344031</v>
      </c>
      <c r="BD91" s="276">
        <f>+BD38*(1+'Conversion Factors'!$D38)</f>
        <v>16.256834352000002</v>
      </c>
      <c r="BE91" s="276">
        <f>+BE38*(1+'Conversion Factors'!$D38)</f>
        <v>0.23539084799999993</v>
      </c>
      <c r="BF91" s="276">
        <f>+BF38*(1+'Conversion Factors'!$D38)</f>
        <v>10.010899007999999</v>
      </c>
      <c r="BG91" s="276">
        <f>+BG38*(1+'Conversion Factors'!$D38)</f>
        <v>3.3859844350368262</v>
      </c>
      <c r="BH91" s="276">
        <f>+BH38*(1+'Conversion Factors'!$D38)</f>
        <v>0.16377715200000004</v>
      </c>
      <c r="BI91" s="981">
        <f>+BI38*(1+'Conversion Factors'!$D38)</f>
        <v>0.38387711999999996</v>
      </c>
      <c r="BJ91" s="981">
        <f>+BJ38*(1+'Conversion Factors'!$D38)</f>
        <v>0.50181120000000001</v>
      </c>
      <c r="BK91" s="981">
        <f>+BK38*(1+'Conversion Factors'!$D38)</f>
        <v>3.59511768</v>
      </c>
      <c r="BL91" s="277">
        <f t="shared" si="43"/>
        <v>717.01371876604469</v>
      </c>
      <c r="BM91" s="1182">
        <f>+BM38*(1+'Conversion Factors'!$D38)</f>
        <v>0</v>
      </c>
      <c r="BN91" s="276">
        <f>+BN38*(1+'Conversion Factors'!$D38)</f>
        <v>7.3188738402352955</v>
      </c>
      <c r="BO91" s="277">
        <f t="shared" si="44"/>
        <v>7.3188738402352955</v>
      </c>
      <c r="BP91" s="277">
        <f t="shared" si="45"/>
        <v>724.33259260627995</v>
      </c>
      <c r="BQ91"/>
      <c r="BR91"/>
      <c r="BS91"/>
      <c r="BT91" s="1176">
        <f t="shared" si="36"/>
        <v>559.63075900294325</v>
      </c>
      <c r="BU91" s="1176">
        <f t="shared" si="37"/>
        <v>164.70183360333669</v>
      </c>
      <c r="BV91" s="1176">
        <f>+BT91+'ComInd Summary'!DA91</f>
        <v>843.69818214325142</v>
      </c>
      <c r="BW91" s="1176">
        <f>+BU91+'ComInd Summary'!DB91</f>
        <v>290.70705282489376</v>
      </c>
    </row>
    <row r="92" spans="1:75" s="804" customFormat="1" x14ac:dyDescent="0.2">
      <c r="A92" s="176">
        <v>2028</v>
      </c>
      <c r="B92" s="1081">
        <f>+B39*(1+'Conversion Factors'!$B39)</f>
        <v>16.756073465223224</v>
      </c>
      <c r="C92" s="1082">
        <f>+C39*(1+'Conversion Factors'!$B39)</f>
        <v>1.04081</v>
      </c>
      <c r="D92" s="1082">
        <f>+D39*(1+'Conversion Factors'!$B39)</f>
        <v>7.3901947211507304</v>
      </c>
      <c r="E92" s="276">
        <f>+E39*(1+'Conversion Factors'!$B39)</f>
        <v>35.083084709106856</v>
      </c>
      <c r="F92" s="276">
        <f>+F39*(1+'Conversion Factors'!$B39)</f>
        <v>11.514290067550384</v>
      </c>
      <c r="G92" s="276">
        <f>+G39*(1+'Conversion Factors'!$B39)</f>
        <v>28.357417656072172</v>
      </c>
      <c r="H92" s="276">
        <f>+H39*(1+'Conversion Factors'!$B39)</f>
        <v>34.703248802897527</v>
      </c>
      <c r="I92" s="981">
        <f>+I39*(1+'Conversion Factors'!$B39)</f>
        <v>26.325863335638481</v>
      </c>
      <c r="J92" s="276">
        <f>+J39*(1+'Conversion Factors'!$B39)</f>
        <v>5.7616467894999994</v>
      </c>
      <c r="K92" s="276">
        <f>+K39*(1+'Conversion Factors'!$B39)</f>
        <v>6.5680475999999974E-2</v>
      </c>
      <c r="L92" s="276">
        <f>+L39*(1+'Conversion Factors'!$B39)</f>
        <v>3.3444363824999996</v>
      </c>
      <c r="M92" s="276">
        <f>+M39*(1+'Conversion Factors'!$B39)</f>
        <v>0.27023546035410778</v>
      </c>
      <c r="N92" s="276">
        <f>+N39*(1+'Conversion Factors'!$B39)</f>
        <v>7.0785809999999977E-2</v>
      </c>
      <c r="O92" s="981">
        <f>+O39*(1+'Conversion Factors'!$B39)</f>
        <v>0.26970928</v>
      </c>
      <c r="P92" s="981">
        <f>+P39*(1+'Conversion Factors'!$B39)</f>
        <v>6.4379999999999993E-2</v>
      </c>
      <c r="Q92" s="981">
        <f>+Q39*(1+'Conversion Factors'!$B39)</f>
        <v>1.2976593750000001</v>
      </c>
      <c r="R92" s="784">
        <f t="shared" si="32"/>
        <v>172.31551633099346</v>
      </c>
      <c r="S92" s="1182">
        <f>+S39*(1+'Conversion Factors'!$B39)</f>
        <v>0</v>
      </c>
      <c r="T92" s="276">
        <f>+T39*(1+'Conversion Factors'!$B39)</f>
        <v>41.36091500263511</v>
      </c>
      <c r="U92" s="784">
        <f>+S92+T92</f>
        <v>41.36091500263511</v>
      </c>
      <c r="V92" s="784">
        <f>+U92+R92</f>
        <v>213.67643133362856</v>
      </c>
      <c r="W92"/>
      <c r="X92" s="176">
        <v>2028</v>
      </c>
      <c r="Y92" s="1081">
        <f>+Y39*(1+'Conversion Factors'!$C39)</f>
        <v>25.879217353504526</v>
      </c>
      <c r="Z92" s="1082">
        <f>+Z39*(1+'Conversion Factors'!$C39)</f>
        <v>1.4592800000000001</v>
      </c>
      <c r="AA92" s="1082">
        <f>+AA39*(1+'Conversion Factors'!$C39)</f>
        <v>7.7726771067256699</v>
      </c>
      <c r="AB92" s="276">
        <f>+AB39*(1+'Conversion Factors'!$C39)</f>
        <v>41.87571360430497</v>
      </c>
      <c r="AC92" s="276">
        <f>+AC39*(1+'Conversion Factors'!$C39)</f>
        <v>10.642289984577525</v>
      </c>
      <c r="AD92" s="276">
        <f>+AD39*(1+'Conversion Factors'!$C39)</f>
        <v>37.221679893920133</v>
      </c>
      <c r="AE92" s="276">
        <f>+AE39*(1+'Conversion Factors'!$C39)</f>
        <v>377.50501531065748</v>
      </c>
      <c r="AF92" s="981">
        <f>+AF39*(1+'Conversion Factors'!$C39)</f>
        <v>51.773116454510834</v>
      </c>
      <c r="AG92" s="276">
        <f>+AG39*(1+'Conversion Factors'!$C39)</f>
        <v>7.8806484999999977</v>
      </c>
      <c r="AH92" s="276">
        <f>+AH39*(1+'Conversion Factors'!$C39)</f>
        <v>0.10548663</v>
      </c>
      <c r="AI92" s="276">
        <f>+AI39*(1+'Conversion Factors'!$C39)</f>
        <v>1.985410528000001</v>
      </c>
      <c r="AJ92" s="276">
        <f>+AJ39*(1+'Conversion Factors'!$C39)</f>
        <v>0.46991741368838541</v>
      </c>
      <c r="AK92" s="276">
        <f>+AK39*(1+'Conversion Factors'!$C39)</f>
        <v>6.3980843999999981E-2</v>
      </c>
      <c r="AL92" s="981">
        <f>+AL39*(1+'Conversion Factors'!$C39)</f>
        <v>0.13321295</v>
      </c>
      <c r="AM92" s="981">
        <f>+AM39*(1+'Conversion Factors'!$C39)</f>
        <v>0.11323369</v>
      </c>
      <c r="AN92" s="981">
        <f>+AN39*(1+'Conversion Factors'!$C39)</f>
        <v>0</v>
      </c>
      <c r="AO92" s="277">
        <f t="shared" si="40"/>
        <v>564.88088026388948</v>
      </c>
      <c r="AP92" s="1182">
        <f>+AP39*(1+'Conversion Factors'!$C39)</f>
        <v>0</v>
      </c>
      <c r="AQ92" s="276">
        <f>+AQ39*(1+'Conversion Factors'!$C39)</f>
        <v>61.716336935126819</v>
      </c>
      <c r="AR92" s="277">
        <f>+AP92+AQ92</f>
        <v>61.716336935126819</v>
      </c>
      <c r="AS92" s="277">
        <f>+AR92+AO92</f>
        <v>626.59721719901631</v>
      </c>
      <c r="AT92"/>
      <c r="AU92" s="176">
        <v>2028</v>
      </c>
      <c r="AV92" s="1081">
        <f>+AV39*(1+'Conversion Factors'!$D39)</f>
        <v>87.684004071484097</v>
      </c>
      <c r="AW92" s="1082">
        <f>+AW39*(1+'Conversion Factors'!$D39)</f>
        <v>3.4531200000000002</v>
      </c>
      <c r="AX92" s="1082">
        <f>+AX39*(1+'Conversion Factors'!$D39)</f>
        <v>30.152942581030793</v>
      </c>
      <c r="AY92" s="276">
        <f>+AY39*(1+'Conversion Factors'!$D39)</f>
        <v>80.895156655107826</v>
      </c>
      <c r="AZ92" s="276">
        <f>+AZ39*(1+'Conversion Factors'!$D39)</f>
        <v>34.025889548413083</v>
      </c>
      <c r="BA92" s="276">
        <f>+BA39*(1+'Conversion Factors'!$D39)</f>
        <v>131.88229196806472</v>
      </c>
      <c r="BB92" s="276">
        <f>+BB39*(1+'Conversion Factors'!$D39)</f>
        <v>255.209031073467</v>
      </c>
      <c r="BC92" s="981">
        <f>+BC39*(1+'Conversion Factors'!$D39)</f>
        <v>69.22094307344031</v>
      </c>
      <c r="BD92" s="276">
        <f>+BD39*(1+'Conversion Factors'!$D39)</f>
        <v>17.600066352000002</v>
      </c>
      <c r="BE92" s="276">
        <f>+BE39*(1+'Conversion Factors'!$D39)</f>
        <v>0.2471884799999999</v>
      </c>
      <c r="BF92" s="276">
        <f>+BF39*(1+'Conversion Factors'!$D39)</f>
        <v>10.602787008</v>
      </c>
      <c r="BG92" s="276">
        <f>+BG39*(1+'Conversion Factors'!$D39)</f>
        <v>3.5665604350368261</v>
      </c>
      <c r="BH92" s="276">
        <f>+BH39*(1+'Conversion Factors'!$D39)</f>
        <v>0.18016627200000004</v>
      </c>
      <c r="BI92" s="981">
        <f>+BI39*(1+'Conversion Factors'!$D39)</f>
        <v>0.38387711999999996</v>
      </c>
      <c r="BJ92" s="981">
        <f>+BJ39*(1+'Conversion Factors'!$D39)</f>
        <v>0.50181120000000001</v>
      </c>
      <c r="BK92" s="981">
        <f>+BK39*(1+'Conversion Factors'!$D39)</f>
        <v>3.59511768</v>
      </c>
      <c r="BL92" s="277">
        <f t="shared" si="43"/>
        <v>729.20095351804457</v>
      </c>
      <c r="BM92" s="1182">
        <f>+BM39*(1+'Conversion Factors'!$D39)</f>
        <v>0</v>
      </c>
      <c r="BN92" s="276">
        <f>+BN39*(1+'Conversion Factors'!$D39)</f>
        <v>7.6383138402352957</v>
      </c>
      <c r="BO92" s="277">
        <f>+BM92+BN92</f>
        <v>7.6383138402352957</v>
      </c>
      <c r="BP92" s="277">
        <f>+BO92+BL92</f>
        <v>736.83926735827981</v>
      </c>
      <c r="BQ92"/>
      <c r="BR92"/>
      <c r="BS92"/>
      <c r="BT92" s="1176">
        <f t="shared" si="36"/>
        <v>560.6410870029431</v>
      </c>
      <c r="BU92" s="1176">
        <f t="shared" si="37"/>
        <v>176.19818035533672</v>
      </c>
      <c r="BV92" s="1176">
        <f>+BT92+'ComInd Summary'!DA92</f>
        <v>845.04477331118403</v>
      </c>
      <c r="BW92" s="1176">
        <f>+BU92+'ComInd Summary'!DB92</f>
        <v>308.04514505689372</v>
      </c>
    </row>
    <row r="93" spans="1:75" x14ac:dyDescent="0.2">
      <c r="A93" s="176">
        <v>2029</v>
      </c>
      <c r="B93" s="1081">
        <f>+B40*(1+'Conversion Factors'!$B40)</f>
        <v>16.756073465223224</v>
      </c>
      <c r="C93" s="1082">
        <f>+C40*(1+'Conversion Factors'!$B40)</f>
        <v>1.04081</v>
      </c>
      <c r="D93" s="1082">
        <f>+D40*(1+'Conversion Factors'!$B40)</f>
        <v>7.3901947211507304</v>
      </c>
      <c r="E93" s="276">
        <f>+E40*(1+'Conversion Factors'!$B40)</f>
        <v>35.174826209106861</v>
      </c>
      <c r="F93" s="276">
        <f>+F40*(1+'Conversion Factors'!$B40)</f>
        <v>11.656730817550383</v>
      </c>
      <c r="G93" s="276">
        <f>+G40*(1+'Conversion Factors'!$B40)</f>
        <v>30.167568656072174</v>
      </c>
      <c r="H93" s="276">
        <f>+H40*(1+'Conversion Factors'!$B40)</f>
        <v>34.757971802897529</v>
      </c>
      <c r="I93" s="981">
        <f>+I40*(1+'Conversion Factors'!$B40)</f>
        <v>26.325863335638481</v>
      </c>
      <c r="J93" s="276">
        <f>+J40*(1+'Conversion Factors'!$B40)</f>
        <v>6.1801167894999987</v>
      </c>
      <c r="K93" s="276">
        <f>+K40*(1+'Conversion Factors'!$B40)</f>
        <v>6.8805051999999978E-2</v>
      </c>
      <c r="L93" s="276">
        <f>+L40*(1+'Conversion Factors'!$B40)</f>
        <v>3.5112878824999996</v>
      </c>
      <c r="M93" s="276">
        <f>+M40*(1+'Conversion Factors'!$B40)</f>
        <v>0.28364796035410778</v>
      </c>
      <c r="N93" s="276">
        <f>+N40*(1+'Conversion Factors'!$B40)</f>
        <v>7.722380999999999E-2</v>
      </c>
      <c r="O93" s="981">
        <f>+O40*(1+'Conversion Factors'!$B40)</f>
        <v>0.26970928</v>
      </c>
      <c r="P93" s="981">
        <f>+P40*(1+'Conversion Factors'!$B40)</f>
        <v>6.4379999999999993E-2</v>
      </c>
      <c r="Q93" s="981">
        <f>+Q40*(1+'Conversion Factors'!$B40)</f>
        <v>1.2976593750000001</v>
      </c>
      <c r="R93" s="784">
        <f t="shared" ref="R93:R98" si="49">SUM(B93:Q93)</f>
        <v>175.02286915699347</v>
      </c>
      <c r="S93" s="1182">
        <f>+S40*(1+'Conversion Factors'!$B40)</f>
        <v>0</v>
      </c>
      <c r="T93" s="276">
        <f>+T40*(1+'Conversion Factors'!$B40)</f>
        <v>44.059510002635115</v>
      </c>
      <c r="U93" s="784">
        <f t="shared" ref="U93:U98" si="50">+S93+T93</f>
        <v>44.059510002635115</v>
      </c>
      <c r="V93" s="784">
        <f t="shared" ref="V93:V98" si="51">+U93+R93</f>
        <v>219.08237915962857</v>
      </c>
      <c r="X93" s="176">
        <v>2029</v>
      </c>
      <c r="Y93" s="1081">
        <f>+Y40*(1+'Conversion Factors'!$C40)</f>
        <v>25.879217353504526</v>
      </c>
      <c r="Z93" s="1082">
        <f>+Z40*(1+'Conversion Factors'!$C40)</f>
        <v>1.4592800000000001</v>
      </c>
      <c r="AA93" s="1082">
        <f>+AA40*(1+'Conversion Factors'!$C40)</f>
        <v>7.7726771067256699</v>
      </c>
      <c r="AB93" s="276">
        <f>+AB40*(1+'Conversion Factors'!$C40)</f>
        <v>41.992134104304967</v>
      </c>
      <c r="AC93" s="276">
        <f>+AC40*(1+'Conversion Factors'!$C40)</f>
        <v>10.773732484577526</v>
      </c>
      <c r="AD93" s="276">
        <f>+AD40*(1+'Conversion Factors'!$C40)</f>
        <v>39.752886893920135</v>
      </c>
      <c r="AE93" s="276">
        <f>+AE40*(1+'Conversion Factors'!$C40)</f>
        <v>377.68366981065748</v>
      </c>
      <c r="AF93" s="981">
        <f>+AF40*(1+'Conversion Factors'!$C40)</f>
        <v>51.773116454510834</v>
      </c>
      <c r="AG93" s="276">
        <f>+AG40*(1+'Conversion Factors'!$C40)</f>
        <v>8.4761634999999966</v>
      </c>
      <c r="AH93" s="276">
        <f>+AH40*(1+'Conversion Factors'!$C40)</f>
        <v>0.112276574</v>
      </c>
      <c r="AI93" s="276">
        <f>+AI40*(1+'Conversion Factors'!$C40)</f>
        <v>2.0991485280000011</v>
      </c>
      <c r="AJ93" s="276">
        <f>+AJ40*(1+'Conversion Factors'!$C40)</f>
        <v>0.49459641368838542</v>
      </c>
      <c r="AK93" s="276">
        <f>+AK40*(1+'Conversion Factors'!$C40)</f>
        <v>7.0075483999999966E-2</v>
      </c>
      <c r="AL93" s="981">
        <f>+AL40*(1+'Conversion Factors'!$C40)</f>
        <v>0.13321295</v>
      </c>
      <c r="AM93" s="981">
        <f>+AM40*(1+'Conversion Factors'!$C40)</f>
        <v>0.11323369</v>
      </c>
      <c r="AN93" s="981">
        <f>+AN40*(1+'Conversion Factors'!$C40)</f>
        <v>0</v>
      </c>
      <c r="AO93" s="277">
        <f t="shared" ref="AO93:AO98" si="52">SUM(Y93:AN93)</f>
        <v>568.58542134788956</v>
      </c>
      <c r="AP93" s="1182">
        <f>+AP40*(1+'Conversion Factors'!$C40)</f>
        <v>0</v>
      </c>
      <c r="AQ93" s="276">
        <f>+AQ40*(1+'Conversion Factors'!$C40)</f>
        <v>65.91981443512681</v>
      </c>
      <c r="AR93" s="277">
        <f t="shared" ref="AR93:AR98" si="53">+AP93+AQ93</f>
        <v>65.91981443512681</v>
      </c>
      <c r="AS93" s="277">
        <f t="shared" ref="AS93:AS98" si="54">+AR93+AO93</f>
        <v>634.50523578301636</v>
      </c>
      <c r="AU93" s="176">
        <v>2029</v>
      </c>
      <c r="AV93" s="1081">
        <f>+AV40*(1+'Conversion Factors'!$D40)</f>
        <v>87.684004071484097</v>
      </c>
      <c r="AW93" s="1082">
        <f>+AW40*(1+'Conversion Factors'!$D40)</f>
        <v>3.4531200000000002</v>
      </c>
      <c r="AX93" s="1082">
        <f>+AX40*(1+'Conversion Factors'!$D40)</f>
        <v>30.152942581030793</v>
      </c>
      <c r="AY93" s="276">
        <f>+AY40*(1+'Conversion Factors'!$D40)</f>
        <v>81.052500655107821</v>
      </c>
      <c r="AZ93" s="276">
        <f>+AZ40*(1+'Conversion Factors'!$D40)</f>
        <v>34.682985548413086</v>
      </c>
      <c r="BA93" s="276">
        <f>+BA40*(1+'Conversion Factors'!$D40)</f>
        <v>140.91531596806473</v>
      </c>
      <c r="BB93" s="276">
        <f>+BB40*(1+'Conversion Factors'!$D40)</f>
        <v>255.40491907346697</v>
      </c>
      <c r="BC93" s="981">
        <f>+BC40*(1+'Conversion Factors'!$D40)</f>
        <v>69.22094307344031</v>
      </c>
      <c r="BD93" s="276">
        <f>+BD40*(1+'Conversion Factors'!$D40)</f>
        <v>18.943298352000003</v>
      </c>
      <c r="BE93" s="276">
        <f>+BE40*(1+'Conversion Factors'!$D40)</f>
        <v>0.25898611199999988</v>
      </c>
      <c r="BF93" s="276">
        <f>+BF40*(1+'Conversion Factors'!$D40)</f>
        <v>11.194675007999999</v>
      </c>
      <c r="BG93" s="276">
        <f>+BG40*(1+'Conversion Factors'!$D40)</f>
        <v>3.7471364350368255</v>
      </c>
      <c r="BH93" s="276">
        <f>+BH40*(1+'Conversion Factors'!$D40)</f>
        <v>0.19655539200000005</v>
      </c>
      <c r="BI93" s="981">
        <f>+BI40*(1+'Conversion Factors'!$D40)</f>
        <v>0.38387711999999996</v>
      </c>
      <c r="BJ93" s="981">
        <f>+BJ40*(1+'Conversion Factors'!$D40)</f>
        <v>0.50181120000000001</v>
      </c>
      <c r="BK93" s="981">
        <f>+BK40*(1+'Conversion Factors'!$D40)</f>
        <v>3.59511768</v>
      </c>
      <c r="BL93" s="277">
        <f t="shared" ref="BL93:BL98" si="55">SUM(AV93:BK93)</f>
        <v>741.38818827004491</v>
      </c>
      <c r="BM93" s="1182">
        <f>+BM40*(1+'Conversion Factors'!$D40)</f>
        <v>0</v>
      </c>
      <c r="BN93" s="276">
        <f>+BN40*(1+'Conversion Factors'!$D40)</f>
        <v>7.9577538402352967</v>
      </c>
      <c r="BO93" s="277">
        <f t="shared" ref="BO93:BO98" si="56">+BM93+BN93</f>
        <v>7.9577538402352967</v>
      </c>
      <c r="BP93" s="277">
        <f t="shared" ref="BP93:BP98" si="57">+BO93+BL93</f>
        <v>749.34594211028025</v>
      </c>
      <c r="BT93" s="1176">
        <f t="shared" ref="BT93:BT98" si="58">+AV93+AW93+AX93+AY93+BB93+BC93+AZ93</f>
        <v>561.65141500294305</v>
      </c>
      <c r="BU93" s="1176">
        <f t="shared" ref="BU93:BU98" si="59">+BP93-BT93</f>
        <v>187.69452710733719</v>
      </c>
      <c r="BV93" s="1176">
        <f>+BT93+'ComInd Summary'!DA93</f>
        <v>846.39136447911665</v>
      </c>
      <c r="BW93" s="1176">
        <f>+BU93+'ComInd Summary'!DB93</f>
        <v>325.38323728889424</v>
      </c>
    </row>
    <row r="94" spans="1:75" x14ac:dyDescent="0.2">
      <c r="A94" s="176">
        <v>2030</v>
      </c>
      <c r="B94" s="1081">
        <f>+B41*(1+'Conversion Factors'!$B41)</f>
        <v>16.756073465223224</v>
      </c>
      <c r="C94" s="1082">
        <f>+C41*(1+'Conversion Factors'!$B41)</f>
        <v>1.04081</v>
      </c>
      <c r="D94" s="1082">
        <f>+D41*(1+'Conversion Factors'!$B41)</f>
        <v>7.3901947211507304</v>
      </c>
      <c r="E94" s="276">
        <f>+E41*(1+'Conversion Factors'!$B41)</f>
        <v>35.266567709106866</v>
      </c>
      <c r="F94" s="276">
        <f>+F41*(1+'Conversion Factors'!$B41)</f>
        <v>11.799171567550383</v>
      </c>
      <c r="G94" s="276">
        <f>+G41*(1+'Conversion Factors'!$B41)</f>
        <v>31.977719656072175</v>
      </c>
      <c r="H94" s="276">
        <f>+H41*(1+'Conversion Factors'!$B41)</f>
        <v>34.812694802897532</v>
      </c>
      <c r="I94" s="981">
        <f>+I41*(1+'Conversion Factors'!$B41)</f>
        <v>26.325863335638481</v>
      </c>
      <c r="J94" s="276">
        <f>+J41*(1+'Conversion Factors'!$B41)</f>
        <v>6.5985867894999988</v>
      </c>
      <c r="K94" s="276">
        <f>+K41*(1+'Conversion Factors'!$B41)</f>
        <v>7.1929627999999982E-2</v>
      </c>
      <c r="L94" s="276">
        <f>+L41*(1+'Conversion Factors'!$B41)</f>
        <v>3.6781393824999995</v>
      </c>
      <c r="M94" s="276">
        <f>+M41*(1+'Conversion Factors'!$B41)</f>
        <v>0.29706046035410777</v>
      </c>
      <c r="N94" s="276">
        <f>+N41*(1+'Conversion Factors'!$B41)</f>
        <v>8.3661809999999989E-2</v>
      </c>
      <c r="O94" s="981">
        <f>+O41*(1+'Conversion Factors'!$B41)</f>
        <v>0.26970928</v>
      </c>
      <c r="P94" s="981">
        <f>+P41*(1+'Conversion Factors'!$B41)</f>
        <v>6.4379999999999993E-2</v>
      </c>
      <c r="Q94" s="981">
        <f>+Q41*(1+'Conversion Factors'!$B41)</f>
        <v>1.2976593750000001</v>
      </c>
      <c r="R94" s="784">
        <f t="shared" si="49"/>
        <v>177.7302219829935</v>
      </c>
      <c r="S94" s="1182">
        <f>+S41*(1+'Conversion Factors'!$B41)</f>
        <v>0</v>
      </c>
      <c r="T94" s="276">
        <f>+T41*(1+'Conversion Factors'!$B41)</f>
        <v>46.758105002635112</v>
      </c>
      <c r="U94" s="784">
        <f t="shared" si="50"/>
        <v>46.758105002635112</v>
      </c>
      <c r="V94" s="784">
        <f t="shared" si="51"/>
        <v>224.48832698562862</v>
      </c>
      <c r="X94" s="176">
        <v>2030</v>
      </c>
      <c r="Y94" s="1081">
        <f>+Y41*(1+'Conversion Factors'!$C41)</f>
        <v>25.879217353504526</v>
      </c>
      <c r="Z94" s="1082">
        <f>+Z41*(1+'Conversion Factors'!$C41)</f>
        <v>1.4592800000000001</v>
      </c>
      <c r="AA94" s="1082">
        <f>+AA41*(1+'Conversion Factors'!$C41)</f>
        <v>7.7726771067256699</v>
      </c>
      <c r="AB94" s="276">
        <f>+AB41*(1+'Conversion Factors'!$C41)</f>
        <v>42.10855460430497</v>
      </c>
      <c r="AC94" s="276">
        <f>+AC41*(1+'Conversion Factors'!$C41)</f>
        <v>10.905174984577526</v>
      </c>
      <c r="AD94" s="276">
        <f>+AD41*(1+'Conversion Factors'!$C41)</f>
        <v>42.284093893920137</v>
      </c>
      <c r="AE94" s="276">
        <f>+AE41*(1+'Conversion Factors'!$C41)</f>
        <v>377.86232431065747</v>
      </c>
      <c r="AF94" s="981">
        <f>+AF41*(1+'Conversion Factors'!$C41)</f>
        <v>51.773116454510834</v>
      </c>
      <c r="AG94" s="276">
        <f>+AG41*(1+'Conversion Factors'!$C41)</f>
        <v>9.0716784999999973</v>
      </c>
      <c r="AH94" s="276">
        <f>+AH41*(1+'Conversion Factors'!$C41)</f>
        <v>0.11906651800000001</v>
      </c>
      <c r="AI94" s="276">
        <f>+AI41*(1+'Conversion Factors'!$C41)</f>
        <v>2.2128865280000012</v>
      </c>
      <c r="AJ94" s="276">
        <f>+AJ41*(1+'Conversion Factors'!$C41)</f>
        <v>0.51927541368838548</v>
      </c>
      <c r="AK94" s="276">
        <f>+AK41*(1+'Conversion Factors'!$C41)</f>
        <v>7.6170123999999978E-2</v>
      </c>
      <c r="AL94" s="981">
        <f>+AL41*(1+'Conversion Factors'!$C41)</f>
        <v>0.13321295</v>
      </c>
      <c r="AM94" s="981">
        <f>+AM41*(1+'Conversion Factors'!$C41)</f>
        <v>0.11323369</v>
      </c>
      <c r="AN94" s="981">
        <f>+AN41*(1+'Conversion Factors'!$C41)</f>
        <v>0</v>
      </c>
      <c r="AO94" s="277">
        <f t="shared" si="52"/>
        <v>572.28996243188953</v>
      </c>
      <c r="AP94" s="1182">
        <f>+AP41*(1+'Conversion Factors'!$C41)</f>
        <v>0</v>
      </c>
      <c r="AQ94" s="276">
        <f>+AQ41*(1+'Conversion Factors'!$C41)</f>
        <v>70.123291935126815</v>
      </c>
      <c r="AR94" s="277">
        <f t="shared" si="53"/>
        <v>70.123291935126815</v>
      </c>
      <c r="AS94" s="277">
        <f t="shared" si="54"/>
        <v>642.41325436701641</v>
      </c>
      <c r="AU94" s="176">
        <v>2030</v>
      </c>
      <c r="AV94" s="1081">
        <f>+AV41*(1+'Conversion Factors'!$D41)</f>
        <v>87.684004071484097</v>
      </c>
      <c r="AW94" s="1082">
        <f>+AW41*(1+'Conversion Factors'!$D41)</f>
        <v>3.4531200000000002</v>
      </c>
      <c r="AX94" s="1082">
        <f>+AX41*(1+'Conversion Factors'!$D41)</f>
        <v>30.152942581030793</v>
      </c>
      <c r="AY94" s="276">
        <f>+AY41*(1+'Conversion Factors'!$D41)</f>
        <v>81.20984465510783</v>
      </c>
      <c r="AZ94" s="276">
        <f>+AZ41*(1+'Conversion Factors'!$D41)</f>
        <v>35.340081548413089</v>
      </c>
      <c r="BA94" s="276">
        <f>+BA41*(1+'Conversion Factors'!$D41)</f>
        <v>149.94833996806474</v>
      </c>
      <c r="BB94" s="276">
        <f>+BB41*(1+'Conversion Factors'!$D41)</f>
        <v>255.60080707346697</v>
      </c>
      <c r="BC94" s="981">
        <f>+BC41*(1+'Conversion Factors'!$D41)</f>
        <v>69.22094307344031</v>
      </c>
      <c r="BD94" s="276">
        <f>+BD41*(1+'Conversion Factors'!$D41)</f>
        <v>20.286530352</v>
      </c>
      <c r="BE94" s="276">
        <f>+BE41*(1+'Conversion Factors'!$D41)</f>
        <v>0.27078374399999988</v>
      </c>
      <c r="BF94" s="276">
        <f>+BF41*(1+'Conversion Factors'!$D41)</f>
        <v>11.786563007999998</v>
      </c>
      <c r="BG94" s="276">
        <f>+BG41*(1+'Conversion Factors'!$D41)</f>
        <v>3.9277124350368253</v>
      </c>
      <c r="BH94" s="276">
        <f>+BH41*(1+'Conversion Factors'!$D41)</f>
        <v>0.21294451200000006</v>
      </c>
      <c r="BI94" s="981">
        <f>+BI41*(1+'Conversion Factors'!$D41)</f>
        <v>0.38387711999999996</v>
      </c>
      <c r="BJ94" s="981">
        <f>+BJ41*(1+'Conversion Factors'!$D41)</f>
        <v>0.50181120000000001</v>
      </c>
      <c r="BK94" s="981">
        <f>+BK41*(1+'Conversion Factors'!$D41)</f>
        <v>3.59511768</v>
      </c>
      <c r="BL94" s="277">
        <f t="shared" si="55"/>
        <v>753.57542302204479</v>
      </c>
      <c r="BM94" s="1182">
        <f>+BM41*(1+'Conversion Factors'!$D41)</f>
        <v>0</v>
      </c>
      <c r="BN94" s="276">
        <f>+BN41*(1+'Conversion Factors'!$D41)</f>
        <v>8.2771938402352969</v>
      </c>
      <c r="BO94" s="277">
        <f t="shared" si="56"/>
        <v>8.2771938402352969</v>
      </c>
      <c r="BP94" s="277">
        <f t="shared" si="57"/>
        <v>761.85261686228012</v>
      </c>
      <c r="BT94" s="1176">
        <f t="shared" si="58"/>
        <v>562.66174300294301</v>
      </c>
      <c r="BU94" s="1176">
        <f t="shared" si="59"/>
        <v>199.1908738593371</v>
      </c>
      <c r="BV94" s="1176">
        <f>+BT94+'ComInd Summary'!DA94</f>
        <v>847.73795564704926</v>
      </c>
      <c r="BW94" s="1176">
        <f>+BU94+'ComInd Summary'!DB94</f>
        <v>342.72132952089407</v>
      </c>
    </row>
    <row r="95" spans="1:75" x14ac:dyDescent="0.2">
      <c r="A95" s="176">
        <v>2031</v>
      </c>
      <c r="B95" s="1081">
        <f>+B42*(1+'Conversion Factors'!$B42)</f>
        <v>16.756073465223224</v>
      </c>
      <c r="C95" s="1082">
        <f>+C42*(1+'Conversion Factors'!$B42)</f>
        <v>1.04081</v>
      </c>
      <c r="D95" s="1082">
        <f>+D42*(1+'Conversion Factors'!$B42)</f>
        <v>7.3901947211507304</v>
      </c>
      <c r="E95" s="276">
        <f>+E42*(1+'Conversion Factors'!$B42)</f>
        <v>35.358309209106871</v>
      </c>
      <c r="F95" s="276">
        <f>+F42*(1+'Conversion Factors'!$B42)</f>
        <v>11.941612317550382</v>
      </c>
      <c r="G95" s="276">
        <f>+G42*(1+'Conversion Factors'!$B42)</f>
        <v>33.78787065607218</v>
      </c>
      <c r="H95" s="276">
        <f>+H42*(1+'Conversion Factors'!$B42)</f>
        <v>34.867417802897535</v>
      </c>
      <c r="I95" s="981">
        <f>+I42*(1+'Conversion Factors'!$B42)</f>
        <v>26.325863335638481</v>
      </c>
      <c r="J95" s="276">
        <f>+J42*(1+'Conversion Factors'!$B42)</f>
        <v>7.017056789499998</v>
      </c>
      <c r="K95" s="276">
        <f>+K42*(1+'Conversion Factors'!$B42)</f>
        <v>7.5054203999999972E-2</v>
      </c>
      <c r="L95" s="276">
        <f>+L42*(1+'Conversion Factors'!$B42)</f>
        <v>3.8449908824999994</v>
      </c>
      <c r="M95" s="276">
        <f>+M42*(1+'Conversion Factors'!$B42)</f>
        <v>0.31047296035410776</v>
      </c>
      <c r="N95" s="276">
        <f>+N42*(1+'Conversion Factors'!$B42)</f>
        <v>9.0099810000000002E-2</v>
      </c>
      <c r="O95" s="981">
        <f>+O42*(1+'Conversion Factors'!$B42)</f>
        <v>0.26970928</v>
      </c>
      <c r="P95" s="981">
        <f>+P42*(1+'Conversion Factors'!$B42)</f>
        <v>6.4379999999999993E-2</v>
      </c>
      <c r="Q95" s="981">
        <f>+Q42*(1+'Conversion Factors'!$B42)</f>
        <v>1.2976593750000001</v>
      </c>
      <c r="R95" s="784">
        <f t="shared" si="49"/>
        <v>180.43757480899347</v>
      </c>
      <c r="S95" s="1182">
        <f>+S42*(1+'Conversion Factors'!$B42)</f>
        <v>0</v>
      </c>
      <c r="T95" s="276">
        <f>+T42*(1+'Conversion Factors'!$B42)</f>
        <v>49.45670000263511</v>
      </c>
      <c r="U95" s="784">
        <f t="shared" si="50"/>
        <v>49.45670000263511</v>
      </c>
      <c r="V95" s="784">
        <f t="shared" si="51"/>
        <v>229.89427481162858</v>
      </c>
      <c r="X95" s="176">
        <v>2031</v>
      </c>
      <c r="Y95" s="1081">
        <f>+Y42*(1+'Conversion Factors'!$C42)</f>
        <v>25.879217353504526</v>
      </c>
      <c r="Z95" s="1082">
        <f>+Z42*(1+'Conversion Factors'!$C42)</f>
        <v>1.4592800000000001</v>
      </c>
      <c r="AA95" s="1082">
        <f>+AA42*(1+'Conversion Factors'!$C42)</f>
        <v>7.7726771067256699</v>
      </c>
      <c r="AB95" s="276">
        <f>+AB42*(1+'Conversion Factors'!$C42)</f>
        <v>42.224975104304967</v>
      </c>
      <c r="AC95" s="276">
        <f>+AC42*(1+'Conversion Factors'!$C42)</f>
        <v>11.036617484577526</v>
      </c>
      <c r="AD95" s="276">
        <f>+AD42*(1+'Conversion Factors'!$C42)</f>
        <v>44.815300893920138</v>
      </c>
      <c r="AE95" s="276">
        <f>+AE42*(1+'Conversion Factors'!$C42)</f>
        <v>378.04097881065746</v>
      </c>
      <c r="AF95" s="981">
        <f>+AF42*(1+'Conversion Factors'!$C42)</f>
        <v>51.773116454510834</v>
      </c>
      <c r="AG95" s="276">
        <f>+AG42*(1+'Conversion Factors'!$C42)</f>
        <v>9.6671934999999962</v>
      </c>
      <c r="AH95" s="276">
        <f>+AH42*(1+'Conversion Factors'!$C42)</f>
        <v>0.125856462</v>
      </c>
      <c r="AI95" s="276">
        <f>+AI42*(1+'Conversion Factors'!$C42)</f>
        <v>2.3266245280000009</v>
      </c>
      <c r="AJ95" s="276">
        <f>+AJ42*(1+'Conversion Factors'!$C42)</f>
        <v>0.54395441368838549</v>
      </c>
      <c r="AK95" s="276">
        <f>+AK42*(1+'Conversion Factors'!$C42)</f>
        <v>8.2264763999999976E-2</v>
      </c>
      <c r="AL95" s="981">
        <f>+AL42*(1+'Conversion Factors'!$C42)</f>
        <v>0.13321295</v>
      </c>
      <c r="AM95" s="981">
        <f>+AM42*(1+'Conversion Factors'!$C42)</f>
        <v>0.11323369</v>
      </c>
      <c r="AN95" s="981">
        <f>+AN42*(1+'Conversion Factors'!$C42)</f>
        <v>0</v>
      </c>
      <c r="AO95" s="277">
        <f t="shared" si="52"/>
        <v>575.99450351588962</v>
      </c>
      <c r="AP95" s="1182">
        <f>+AP42*(1+'Conversion Factors'!$C42)</f>
        <v>0</v>
      </c>
      <c r="AQ95" s="276">
        <f>+AQ42*(1+'Conversion Factors'!$C42)</f>
        <v>74.32676943512682</v>
      </c>
      <c r="AR95" s="277">
        <f t="shared" si="53"/>
        <v>74.32676943512682</v>
      </c>
      <c r="AS95" s="277">
        <f t="shared" si="54"/>
        <v>650.32127295101645</v>
      </c>
      <c r="AU95" s="176">
        <v>2031</v>
      </c>
      <c r="AV95" s="1081">
        <f>+AV42*(1+'Conversion Factors'!$D42)</f>
        <v>87.684004071484097</v>
      </c>
      <c r="AW95" s="1082">
        <f>+AW42*(1+'Conversion Factors'!$D42)</f>
        <v>3.4531200000000002</v>
      </c>
      <c r="AX95" s="1082">
        <f>+AX42*(1+'Conversion Factors'!$D42)</f>
        <v>30.152942581030793</v>
      </c>
      <c r="AY95" s="276">
        <f>+AY42*(1+'Conversion Factors'!$D42)</f>
        <v>81.367188655107825</v>
      </c>
      <c r="AZ95" s="276">
        <f>+AZ42*(1+'Conversion Factors'!$D42)</f>
        <v>35.997177548413092</v>
      </c>
      <c r="BA95" s="276">
        <f>+BA42*(1+'Conversion Factors'!$D42)</f>
        <v>158.98136396806473</v>
      </c>
      <c r="BB95" s="276">
        <f>+BB42*(1+'Conversion Factors'!$D42)</f>
        <v>255.79669507346696</v>
      </c>
      <c r="BC95" s="981">
        <f>+BC42*(1+'Conversion Factors'!$D42)</f>
        <v>69.22094307344031</v>
      </c>
      <c r="BD95" s="276">
        <f>+BD42*(1+'Conversion Factors'!$D42)</f>
        <v>21.629762352</v>
      </c>
      <c r="BE95" s="276">
        <f>+BE42*(1+'Conversion Factors'!$D42)</f>
        <v>0.28258137599999988</v>
      </c>
      <c r="BF95" s="276">
        <f>+BF42*(1+'Conversion Factors'!$D42)</f>
        <v>12.378451007999997</v>
      </c>
      <c r="BG95" s="276">
        <f>+BG42*(1+'Conversion Factors'!$D42)</f>
        <v>4.1082884350368252</v>
      </c>
      <c r="BH95" s="276">
        <f>+BH42*(1+'Conversion Factors'!$D42)</f>
        <v>0.22933363200000006</v>
      </c>
      <c r="BI95" s="981">
        <f>+BI42*(1+'Conversion Factors'!$D42)</f>
        <v>0.38387711999999996</v>
      </c>
      <c r="BJ95" s="981">
        <f>+BJ42*(1+'Conversion Factors'!$D42)</f>
        <v>0.50181120000000001</v>
      </c>
      <c r="BK95" s="981">
        <f>+BK42*(1+'Conversion Factors'!$D42)</f>
        <v>3.59511768</v>
      </c>
      <c r="BL95" s="277">
        <f t="shared" si="55"/>
        <v>765.76265777404456</v>
      </c>
      <c r="BM95" s="1182">
        <f>+BM42*(1+'Conversion Factors'!$D42)</f>
        <v>0</v>
      </c>
      <c r="BN95" s="276">
        <f>+BN42*(1+'Conversion Factors'!$D42)</f>
        <v>8.5966338402352953</v>
      </c>
      <c r="BO95" s="277">
        <f t="shared" si="56"/>
        <v>8.5966338402352953</v>
      </c>
      <c r="BP95" s="277">
        <f t="shared" si="57"/>
        <v>774.35929161427987</v>
      </c>
      <c r="BT95" s="1176">
        <f t="shared" si="58"/>
        <v>563.6720710029432</v>
      </c>
      <c r="BU95" s="1176">
        <f t="shared" si="59"/>
        <v>210.68722061133667</v>
      </c>
      <c r="BV95" s="1176">
        <f>+BT95+'ComInd Summary'!DA95</f>
        <v>849.0845468149821</v>
      </c>
      <c r="BW95" s="1176">
        <f>+BU95+'ComInd Summary'!DB95</f>
        <v>360.0594217528938</v>
      </c>
    </row>
    <row r="96" spans="1:75" x14ac:dyDescent="0.2">
      <c r="A96" s="176">
        <v>2032</v>
      </c>
      <c r="B96" s="1081">
        <f>+B43*(1+'Conversion Factors'!$B43)</f>
        <v>16.756073465223224</v>
      </c>
      <c r="C96" s="1082">
        <f>+C43*(1+'Conversion Factors'!$B43)</f>
        <v>1.04081</v>
      </c>
      <c r="D96" s="1082">
        <f>+D43*(1+'Conversion Factors'!$B43)</f>
        <v>7.3901947211507304</v>
      </c>
      <c r="E96" s="276">
        <f>+E43*(1+'Conversion Factors'!$B43)</f>
        <v>35.450050709106876</v>
      </c>
      <c r="F96" s="276">
        <f>+F43*(1+'Conversion Factors'!$B43)</f>
        <v>12.084053067550382</v>
      </c>
      <c r="G96" s="276">
        <f>+G43*(1+'Conversion Factors'!$B43)</f>
        <v>35.59802165607217</v>
      </c>
      <c r="H96" s="276">
        <f>+H43*(1+'Conversion Factors'!$B43)</f>
        <v>34.922140802897538</v>
      </c>
      <c r="I96" s="981">
        <f>+I43*(1+'Conversion Factors'!$B43)</f>
        <v>26.325863335638481</v>
      </c>
      <c r="J96" s="276">
        <f>+J43*(1+'Conversion Factors'!$B43)</f>
        <v>7.4355267894999981</v>
      </c>
      <c r="K96" s="276">
        <f>+K43*(1+'Conversion Factors'!$B43)</f>
        <v>7.8178779999999976E-2</v>
      </c>
      <c r="L96" s="276">
        <f>+L43*(1+'Conversion Factors'!$B43)</f>
        <v>4.0118423824999994</v>
      </c>
      <c r="M96" s="276">
        <f>+M43*(1+'Conversion Factors'!$B43)</f>
        <v>0.32388546035410781</v>
      </c>
      <c r="N96" s="276">
        <f>+N43*(1+'Conversion Factors'!$B43)</f>
        <v>9.6537810000000002E-2</v>
      </c>
      <c r="O96" s="981">
        <f>+O43*(1+'Conversion Factors'!$B43)</f>
        <v>0.26970928</v>
      </c>
      <c r="P96" s="981">
        <f>+P43*(1+'Conversion Factors'!$B43)</f>
        <v>6.4379999999999993E-2</v>
      </c>
      <c r="Q96" s="981">
        <f>+Q43*(1+'Conversion Factors'!$B43)</f>
        <v>1.2976593750000001</v>
      </c>
      <c r="R96" s="784">
        <f t="shared" si="49"/>
        <v>183.14492763499348</v>
      </c>
      <c r="S96" s="1182">
        <f>+S43*(1+'Conversion Factors'!$B43)</f>
        <v>0</v>
      </c>
      <c r="T96" s="276">
        <f>+T43*(1+'Conversion Factors'!$B43)</f>
        <v>52.155295002635114</v>
      </c>
      <c r="U96" s="784">
        <f t="shared" si="50"/>
        <v>52.155295002635114</v>
      </c>
      <c r="V96" s="784">
        <f t="shared" si="51"/>
        <v>235.30022263762859</v>
      </c>
      <c r="X96" s="176">
        <v>2032</v>
      </c>
      <c r="Y96" s="1081">
        <f>+Y43*(1+'Conversion Factors'!$C43)</f>
        <v>25.879217353504526</v>
      </c>
      <c r="Z96" s="1082">
        <f>+Z43*(1+'Conversion Factors'!$C43)</f>
        <v>1.4592800000000001</v>
      </c>
      <c r="AA96" s="1082">
        <f>+AA43*(1+'Conversion Factors'!$C43)</f>
        <v>7.7726771067256699</v>
      </c>
      <c r="AB96" s="276">
        <f>+AB43*(1+'Conversion Factors'!$C43)</f>
        <v>42.341395604304964</v>
      </c>
      <c r="AC96" s="276">
        <f>+AC43*(1+'Conversion Factors'!$C43)</f>
        <v>11.168059984577527</v>
      </c>
      <c r="AD96" s="276">
        <f>+AD43*(1+'Conversion Factors'!$C43)</f>
        <v>47.34650789392014</v>
      </c>
      <c r="AE96" s="276">
        <f>+AE43*(1+'Conversion Factors'!$C43)</f>
        <v>378.21963331065746</v>
      </c>
      <c r="AF96" s="981">
        <f>+AF43*(1+'Conversion Factors'!$C43)</f>
        <v>51.773116454510834</v>
      </c>
      <c r="AG96" s="276">
        <f>+AG43*(1+'Conversion Factors'!$C43)</f>
        <v>10.262708499999997</v>
      </c>
      <c r="AH96" s="276">
        <f>+AH43*(1+'Conversion Factors'!$C43)</f>
        <v>0.13264640599999999</v>
      </c>
      <c r="AI96" s="276">
        <f>+AI43*(1+'Conversion Factors'!$C43)</f>
        <v>2.440362528000001</v>
      </c>
      <c r="AJ96" s="276">
        <f>+AJ43*(1+'Conversion Factors'!$C43)</f>
        <v>0.56863341368838549</v>
      </c>
      <c r="AK96" s="276">
        <f>+AK43*(1+'Conversion Factors'!$C43)</f>
        <v>8.8359403999999989E-2</v>
      </c>
      <c r="AL96" s="981">
        <f>+AL43*(1+'Conversion Factors'!$C43)</f>
        <v>0.13321295</v>
      </c>
      <c r="AM96" s="981">
        <f>+AM43*(1+'Conversion Factors'!$C43)</f>
        <v>0.11323369</v>
      </c>
      <c r="AN96" s="981">
        <f>+AN43*(1+'Conversion Factors'!$C43)</f>
        <v>0</v>
      </c>
      <c r="AO96" s="277">
        <f t="shared" si="52"/>
        <v>579.6990445998897</v>
      </c>
      <c r="AP96" s="1182">
        <f>+AP43*(1+'Conversion Factors'!$C43)</f>
        <v>0</v>
      </c>
      <c r="AQ96" s="276">
        <f>+AQ43*(1+'Conversion Factors'!$C43)</f>
        <v>78.530246935126826</v>
      </c>
      <c r="AR96" s="277">
        <f t="shared" si="53"/>
        <v>78.530246935126826</v>
      </c>
      <c r="AS96" s="277">
        <f t="shared" si="54"/>
        <v>658.2292915350165</v>
      </c>
      <c r="AU96" s="176">
        <v>2032</v>
      </c>
      <c r="AV96" s="1081">
        <f>+AV43*(1+'Conversion Factors'!$D43)</f>
        <v>87.684004071484097</v>
      </c>
      <c r="AW96" s="1082">
        <f>+AW43*(1+'Conversion Factors'!$D43)</f>
        <v>3.4531200000000002</v>
      </c>
      <c r="AX96" s="1082">
        <f>+AX43*(1+'Conversion Factors'!$D43)</f>
        <v>30.152942581030793</v>
      </c>
      <c r="AY96" s="276">
        <f>+AY43*(1+'Conversion Factors'!$D43)</f>
        <v>81.524532655107834</v>
      </c>
      <c r="AZ96" s="276">
        <f>+AZ43*(1+'Conversion Factors'!$D43)</f>
        <v>36.654273548413087</v>
      </c>
      <c r="BA96" s="276">
        <f>+BA43*(1+'Conversion Factors'!$D43)</f>
        <v>168.01438796806474</v>
      </c>
      <c r="BB96" s="276">
        <f>+BB43*(1+'Conversion Factors'!$D43)</f>
        <v>255.99258307346696</v>
      </c>
      <c r="BC96" s="981">
        <f>+BC43*(1+'Conversion Factors'!$D43)</f>
        <v>69.22094307344031</v>
      </c>
      <c r="BD96" s="276">
        <f>+BD43*(1+'Conversion Factors'!$D43)</f>
        <v>22.972994351999997</v>
      </c>
      <c r="BE96" s="276">
        <f>+BE43*(1+'Conversion Factors'!$D43)</f>
        <v>0.29437900799999989</v>
      </c>
      <c r="BF96" s="276">
        <f>+BF43*(1+'Conversion Factors'!$D43)</f>
        <v>12.970339007999996</v>
      </c>
      <c r="BG96" s="276">
        <f>+BG43*(1+'Conversion Factors'!$D43)</f>
        <v>4.2888644350368255</v>
      </c>
      <c r="BH96" s="276">
        <f>+BH43*(1+'Conversion Factors'!$D43)</f>
        <v>0.24572275200000007</v>
      </c>
      <c r="BI96" s="981">
        <f>+BI43*(1+'Conversion Factors'!$D43)</f>
        <v>0.38387711999999996</v>
      </c>
      <c r="BJ96" s="981">
        <f>+BJ43*(1+'Conversion Factors'!$D43)</f>
        <v>0.50181120000000001</v>
      </c>
      <c r="BK96" s="981">
        <f>+BK43*(1+'Conversion Factors'!$D43)</f>
        <v>3.59511768</v>
      </c>
      <c r="BL96" s="277">
        <f t="shared" si="55"/>
        <v>777.94989252604466</v>
      </c>
      <c r="BM96" s="1182">
        <f>+BM43*(1+'Conversion Factors'!$D43)</f>
        <v>0</v>
      </c>
      <c r="BN96" s="276">
        <f>+BN43*(1+'Conversion Factors'!$D43)</f>
        <v>8.9160738402352955</v>
      </c>
      <c r="BO96" s="277">
        <f t="shared" si="56"/>
        <v>8.9160738402352955</v>
      </c>
      <c r="BP96" s="277">
        <f t="shared" si="57"/>
        <v>786.86596636627996</v>
      </c>
      <c r="BT96" s="1176">
        <f t="shared" si="58"/>
        <v>564.68239900294316</v>
      </c>
      <c r="BU96" s="1176">
        <f t="shared" si="59"/>
        <v>222.18356736333681</v>
      </c>
      <c r="BV96" s="1176">
        <f>+BT96+'ComInd Summary'!DA96</f>
        <v>850.43113798291472</v>
      </c>
      <c r="BW96" s="1176">
        <f>+BU96+'ComInd Summary'!DB96</f>
        <v>377.39751398489381</v>
      </c>
    </row>
    <row r="97" spans="1:78" x14ac:dyDescent="0.2">
      <c r="A97" s="176">
        <v>2033</v>
      </c>
      <c r="B97" s="1081">
        <f>+B44*(1+'Conversion Factors'!$B44)</f>
        <v>16.756073465223224</v>
      </c>
      <c r="C97" s="1082">
        <f>+C44*(1+'Conversion Factors'!$B44)</f>
        <v>1.04081</v>
      </c>
      <c r="D97" s="1082">
        <f>+D44*(1+'Conversion Factors'!$B44)</f>
        <v>7.3901947211507304</v>
      </c>
      <c r="E97" s="276">
        <f>+E44*(1+'Conversion Factors'!$B44)</f>
        <v>35.54179220910688</v>
      </c>
      <c r="F97" s="276">
        <f>+F44*(1+'Conversion Factors'!$B44)</f>
        <v>12.226493817550381</v>
      </c>
      <c r="G97" s="276">
        <f>+G44*(1+'Conversion Factors'!$B44)</f>
        <v>37.408172656072168</v>
      </c>
      <c r="H97" s="276">
        <f>+H44*(1+'Conversion Factors'!$B44)</f>
        <v>34.97686380289754</v>
      </c>
      <c r="I97" s="981">
        <f>+I44*(1+'Conversion Factors'!$B44)</f>
        <v>26.325863335638481</v>
      </c>
      <c r="J97" s="276">
        <f>+J44*(1+'Conversion Factors'!$B44)</f>
        <v>7.8539967894999974</v>
      </c>
      <c r="K97" s="276">
        <f>+K44*(1+'Conversion Factors'!$B44)</f>
        <v>8.1303355999999979E-2</v>
      </c>
      <c r="L97" s="276">
        <f>+L44*(1+'Conversion Factors'!$B44)</f>
        <v>4.1786938824999993</v>
      </c>
      <c r="M97" s="276">
        <f>+M44*(1+'Conversion Factors'!$B44)</f>
        <v>0.33729796035410781</v>
      </c>
      <c r="N97" s="276">
        <f>+N44*(1+'Conversion Factors'!$B44)</f>
        <v>0.10297581000000001</v>
      </c>
      <c r="O97" s="981">
        <f>+O44*(1+'Conversion Factors'!$B44)</f>
        <v>0.26970928</v>
      </c>
      <c r="P97" s="981">
        <f>+P44*(1+'Conversion Factors'!$B44)</f>
        <v>6.4379999999999993E-2</v>
      </c>
      <c r="Q97" s="981">
        <f>+Q44*(1+'Conversion Factors'!$B44)</f>
        <v>1.2976593750000001</v>
      </c>
      <c r="R97" s="784">
        <f t="shared" si="49"/>
        <v>185.85228046099351</v>
      </c>
      <c r="S97" s="1182">
        <f>+S44*(1+'Conversion Factors'!$B44)</f>
        <v>0</v>
      </c>
      <c r="T97" s="276">
        <f>+T44*(1+'Conversion Factors'!$B44)</f>
        <v>54.853890002635112</v>
      </c>
      <c r="U97" s="784">
        <f t="shared" si="50"/>
        <v>54.853890002635112</v>
      </c>
      <c r="V97" s="784">
        <f t="shared" si="51"/>
        <v>240.70617046362861</v>
      </c>
      <c r="X97" s="176">
        <v>2033</v>
      </c>
      <c r="Y97" s="1081">
        <f>+Y44*(1+'Conversion Factors'!$C44)</f>
        <v>25.879217353504526</v>
      </c>
      <c r="Z97" s="1082">
        <f>+Z44*(1+'Conversion Factors'!$C44)</f>
        <v>1.4592800000000001</v>
      </c>
      <c r="AA97" s="1082">
        <f>+AA44*(1+'Conversion Factors'!$C44)</f>
        <v>7.7726771067256699</v>
      </c>
      <c r="AB97" s="276">
        <f>+AB44*(1+'Conversion Factors'!$C44)</f>
        <v>42.457816104304968</v>
      </c>
      <c r="AC97" s="276">
        <f>+AC44*(1+'Conversion Factors'!$C44)</f>
        <v>11.299502484577527</v>
      </c>
      <c r="AD97" s="276">
        <f>+AD44*(1+'Conversion Factors'!$C44)</f>
        <v>49.877714893920135</v>
      </c>
      <c r="AE97" s="276">
        <f>+AE44*(1+'Conversion Factors'!$C44)</f>
        <v>378.39828781065739</v>
      </c>
      <c r="AF97" s="981">
        <f>+AF44*(1+'Conversion Factors'!$C44)</f>
        <v>51.773116454510834</v>
      </c>
      <c r="AG97" s="276">
        <f>+AG44*(1+'Conversion Factors'!$C44)</f>
        <v>10.858223499999996</v>
      </c>
      <c r="AH97" s="276">
        <f>+AH44*(1+'Conversion Factors'!$C44)</f>
        <v>0.13943635000000001</v>
      </c>
      <c r="AI97" s="276">
        <f>+AI44*(1+'Conversion Factors'!$C44)</f>
        <v>2.5541005280000006</v>
      </c>
      <c r="AJ97" s="276">
        <f>+AJ44*(1+'Conversion Factors'!$C44)</f>
        <v>0.5933124136883855</v>
      </c>
      <c r="AK97" s="276">
        <f>+AK44*(1+'Conversion Factors'!$C44)</f>
        <v>9.4454043999999987E-2</v>
      </c>
      <c r="AL97" s="981">
        <f>+AL44*(1+'Conversion Factors'!$C44)</f>
        <v>0.13321295</v>
      </c>
      <c r="AM97" s="981">
        <f>+AM44*(1+'Conversion Factors'!$C44)</f>
        <v>0.11323369</v>
      </c>
      <c r="AN97" s="981">
        <f>+AN44*(1+'Conversion Factors'!$C44)</f>
        <v>0</v>
      </c>
      <c r="AO97" s="277">
        <f t="shared" si="52"/>
        <v>583.40358568388956</v>
      </c>
      <c r="AP97" s="1182">
        <f>+AP44*(1+'Conversion Factors'!$C44)</f>
        <v>0</v>
      </c>
      <c r="AQ97" s="276">
        <f>+AQ44*(1+'Conversion Factors'!$C44)</f>
        <v>82.733724435126831</v>
      </c>
      <c r="AR97" s="277">
        <f t="shared" si="53"/>
        <v>82.733724435126831</v>
      </c>
      <c r="AS97" s="277">
        <f t="shared" si="54"/>
        <v>666.13731011901643</v>
      </c>
      <c r="AU97" s="176">
        <v>2033</v>
      </c>
      <c r="AV97" s="1081">
        <f>+AV44*(1+'Conversion Factors'!$D44)</f>
        <v>87.684004071484097</v>
      </c>
      <c r="AW97" s="1082">
        <f>+AW44*(1+'Conversion Factors'!$D44)</f>
        <v>3.4531200000000002</v>
      </c>
      <c r="AX97" s="1082">
        <f>+AX44*(1+'Conversion Factors'!$D44)</f>
        <v>30.152942581030793</v>
      </c>
      <c r="AY97" s="276">
        <f>+AY44*(1+'Conversion Factors'!$D44)</f>
        <v>81.681876655107828</v>
      </c>
      <c r="AZ97" s="276">
        <f>+AZ44*(1+'Conversion Factors'!$D44)</f>
        <v>37.31136954841309</v>
      </c>
      <c r="BA97" s="276">
        <f>+BA44*(1+'Conversion Factors'!$D44)</f>
        <v>177.04741196806475</v>
      </c>
      <c r="BB97" s="276">
        <f>+BB44*(1+'Conversion Factors'!$D44)</f>
        <v>256.18847107346693</v>
      </c>
      <c r="BC97" s="981">
        <f>+BC44*(1+'Conversion Factors'!$D44)</f>
        <v>69.22094307344031</v>
      </c>
      <c r="BD97" s="276">
        <f>+BD44*(1+'Conversion Factors'!$D44)</f>
        <v>24.316226351999994</v>
      </c>
      <c r="BE97" s="276">
        <f>+BE44*(1+'Conversion Factors'!$D44)</f>
        <v>0.30617663999999994</v>
      </c>
      <c r="BF97" s="276">
        <f>+BF44*(1+'Conversion Factors'!$D44)</f>
        <v>13.562227007999995</v>
      </c>
      <c r="BG97" s="276">
        <f>+BG44*(1+'Conversion Factors'!$D44)</f>
        <v>4.4694404350368258</v>
      </c>
      <c r="BH97" s="276">
        <f>+BH44*(1+'Conversion Factors'!$D44)</f>
        <v>0.26211187200000008</v>
      </c>
      <c r="BI97" s="981">
        <f>+BI44*(1+'Conversion Factors'!$D44)</f>
        <v>0.38387711999999996</v>
      </c>
      <c r="BJ97" s="981">
        <f>+BJ44*(1+'Conversion Factors'!$D44)</f>
        <v>0.50181120000000001</v>
      </c>
      <c r="BK97" s="981">
        <f>+BK44*(1+'Conversion Factors'!$D44)</f>
        <v>3.59511768</v>
      </c>
      <c r="BL97" s="277">
        <f t="shared" si="55"/>
        <v>790.13712727804466</v>
      </c>
      <c r="BM97" s="1182">
        <f>+BM44*(1+'Conversion Factors'!$D44)</f>
        <v>0</v>
      </c>
      <c r="BN97" s="276">
        <f>+BN44*(1+'Conversion Factors'!$D44)</f>
        <v>9.2355138402352956</v>
      </c>
      <c r="BO97" s="277">
        <f t="shared" si="56"/>
        <v>9.2355138402352956</v>
      </c>
      <c r="BP97" s="277">
        <f t="shared" si="57"/>
        <v>799.37264111827994</v>
      </c>
      <c r="BT97" s="1176">
        <f t="shared" si="58"/>
        <v>565.692727002943</v>
      </c>
      <c r="BU97" s="1176">
        <f t="shared" si="59"/>
        <v>233.67991411533694</v>
      </c>
      <c r="BV97" s="1176">
        <f>+BT97+'ComInd Summary'!DA97</f>
        <v>851.77772915084722</v>
      </c>
      <c r="BW97" s="1176">
        <f>+BU97+'ComInd Summary'!DB97</f>
        <v>394.73560621689387</v>
      </c>
    </row>
    <row r="98" spans="1:78" x14ac:dyDescent="0.2">
      <c r="A98" s="176">
        <v>2034</v>
      </c>
      <c r="B98" s="1081">
        <f>+B45*(1+'Conversion Factors'!$B45)</f>
        <v>16.756073465223224</v>
      </c>
      <c r="C98" s="1082">
        <f>+C45*(1+'Conversion Factors'!$B45)</f>
        <v>1.04081</v>
      </c>
      <c r="D98" s="1082">
        <f>+D45*(1+'Conversion Factors'!$B45)</f>
        <v>7.3901947211507304</v>
      </c>
      <c r="E98" s="276">
        <f>+E45*(1+'Conversion Factors'!$B45)</f>
        <v>35.633533709106878</v>
      </c>
      <c r="F98" s="276">
        <f>+F45*(1+'Conversion Factors'!$B45)</f>
        <v>12.368934567550381</v>
      </c>
      <c r="G98" s="276">
        <f>+G45*(1+'Conversion Factors'!$B45)</f>
        <v>39.218323656072165</v>
      </c>
      <c r="H98" s="276">
        <f>+H45*(1+'Conversion Factors'!$B45)</f>
        <v>35.031586802897536</v>
      </c>
      <c r="I98" s="981">
        <f>+I45*(1+'Conversion Factors'!$B45)</f>
        <v>26.325863335638481</v>
      </c>
      <c r="J98" s="276">
        <f>+J45*(1+'Conversion Factors'!$B45)</f>
        <v>8.2724667894999975</v>
      </c>
      <c r="K98" s="276">
        <f>+K45*(1+'Conversion Factors'!$B45)</f>
        <v>8.4427931999999969E-2</v>
      </c>
      <c r="L98" s="276">
        <f>+L45*(1+'Conversion Factors'!$B45)</f>
        <v>4.3455453825000001</v>
      </c>
      <c r="M98" s="276">
        <f>+M45*(1+'Conversion Factors'!$B45)</f>
        <v>0.3507104603541078</v>
      </c>
      <c r="N98" s="276">
        <f>+N45*(1+'Conversion Factors'!$B45)</f>
        <v>0.10941381000000001</v>
      </c>
      <c r="O98" s="981">
        <f>+O45*(1+'Conversion Factors'!$B45)</f>
        <v>0.26970928</v>
      </c>
      <c r="P98" s="981">
        <f>+P45*(1+'Conversion Factors'!$B45)</f>
        <v>6.4379999999999993E-2</v>
      </c>
      <c r="Q98" s="981">
        <f>+Q45*(1+'Conversion Factors'!$B45)</f>
        <v>1.2976593750000001</v>
      </c>
      <c r="R98" s="784">
        <f t="shared" si="49"/>
        <v>188.55963328699352</v>
      </c>
      <c r="S98" s="1182">
        <f>+S45*(1+'Conversion Factors'!$B45)</f>
        <v>0</v>
      </c>
      <c r="T98" s="276">
        <f>+T45*(1+'Conversion Factors'!$B45)</f>
        <v>57.552485002635116</v>
      </c>
      <c r="U98" s="784">
        <f t="shared" si="50"/>
        <v>57.552485002635116</v>
      </c>
      <c r="V98" s="784">
        <f t="shared" si="51"/>
        <v>246.11211828962863</v>
      </c>
      <c r="X98" s="176">
        <v>2034</v>
      </c>
      <c r="Y98" s="1081">
        <f>+Y45*(1+'Conversion Factors'!$C45)</f>
        <v>25.879217353504526</v>
      </c>
      <c r="Z98" s="1082">
        <f>+Z45*(1+'Conversion Factors'!$C45)</f>
        <v>1.4592800000000001</v>
      </c>
      <c r="AA98" s="1082">
        <f>+AA45*(1+'Conversion Factors'!$C45)</f>
        <v>7.7726771067256699</v>
      </c>
      <c r="AB98" s="276">
        <f>+AB45*(1+'Conversion Factors'!$C45)</f>
        <v>42.574236604304964</v>
      </c>
      <c r="AC98" s="276">
        <f>+AC45*(1+'Conversion Factors'!$C45)</f>
        <v>11.430944984577527</v>
      </c>
      <c r="AD98" s="276">
        <f>+AD45*(1+'Conversion Factors'!$C45)</f>
        <v>52.408921893920137</v>
      </c>
      <c r="AE98" s="276">
        <f>+AE45*(1+'Conversion Factors'!$C45)</f>
        <v>378.57694231065739</v>
      </c>
      <c r="AF98" s="981">
        <f>+AF45*(1+'Conversion Factors'!$C45)</f>
        <v>51.773116454510834</v>
      </c>
      <c r="AG98" s="276">
        <f>+AG45*(1+'Conversion Factors'!$C45)</f>
        <v>11.453738499999996</v>
      </c>
      <c r="AH98" s="276">
        <f>+AH45*(1+'Conversion Factors'!$C45)</f>
        <v>0.14622629400000001</v>
      </c>
      <c r="AI98" s="276">
        <f>+AI45*(1+'Conversion Factors'!$C45)</f>
        <v>2.6678385280000003</v>
      </c>
      <c r="AJ98" s="276">
        <f>+AJ45*(1+'Conversion Factors'!$C45)</f>
        <v>0.6179914136883855</v>
      </c>
      <c r="AK98" s="276">
        <f>+AK45*(1+'Conversion Factors'!$C45)</f>
        <v>0.100548684</v>
      </c>
      <c r="AL98" s="981">
        <f>+AL45*(1+'Conversion Factors'!$C45)</f>
        <v>0.13321295</v>
      </c>
      <c r="AM98" s="981">
        <f>+AM45*(1+'Conversion Factors'!$C45)</f>
        <v>0.11323369</v>
      </c>
      <c r="AN98" s="981">
        <f>+AN45*(1+'Conversion Factors'!$C45)</f>
        <v>0</v>
      </c>
      <c r="AO98" s="277">
        <f t="shared" si="52"/>
        <v>587.10812676788953</v>
      </c>
      <c r="AP98" s="1182">
        <f>+AP45*(1+'Conversion Factors'!$C45)</f>
        <v>0</v>
      </c>
      <c r="AQ98" s="276">
        <f>+AQ45*(1+'Conversion Factors'!$C45)</f>
        <v>86.937201935126836</v>
      </c>
      <c r="AR98" s="277">
        <f t="shared" si="53"/>
        <v>86.937201935126836</v>
      </c>
      <c r="AS98" s="277">
        <f t="shared" si="54"/>
        <v>674.04532870301637</v>
      </c>
      <c r="AU98" s="176">
        <v>2034</v>
      </c>
      <c r="AV98" s="1081">
        <f>+AV45*(1+'Conversion Factors'!$D45)</f>
        <v>87.684004071484097</v>
      </c>
      <c r="AW98" s="1082">
        <f>+AW45*(1+'Conversion Factors'!$D45)</f>
        <v>3.4531200000000002</v>
      </c>
      <c r="AX98" s="1082">
        <f>+AX45*(1+'Conversion Factors'!$D45)</f>
        <v>30.152942581030793</v>
      </c>
      <c r="AY98" s="276">
        <f>+AY45*(1+'Conversion Factors'!$D45)</f>
        <v>81.839220655107837</v>
      </c>
      <c r="AZ98" s="276">
        <f>+AZ45*(1+'Conversion Factors'!$D45)</f>
        <v>37.968465548413093</v>
      </c>
      <c r="BA98" s="276">
        <f>+BA45*(1+'Conversion Factors'!$D45)</f>
        <v>186.08043596806473</v>
      </c>
      <c r="BB98" s="276">
        <f>+BB45*(1+'Conversion Factors'!$D45)</f>
        <v>256.38435907346695</v>
      </c>
      <c r="BC98" s="981">
        <f>+BC45*(1+'Conversion Factors'!$D45)</f>
        <v>69.22094307344031</v>
      </c>
      <c r="BD98" s="276">
        <f>+BD45*(1+'Conversion Factors'!$D45)</f>
        <v>25.659458351999994</v>
      </c>
      <c r="BE98" s="276">
        <f>+BE45*(1+'Conversion Factors'!$D45)</f>
        <v>0.31797427199999995</v>
      </c>
      <c r="BF98" s="276">
        <f>+BF45*(1+'Conversion Factors'!$D45)</f>
        <v>14.154115007999994</v>
      </c>
      <c r="BG98" s="276">
        <f>+BG45*(1+'Conversion Factors'!$D45)</f>
        <v>4.650016435036826</v>
      </c>
      <c r="BH98" s="276">
        <f>+BH45*(1+'Conversion Factors'!$D45)</f>
        <v>0.27850099200000011</v>
      </c>
      <c r="BI98" s="981">
        <f>+BI45*(1+'Conversion Factors'!$D45)</f>
        <v>0.38387711999999996</v>
      </c>
      <c r="BJ98" s="981">
        <f>+BJ45*(1+'Conversion Factors'!$D45)</f>
        <v>0.50181120000000001</v>
      </c>
      <c r="BK98" s="981">
        <f>+BK45*(1+'Conversion Factors'!$D45)</f>
        <v>3.59511768</v>
      </c>
      <c r="BL98" s="277">
        <f t="shared" si="55"/>
        <v>802.32436203004477</v>
      </c>
      <c r="BM98" s="1182">
        <f>+BM45*(1+'Conversion Factors'!$D45)</f>
        <v>0</v>
      </c>
      <c r="BN98" s="276">
        <f>+BN45*(1+'Conversion Factors'!$D45)</f>
        <v>9.5549538402352958</v>
      </c>
      <c r="BO98" s="277">
        <f t="shared" si="56"/>
        <v>9.5549538402352958</v>
      </c>
      <c r="BP98" s="277">
        <f t="shared" si="57"/>
        <v>811.87931587028004</v>
      </c>
      <c r="BT98" s="1176">
        <f t="shared" si="58"/>
        <v>566.70305500294307</v>
      </c>
      <c r="BU98" s="1176">
        <f t="shared" si="59"/>
        <v>245.17626086733696</v>
      </c>
      <c r="BV98" s="1176">
        <f>+BT98+'ComInd Summary'!DA98</f>
        <v>853.12432031877984</v>
      </c>
      <c r="BW98" s="1176">
        <f>+BU98+'ComInd Summary'!DB98</f>
        <v>412.07369844889405</v>
      </c>
    </row>
    <row r="99" spans="1:78" x14ac:dyDescent="0.2">
      <c r="A99" s="176">
        <v>2035</v>
      </c>
      <c r="B99" s="1081">
        <f>+B46*(1+'Conversion Factors'!$B46)</f>
        <v>16.756073465223224</v>
      </c>
      <c r="C99" s="1082">
        <f>+C46*(1+'Conversion Factors'!$B46)</f>
        <v>1.04081</v>
      </c>
      <c r="D99" s="1082">
        <f>+D46*(1+'Conversion Factors'!$B46)</f>
        <v>7.3901947211507304</v>
      </c>
      <c r="E99" s="276">
        <f>+E46*(1+'Conversion Factors'!$B46)</f>
        <v>35.725275209106883</v>
      </c>
      <c r="F99" s="276">
        <f>+F46*(1+'Conversion Factors'!$B46)</f>
        <v>12.511375317550382</v>
      </c>
      <c r="G99" s="276">
        <f>+G46*(1+'Conversion Factors'!$B46)</f>
        <v>41.028474656072163</v>
      </c>
      <c r="H99" s="276">
        <f>+H46*(1+'Conversion Factors'!$B46)</f>
        <v>35.086309802897539</v>
      </c>
      <c r="I99" s="981">
        <f>+I46*(1+'Conversion Factors'!$B46)</f>
        <v>26.325863335638481</v>
      </c>
      <c r="J99" s="276">
        <f>+J46*(1+'Conversion Factors'!$B46)</f>
        <v>8.6909367894999967</v>
      </c>
      <c r="K99" s="276">
        <f>+K46*(1+'Conversion Factors'!$B46)</f>
        <v>8.7552507999999973E-2</v>
      </c>
      <c r="L99" s="276">
        <f>+L46*(1+'Conversion Factors'!$B46)</f>
        <v>4.5123968825</v>
      </c>
      <c r="M99" s="276">
        <f>+M46*(1+'Conversion Factors'!$B46)</f>
        <v>0.36412296035410785</v>
      </c>
      <c r="N99" s="276">
        <f>+N46*(1+'Conversion Factors'!$B46)</f>
        <v>0.11585181000000003</v>
      </c>
      <c r="O99" s="981">
        <f>+O46*(1+'Conversion Factors'!$B46)</f>
        <v>0.26970928</v>
      </c>
      <c r="P99" s="981">
        <f>+P46*(1+'Conversion Factors'!$B46)</f>
        <v>6.4379999999999993E-2</v>
      </c>
      <c r="Q99" s="981">
        <f>+Q46*(1+'Conversion Factors'!$B46)</f>
        <v>1.2976593750000001</v>
      </c>
      <c r="R99" s="784">
        <f t="shared" ref="R99:R105" si="60">SUM(B99:Q99)</f>
        <v>191.26698611299349</v>
      </c>
      <c r="S99" s="1182">
        <f>+S46*(1+'Conversion Factors'!$B46)</f>
        <v>0</v>
      </c>
      <c r="T99" s="276">
        <f>+T46*(1+'Conversion Factors'!$B46)</f>
        <v>60.251080002635113</v>
      </c>
      <c r="U99" s="784">
        <f t="shared" ref="U99:U105" si="61">+S99+T99</f>
        <v>60.251080002635113</v>
      </c>
      <c r="V99" s="784">
        <f t="shared" ref="V99:V105" si="62">+U99+R99</f>
        <v>251.51806611562861</v>
      </c>
      <c r="X99" s="176">
        <v>2035</v>
      </c>
      <c r="Y99" s="1081">
        <f>+Y46*(1+'Conversion Factors'!$C46)</f>
        <v>25.879217353504526</v>
      </c>
      <c r="Z99" s="1082">
        <f>+Z46*(1+'Conversion Factors'!$C46)</f>
        <v>1.4592800000000001</v>
      </c>
      <c r="AA99" s="1082">
        <f>+AA46*(1+'Conversion Factors'!$C46)</f>
        <v>7.7726771067256699</v>
      </c>
      <c r="AB99" s="276">
        <f>+AB46*(1+'Conversion Factors'!$C46)</f>
        <v>42.690657104304968</v>
      </c>
      <c r="AC99" s="276">
        <f>+AC46*(1+'Conversion Factors'!$C46)</f>
        <v>11.562387484577528</v>
      </c>
      <c r="AD99" s="276">
        <f>+AD46*(1+'Conversion Factors'!$C46)</f>
        <v>54.940128893920139</v>
      </c>
      <c r="AE99" s="276">
        <f>+AE46*(1+'Conversion Factors'!$C46)</f>
        <v>378.75559681065738</v>
      </c>
      <c r="AF99" s="981">
        <f>+AF46*(1+'Conversion Factors'!$C46)</f>
        <v>51.773116454510834</v>
      </c>
      <c r="AG99" s="276">
        <f>+AG46*(1+'Conversion Factors'!$C46)</f>
        <v>12.049253499999995</v>
      </c>
      <c r="AH99" s="276">
        <f>+AH46*(1+'Conversion Factors'!$C46)</f>
        <v>0.153016238</v>
      </c>
      <c r="AI99" s="276">
        <f>+AI46*(1+'Conversion Factors'!$C46)</f>
        <v>2.7815765280000004</v>
      </c>
      <c r="AJ99" s="276">
        <f>+AJ46*(1+'Conversion Factors'!$C46)</f>
        <v>0.64267041368838551</v>
      </c>
      <c r="AK99" s="276">
        <f>+AK46*(1+'Conversion Factors'!$C46)</f>
        <v>0.106643324</v>
      </c>
      <c r="AL99" s="981">
        <f>+AL46*(1+'Conversion Factors'!$C46)</f>
        <v>0.13321295</v>
      </c>
      <c r="AM99" s="981">
        <f>+AM46*(1+'Conversion Factors'!$C46)</f>
        <v>0.11323369</v>
      </c>
      <c r="AN99" s="981">
        <f>+AN46*(1+'Conversion Factors'!$C46)</f>
        <v>0</v>
      </c>
      <c r="AO99" s="277">
        <f t="shared" ref="AO99:AO105" si="63">SUM(Y99:AN99)</f>
        <v>590.81266785188927</v>
      </c>
      <c r="AP99" s="1182">
        <f>+AP46*(1+'Conversion Factors'!$C46)</f>
        <v>0</v>
      </c>
      <c r="AQ99" s="276">
        <f>+AQ46*(1+'Conversion Factors'!$C46)</f>
        <v>91.140679435126842</v>
      </c>
      <c r="AR99" s="277">
        <f t="shared" ref="AR99:AR105" si="64">+AP99+AQ99</f>
        <v>91.140679435126842</v>
      </c>
      <c r="AS99" s="277">
        <f t="shared" ref="AS99:AS105" si="65">+AR99+AO99</f>
        <v>681.95334728701607</v>
      </c>
      <c r="AU99" s="176">
        <v>2035</v>
      </c>
      <c r="AV99" s="1081">
        <f>+AV46*(1+'Conversion Factors'!$D46)</f>
        <v>87.684004071484097</v>
      </c>
      <c r="AW99" s="1082">
        <f>+AW46*(1+'Conversion Factors'!$D46)</f>
        <v>3.4531200000000002</v>
      </c>
      <c r="AX99" s="1082">
        <f>+AX46*(1+'Conversion Factors'!$D46)</f>
        <v>30.152942581030793</v>
      </c>
      <c r="AY99" s="276">
        <f>+AY46*(1+'Conversion Factors'!$D46)</f>
        <v>81.996564655107832</v>
      </c>
      <c r="AZ99" s="276">
        <f>+AZ46*(1+'Conversion Factors'!$D46)</f>
        <v>38.625561548413096</v>
      </c>
      <c r="BA99" s="276">
        <f>+BA46*(1+'Conversion Factors'!$D46)</f>
        <v>195.11345996806475</v>
      </c>
      <c r="BB99" s="276">
        <f>+BB46*(1+'Conversion Factors'!$D46)</f>
        <v>256.58024707346692</v>
      </c>
      <c r="BC99" s="981">
        <f>+BC46*(1+'Conversion Factors'!$D46)</f>
        <v>69.22094307344031</v>
      </c>
      <c r="BD99" s="276">
        <f>+BD46*(1+'Conversion Factors'!$D46)</f>
        <v>27.002690351999991</v>
      </c>
      <c r="BE99" s="276">
        <f>+BE46*(1+'Conversion Factors'!$D46)</f>
        <v>0.32977190399999995</v>
      </c>
      <c r="BF99" s="276">
        <f>+BF46*(1+'Conversion Factors'!$D46)</f>
        <v>14.746003007999994</v>
      </c>
      <c r="BG99" s="276">
        <f>+BG46*(1+'Conversion Factors'!$D46)</f>
        <v>4.8305924350368263</v>
      </c>
      <c r="BH99" s="276">
        <f>+BH46*(1+'Conversion Factors'!$D46)</f>
        <v>0.29489011200000009</v>
      </c>
      <c r="BI99" s="981">
        <f>+BI46*(1+'Conversion Factors'!$D46)</f>
        <v>0.38387711999999996</v>
      </c>
      <c r="BJ99" s="981">
        <f>+BJ46*(1+'Conversion Factors'!$D46)</f>
        <v>0.50181120000000001</v>
      </c>
      <c r="BK99" s="981">
        <f>+BK46*(1+'Conversion Factors'!$D46)</f>
        <v>3.59511768</v>
      </c>
      <c r="BL99" s="277">
        <f t="shared" ref="BL99:BL105" si="66">SUM(AV99:BK99)</f>
        <v>814.51159678204465</v>
      </c>
      <c r="BM99" s="1182">
        <f>+BM46*(1+'Conversion Factors'!$D46)</f>
        <v>0</v>
      </c>
      <c r="BN99" s="276">
        <f>+BN46*(1+'Conversion Factors'!$D46)</f>
        <v>9.8743938402352978</v>
      </c>
      <c r="BO99" s="277">
        <f t="shared" ref="BO99:BO105" si="67">+BM99+BN99</f>
        <v>9.8743938402352978</v>
      </c>
      <c r="BP99" s="277">
        <f t="shared" ref="BP99:BP105" si="68">+BO99+BL99</f>
        <v>824.38599062227991</v>
      </c>
      <c r="BT99" s="1176">
        <f t="shared" ref="BT99:BT105" si="69">+AV99+AW99+AX99+AY99+BB99+BC99+AZ99</f>
        <v>567.71338300294303</v>
      </c>
      <c r="BU99" s="1176">
        <f t="shared" ref="BU99:BU105" si="70">+BP99-BT99</f>
        <v>256.67260761933687</v>
      </c>
      <c r="BV99" s="1176">
        <f>+BT99+'ComInd Summary'!DA99</f>
        <v>854.47093726071262</v>
      </c>
      <c r="BW99" s="1176">
        <f>+BU99+'ComInd Summary'!DB99</f>
        <v>429.41179068089394</v>
      </c>
    </row>
    <row r="100" spans="1:78" x14ac:dyDescent="0.2">
      <c r="A100" s="176">
        <v>2036</v>
      </c>
      <c r="B100" s="1081">
        <f>+B47*(1+'Conversion Factors'!$B47)</f>
        <v>16.756073465223224</v>
      </c>
      <c r="C100" s="1082">
        <f>+C47*(1+'Conversion Factors'!$B47)</f>
        <v>1.04081</v>
      </c>
      <c r="D100" s="1082">
        <f>+D47*(1+'Conversion Factors'!$B47)</f>
        <v>7.3901947211507304</v>
      </c>
      <c r="E100" s="276">
        <f>+E47*(1+'Conversion Factors'!$B47)</f>
        <v>35.817016709106888</v>
      </c>
      <c r="F100" s="276">
        <f>+F47*(1+'Conversion Factors'!$B47)</f>
        <v>12.65381606755038</v>
      </c>
      <c r="G100" s="276">
        <f>+G47*(1+'Conversion Factors'!$B47)</f>
        <v>42.838625656072161</v>
      </c>
      <c r="H100" s="276">
        <f>+H47*(1+'Conversion Factors'!$B47)</f>
        <v>35.141032802897541</v>
      </c>
      <c r="I100" s="981">
        <f>+I47*(1+'Conversion Factors'!$B47)</f>
        <v>26.325863335638481</v>
      </c>
      <c r="J100" s="276">
        <f>+J47*(1+'Conversion Factors'!$B47)</f>
        <v>9.1094067894999977</v>
      </c>
      <c r="K100" s="276">
        <f>+K47*(1+'Conversion Factors'!$B47)</f>
        <v>9.0677083999999963E-2</v>
      </c>
      <c r="L100" s="276">
        <f>+L47*(1+'Conversion Factors'!$B47)</f>
        <v>4.6792483825</v>
      </c>
      <c r="M100" s="276">
        <f>+M47*(1+'Conversion Factors'!$B47)</f>
        <v>0.37753546035410784</v>
      </c>
      <c r="N100" s="276">
        <f>+N47*(1+'Conversion Factors'!$B47)</f>
        <v>0.12228981000000003</v>
      </c>
      <c r="O100" s="981">
        <f>+O47*(1+'Conversion Factors'!$B47)</f>
        <v>0.26970928</v>
      </c>
      <c r="P100" s="981">
        <f>+P47*(1+'Conversion Factors'!$B47)</f>
        <v>6.4379999999999993E-2</v>
      </c>
      <c r="Q100" s="981">
        <f>+Q47*(1+'Conversion Factors'!$B47)</f>
        <v>1.2976593750000001</v>
      </c>
      <c r="R100" s="784">
        <f t="shared" si="60"/>
        <v>193.97433893899347</v>
      </c>
      <c r="S100" s="1182">
        <f>+S47*(1+'Conversion Factors'!$B47)</f>
        <v>0</v>
      </c>
      <c r="T100" s="276">
        <f>+T47*(1+'Conversion Factors'!$B47)</f>
        <v>62.949675002635118</v>
      </c>
      <c r="U100" s="784">
        <f t="shared" si="61"/>
        <v>62.949675002635118</v>
      </c>
      <c r="V100" s="784">
        <f t="shared" si="62"/>
        <v>256.92401394162857</v>
      </c>
      <c r="X100" s="176">
        <v>2036</v>
      </c>
      <c r="Y100" s="1081">
        <f>+Y47*(1+'Conversion Factors'!$C47)</f>
        <v>25.879217353504526</v>
      </c>
      <c r="Z100" s="1082">
        <f>+Z47*(1+'Conversion Factors'!$C47)</f>
        <v>1.4592800000000001</v>
      </c>
      <c r="AA100" s="1082">
        <f>+AA47*(1+'Conversion Factors'!$C47)</f>
        <v>7.7726771067256699</v>
      </c>
      <c r="AB100" s="276">
        <f>+AB47*(1+'Conversion Factors'!$C47)</f>
        <v>42.807077604304965</v>
      </c>
      <c r="AC100" s="276">
        <f>+AC47*(1+'Conversion Factors'!$C47)</f>
        <v>11.693829984577528</v>
      </c>
      <c r="AD100" s="276">
        <f>+AD47*(1+'Conversion Factors'!$C47)</f>
        <v>57.471335893920141</v>
      </c>
      <c r="AE100" s="276">
        <f>+AE47*(1+'Conversion Factors'!$C47)</f>
        <v>378.93425131065737</v>
      </c>
      <c r="AF100" s="981">
        <f>+AF47*(1+'Conversion Factors'!$C47)</f>
        <v>51.773116454510834</v>
      </c>
      <c r="AG100" s="276">
        <f>+AG47*(1+'Conversion Factors'!$C47)</f>
        <v>12.644768499999994</v>
      </c>
      <c r="AH100" s="276">
        <f>+AH47*(1+'Conversion Factors'!$C47)</f>
        <v>0.15980618199999999</v>
      </c>
      <c r="AI100" s="276">
        <f>+AI47*(1+'Conversion Factors'!$C47)</f>
        <v>2.8953145280000001</v>
      </c>
      <c r="AJ100" s="276">
        <f>+AJ47*(1+'Conversion Factors'!$C47)</f>
        <v>0.66734941368838563</v>
      </c>
      <c r="AK100" s="276">
        <f>+AK47*(1+'Conversion Factors'!$C47)</f>
        <v>0.11273796400000001</v>
      </c>
      <c r="AL100" s="981">
        <f>+AL47*(1+'Conversion Factors'!$C47)</f>
        <v>0.13321295</v>
      </c>
      <c r="AM100" s="981">
        <f>+AM47*(1+'Conversion Factors'!$C47)</f>
        <v>0.11323369</v>
      </c>
      <c r="AN100" s="981">
        <f>+AN47*(1+'Conversion Factors'!$C47)</f>
        <v>0</v>
      </c>
      <c r="AO100" s="277">
        <f t="shared" si="63"/>
        <v>594.51720893588936</v>
      </c>
      <c r="AP100" s="1182">
        <f>+AP47*(1+'Conversion Factors'!$C47)</f>
        <v>0</v>
      </c>
      <c r="AQ100" s="276">
        <f>+AQ47*(1+'Conversion Factors'!$C47)</f>
        <v>95.344156935126847</v>
      </c>
      <c r="AR100" s="277">
        <f t="shared" si="64"/>
        <v>95.344156935126847</v>
      </c>
      <c r="AS100" s="277">
        <f t="shared" si="65"/>
        <v>689.86136587101623</v>
      </c>
      <c r="AT100" s="1401">
        <f>AO100-AO80</f>
        <v>75.259079400999667</v>
      </c>
      <c r="AU100" s="176">
        <v>2036</v>
      </c>
      <c r="AV100" s="1081">
        <f>+AV47*(1+'Conversion Factors'!$D47)</f>
        <v>87.684004071484097</v>
      </c>
      <c r="AW100" s="1082">
        <f>+AW47*(1+'Conversion Factors'!$D47)</f>
        <v>3.4531200000000002</v>
      </c>
      <c r="AX100" s="1082">
        <f>+AX47*(1+'Conversion Factors'!$D47)</f>
        <v>30.152942581030793</v>
      </c>
      <c r="AY100" s="276">
        <f>+AY47*(1+'Conversion Factors'!$D47)</f>
        <v>82.153908655107827</v>
      </c>
      <c r="AZ100" s="276">
        <f>+AZ47*(1+'Conversion Factors'!$D47)</f>
        <v>39.282657548413098</v>
      </c>
      <c r="BA100" s="276">
        <f>+BA47*(1+'Conversion Factors'!$D47)</f>
        <v>204.14648396806476</v>
      </c>
      <c r="BB100" s="276">
        <f>+BB47*(1+'Conversion Factors'!$D47)</f>
        <v>256.77613507346689</v>
      </c>
      <c r="BC100" s="981">
        <f>+BC47*(1+'Conversion Factors'!$D47)</f>
        <v>69.22094307344031</v>
      </c>
      <c r="BD100" s="276">
        <f>+BD47*(1+'Conversion Factors'!$D47)</f>
        <v>28.345922351999992</v>
      </c>
      <c r="BE100" s="276">
        <f>+BE47*(1+'Conversion Factors'!$D47)</f>
        <v>0.34156953600000001</v>
      </c>
      <c r="BF100" s="276">
        <f>+BF47*(1+'Conversion Factors'!$D47)</f>
        <v>15.337891007999994</v>
      </c>
      <c r="BG100" s="276">
        <f>+BG47*(1+'Conversion Factors'!$D47)</f>
        <v>5.0111684350368266</v>
      </c>
      <c r="BH100" s="276">
        <f>+BH47*(1+'Conversion Factors'!$D47)</f>
        <v>0.31127923200000007</v>
      </c>
      <c r="BI100" s="981">
        <f>+BI47*(1+'Conversion Factors'!$D47)</f>
        <v>0.38387711999999996</v>
      </c>
      <c r="BJ100" s="981">
        <f>+BJ47*(1+'Conversion Factors'!$D47)</f>
        <v>0.50181120000000001</v>
      </c>
      <c r="BK100" s="981">
        <f>+BK47*(1+'Conversion Factors'!$D47)</f>
        <v>3.59511768</v>
      </c>
      <c r="BL100" s="277">
        <f t="shared" si="66"/>
        <v>826.69883153404453</v>
      </c>
      <c r="BM100" s="1182">
        <f>+BM47*(1+'Conversion Factors'!$D47)</f>
        <v>0</v>
      </c>
      <c r="BN100" s="276">
        <f>+BN47*(1+'Conversion Factors'!$D47)</f>
        <v>10.193833840235298</v>
      </c>
      <c r="BO100" s="277">
        <f t="shared" si="67"/>
        <v>10.193833840235298</v>
      </c>
      <c r="BP100" s="277">
        <f t="shared" si="68"/>
        <v>836.89266537427977</v>
      </c>
      <c r="BT100" s="1176">
        <f t="shared" si="69"/>
        <v>568.72371100294311</v>
      </c>
      <c r="BU100" s="1176">
        <f t="shared" si="70"/>
        <v>268.16895437133667</v>
      </c>
      <c r="BV100" s="1176">
        <f>+BT100+'ComInd Summary'!DA100</f>
        <v>855.81755630664532</v>
      </c>
      <c r="BW100" s="1176">
        <f>+BU100+'ComInd Summary'!DB100</f>
        <v>446.74988291289367</v>
      </c>
    </row>
    <row r="101" spans="1:78" x14ac:dyDescent="0.2">
      <c r="A101" s="176">
        <v>2037</v>
      </c>
      <c r="B101" s="1081">
        <f>+B48*(1+'Conversion Factors'!$B48)</f>
        <v>16.756073465223224</v>
      </c>
      <c r="C101" s="1082">
        <f>+C48*(1+'Conversion Factors'!$B48)</f>
        <v>1.04081</v>
      </c>
      <c r="D101" s="1082">
        <f>+D48*(1+'Conversion Factors'!$B48)</f>
        <v>7.3901947211507304</v>
      </c>
      <c r="E101" s="276">
        <f>+E48*(1+'Conversion Factors'!$B48)</f>
        <v>35.908758209106892</v>
      </c>
      <c r="F101" s="276">
        <f>+F48*(1+'Conversion Factors'!$B48)</f>
        <v>12.796256817550381</v>
      </c>
      <c r="G101" s="276">
        <f>+G48*(1+'Conversion Factors'!$B48)</f>
        <v>44.648776656072158</v>
      </c>
      <c r="H101" s="276">
        <f>+H48*(1+'Conversion Factors'!$B48)</f>
        <v>35.195755802897544</v>
      </c>
      <c r="I101" s="981">
        <f>+I48*(1+'Conversion Factors'!$B48)</f>
        <v>26.325863335638481</v>
      </c>
      <c r="J101" s="276">
        <f>+J48*(1+'Conversion Factors'!$B48)</f>
        <v>9.5278767894999987</v>
      </c>
      <c r="K101" s="276">
        <f>+K48*(1+'Conversion Factors'!$B48)</f>
        <v>9.3801659999999967E-2</v>
      </c>
      <c r="L101" s="276">
        <f>+L48*(1+'Conversion Factors'!$B48)</f>
        <v>4.8460998824999999</v>
      </c>
      <c r="M101" s="276">
        <f>+M48*(1+'Conversion Factors'!$B48)</f>
        <v>0.39094796035410784</v>
      </c>
      <c r="N101" s="276">
        <f>+N48*(1+'Conversion Factors'!$B48)</f>
        <v>0.12872781000000003</v>
      </c>
      <c r="O101" s="981">
        <f>+O48*(1+'Conversion Factors'!$B48)</f>
        <v>0.26970928</v>
      </c>
      <c r="P101" s="981">
        <f>+P48*(1+'Conversion Factors'!$B48)</f>
        <v>6.4379999999999993E-2</v>
      </c>
      <c r="Q101" s="981">
        <f>+Q48*(1+'Conversion Factors'!$B48)</f>
        <v>1.2976593750000001</v>
      </c>
      <c r="R101" s="784">
        <f t="shared" si="60"/>
        <v>196.6816917649935</v>
      </c>
      <c r="S101" s="1182">
        <f>+S48*(1+'Conversion Factors'!$B48)</f>
        <v>0</v>
      </c>
      <c r="T101" s="276">
        <f>+T48*(1+'Conversion Factors'!$B48)</f>
        <v>65.648270002635115</v>
      </c>
      <c r="U101" s="784">
        <f t="shared" si="61"/>
        <v>65.648270002635115</v>
      </c>
      <c r="V101" s="784">
        <f t="shared" si="62"/>
        <v>262.32996176762862</v>
      </c>
      <c r="X101" s="176">
        <v>2037</v>
      </c>
      <c r="Y101" s="1081">
        <f>+Y48*(1+'Conversion Factors'!$C48)</f>
        <v>25.879217353504526</v>
      </c>
      <c r="Z101" s="1082">
        <f>+Z48*(1+'Conversion Factors'!$C48)</f>
        <v>1.4592800000000001</v>
      </c>
      <c r="AA101" s="1082">
        <f>+AA48*(1+'Conversion Factors'!$C48)</f>
        <v>7.7726771067256699</v>
      </c>
      <c r="AB101" s="276">
        <f>+AB48*(1+'Conversion Factors'!$C48)</f>
        <v>42.923498104304961</v>
      </c>
      <c r="AC101" s="276">
        <f>+AC48*(1+'Conversion Factors'!$C48)</f>
        <v>11.825272484577528</v>
      </c>
      <c r="AD101" s="276">
        <f>+AD48*(1+'Conversion Factors'!$C48)</f>
        <v>60.002542893920143</v>
      </c>
      <c r="AE101" s="276">
        <f>+AE48*(1+'Conversion Factors'!$C48)</f>
        <v>379.11290581065737</v>
      </c>
      <c r="AF101" s="981">
        <f>+AF48*(1+'Conversion Factors'!$C48)</f>
        <v>51.773116454510834</v>
      </c>
      <c r="AG101" s="276">
        <f>+AG48*(1+'Conversion Factors'!$C48)</f>
        <v>13.240283499999995</v>
      </c>
      <c r="AH101" s="276">
        <f>+AH48*(1+'Conversion Factors'!$C48)</f>
        <v>0.16659612600000001</v>
      </c>
      <c r="AI101" s="276">
        <f>+AI48*(1+'Conversion Factors'!$C48)</f>
        <v>3.0090525280000002</v>
      </c>
      <c r="AJ101" s="276">
        <f>+AJ48*(1+'Conversion Factors'!$C48)</f>
        <v>0.69202841368838564</v>
      </c>
      <c r="AK101" s="276">
        <f>+AK48*(1+'Conversion Factors'!$C48)</f>
        <v>0.11883260400000001</v>
      </c>
      <c r="AL101" s="981">
        <f>+AL48*(1+'Conversion Factors'!$C48)</f>
        <v>0.13321295</v>
      </c>
      <c r="AM101" s="981">
        <f>+AM48*(1+'Conversion Factors'!$C48)</f>
        <v>0.11323369</v>
      </c>
      <c r="AN101" s="981">
        <f>+AN48*(1+'Conversion Factors'!$C48)</f>
        <v>0</v>
      </c>
      <c r="AO101" s="277">
        <f t="shared" si="63"/>
        <v>598.22175001988944</v>
      </c>
      <c r="AP101" s="1182">
        <f>+AP48*(1+'Conversion Factors'!$C48)</f>
        <v>0</v>
      </c>
      <c r="AQ101" s="276">
        <f>+AQ48*(1+'Conversion Factors'!$C48)</f>
        <v>99.547634435126852</v>
      </c>
      <c r="AR101" s="277">
        <f t="shared" si="64"/>
        <v>99.547634435126852</v>
      </c>
      <c r="AS101" s="277">
        <f t="shared" si="65"/>
        <v>697.76938445501628</v>
      </c>
      <c r="AU101" s="176">
        <v>2037</v>
      </c>
      <c r="AV101" s="1081">
        <f>+AV48*(1+'Conversion Factors'!$D48)</f>
        <v>87.684004071484097</v>
      </c>
      <c r="AW101" s="1082">
        <f>+AW48*(1+'Conversion Factors'!$D48)</f>
        <v>3.4531200000000002</v>
      </c>
      <c r="AX101" s="1082">
        <f>+AX48*(1+'Conversion Factors'!$D48)</f>
        <v>30.152942581030793</v>
      </c>
      <c r="AY101" s="276">
        <f>+AY48*(1+'Conversion Factors'!$D48)</f>
        <v>82.311252655107836</v>
      </c>
      <c r="AZ101" s="276">
        <f>+AZ48*(1+'Conversion Factors'!$D48)</f>
        <v>39.939753548413094</v>
      </c>
      <c r="BA101" s="276">
        <f>+BA48*(1+'Conversion Factors'!$D48)</f>
        <v>213.17950796806477</v>
      </c>
      <c r="BB101" s="276">
        <f>+BB48*(1+'Conversion Factors'!$D48)</f>
        <v>256.97202307346691</v>
      </c>
      <c r="BC101" s="981">
        <f>+BC48*(1+'Conversion Factors'!$D48)</f>
        <v>69.22094307344031</v>
      </c>
      <c r="BD101" s="276">
        <f>+BD48*(1+'Conversion Factors'!$D48)</f>
        <v>29.689154351999989</v>
      </c>
      <c r="BE101" s="276">
        <f>+BE48*(1+'Conversion Factors'!$D48)</f>
        <v>0.35336716800000001</v>
      </c>
      <c r="BF101" s="276">
        <f>+BF48*(1+'Conversion Factors'!$D48)</f>
        <v>15.929779007999993</v>
      </c>
      <c r="BG101" s="276">
        <f>+BG48*(1+'Conversion Factors'!$D48)</f>
        <v>5.1917444350368269</v>
      </c>
      <c r="BH101" s="276">
        <f>+BH48*(1+'Conversion Factors'!$D48)</f>
        <v>0.32766835200000005</v>
      </c>
      <c r="BI101" s="981">
        <f>+BI48*(1+'Conversion Factors'!$D48)</f>
        <v>0.38387711999999996</v>
      </c>
      <c r="BJ101" s="981">
        <f>+BJ48*(1+'Conversion Factors'!$D48)</f>
        <v>0.50181120000000001</v>
      </c>
      <c r="BK101" s="981">
        <f>+BK48*(1+'Conversion Factors'!$D48)</f>
        <v>3.59511768</v>
      </c>
      <c r="BL101" s="277">
        <f t="shared" si="66"/>
        <v>838.88606628604475</v>
      </c>
      <c r="BM101" s="1182">
        <f>+BM48*(1+'Conversion Factors'!$D48)</f>
        <v>0</v>
      </c>
      <c r="BN101" s="276">
        <f>+BN48*(1+'Conversion Factors'!$D48)</f>
        <v>10.513273840235298</v>
      </c>
      <c r="BO101" s="277">
        <f t="shared" si="67"/>
        <v>10.513273840235298</v>
      </c>
      <c r="BP101" s="277">
        <f t="shared" si="68"/>
        <v>849.39934012628009</v>
      </c>
      <c r="BT101" s="1176">
        <f t="shared" si="69"/>
        <v>569.73403900294306</v>
      </c>
      <c r="BU101" s="1176">
        <f t="shared" si="70"/>
        <v>279.66530112333703</v>
      </c>
      <c r="BV101" s="1176">
        <f>+BT101+'ComInd Summary'!DA101</f>
        <v>857.16417745657805</v>
      </c>
      <c r="BW101" s="1176">
        <f>+BU101+'ComInd Summary'!DB101</f>
        <v>464.08797514489402</v>
      </c>
    </row>
    <row r="102" spans="1:78" x14ac:dyDescent="0.2">
      <c r="A102" s="176">
        <v>2038</v>
      </c>
      <c r="B102" s="1081">
        <f>+B49*(1+'Conversion Factors'!$B49)</f>
        <v>16.756073465223224</v>
      </c>
      <c r="C102" s="1082">
        <f>+C49*(1+'Conversion Factors'!$B49)</f>
        <v>1.04081</v>
      </c>
      <c r="D102" s="1082">
        <f>+D49*(1+'Conversion Factors'!$B49)</f>
        <v>7.3901947211507304</v>
      </c>
      <c r="E102" s="276">
        <f>+E49*(1+'Conversion Factors'!$B49)</f>
        <v>36.000499709106897</v>
      </c>
      <c r="F102" s="276">
        <f>+F49*(1+'Conversion Factors'!$B49)</f>
        <v>12.938697567550379</v>
      </c>
      <c r="G102" s="276">
        <f>+G49*(1+'Conversion Factors'!$B49)</f>
        <v>46.458927656072156</v>
      </c>
      <c r="H102" s="276">
        <f>+H49*(1+'Conversion Factors'!$B49)</f>
        <v>35.250478802897547</v>
      </c>
      <c r="I102" s="981">
        <f>+I49*(1+'Conversion Factors'!$B49)</f>
        <v>26.325863335638481</v>
      </c>
      <c r="J102" s="276">
        <f>+J49*(1+'Conversion Factors'!$B49)</f>
        <v>9.9463467894999997</v>
      </c>
      <c r="K102" s="276">
        <f>+K49*(1+'Conversion Factors'!$B49)</f>
        <v>9.6926235999999957E-2</v>
      </c>
      <c r="L102" s="276">
        <f>+L49*(1+'Conversion Factors'!$B49)</f>
        <v>5.0129513824999998</v>
      </c>
      <c r="M102" s="276">
        <f>+M49*(1+'Conversion Factors'!$B49)</f>
        <v>0.40436046035410789</v>
      </c>
      <c r="N102" s="276">
        <f>+N49*(1+'Conversion Factors'!$B49)</f>
        <v>0.13516581000000003</v>
      </c>
      <c r="O102" s="981">
        <f>+O49*(1+'Conversion Factors'!$B49)</f>
        <v>0.26970928</v>
      </c>
      <c r="P102" s="981">
        <f>+P49*(1+'Conversion Factors'!$B49)</f>
        <v>6.4379999999999993E-2</v>
      </c>
      <c r="Q102" s="981">
        <f>+Q49*(1+'Conversion Factors'!$B49)</f>
        <v>1.2976593750000001</v>
      </c>
      <c r="R102" s="784">
        <f t="shared" si="60"/>
        <v>199.38904459099354</v>
      </c>
      <c r="S102" s="1182">
        <f>+S49*(1+'Conversion Factors'!$B49)</f>
        <v>0</v>
      </c>
      <c r="T102" s="276">
        <f>+T49*(1+'Conversion Factors'!$B49)</f>
        <v>68.346865002635113</v>
      </c>
      <c r="U102" s="784">
        <f t="shared" si="61"/>
        <v>68.346865002635113</v>
      </c>
      <c r="V102" s="784">
        <f t="shared" si="62"/>
        <v>267.73590959362866</v>
      </c>
      <c r="X102" s="176">
        <v>2038</v>
      </c>
      <c r="Y102" s="1081">
        <f>+Y49*(1+'Conversion Factors'!$C49)</f>
        <v>25.879217353504526</v>
      </c>
      <c r="Z102" s="1082">
        <f>+Z49*(1+'Conversion Factors'!$C49)</f>
        <v>1.4592800000000001</v>
      </c>
      <c r="AA102" s="1082">
        <f>+AA49*(1+'Conversion Factors'!$C49)</f>
        <v>7.7726771067256699</v>
      </c>
      <c r="AB102" s="276">
        <f>+AB49*(1+'Conversion Factors'!$C49)</f>
        <v>43.039918604304965</v>
      </c>
      <c r="AC102" s="276">
        <f>+AC49*(1+'Conversion Factors'!$C49)</f>
        <v>11.95671498457753</v>
      </c>
      <c r="AD102" s="276">
        <f>+AD49*(1+'Conversion Factors'!$C49)</f>
        <v>62.533749893920145</v>
      </c>
      <c r="AE102" s="276">
        <f>+AE49*(1+'Conversion Factors'!$C49)</f>
        <v>379.29156031065736</v>
      </c>
      <c r="AF102" s="981">
        <f>+AF49*(1+'Conversion Factors'!$C49)</f>
        <v>51.773116454510834</v>
      </c>
      <c r="AG102" s="276">
        <f>+AG49*(1+'Conversion Factors'!$C49)</f>
        <v>13.835798499999994</v>
      </c>
      <c r="AH102" s="276">
        <f>+AH49*(1+'Conversion Factors'!$C49)</f>
        <v>0.17338607</v>
      </c>
      <c r="AI102" s="276">
        <f>+AI49*(1+'Conversion Factors'!$C49)</f>
        <v>3.1227905279999999</v>
      </c>
      <c r="AJ102" s="276">
        <f>+AJ49*(1+'Conversion Factors'!$C49)</f>
        <v>0.71670741368838564</v>
      </c>
      <c r="AK102" s="276">
        <f>+AK49*(1+'Conversion Factors'!$C49)</f>
        <v>0.12492724400000001</v>
      </c>
      <c r="AL102" s="981">
        <f>+AL49*(1+'Conversion Factors'!$C49)</f>
        <v>0.13321295</v>
      </c>
      <c r="AM102" s="981">
        <f>+AM49*(1+'Conversion Factors'!$C49)</f>
        <v>0.11323369</v>
      </c>
      <c r="AN102" s="981">
        <f>+AN49*(1+'Conversion Factors'!$C49)</f>
        <v>0</v>
      </c>
      <c r="AO102" s="277">
        <f t="shared" si="63"/>
        <v>601.92629110388941</v>
      </c>
      <c r="AP102" s="1182">
        <f>+AP49*(1+'Conversion Factors'!$C49)</f>
        <v>0</v>
      </c>
      <c r="AQ102" s="276">
        <f>+AQ49*(1+'Conversion Factors'!$C49)</f>
        <v>103.75111193512684</v>
      </c>
      <c r="AR102" s="277">
        <f t="shared" si="64"/>
        <v>103.75111193512684</v>
      </c>
      <c r="AS102" s="277">
        <f t="shared" si="65"/>
        <v>705.67740303901621</v>
      </c>
      <c r="AU102" s="176">
        <v>2038</v>
      </c>
      <c r="AV102" s="1081">
        <f>+AV49*(1+'Conversion Factors'!$D49)</f>
        <v>87.684004071484097</v>
      </c>
      <c r="AW102" s="1082">
        <f>+AW49*(1+'Conversion Factors'!$D49)</f>
        <v>3.4531200000000002</v>
      </c>
      <c r="AX102" s="1082">
        <f>+AX49*(1+'Conversion Factors'!$D49)</f>
        <v>30.152942581030793</v>
      </c>
      <c r="AY102" s="276">
        <f>+AY49*(1+'Conversion Factors'!$D49)</f>
        <v>82.468596655107831</v>
      </c>
      <c r="AZ102" s="276">
        <f>+AZ49*(1+'Conversion Factors'!$D49)</f>
        <v>40.596849548413097</v>
      </c>
      <c r="BA102" s="276">
        <f>+BA49*(1+'Conversion Factors'!$D49)</f>
        <v>222.21253196806475</v>
      </c>
      <c r="BB102" s="276">
        <f>+BB49*(1+'Conversion Factors'!$D49)</f>
        <v>257.16791107346688</v>
      </c>
      <c r="BC102" s="981">
        <f>+BC49*(1+'Conversion Factors'!$D49)</f>
        <v>69.22094307344031</v>
      </c>
      <c r="BD102" s="276">
        <f>+BD49*(1+'Conversion Factors'!$D49)</f>
        <v>31.032386351999989</v>
      </c>
      <c r="BE102" s="276">
        <f>+BE49*(1+'Conversion Factors'!$D49)</f>
        <v>0.36516480000000001</v>
      </c>
      <c r="BF102" s="276">
        <f>+BF49*(1+'Conversion Factors'!$D49)</f>
        <v>16.521667007999991</v>
      </c>
      <c r="BG102" s="276">
        <f>+BG49*(1+'Conversion Factors'!$D49)</f>
        <v>5.3723204350368272</v>
      </c>
      <c r="BH102" s="276">
        <f>+BH49*(1+'Conversion Factors'!$D49)</f>
        <v>0.34405747200000003</v>
      </c>
      <c r="BI102" s="981">
        <f>+BI49*(1+'Conversion Factors'!$D49)</f>
        <v>0.38387711999999996</v>
      </c>
      <c r="BJ102" s="981">
        <f>+BJ49*(1+'Conversion Factors'!$D49)</f>
        <v>0.50181120000000001</v>
      </c>
      <c r="BK102" s="981">
        <f>+BK49*(1+'Conversion Factors'!$D49)</f>
        <v>3.59511768</v>
      </c>
      <c r="BL102" s="277">
        <f t="shared" si="66"/>
        <v>851.07330103804475</v>
      </c>
      <c r="BM102" s="1182">
        <f>+BM49*(1+'Conversion Factors'!$D49)</f>
        <v>0</v>
      </c>
      <c r="BN102" s="276">
        <f>+BN49*(1+'Conversion Factors'!$D49)</f>
        <v>10.832713840235298</v>
      </c>
      <c r="BO102" s="277">
        <f t="shared" si="67"/>
        <v>10.832713840235298</v>
      </c>
      <c r="BP102" s="277">
        <f t="shared" si="68"/>
        <v>861.90601487828008</v>
      </c>
      <c r="BT102" s="1176">
        <f t="shared" si="69"/>
        <v>570.74436700294291</v>
      </c>
      <c r="BU102" s="1176">
        <f t="shared" si="70"/>
        <v>291.16164787533717</v>
      </c>
      <c r="BV102" s="1176">
        <f>+BT102+'ComInd Summary'!DA102</f>
        <v>858.51080071051047</v>
      </c>
      <c r="BW102" s="1176">
        <f>+BU102+'ComInd Summary'!DB102</f>
        <v>481.42606737689425</v>
      </c>
    </row>
    <row r="103" spans="1:78" x14ac:dyDescent="0.2">
      <c r="A103" s="176">
        <v>2039</v>
      </c>
      <c r="B103" s="1081">
        <f>+B50*(1+'Conversion Factors'!$B50)</f>
        <v>16.756073465223224</v>
      </c>
      <c r="C103" s="1082">
        <f>+C50*(1+'Conversion Factors'!$B50)</f>
        <v>1.04081</v>
      </c>
      <c r="D103" s="1082">
        <f>+D50*(1+'Conversion Factors'!$B50)</f>
        <v>7.3901947211507304</v>
      </c>
      <c r="E103" s="276">
        <f>+E50*(1+'Conversion Factors'!$B50)</f>
        <v>36.092241209106895</v>
      </c>
      <c r="F103" s="276">
        <f>+F50*(1+'Conversion Factors'!$B50)</f>
        <v>13.08113831755038</v>
      </c>
      <c r="G103" s="276">
        <f>+G50*(1+'Conversion Factors'!$B50)</f>
        <v>48.269078656072153</v>
      </c>
      <c r="H103" s="276">
        <f>+H50*(1+'Conversion Factors'!$B50)</f>
        <v>35.30520180289755</v>
      </c>
      <c r="I103" s="981">
        <f>+I50*(1+'Conversion Factors'!$B50)</f>
        <v>26.325863335638481</v>
      </c>
      <c r="J103" s="276">
        <f>+J50*(1+'Conversion Factors'!$B50)</f>
        <v>10.364816789500001</v>
      </c>
      <c r="K103" s="276">
        <f>+K50*(1+'Conversion Factors'!$B50)</f>
        <v>0.10005081199999996</v>
      </c>
      <c r="L103" s="276">
        <f>+L50*(1+'Conversion Factors'!$B50)</f>
        <v>5.1798028824999998</v>
      </c>
      <c r="M103" s="276">
        <f>+M50*(1+'Conversion Factors'!$B50)</f>
        <v>0.41777296035410788</v>
      </c>
      <c r="N103" s="276">
        <f>+N50*(1+'Conversion Factors'!$B50)</f>
        <v>0.14160381000000002</v>
      </c>
      <c r="O103" s="981">
        <f>+O50*(1+'Conversion Factors'!$B50)</f>
        <v>0.26970928</v>
      </c>
      <c r="P103" s="981">
        <f>+P50*(1+'Conversion Factors'!$B50)</f>
        <v>6.4379999999999993E-2</v>
      </c>
      <c r="Q103" s="981">
        <f>+Q50*(1+'Conversion Factors'!$B50)</f>
        <v>1.2976593750000001</v>
      </c>
      <c r="R103" s="784">
        <f t="shared" si="60"/>
        <v>202.09639741699354</v>
      </c>
      <c r="S103" s="1182">
        <f>+S50*(1+'Conversion Factors'!$B50)</f>
        <v>0</v>
      </c>
      <c r="T103" s="276">
        <f>+T50*(1+'Conversion Factors'!$B50)</f>
        <v>71.04546000263511</v>
      </c>
      <c r="U103" s="784">
        <f t="shared" si="61"/>
        <v>71.04546000263511</v>
      </c>
      <c r="V103" s="784">
        <f t="shared" si="62"/>
        <v>273.14185741962865</v>
      </c>
      <c r="X103" s="176">
        <v>2039</v>
      </c>
      <c r="Y103" s="1081">
        <f>+Y50*(1+'Conversion Factors'!$C50)</f>
        <v>25.879217353504526</v>
      </c>
      <c r="Z103" s="1082">
        <f>+Z50*(1+'Conversion Factors'!$C50)</f>
        <v>1.4592800000000001</v>
      </c>
      <c r="AA103" s="1082">
        <f>+AA50*(1+'Conversion Factors'!$C50)</f>
        <v>7.7726771067256699</v>
      </c>
      <c r="AB103" s="276">
        <f>+AB50*(1+'Conversion Factors'!$C50)</f>
        <v>43.156339104304962</v>
      </c>
      <c r="AC103" s="276">
        <f>+AC50*(1+'Conversion Factors'!$C50)</f>
        <v>12.088157484577531</v>
      </c>
      <c r="AD103" s="276">
        <f>+AD50*(1+'Conversion Factors'!$C50)</f>
        <v>65.064956893920154</v>
      </c>
      <c r="AE103" s="276">
        <f>+AE50*(1+'Conversion Factors'!$C50)</f>
        <v>379.4702148106573</v>
      </c>
      <c r="AF103" s="981">
        <f>+AF50*(1+'Conversion Factors'!$C50)</f>
        <v>51.773116454510834</v>
      </c>
      <c r="AG103" s="276">
        <f>+AG50*(1+'Conversion Factors'!$C50)</f>
        <v>14.431313499999995</v>
      </c>
      <c r="AH103" s="276">
        <f>+AH50*(1+'Conversion Factors'!$C50)</f>
        <v>0.180176014</v>
      </c>
      <c r="AI103" s="276">
        <f>+AI50*(1+'Conversion Factors'!$C50)</f>
        <v>3.2365285279999996</v>
      </c>
      <c r="AJ103" s="276">
        <f>+AJ50*(1+'Conversion Factors'!$C50)</f>
        <v>0.74138641368838565</v>
      </c>
      <c r="AK103" s="276">
        <f>+AK50*(1+'Conversion Factors'!$C50)</f>
        <v>0.13102188400000001</v>
      </c>
      <c r="AL103" s="981">
        <f>+AL50*(1+'Conversion Factors'!$C50)</f>
        <v>0.13321295</v>
      </c>
      <c r="AM103" s="981">
        <f>+AM50*(1+'Conversion Factors'!$C50)</f>
        <v>0.11323369</v>
      </c>
      <c r="AN103" s="981">
        <f>+AN50*(1+'Conversion Factors'!$C50)</f>
        <v>0</v>
      </c>
      <c r="AO103" s="277">
        <f t="shared" si="63"/>
        <v>605.63083218788938</v>
      </c>
      <c r="AP103" s="1182">
        <f>+AP50*(1+'Conversion Factors'!$C50)</f>
        <v>0</v>
      </c>
      <c r="AQ103" s="276">
        <f>+AQ50*(1+'Conversion Factors'!$C50)</f>
        <v>107.95458943512685</v>
      </c>
      <c r="AR103" s="277">
        <f t="shared" si="64"/>
        <v>107.95458943512685</v>
      </c>
      <c r="AS103" s="277">
        <f t="shared" si="65"/>
        <v>713.58542162301626</v>
      </c>
      <c r="AU103" s="176">
        <v>2039</v>
      </c>
      <c r="AV103" s="1081">
        <f>+AV50*(1+'Conversion Factors'!$D50)</f>
        <v>87.684004071484097</v>
      </c>
      <c r="AW103" s="1082">
        <f>+AW50*(1+'Conversion Factors'!$D50)</f>
        <v>3.4531200000000002</v>
      </c>
      <c r="AX103" s="1082">
        <f>+AX50*(1+'Conversion Factors'!$D50)</f>
        <v>30.152942581030793</v>
      </c>
      <c r="AY103" s="276">
        <f>+AY50*(1+'Conversion Factors'!$D50)</f>
        <v>82.62594065510784</v>
      </c>
      <c r="AZ103" s="276">
        <f>+AZ50*(1+'Conversion Factors'!$D50)</f>
        <v>41.2539455484131</v>
      </c>
      <c r="BA103" s="276">
        <f>+BA50*(1+'Conversion Factors'!$D50)</f>
        <v>231.24555596806476</v>
      </c>
      <c r="BB103" s="276">
        <f>+BB50*(1+'Conversion Factors'!$D50)</f>
        <v>257.36379907346685</v>
      </c>
      <c r="BC103" s="981">
        <f>+BC50*(1+'Conversion Factors'!$D50)</f>
        <v>69.22094307344031</v>
      </c>
      <c r="BD103" s="276">
        <f>+BD50*(1+'Conversion Factors'!$D50)</f>
        <v>32.375618351999989</v>
      </c>
      <c r="BE103" s="276">
        <f>+BE50*(1+'Conversion Factors'!$D50)</f>
        <v>0.37696243200000001</v>
      </c>
      <c r="BF103" s="276">
        <f>+BF50*(1+'Conversion Factors'!$D50)</f>
        <v>17.113555007999995</v>
      </c>
      <c r="BG103" s="276">
        <f>+BG50*(1+'Conversion Factors'!$D50)</f>
        <v>5.5528964350368275</v>
      </c>
      <c r="BH103" s="276">
        <f>+BH50*(1+'Conversion Factors'!$D50)</f>
        <v>0.36044659200000001</v>
      </c>
      <c r="BI103" s="981">
        <f>+BI50*(1+'Conversion Factors'!$D50)</f>
        <v>0.38387711999999996</v>
      </c>
      <c r="BJ103" s="981">
        <f>+BJ50*(1+'Conversion Factors'!$D50)</f>
        <v>0.50181120000000001</v>
      </c>
      <c r="BK103" s="981">
        <f>+BK50*(1+'Conversion Factors'!$D50)</f>
        <v>3.59511768</v>
      </c>
      <c r="BL103" s="277">
        <f t="shared" si="66"/>
        <v>863.26053579004463</v>
      </c>
      <c r="BM103" s="1182">
        <f>+BM50*(1+'Conversion Factors'!$D50)</f>
        <v>0</v>
      </c>
      <c r="BN103" s="276">
        <f>+BN50*(1+'Conversion Factors'!$D50)</f>
        <v>11.152153840235298</v>
      </c>
      <c r="BO103" s="277">
        <f t="shared" si="67"/>
        <v>11.152153840235298</v>
      </c>
      <c r="BP103" s="277">
        <f t="shared" si="68"/>
        <v>874.41268963027994</v>
      </c>
      <c r="BT103" s="1176">
        <f t="shared" si="69"/>
        <v>571.75469500294298</v>
      </c>
      <c r="BU103" s="1176">
        <f t="shared" si="70"/>
        <v>302.65799462733696</v>
      </c>
      <c r="BV103" s="1176">
        <f>+BT103+'ComInd Summary'!DA103</f>
        <v>859.85742606844315</v>
      </c>
      <c r="BW103" s="1176">
        <f>+BU103+'ComInd Summary'!DB103</f>
        <v>498.76415960889403</v>
      </c>
    </row>
    <row r="104" spans="1:78" x14ac:dyDescent="0.2">
      <c r="A104" s="176">
        <v>2040</v>
      </c>
      <c r="B104" s="1081">
        <f>+B51*(1+'Conversion Factors'!$B51)</f>
        <v>16.756073465223224</v>
      </c>
      <c r="C104" s="1082">
        <f>+C51*(1+'Conversion Factors'!$B51)</f>
        <v>1.04081</v>
      </c>
      <c r="D104" s="1082">
        <f>+D51*(1+'Conversion Factors'!$B51)</f>
        <v>7.3901947211507304</v>
      </c>
      <c r="E104" s="276">
        <f>+E51*(1+'Conversion Factors'!$B51)</f>
        <v>36.1839827091069</v>
      </c>
      <c r="F104" s="276">
        <f>+F51*(1+'Conversion Factors'!$B51)</f>
        <v>13.223579067550379</v>
      </c>
      <c r="G104" s="276">
        <f>+G51*(1+'Conversion Factors'!$B51)</f>
        <v>50.079229656072151</v>
      </c>
      <c r="H104" s="276">
        <f>+H51*(1+'Conversion Factors'!$B51)</f>
        <v>35.359924802897552</v>
      </c>
      <c r="I104" s="981">
        <f>+I51*(1+'Conversion Factors'!$B51)</f>
        <v>26.325863335638481</v>
      </c>
      <c r="J104" s="276">
        <f>+J51*(1+'Conversion Factors'!$B51)</f>
        <v>10.7832867895</v>
      </c>
      <c r="K104" s="276">
        <f>+K51*(1+'Conversion Factors'!$B51)</f>
        <v>0.10317538799999995</v>
      </c>
      <c r="L104" s="276">
        <f>+L51*(1+'Conversion Factors'!$B51)</f>
        <v>5.3466543824999997</v>
      </c>
      <c r="M104" s="276">
        <f>+M51*(1+'Conversion Factors'!$B51)</f>
        <v>0.43118546035410787</v>
      </c>
      <c r="N104" s="276">
        <f>+N51*(1+'Conversion Factors'!$B51)</f>
        <v>0.14804181000000002</v>
      </c>
      <c r="O104" s="981">
        <f>+O51*(1+'Conversion Factors'!$B51)</f>
        <v>0.26970928</v>
      </c>
      <c r="P104" s="981">
        <f>+P51*(1+'Conversion Factors'!$B51)</f>
        <v>6.4379999999999993E-2</v>
      </c>
      <c r="Q104" s="981">
        <f>+Q51*(1+'Conversion Factors'!$B51)</f>
        <v>1.2976593750000001</v>
      </c>
      <c r="R104" s="784">
        <f t="shared" si="60"/>
        <v>204.80375024299352</v>
      </c>
      <c r="S104" s="1182">
        <f>+S51*(1+'Conversion Factors'!$B51)</f>
        <v>0</v>
      </c>
      <c r="T104" s="276">
        <f>+T51*(1+'Conversion Factors'!$B51)</f>
        <v>73.744055002635122</v>
      </c>
      <c r="U104" s="784">
        <f t="shared" si="61"/>
        <v>73.744055002635122</v>
      </c>
      <c r="V104" s="784">
        <f t="shared" si="62"/>
        <v>278.54780524562864</v>
      </c>
      <c r="X104" s="176">
        <v>2040</v>
      </c>
      <c r="Y104" s="1081">
        <f>+Y51*(1+'Conversion Factors'!$C51)</f>
        <v>25.879217353504526</v>
      </c>
      <c r="Z104" s="1082">
        <f>+Z51*(1+'Conversion Factors'!$C51)</f>
        <v>1.4592800000000001</v>
      </c>
      <c r="AA104" s="1082">
        <f>+AA51*(1+'Conversion Factors'!$C51)</f>
        <v>7.7726771067256699</v>
      </c>
      <c r="AB104" s="276">
        <f>+AB51*(1+'Conversion Factors'!$C51)</f>
        <v>43.272759604304959</v>
      </c>
      <c r="AC104" s="276">
        <f>+AC51*(1+'Conversion Factors'!$C51)</f>
        <v>12.219599984577531</v>
      </c>
      <c r="AD104" s="276">
        <f>+AD51*(1+'Conversion Factors'!$C51)</f>
        <v>67.596163893920149</v>
      </c>
      <c r="AE104" s="276">
        <f>+AE51*(1+'Conversion Factors'!$C51)</f>
        <v>379.64886931065729</v>
      </c>
      <c r="AF104" s="981">
        <f>+AF51*(1+'Conversion Factors'!$C51)</f>
        <v>51.773116454510834</v>
      </c>
      <c r="AG104" s="276">
        <f>+AG51*(1+'Conversion Factors'!$C51)</f>
        <v>15.026828499999993</v>
      </c>
      <c r="AH104" s="276">
        <f>+AH51*(1+'Conversion Factors'!$C51)</f>
        <v>0.18696595800000002</v>
      </c>
      <c r="AI104" s="276">
        <f>+AI51*(1+'Conversion Factors'!$C51)</f>
        <v>3.3502665279999997</v>
      </c>
      <c r="AJ104" s="276">
        <f>+AJ51*(1+'Conversion Factors'!$C51)</f>
        <v>0.76606541368838565</v>
      </c>
      <c r="AK104" s="276">
        <f>+AK51*(1+'Conversion Factors'!$C51)</f>
        <v>0.13711652400000002</v>
      </c>
      <c r="AL104" s="981">
        <f>+AL51*(1+'Conversion Factors'!$C51)</f>
        <v>0.13321295</v>
      </c>
      <c r="AM104" s="981">
        <f>+AM51*(1+'Conversion Factors'!$C51)</f>
        <v>0.11323369</v>
      </c>
      <c r="AN104" s="981">
        <f>+AN51*(1+'Conversion Factors'!$C51)</f>
        <v>0</v>
      </c>
      <c r="AO104" s="277">
        <f t="shared" si="63"/>
        <v>609.33537327188935</v>
      </c>
      <c r="AP104" s="1182">
        <f>+AP51*(1+'Conversion Factors'!$C51)</f>
        <v>0</v>
      </c>
      <c r="AQ104" s="276">
        <f>+AQ51*(1+'Conversion Factors'!$C51)</f>
        <v>112.15806693512685</v>
      </c>
      <c r="AR104" s="277">
        <f t="shared" si="64"/>
        <v>112.15806693512685</v>
      </c>
      <c r="AS104" s="277">
        <f t="shared" si="65"/>
        <v>721.49344020701619</v>
      </c>
      <c r="AU104" s="176">
        <v>2040</v>
      </c>
      <c r="AV104" s="1081">
        <f>+AV51*(1+'Conversion Factors'!$D51)</f>
        <v>87.684004071484097</v>
      </c>
      <c r="AW104" s="1082">
        <f>+AW51*(1+'Conversion Factors'!$D51)</f>
        <v>3.4531200000000002</v>
      </c>
      <c r="AX104" s="1082">
        <f>+AX51*(1+'Conversion Factors'!$D51)</f>
        <v>30.152942581030793</v>
      </c>
      <c r="AY104" s="276">
        <f>+AY51*(1+'Conversion Factors'!$D51)</f>
        <v>82.783284655107835</v>
      </c>
      <c r="AZ104" s="276">
        <f>+AZ51*(1+'Conversion Factors'!$D51)</f>
        <v>41.911041548413102</v>
      </c>
      <c r="BA104" s="276">
        <f>+BA51*(1+'Conversion Factors'!$D51)</f>
        <v>240.27857996806478</v>
      </c>
      <c r="BB104" s="276">
        <f>+BB51*(1+'Conversion Factors'!$D51)</f>
        <v>257.55968707346688</v>
      </c>
      <c r="BC104" s="981">
        <f>+BC51*(1+'Conversion Factors'!$D51)</f>
        <v>69.22094307344031</v>
      </c>
      <c r="BD104" s="276">
        <f>+BD51*(1+'Conversion Factors'!$D51)</f>
        <v>33.718850351999983</v>
      </c>
      <c r="BE104" s="276">
        <f>+BE51*(1+'Conversion Factors'!$D51)</f>
        <v>0.38876006400000007</v>
      </c>
      <c r="BF104" s="276">
        <f>+BF51*(1+'Conversion Factors'!$D51)</f>
        <v>17.705443007999996</v>
      </c>
      <c r="BG104" s="276">
        <f>+BG51*(1+'Conversion Factors'!$D51)</f>
        <v>5.7334724350368278</v>
      </c>
      <c r="BH104" s="276">
        <f>+BH51*(1+'Conversion Factors'!$D51)</f>
        <v>0.37683571199999999</v>
      </c>
      <c r="BI104" s="981">
        <f>+BI51*(1+'Conversion Factors'!$D51)</f>
        <v>0.38387711999999996</v>
      </c>
      <c r="BJ104" s="981">
        <f>+BJ51*(1+'Conversion Factors'!$D51)</f>
        <v>0.50181120000000001</v>
      </c>
      <c r="BK104" s="981">
        <f>+BK51*(1+'Conversion Factors'!$D51)</f>
        <v>3.59511768</v>
      </c>
      <c r="BL104" s="277">
        <f t="shared" si="66"/>
        <v>875.44777054204474</v>
      </c>
      <c r="BM104" s="1182">
        <f>+BM51*(1+'Conversion Factors'!$D51)</f>
        <v>0</v>
      </c>
      <c r="BN104" s="276">
        <f>+BN51*(1+'Conversion Factors'!$D51)</f>
        <v>11.471593840235299</v>
      </c>
      <c r="BO104" s="277">
        <f t="shared" si="67"/>
        <v>11.471593840235299</v>
      </c>
      <c r="BP104" s="277">
        <f t="shared" si="68"/>
        <v>886.91936438228004</v>
      </c>
      <c r="BT104" s="1176">
        <f t="shared" si="69"/>
        <v>572.76502300294305</v>
      </c>
      <c r="BU104" s="1176">
        <f t="shared" si="70"/>
        <v>314.15434137933698</v>
      </c>
      <c r="BV104" s="1176">
        <f>+BT104+'ComInd Summary'!DA104</f>
        <v>861.20405353037586</v>
      </c>
      <c r="BW104" s="1176">
        <f>+BU104+'ComInd Summary'!DB104</f>
        <v>516.10225184089404</v>
      </c>
    </row>
    <row r="105" spans="1:78" x14ac:dyDescent="0.2">
      <c r="A105" s="176">
        <v>2041</v>
      </c>
      <c r="B105" s="1081">
        <f>+B52*(1+'Conversion Factors'!$B52)</f>
        <v>16.756073465223224</v>
      </c>
      <c r="C105" s="1082">
        <f>+C52*(1+'Conversion Factors'!$B52)</f>
        <v>1.04081</v>
      </c>
      <c r="D105" s="1082">
        <f>+D52*(1+'Conversion Factors'!$B52)</f>
        <v>7.3901947211507304</v>
      </c>
      <c r="E105" s="276">
        <f>+E52*(1+'Conversion Factors'!$B52)</f>
        <v>36.275724209106905</v>
      </c>
      <c r="F105" s="276">
        <f>+F52*(1+'Conversion Factors'!$B52)</f>
        <v>13.366019817550379</v>
      </c>
      <c r="G105" s="276">
        <f>+G52*(1+'Conversion Factors'!$B52)</f>
        <v>51.889380656072149</v>
      </c>
      <c r="H105" s="276">
        <f>+H52*(1+'Conversion Factors'!$B52)</f>
        <v>35.414647802897555</v>
      </c>
      <c r="I105" s="981">
        <f>+I52*(1+'Conversion Factors'!$B52)</f>
        <v>26.325863335638481</v>
      </c>
      <c r="J105" s="276">
        <f>+J52*(1+'Conversion Factors'!$B52)</f>
        <v>11.201756789500001</v>
      </c>
      <c r="K105" s="276">
        <f>+K52*(1+'Conversion Factors'!$B52)</f>
        <v>0.10629996399999996</v>
      </c>
      <c r="L105" s="276">
        <f>+L52*(1+'Conversion Factors'!$B52)</f>
        <v>5.5135058824999996</v>
      </c>
      <c r="M105" s="276">
        <f>+M52*(1+'Conversion Factors'!$B52)</f>
        <v>0.44459796035410792</v>
      </c>
      <c r="N105" s="276">
        <f>+N52*(1+'Conversion Factors'!$B52)</f>
        <v>0.15447981000000005</v>
      </c>
      <c r="O105" s="981">
        <f>+O52*(1+'Conversion Factors'!$B52)</f>
        <v>0.26970928</v>
      </c>
      <c r="P105" s="981">
        <f>+P52*(1+'Conversion Factors'!$B52)</f>
        <v>6.4379999999999993E-2</v>
      </c>
      <c r="Q105" s="981">
        <f>+Q52*(1+'Conversion Factors'!$B52)</f>
        <v>1.2976593750000001</v>
      </c>
      <c r="R105" s="784">
        <f t="shared" si="60"/>
        <v>207.51110306899352</v>
      </c>
      <c r="S105" s="1182">
        <f>+S52*(1+'Conversion Factors'!$B52)</f>
        <v>0</v>
      </c>
      <c r="T105" s="276">
        <f>+T52*(1+'Conversion Factors'!$B52)</f>
        <v>76.442650002635119</v>
      </c>
      <c r="U105" s="784">
        <f t="shared" si="61"/>
        <v>76.442650002635119</v>
      </c>
      <c r="V105" s="784">
        <f t="shared" si="62"/>
        <v>283.95375307162863</v>
      </c>
      <c r="X105" s="176">
        <v>2041</v>
      </c>
      <c r="Y105" s="1087">
        <f>+Y52*(1+'Conversion Factors'!$C52)</f>
        <v>25.879217353504526</v>
      </c>
      <c r="Z105" s="1088">
        <f>+Z52*(1+'Conversion Factors'!$C52)</f>
        <v>1.4592800000000001</v>
      </c>
      <c r="AA105" s="1088">
        <f>+AA52*(1+'Conversion Factors'!$C52)</f>
        <v>7.7726771067256699</v>
      </c>
      <c r="AB105" s="276">
        <f>+AB52*(1+'Conversion Factors'!$C52)</f>
        <v>43.389180104304963</v>
      </c>
      <c r="AC105" s="276">
        <f>+AC52*(1+'Conversion Factors'!$C52)</f>
        <v>12.351042484577532</v>
      </c>
      <c r="AD105" s="276">
        <f>+AD52*(1+'Conversion Factors'!$C52)</f>
        <v>70.127370893920158</v>
      </c>
      <c r="AE105" s="276">
        <f>+AE52*(1+'Conversion Factors'!$C52)</f>
        <v>379.82752381065728</v>
      </c>
      <c r="AF105" s="981">
        <f>+AF52*(1+'Conversion Factors'!$C52)</f>
        <v>51.773116454510834</v>
      </c>
      <c r="AG105" s="276">
        <f>+AG52*(1+'Conversion Factors'!$C52)</f>
        <v>15.622343499999994</v>
      </c>
      <c r="AH105" s="276">
        <f>+AH52*(1+'Conversion Factors'!$C52)</f>
        <v>0.19375590200000001</v>
      </c>
      <c r="AI105" s="276">
        <f>+AI52*(1+'Conversion Factors'!$C52)</f>
        <v>3.4640045279999994</v>
      </c>
      <c r="AJ105" s="276">
        <f>+AJ52*(1+'Conversion Factors'!$C52)</f>
        <v>0.79074441368838566</v>
      </c>
      <c r="AK105" s="276">
        <f>+AK52*(1+'Conversion Factors'!$C52)</f>
        <v>0.143211164</v>
      </c>
      <c r="AL105" s="981">
        <f>+AL52*(1+'Conversion Factors'!$C52)</f>
        <v>0.13321295</v>
      </c>
      <c r="AM105" s="981">
        <f>+AM52*(1+'Conversion Factors'!$C52)</f>
        <v>0.11323369</v>
      </c>
      <c r="AN105" s="981">
        <f>+AN52*(1+'Conversion Factors'!$C52)</f>
        <v>0</v>
      </c>
      <c r="AO105" s="277">
        <f t="shared" si="63"/>
        <v>613.03991435588944</v>
      </c>
      <c r="AP105" s="1182">
        <f>+AP52*(1+'Conversion Factors'!$C52)</f>
        <v>0</v>
      </c>
      <c r="AQ105" s="276">
        <f>+AQ52*(1+'Conversion Factors'!$C52)</f>
        <v>116.36154443512686</v>
      </c>
      <c r="AR105" s="277">
        <f t="shared" si="64"/>
        <v>116.36154443512686</v>
      </c>
      <c r="AS105" s="277">
        <f t="shared" si="65"/>
        <v>729.40145879101624</v>
      </c>
      <c r="AU105" s="176">
        <v>2041</v>
      </c>
      <c r="AV105" s="1081">
        <f>+AV52*(1+'Conversion Factors'!$D52)</f>
        <v>87.684004071484097</v>
      </c>
      <c r="AW105" s="1082">
        <f>+AW52*(1+'Conversion Factors'!$D52)</f>
        <v>3.4531200000000002</v>
      </c>
      <c r="AX105" s="1082">
        <f>+AX52*(1+'Conversion Factors'!$D52)</f>
        <v>30.152942581030793</v>
      </c>
      <c r="AY105" s="276">
        <f>+AY52*(1+'Conversion Factors'!$D52)</f>
        <v>82.940628655107844</v>
      </c>
      <c r="AZ105" s="276">
        <f>+AZ52*(1+'Conversion Factors'!$D52)</f>
        <v>42.568137548413098</v>
      </c>
      <c r="BA105" s="276">
        <f>+BA52*(1+'Conversion Factors'!$D52)</f>
        <v>249.31160396806476</v>
      </c>
      <c r="BB105" s="276">
        <f>+BB52*(1+'Conversion Factors'!$D52)</f>
        <v>257.75557507346684</v>
      </c>
      <c r="BC105" s="981">
        <f>+BC52*(1+'Conversion Factors'!$D52)</f>
        <v>69.22094307344031</v>
      </c>
      <c r="BD105" s="276">
        <f>+BD52*(1+'Conversion Factors'!$D52)</f>
        <v>35.062082351999983</v>
      </c>
      <c r="BE105" s="276">
        <f>+BE52*(1+'Conversion Factors'!$D52)</f>
        <v>0.40055769600000007</v>
      </c>
      <c r="BF105" s="276">
        <f>+BF52*(1+'Conversion Factors'!$D52)</f>
        <v>18.297331007999997</v>
      </c>
      <c r="BG105" s="276">
        <f>+BG52*(1+'Conversion Factors'!$D52)</f>
        <v>5.9140484350368281</v>
      </c>
      <c r="BH105" s="276">
        <f>+BH52*(1+'Conversion Factors'!$D52)</f>
        <v>0.39322483199999991</v>
      </c>
      <c r="BI105" s="981">
        <f>+BI52*(1+'Conversion Factors'!$D52)</f>
        <v>0.38387711999999996</v>
      </c>
      <c r="BJ105" s="981">
        <f>+BJ52*(1+'Conversion Factors'!$D52)</f>
        <v>0.50181120000000001</v>
      </c>
      <c r="BK105" s="981">
        <f>+BK52*(1+'Conversion Factors'!$D52)</f>
        <v>3.59511768</v>
      </c>
      <c r="BL105" s="277">
        <f t="shared" si="66"/>
        <v>887.63500529404462</v>
      </c>
      <c r="BM105" s="1182">
        <f>+BM52*(1+'Conversion Factors'!$D52)</f>
        <v>0</v>
      </c>
      <c r="BN105" s="276">
        <f>+BN52*(1+'Conversion Factors'!$D52)</f>
        <v>11.791033840235299</v>
      </c>
      <c r="BO105" s="277">
        <f t="shared" si="67"/>
        <v>11.791033840235299</v>
      </c>
      <c r="BP105" s="277">
        <f t="shared" si="68"/>
        <v>899.4260391342799</v>
      </c>
      <c r="BT105" s="1176">
        <f t="shared" si="69"/>
        <v>573.77535100294301</v>
      </c>
      <c r="BU105" s="1176">
        <f t="shared" si="70"/>
        <v>325.65068813133689</v>
      </c>
      <c r="BV105" s="1176">
        <f>+BT105+'ComInd Summary'!DA105</f>
        <v>862.5506830963086</v>
      </c>
      <c r="BW105" s="1176">
        <f>+BU105+'ComInd Summary'!DB105</f>
        <v>533.44034407289382</v>
      </c>
    </row>
    <row r="106" spans="1:78" x14ac:dyDescent="0.2">
      <c r="A106" s="176"/>
      <c r="B106" s="1082"/>
      <c r="C106" s="1082"/>
      <c r="D106" s="1082"/>
      <c r="E106" s="276"/>
      <c r="F106" s="276"/>
      <c r="G106" s="276"/>
      <c r="H106" s="276"/>
      <c r="I106" s="981"/>
      <c r="J106" s="276"/>
      <c r="K106" s="276"/>
      <c r="L106" s="276"/>
      <c r="M106" s="276"/>
      <c r="N106" s="276"/>
      <c r="O106" s="981"/>
      <c r="P106" s="981"/>
      <c r="Q106" s="981"/>
      <c r="R106" s="1166"/>
      <c r="S106" s="276"/>
      <c r="T106" s="276"/>
      <c r="U106" s="502"/>
      <c r="V106" s="502"/>
      <c r="X106" s="176"/>
      <c r="Y106" s="1088"/>
      <c r="Z106" s="1088"/>
      <c r="AA106" s="1088"/>
      <c r="AB106" s="276"/>
      <c r="AC106" s="276"/>
      <c r="AD106" s="276"/>
      <c r="AE106" s="276"/>
      <c r="AF106" s="981"/>
      <c r="AG106" s="276"/>
      <c r="AH106" s="276"/>
      <c r="AI106" s="276"/>
      <c r="AJ106" s="276"/>
      <c r="AK106" s="276"/>
      <c r="AL106" s="981"/>
      <c r="AM106" s="981"/>
      <c r="AN106" s="981"/>
      <c r="AO106" s="502"/>
      <c r="AP106" s="276"/>
      <c r="AQ106" s="276"/>
      <c r="AR106" s="502"/>
      <c r="AS106" s="502"/>
      <c r="AU106" s="176"/>
      <c r="AV106" s="1082"/>
      <c r="AW106" s="1082"/>
      <c r="AX106" s="1082"/>
      <c r="AY106" s="276"/>
      <c r="AZ106" s="276"/>
      <c r="BA106" s="276"/>
      <c r="BB106" s="276"/>
      <c r="BC106" s="981"/>
      <c r="BD106" s="276"/>
      <c r="BE106" s="276"/>
      <c r="BF106" s="276"/>
      <c r="BG106" s="276"/>
      <c r="BH106" s="276"/>
      <c r="BI106" s="981"/>
      <c r="BJ106" s="981"/>
      <c r="BK106" s="981"/>
      <c r="BL106" s="502"/>
      <c r="BM106" s="276"/>
      <c r="BN106" s="276"/>
      <c r="BO106" s="502"/>
      <c r="BP106" s="502"/>
      <c r="BT106" s="162"/>
      <c r="BU106" s="162"/>
      <c r="BV106" s="162"/>
      <c r="BW106" s="162"/>
    </row>
    <row r="107" spans="1:78" ht="13.5" thickBot="1" x14ac:dyDescent="0.25">
      <c r="A107" s="176"/>
      <c r="B107" s="45" t="s">
        <v>417</v>
      </c>
      <c r="C107" s="1088"/>
      <c r="D107" s="1088"/>
      <c r="E107" s="276"/>
      <c r="F107" s="276"/>
      <c r="G107" s="276"/>
      <c r="H107" s="276"/>
      <c r="I107" s="738"/>
      <c r="J107" s="276"/>
      <c r="K107" s="276"/>
      <c r="L107" s="276"/>
      <c r="M107" s="276"/>
      <c r="N107" s="276"/>
      <c r="O107" s="738"/>
      <c r="P107" s="738"/>
      <c r="Q107" s="738"/>
      <c r="R107" s="1166"/>
      <c r="S107" s="276"/>
      <c r="T107" s="276"/>
      <c r="U107" s="502"/>
      <c r="V107" s="502"/>
      <c r="W107" s="176"/>
      <c r="X107" s="176"/>
      <c r="Y107" s="45" t="s">
        <v>418</v>
      </c>
      <c r="Z107" s="1088"/>
      <c r="AA107" s="1088"/>
      <c r="AB107" s="276"/>
      <c r="AC107" s="276"/>
      <c r="AD107" s="276"/>
      <c r="AE107" s="276"/>
      <c r="AF107" s="738"/>
      <c r="AG107" s="276"/>
      <c r="AH107" s="276"/>
      <c r="AI107" s="276"/>
      <c r="AJ107" s="276"/>
      <c r="AK107" s="276"/>
      <c r="AL107" s="738"/>
      <c r="AM107" s="738"/>
      <c r="AN107" s="738"/>
      <c r="AO107" s="502"/>
      <c r="AP107" s="276"/>
      <c r="AQ107" s="276"/>
      <c r="AR107" s="502"/>
      <c r="AS107" s="502"/>
      <c r="AT107" s="176"/>
      <c r="AU107" s="176"/>
      <c r="AV107" s="45" t="s">
        <v>419</v>
      </c>
      <c r="AW107" s="1088"/>
      <c r="AX107" s="1088"/>
      <c r="AY107" s="276"/>
      <c r="AZ107" s="276"/>
      <c r="BA107" s="276"/>
      <c r="BB107" s="276"/>
      <c r="BC107" s="738"/>
      <c r="BD107" s="276"/>
      <c r="BE107" s="276"/>
      <c r="BF107" s="276"/>
      <c r="BG107" s="276"/>
      <c r="BH107" s="276"/>
      <c r="BI107" s="738"/>
      <c r="BJ107" s="738"/>
      <c r="BK107" s="738"/>
      <c r="BL107" s="502"/>
      <c r="BM107" s="276"/>
      <c r="BN107" s="276"/>
      <c r="BO107" s="502"/>
      <c r="BP107" s="502"/>
      <c r="BQ107" s="176"/>
      <c r="BR107" s="176"/>
      <c r="BS107" s="176"/>
      <c r="BT107" s="276"/>
      <c r="BU107" s="276"/>
      <c r="BV107" s="276"/>
      <c r="BW107" s="276"/>
      <c r="BX107" s="176"/>
      <c r="BY107" s="176"/>
      <c r="BZ107" s="176"/>
    </row>
    <row r="108" spans="1:78" ht="13.5" thickBot="1" x14ac:dyDescent="0.25">
      <c r="B108" s="1172" t="str">
        <f>B3</f>
        <v>FREE</v>
      </c>
      <c r="C108" s="1172" t="str">
        <f t="shared" ref="C108:Q108" si="71">C3</f>
        <v>RCS</v>
      </c>
      <c r="D108" s="1172" t="str">
        <f t="shared" si="71"/>
        <v>Assited Aud</v>
      </c>
      <c r="E108" s="1172" t="str">
        <f t="shared" si="71"/>
        <v>DS</v>
      </c>
      <c r="F108" s="1172" t="str">
        <f t="shared" si="71"/>
        <v>EnergyStar</v>
      </c>
      <c r="G108" s="1172" t="str">
        <f t="shared" si="71"/>
        <v>LowInc</v>
      </c>
      <c r="H108" s="1172" t="str">
        <f t="shared" si="71"/>
        <v>HC</v>
      </c>
      <c r="I108" s="1172" t="str">
        <f t="shared" si="71"/>
        <v>Bld Envel</v>
      </c>
      <c r="J108" s="1172" t="str">
        <f t="shared" si="71"/>
        <v>Ceiling Ins</v>
      </c>
      <c r="K108" s="1172" t="str">
        <f t="shared" si="71"/>
        <v>Wall Ins</v>
      </c>
      <c r="L108" s="1172" t="str">
        <f t="shared" si="71"/>
        <v>Wind Repl</v>
      </c>
      <c r="M108" s="1172" t="str">
        <f t="shared" si="71"/>
        <v>Educate</v>
      </c>
      <c r="N108" s="1172" t="str">
        <f t="shared" si="71"/>
        <v>ECM</v>
      </c>
      <c r="O108" s="1172" t="str">
        <f t="shared" si="71"/>
        <v>Maint</v>
      </c>
      <c r="P108" s="1172" t="str">
        <f t="shared" si="71"/>
        <v>Solar DHW</v>
      </c>
      <c r="Q108" s="1172" t="str">
        <f t="shared" si="71"/>
        <v>PV</v>
      </c>
      <c r="R108" s="272" t="s">
        <v>132</v>
      </c>
      <c r="S108" s="270" t="s">
        <v>133</v>
      </c>
      <c r="T108" s="271" t="s">
        <v>134</v>
      </c>
      <c r="U108" s="273" t="s">
        <v>135</v>
      </c>
      <c r="V108" s="504" t="s">
        <v>135</v>
      </c>
      <c r="Y108" s="1172" t="str">
        <f>B108</f>
        <v>FREE</v>
      </c>
      <c r="Z108" s="1172" t="str">
        <f t="shared" ref="Z108:AS108" si="72">C108</f>
        <v>RCS</v>
      </c>
      <c r="AA108" s="1172" t="str">
        <f t="shared" si="72"/>
        <v>Assited Aud</v>
      </c>
      <c r="AB108" s="1172" t="str">
        <f t="shared" si="72"/>
        <v>DS</v>
      </c>
      <c r="AC108" s="1172" t="str">
        <f t="shared" si="72"/>
        <v>EnergyStar</v>
      </c>
      <c r="AD108" s="1172" t="str">
        <f t="shared" si="72"/>
        <v>LowInc</v>
      </c>
      <c r="AE108" s="1172" t="str">
        <f t="shared" si="72"/>
        <v>HC</v>
      </c>
      <c r="AF108" s="1172" t="str">
        <f t="shared" si="72"/>
        <v>Bld Envel</v>
      </c>
      <c r="AG108" s="1172" t="str">
        <f t="shared" si="72"/>
        <v>Ceiling Ins</v>
      </c>
      <c r="AH108" s="1172" t="str">
        <f t="shared" si="72"/>
        <v>Wall Ins</v>
      </c>
      <c r="AI108" s="1172" t="str">
        <f t="shared" si="72"/>
        <v>Wind Repl</v>
      </c>
      <c r="AJ108" s="1172" t="str">
        <f t="shared" si="72"/>
        <v>Educate</v>
      </c>
      <c r="AK108" s="1172" t="str">
        <f t="shared" si="72"/>
        <v>ECM</v>
      </c>
      <c r="AL108" s="1172" t="str">
        <f t="shared" si="72"/>
        <v>Maint</v>
      </c>
      <c r="AM108" s="1172" t="str">
        <f t="shared" si="72"/>
        <v>Solar DHW</v>
      </c>
      <c r="AN108" s="1172" t="str">
        <f t="shared" si="72"/>
        <v>PV</v>
      </c>
      <c r="AO108" s="272" t="str">
        <f t="shared" si="72"/>
        <v>Total Conserv</v>
      </c>
      <c r="AP108" s="270" t="str">
        <f t="shared" si="72"/>
        <v>PrimeTime</v>
      </c>
      <c r="AQ108" s="271" t="str">
        <f t="shared" si="72"/>
        <v>Energy Pln</v>
      </c>
      <c r="AR108" s="273" t="str">
        <f t="shared" si="72"/>
        <v>Total</v>
      </c>
      <c r="AS108" s="504" t="str">
        <f t="shared" si="72"/>
        <v>Total</v>
      </c>
      <c r="AV108" s="1172" t="str">
        <f>Y108</f>
        <v>FREE</v>
      </c>
      <c r="AW108" s="1172" t="str">
        <f t="shared" ref="AW108:BP108" si="73">Z108</f>
        <v>RCS</v>
      </c>
      <c r="AX108" s="1172" t="str">
        <f t="shared" si="73"/>
        <v>Assited Aud</v>
      </c>
      <c r="AY108" s="1172" t="str">
        <f t="shared" si="73"/>
        <v>DS</v>
      </c>
      <c r="AZ108" s="1172" t="str">
        <f t="shared" si="73"/>
        <v>EnergyStar</v>
      </c>
      <c r="BA108" s="1172" t="str">
        <f t="shared" si="73"/>
        <v>LowInc</v>
      </c>
      <c r="BB108" s="1172" t="str">
        <f t="shared" si="73"/>
        <v>HC</v>
      </c>
      <c r="BC108" s="1172" t="str">
        <f t="shared" si="73"/>
        <v>Bld Envel</v>
      </c>
      <c r="BD108" s="1172" t="str">
        <f t="shared" si="73"/>
        <v>Ceiling Ins</v>
      </c>
      <c r="BE108" s="1172" t="str">
        <f t="shared" si="73"/>
        <v>Wall Ins</v>
      </c>
      <c r="BF108" s="1172" t="str">
        <f t="shared" si="73"/>
        <v>Wind Repl</v>
      </c>
      <c r="BG108" s="1172" t="str">
        <f t="shared" si="73"/>
        <v>Educate</v>
      </c>
      <c r="BH108" s="1172" t="str">
        <f t="shared" si="73"/>
        <v>ECM</v>
      </c>
      <c r="BI108" s="1172" t="str">
        <f t="shared" si="73"/>
        <v>Maint</v>
      </c>
      <c r="BJ108" s="1172" t="str">
        <f t="shared" si="73"/>
        <v>Solar DHW</v>
      </c>
      <c r="BK108" s="1172" t="str">
        <f t="shared" si="73"/>
        <v>PV</v>
      </c>
      <c r="BL108" s="272" t="str">
        <f t="shared" si="73"/>
        <v>Total Conserv</v>
      </c>
      <c r="BM108" s="270" t="str">
        <f t="shared" si="73"/>
        <v>PrimeTime</v>
      </c>
      <c r="BN108" s="271" t="str">
        <f t="shared" si="73"/>
        <v>Energy Pln</v>
      </c>
      <c r="BO108" s="273" t="str">
        <f t="shared" si="73"/>
        <v>Total</v>
      </c>
      <c r="BP108" s="504" t="str">
        <f t="shared" si="73"/>
        <v>Total</v>
      </c>
      <c r="BT108" s="1177" t="s">
        <v>420</v>
      </c>
      <c r="BU108" s="1174"/>
      <c r="BV108" s="1174"/>
      <c r="BW108" s="1174"/>
    </row>
    <row r="109" spans="1:78" x14ac:dyDescent="0.2">
      <c r="A109">
        <f t="shared" ref="A109:A136" si="74">+A59</f>
        <v>1995</v>
      </c>
      <c r="B109" s="680">
        <f>+B59-B58</f>
        <v>0.46904400000000024</v>
      </c>
      <c r="C109" s="680">
        <f t="shared" ref="C109:G109" si="75">+C59-C58</f>
        <v>0</v>
      </c>
      <c r="D109" s="680">
        <f t="shared" si="75"/>
        <v>0</v>
      </c>
      <c r="E109" s="680">
        <f t="shared" si="75"/>
        <v>0.74034</v>
      </c>
      <c r="F109" s="680">
        <f t="shared" si="75"/>
        <v>0</v>
      </c>
      <c r="G109" s="680">
        <f t="shared" si="75"/>
        <v>0</v>
      </c>
      <c r="H109" s="680">
        <f t="shared" ref="H109:V109" si="76">+H59-H58</f>
        <v>0</v>
      </c>
      <c r="I109" s="680">
        <f t="shared" si="76"/>
        <v>0.31990288315629822</v>
      </c>
      <c r="J109" s="680">
        <f t="shared" si="76"/>
        <v>0</v>
      </c>
      <c r="K109" s="680">
        <f t="shared" si="76"/>
        <v>0</v>
      </c>
      <c r="L109" s="680">
        <f t="shared" si="76"/>
        <v>0</v>
      </c>
      <c r="M109" s="680">
        <f t="shared" si="76"/>
        <v>0</v>
      </c>
      <c r="N109" s="680">
        <f t="shared" si="76"/>
        <v>0</v>
      </c>
      <c r="O109" s="680">
        <f t="shared" si="76"/>
        <v>0</v>
      </c>
      <c r="P109" s="680">
        <f t="shared" si="76"/>
        <v>0</v>
      </c>
      <c r="Q109" s="680">
        <f t="shared" si="76"/>
        <v>0</v>
      </c>
      <c r="R109" s="1168">
        <f t="shared" si="76"/>
        <v>1.5292868831562991</v>
      </c>
      <c r="S109" s="680">
        <f t="shared" si="76"/>
        <v>8.9920000000000044</v>
      </c>
      <c r="T109" s="680">
        <f t="shared" si="76"/>
        <v>0</v>
      </c>
      <c r="U109" s="1167">
        <f t="shared" si="76"/>
        <v>8.9920000000000044</v>
      </c>
      <c r="V109" s="1169">
        <f t="shared" si="76"/>
        <v>10.521286883156307</v>
      </c>
      <c r="W109" s="680"/>
      <c r="X109">
        <f t="shared" ref="X109:X136" si="77">+X59</f>
        <v>1995</v>
      </c>
      <c r="Y109" s="680">
        <f t="shared" ref="Y109:AF118" si="78">+Y59-Y58</f>
        <v>0.51196320000000206</v>
      </c>
      <c r="Z109" s="680">
        <f t="shared" si="78"/>
        <v>0</v>
      </c>
      <c r="AA109" s="680">
        <f t="shared" si="78"/>
        <v>0</v>
      </c>
      <c r="AB109" s="680">
        <f t="shared" si="78"/>
        <v>0.66792600000000002</v>
      </c>
      <c r="AC109" s="680">
        <f t="shared" si="78"/>
        <v>0</v>
      </c>
      <c r="AD109" s="680">
        <f t="shared" si="78"/>
        <v>0</v>
      </c>
      <c r="AE109" s="680">
        <f t="shared" si="78"/>
        <v>18.481348800000035</v>
      </c>
      <c r="AF109" s="680">
        <f t="shared" si="78"/>
        <v>0.4596965098634298</v>
      </c>
      <c r="AG109" s="680">
        <f t="shared" ref="AG109:AI109" si="79">+AG59-AG58</f>
        <v>0</v>
      </c>
      <c r="AH109" s="680">
        <f t="shared" si="79"/>
        <v>0</v>
      </c>
      <c r="AI109" s="680">
        <f t="shared" si="79"/>
        <v>0</v>
      </c>
      <c r="AJ109" s="680">
        <f t="shared" ref="AJ109:AS109" si="80">+AJ59-AJ58</f>
        <v>0</v>
      </c>
      <c r="AK109" s="680">
        <f t="shared" si="80"/>
        <v>0</v>
      </c>
      <c r="AL109" s="680">
        <f t="shared" si="80"/>
        <v>0</v>
      </c>
      <c r="AM109" s="680">
        <f t="shared" si="80"/>
        <v>0</v>
      </c>
      <c r="AN109" s="680">
        <f t="shared" si="80"/>
        <v>0</v>
      </c>
      <c r="AO109" s="1168">
        <f t="shared" si="80"/>
        <v>20.120934509863559</v>
      </c>
      <c r="AP109" s="680">
        <f t="shared" si="80"/>
        <v>63.575999999999993</v>
      </c>
      <c r="AQ109" s="680">
        <f t="shared" si="80"/>
        <v>0</v>
      </c>
      <c r="AR109" s="1167">
        <f t="shared" si="80"/>
        <v>63.575999999999993</v>
      </c>
      <c r="AS109" s="1169">
        <f t="shared" si="80"/>
        <v>83.696934509863524</v>
      </c>
      <c r="AU109">
        <f t="shared" ref="AU109:AU136" si="81">+AU59</f>
        <v>1995</v>
      </c>
      <c r="AV109" s="680">
        <f t="shared" ref="AV109:BK124" si="82">+AV59-AV58</f>
        <v>2.5172027999999997</v>
      </c>
      <c r="AW109" s="680">
        <f t="shared" si="82"/>
        <v>0</v>
      </c>
      <c r="AX109" s="680">
        <f t="shared" si="82"/>
        <v>0</v>
      </c>
      <c r="AY109" s="680">
        <f t="shared" si="82"/>
        <v>2.8790999999999993</v>
      </c>
      <c r="AZ109" s="680">
        <f t="shared" si="82"/>
        <v>0</v>
      </c>
      <c r="BA109" s="680">
        <f t="shared" si="82"/>
        <v>0</v>
      </c>
      <c r="BB109" s="680">
        <f t="shared" si="82"/>
        <v>4.2398559000000091</v>
      </c>
      <c r="BC109" s="680">
        <f t="shared" si="82"/>
        <v>0.58315629742033437</v>
      </c>
      <c r="BD109" s="680">
        <f t="shared" ref="BD109:BF109" si="83">+BD59-BD58</f>
        <v>0</v>
      </c>
      <c r="BE109" s="680">
        <f t="shared" si="83"/>
        <v>0</v>
      </c>
      <c r="BF109" s="680">
        <f t="shared" si="83"/>
        <v>0</v>
      </c>
      <c r="BG109" s="680">
        <f t="shared" si="82"/>
        <v>0</v>
      </c>
      <c r="BH109" s="680">
        <f t="shared" si="82"/>
        <v>0</v>
      </c>
      <c r="BI109" s="680">
        <f t="shared" si="82"/>
        <v>0</v>
      </c>
      <c r="BJ109" s="680">
        <f t="shared" si="82"/>
        <v>0</v>
      </c>
      <c r="BK109" s="680">
        <f t="shared" si="82"/>
        <v>0</v>
      </c>
      <c r="BL109" s="1168"/>
      <c r="BM109" s="680">
        <f t="shared" ref="BM109:BP124" si="84">+BM59-BM58</f>
        <v>0</v>
      </c>
      <c r="BN109" s="680">
        <f t="shared" si="84"/>
        <v>0</v>
      </c>
      <c r="BO109" s="1167">
        <f t="shared" si="84"/>
        <v>0</v>
      </c>
      <c r="BP109" s="1169">
        <f t="shared" si="84"/>
        <v>10.219314997420327</v>
      </c>
      <c r="BT109" s="1175">
        <f t="shared" ref="BT109:BV136" si="85">+BT59-BT58</f>
        <v>10.219314997420327</v>
      </c>
      <c r="BU109" s="1175">
        <f t="shared" si="85"/>
        <v>0</v>
      </c>
      <c r="BV109" s="1175">
        <f t="shared" si="85"/>
        <v>18.50457013275377</v>
      </c>
      <c r="BW109" s="1175"/>
    </row>
    <row r="110" spans="1:78" x14ac:dyDescent="0.2">
      <c r="A110">
        <f t="shared" si="74"/>
        <v>1996</v>
      </c>
      <c r="B110" s="680">
        <f t="shared" ref="B110:F110" si="86">+B60-B59</f>
        <v>0.17543627999999956</v>
      </c>
      <c r="C110" s="680">
        <f t="shared" si="86"/>
        <v>-1.7460000000000031E-2</v>
      </c>
      <c r="D110" s="680">
        <f t="shared" si="86"/>
        <v>4.4126100000000001E-2</v>
      </c>
      <c r="E110" s="680">
        <f t="shared" si="86"/>
        <v>1.3877266324604147</v>
      </c>
      <c r="F110" s="680">
        <f t="shared" si="86"/>
        <v>0</v>
      </c>
      <c r="G110" s="680">
        <f t="shared" ref="G110:V110" si="87">+G60-G59</f>
        <v>0</v>
      </c>
      <c r="H110" s="680">
        <f t="shared" si="87"/>
        <v>1.088815640387514</v>
      </c>
      <c r="I110" s="680">
        <f t="shared" si="87"/>
        <v>7.2512345280728141E-2</v>
      </c>
      <c r="J110" s="680">
        <f t="shared" si="87"/>
        <v>0</v>
      </c>
      <c r="K110" s="680">
        <f t="shared" si="87"/>
        <v>0</v>
      </c>
      <c r="L110" s="680">
        <f t="shared" si="87"/>
        <v>0</v>
      </c>
      <c r="M110" s="680">
        <f t="shared" si="87"/>
        <v>0</v>
      </c>
      <c r="N110" s="680">
        <f t="shared" si="87"/>
        <v>0</v>
      </c>
      <c r="O110" s="680">
        <f t="shared" si="87"/>
        <v>0</v>
      </c>
      <c r="P110" s="680">
        <f t="shared" si="87"/>
        <v>0</v>
      </c>
      <c r="Q110" s="680">
        <f t="shared" si="87"/>
        <v>0</v>
      </c>
      <c r="R110" s="1168">
        <f t="shared" si="87"/>
        <v>2.751156998128657</v>
      </c>
      <c r="S110" s="680">
        <f t="shared" si="87"/>
        <v>-1.2222000000000008</v>
      </c>
      <c r="T110" s="680">
        <f t="shared" si="87"/>
        <v>0</v>
      </c>
      <c r="U110" s="1167">
        <f t="shared" si="87"/>
        <v>-1.2222000000000008</v>
      </c>
      <c r="V110" s="1170">
        <f t="shared" si="87"/>
        <v>1.528956998128649</v>
      </c>
      <c r="W110" s="680"/>
      <c r="X110">
        <f t="shared" si="77"/>
        <v>1996</v>
      </c>
      <c r="Y110" s="680">
        <f t="shared" si="78"/>
        <v>0.75495527999999901</v>
      </c>
      <c r="Z110" s="680">
        <f t="shared" si="78"/>
        <v>-2.4479999999999835E-2</v>
      </c>
      <c r="AA110" s="680">
        <f t="shared" si="78"/>
        <v>0</v>
      </c>
      <c r="AB110" s="680">
        <f t="shared" si="78"/>
        <v>4.4344254113276502</v>
      </c>
      <c r="AC110" s="680">
        <f t="shared" si="78"/>
        <v>0</v>
      </c>
      <c r="AD110" s="680">
        <f t="shared" si="78"/>
        <v>0</v>
      </c>
      <c r="AE110" s="680">
        <f t="shared" si="78"/>
        <v>11.778369351270499</v>
      </c>
      <c r="AF110" s="680">
        <f t="shared" si="78"/>
        <v>0.49163432477768954</v>
      </c>
      <c r="AG110" s="680">
        <f t="shared" ref="AG110:AI110" si="88">+AG60-AG59</f>
        <v>0</v>
      </c>
      <c r="AH110" s="680">
        <f t="shared" si="88"/>
        <v>0</v>
      </c>
      <c r="AI110" s="680">
        <f t="shared" si="88"/>
        <v>0</v>
      </c>
      <c r="AJ110" s="680">
        <f t="shared" ref="AJ110:AS110" si="89">+AJ60-AJ59</f>
        <v>0</v>
      </c>
      <c r="AK110" s="680">
        <f t="shared" si="89"/>
        <v>0</v>
      </c>
      <c r="AL110" s="680">
        <f t="shared" si="89"/>
        <v>0</v>
      </c>
      <c r="AM110" s="680">
        <f t="shared" si="89"/>
        <v>0</v>
      </c>
      <c r="AN110" s="680">
        <f t="shared" si="89"/>
        <v>0</v>
      </c>
      <c r="AO110" s="1168">
        <f t="shared" si="89"/>
        <v>17.434904367375793</v>
      </c>
      <c r="AP110" s="680">
        <f t="shared" si="89"/>
        <v>14.389199999999988</v>
      </c>
      <c r="AQ110" s="680">
        <f t="shared" si="89"/>
        <v>0</v>
      </c>
      <c r="AR110" s="1167">
        <f t="shared" si="89"/>
        <v>14.389199999999988</v>
      </c>
      <c r="AS110" s="1170">
        <f t="shared" si="89"/>
        <v>31.824104367375867</v>
      </c>
      <c r="AU110">
        <f t="shared" si="81"/>
        <v>1996</v>
      </c>
      <c r="AV110" s="680">
        <f t="shared" si="82"/>
        <v>2.9928038389999969</v>
      </c>
      <c r="AW110" s="680">
        <f t="shared" si="82"/>
        <v>3.2699999999996621E-3</v>
      </c>
      <c r="AX110" s="680">
        <f t="shared" si="82"/>
        <v>0.36390875</v>
      </c>
      <c r="AY110" s="680">
        <f t="shared" si="82"/>
        <v>5.5322484492362962</v>
      </c>
      <c r="AZ110" s="680">
        <f t="shared" si="82"/>
        <v>0</v>
      </c>
      <c r="BA110" s="680">
        <f t="shared" si="82"/>
        <v>0</v>
      </c>
      <c r="BB110" s="680">
        <f t="shared" si="82"/>
        <v>6.4556415752333862</v>
      </c>
      <c r="BC110" s="680">
        <f t="shared" si="82"/>
        <v>1.3582477359499219</v>
      </c>
      <c r="BD110" s="680">
        <f t="shared" ref="BD110:BF110" si="90">+BD60-BD59</f>
        <v>0</v>
      </c>
      <c r="BE110" s="680">
        <f t="shared" si="90"/>
        <v>0</v>
      </c>
      <c r="BF110" s="680">
        <f t="shared" si="90"/>
        <v>0</v>
      </c>
      <c r="BG110" s="680">
        <f t="shared" si="82"/>
        <v>0</v>
      </c>
      <c r="BH110" s="680">
        <f t="shared" si="82"/>
        <v>0</v>
      </c>
      <c r="BI110" s="680">
        <f t="shared" si="82"/>
        <v>0</v>
      </c>
      <c r="BJ110" s="680">
        <f t="shared" si="82"/>
        <v>0</v>
      </c>
      <c r="BK110" s="680">
        <f t="shared" si="82"/>
        <v>0</v>
      </c>
      <c r="BL110" s="1168"/>
      <c r="BM110" s="680">
        <f t="shared" si="84"/>
        <v>0</v>
      </c>
      <c r="BN110" s="680">
        <f t="shared" si="84"/>
        <v>0</v>
      </c>
      <c r="BO110" s="1167">
        <f t="shared" si="84"/>
        <v>0</v>
      </c>
      <c r="BP110" s="1170">
        <f t="shared" si="84"/>
        <v>16.706120349419592</v>
      </c>
      <c r="BT110" s="1175">
        <f t="shared" si="85"/>
        <v>16.706120349419592</v>
      </c>
      <c r="BU110" s="1175">
        <f t="shared" si="85"/>
        <v>0</v>
      </c>
      <c r="BV110" s="1175">
        <f t="shared" si="85"/>
        <v>31.774993987764674</v>
      </c>
      <c r="BW110" s="1175"/>
    </row>
    <row r="111" spans="1:78" x14ac:dyDescent="0.2">
      <c r="A111">
        <f t="shared" si="74"/>
        <v>1997</v>
      </c>
      <c r="B111" s="680">
        <f t="shared" ref="B111:F111" si="91">+B61-B60</f>
        <v>0.22393150403268081</v>
      </c>
      <c r="C111" s="680">
        <f t="shared" si="91"/>
        <v>0</v>
      </c>
      <c r="D111" s="680">
        <f t="shared" si="91"/>
        <v>0.33690356999999999</v>
      </c>
      <c r="E111" s="680">
        <f t="shared" si="91"/>
        <v>1.6124875150631248</v>
      </c>
      <c r="F111" s="680">
        <f t="shared" si="91"/>
        <v>0</v>
      </c>
      <c r="G111" s="680">
        <f t="shared" ref="G111:V111" si="92">+G61-G60</f>
        <v>0</v>
      </c>
      <c r="H111" s="680">
        <f t="shared" si="92"/>
        <v>1.509838554199785</v>
      </c>
      <c r="I111" s="680">
        <f t="shared" si="92"/>
        <v>0.25615440000000067</v>
      </c>
      <c r="J111" s="680">
        <f t="shared" si="92"/>
        <v>0</v>
      </c>
      <c r="K111" s="680">
        <f t="shared" si="92"/>
        <v>0</v>
      </c>
      <c r="L111" s="680">
        <f t="shared" si="92"/>
        <v>0</v>
      </c>
      <c r="M111" s="680">
        <f t="shared" si="92"/>
        <v>0</v>
      </c>
      <c r="N111" s="680">
        <f t="shared" si="92"/>
        <v>0</v>
      </c>
      <c r="O111" s="680">
        <f t="shared" si="92"/>
        <v>0</v>
      </c>
      <c r="P111" s="680">
        <f t="shared" si="92"/>
        <v>0</v>
      </c>
      <c r="Q111" s="680">
        <f t="shared" si="92"/>
        <v>0</v>
      </c>
      <c r="R111" s="1168">
        <f t="shared" si="92"/>
        <v>3.9393155432955851</v>
      </c>
      <c r="S111" s="680">
        <f t="shared" si="92"/>
        <v>-9.027000000000001</v>
      </c>
      <c r="T111" s="680">
        <f t="shared" si="92"/>
        <v>0</v>
      </c>
      <c r="U111" s="1167">
        <f t="shared" si="92"/>
        <v>-9.027000000000001</v>
      </c>
      <c r="V111" s="1170">
        <f t="shared" si="92"/>
        <v>-5.0876844567044088</v>
      </c>
      <c r="W111" s="680"/>
      <c r="X111">
        <f t="shared" si="77"/>
        <v>1997</v>
      </c>
      <c r="Y111" s="680">
        <f t="shared" si="78"/>
        <v>0.48190618814706809</v>
      </c>
      <c r="Z111" s="680">
        <f t="shared" si="78"/>
        <v>0</v>
      </c>
      <c r="AA111" s="680">
        <f t="shared" si="78"/>
        <v>0.20003786174935745</v>
      </c>
      <c r="AB111" s="680">
        <f t="shared" si="78"/>
        <v>4.5178720001741386</v>
      </c>
      <c r="AC111" s="680">
        <f t="shared" si="78"/>
        <v>0</v>
      </c>
      <c r="AD111" s="680">
        <f t="shared" si="78"/>
        <v>0</v>
      </c>
      <c r="AE111" s="680">
        <f t="shared" si="78"/>
        <v>15.192170625338292</v>
      </c>
      <c r="AF111" s="680">
        <f t="shared" si="78"/>
        <v>1.5915169229038586</v>
      </c>
      <c r="AG111" s="680">
        <f t="shared" ref="AG111:AI111" si="93">+AG61-AG60</f>
        <v>0</v>
      </c>
      <c r="AH111" s="680">
        <f t="shared" si="93"/>
        <v>0</v>
      </c>
      <c r="AI111" s="680">
        <f t="shared" si="93"/>
        <v>0</v>
      </c>
      <c r="AJ111" s="680">
        <f t="shared" ref="AJ111:AS111" si="94">+AJ61-AJ60</f>
        <v>0</v>
      </c>
      <c r="AK111" s="680">
        <f t="shared" si="94"/>
        <v>0</v>
      </c>
      <c r="AL111" s="680">
        <f t="shared" si="94"/>
        <v>0</v>
      </c>
      <c r="AM111" s="680">
        <f t="shared" si="94"/>
        <v>0</v>
      </c>
      <c r="AN111" s="680">
        <f t="shared" si="94"/>
        <v>0</v>
      </c>
      <c r="AO111" s="1168">
        <f t="shared" si="94"/>
        <v>21.983503598312723</v>
      </c>
      <c r="AP111" s="680">
        <f t="shared" si="94"/>
        <v>-96.004799999999989</v>
      </c>
      <c r="AQ111" s="680">
        <f t="shared" si="94"/>
        <v>0</v>
      </c>
      <c r="AR111" s="1167">
        <f t="shared" si="94"/>
        <v>-96.004799999999989</v>
      </c>
      <c r="AS111" s="1170">
        <f t="shared" si="94"/>
        <v>-74.021296401687323</v>
      </c>
      <c r="AU111">
        <f t="shared" si="81"/>
        <v>1997</v>
      </c>
      <c r="AV111" s="680">
        <f t="shared" si="82"/>
        <v>1.8449204231607865</v>
      </c>
      <c r="AW111" s="680">
        <f t="shared" si="82"/>
        <v>0</v>
      </c>
      <c r="AX111" s="680">
        <f t="shared" si="82"/>
        <v>2.0506323750000002</v>
      </c>
      <c r="AY111" s="680">
        <f t="shared" si="82"/>
        <v>4.8446063884362207</v>
      </c>
      <c r="AZ111" s="680">
        <f t="shared" si="82"/>
        <v>0</v>
      </c>
      <c r="BA111" s="680">
        <f t="shared" si="82"/>
        <v>0</v>
      </c>
      <c r="BB111" s="680">
        <f t="shared" si="82"/>
        <v>6.1757601087219314</v>
      </c>
      <c r="BC111" s="680">
        <f t="shared" si="82"/>
        <v>2.2730607599999999</v>
      </c>
      <c r="BD111" s="680">
        <f t="shared" ref="BD111:BF111" si="95">+BD61-BD60</f>
        <v>0</v>
      </c>
      <c r="BE111" s="680">
        <f t="shared" si="95"/>
        <v>0</v>
      </c>
      <c r="BF111" s="680">
        <f t="shared" si="95"/>
        <v>0</v>
      </c>
      <c r="BG111" s="680">
        <f t="shared" si="82"/>
        <v>0</v>
      </c>
      <c r="BH111" s="680">
        <f t="shared" si="82"/>
        <v>0</v>
      </c>
      <c r="BI111" s="680">
        <f t="shared" si="82"/>
        <v>0</v>
      </c>
      <c r="BJ111" s="680">
        <f t="shared" si="82"/>
        <v>0</v>
      </c>
      <c r="BK111" s="680">
        <f t="shared" si="82"/>
        <v>0</v>
      </c>
      <c r="BL111" s="1168"/>
      <c r="BM111" s="680">
        <f t="shared" si="84"/>
        <v>0</v>
      </c>
      <c r="BN111" s="680">
        <f t="shared" si="84"/>
        <v>0</v>
      </c>
      <c r="BO111" s="1167">
        <f t="shared" si="84"/>
        <v>0</v>
      </c>
      <c r="BP111" s="1170">
        <f t="shared" si="84"/>
        <v>17.18898005531895</v>
      </c>
      <c r="BT111" s="1175">
        <f t="shared" si="85"/>
        <v>17.18898005531895</v>
      </c>
      <c r="BU111" s="1175">
        <f t="shared" si="85"/>
        <v>0</v>
      </c>
      <c r="BV111" s="1175">
        <f t="shared" si="85"/>
        <v>37.967134634922786</v>
      </c>
      <c r="BW111" s="1175"/>
    </row>
    <row r="112" spans="1:78" x14ac:dyDescent="0.2">
      <c r="A112">
        <f t="shared" si="74"/>
        <v>1998</v>
      </c>
      <c r="B112" s="680">
        <f t="shared" ref="B112:F112" si="96">+B62-B61</f>
        <v>0.24421752000000119</v>
      </c>
      <c r="C112" s="680">
        <f t="shared" si="96"/>
        <v>0</v>
      </c>
      <c r="D112" s="680">
        <f t="shared" si="96"/>
        <v>0.80683857000000003</v>
      </c>
      <c r="E112" s="680">
        <f t="shared" si="96"/>
        <v>1.3878334663987149</v>
      </c>
      <c r="F112" s="680">
        <f t="shared" si="96"/>
        <v>0</v>
      </c>
      <c r="G112" s="680">
        <f t="shared" ref="G112:V112" si="97">+G62-G61</f>
        <v>0</v>
      </c>
      <c r="H112" s="680">
        <f t="shared" si="97"/>
        <v>1.3842540351562498</v>
      </c>
      <c r="I112" s="680">
        <f t="shared" si="97"/>
        <v>0.96311730754362923</v>
      </c>
      <c r="J112" s="680">
        <f t="shared" si="97"/>
        <v>0</v>
      </c>
      <c r="K112" s="680">
        <f t="shared" si="97"/>
        <v>0</v>
      </c>
      <c r="L112" s="680">
        <f t="shared" si="97"/>
        <v>0</v>
      </c>
      <c r="M112" s="680">
        <f t="shared" si="97"/>
        <v>0</v>
      </c>
      <c r="N112" s="680">
        <f t="shared" si="97"/>
        <v>0</v>
      </c>
      <c r="O112" s="680">
        <f t="shared" si="97"/>
        <v>0</v>
      </c>
      <c r="P112" s="680">
        <f t="shared" si="97"/>
        <v>0</v>
      </c>
      <c r="Q112" s="680">
        <f t="shared" si="97"/>
        <v>0</v>
      </c>
      <c r="R112" s="1168">
        <f t="shared" si="97"/>
        <v>4.7862608990985933</v>
      </c>
      <c r="S112" s="680">
        <f t="shared" si="97"/>
        <v>11.89439999999999</v>
      </c>
      <c r="T112" s="680">
        <f t="shared" si="97"/>
        <v>0</v>
      </c>
      <c r="U112" s="1167">
        <f t="shared" si="97"/>
        <v>11.89439999999999</v>
      </c>
      <c r="V112" s="1170">
        <f t="shared" si="97"/>
        <v>16.680660899098569</v>
      </c>
      <c r="W112" s="680"/>
      <c r="X112">
        <f t="shared" si="77"/>
        <v>1998</v>
      </c>
      <c r="Y112" s="680">
        <f t="shared" si="78"/>
        <v>0.65510531999999699</v>
      </c>
      <c r="Z112" s="680">
        <f t="shared" si="78"/>
        <v>0</v>
      </c>
      <c r="AA112" s="680">
        <f t="shared" si="78"/>
        <v>0.92718571955489648</v>
      </c>
      <c r="AB112" s="680">
        <f t="shared" si="78"/>
        <v>2.1884524214469483</v>
      </c>
      <c r="AC112" s="680">
        <f t="shared" si="78"/>
        <v>0</v>
      </c>
      <c r="AD112" s="680">
        <f t="shared" si="78"/>
        <v>0</v>
      </c>
      <c r="AE112" s="680">
        <f t="shared" si="78"/>
        <v>9.8701841756250133</v>
      </c>
      <c r="AF112" s="680">
        <f t="shared" si="78"/>
        <v>2.6563906191499349</v>
      </c>
      <c r="AG112" s="680">
        <f t="shared" ref="AG112:AI112" si="98">+AG62-AG61</f>
        <v>0</v>
      </c>
      <c r="AH112" s="680">
        <f t="shared" si="98"/>
        <v>0</v>
      </c>
      <c r="AI112" s="680">
        <f t="shared" si="98"/>
        <v>0</v>
      </c>
      <c r="AJ112" s="680">
        <f t="shared" ref="AJ112:AS112" si="99">+AJ62-AJ61</f>
        <v>0</v>
      </c>
      <c r="AK112" s="680">
        <f t="shared" si="99"/>
        <v>0</v>
      </c>
      <c r="AL112" s="680">
        <f t="shared" si="99"/>
        <v>0</v>
      </c>
      <c r="AM112" s="680">
        <f t="shared" si="99"/>
        <v>0</v>
      </c>
      <c r="AN112" s="680">
        <f t="shared" si="99"/>
        <v>0</v>
      </c>
      <c r="AO112" s="1168">
        <f t="shared" si="99"/>
        <v>16.297318255776815</v>
      </c>
      <c r="AP112" s="680">
        <f t="shared" si="99"/>
        <v>-4.1417999999999893</v>
      </c>
      <c r="AQ112" s="680">
        <f t="shared" si="99"/>
        <v>0</v>
      </c>
      <c r="AR112" s="1167">
        <f t="shared" si="99"/>
        <v>-4.1417999999999893</v>
      </c>
      <c r="AS112" s="1170">
        <f t="shared" si="99"/>
        <v>12.155518255776769</v>
      </c>
      <c r="AU112">
        <f t="shared" si="81"/>
        <v>1998</v>
      </c>
      <c r="AV112" s="680">
        <f t="shared" si="82"/>
        <v>2.0120522670000014</v>
      </c>
      <c r="AW112" s="680">
        <f t="shared" si="82"/>
        <v>0</v>
      </c>
      <c r="AX112" s="680">
        <f t="shared" si="82"/>
        <v>3.2805651250000003</v>
      </c>
      <c r="AY112" s="680">
        <f t="shared" si="82"/>
        <v>3.3081727984915581</v>
      </c>
      <c r="AZ112" s="680">
        <f t="shared" si="82"/>
        <v>0</v>
      </c>
      <c r="BA112" s="680">
        <f t="shared" si="82"/>
        <v>0</v>
      </c>
      <c r="BB112" s="680">
        <f t="shared" si="82"/>
        <v>5.3895126824265276</v>
      </c>
      <c r="BC112" s="680">
        <f t="shared" si="82"/>
        <v>4.2573654391274172</v>
      </c>
      <c r="BD112" s="680">
        <f t="shared" ref="BD112:BF112" si="100">+BD62-BD61</f>
        <v>0</v>
      </c>
      <c r="BE112" s="680">
        <f t="shared" si="100"/>
        <v>0</v>
      </c>
      <c r="BF112" s="680">
        <f t="shared" si="100"/>
        <v>0</v>
      </c>
      <c r="BG112" s="680">
        <f t="shared" si="82"/>
        <v>0</v>
      </c>
      <c r="BH112" s="680">
        <f t="shared" si="82"/>
        <v>0</v>
      </c>
      <c r="BI112" s="680">
        <f t="shared" si="82"/>
        <v>0</v>
      </c>
      <c r="BJ112" s="680">
        <f t="shared" si="82"/>
        <v>0</v>
      </c>
      <c r="BK112" s="680">
        <f t="shared" si="82"/>
        <v>0</v>
      </c>
      <c r="BL112" s="1168"/>
      <c r="BM112" s="680">
        <f t="shared" si="84"/>
        <v>0</v>
      </c>
      <c r="BN112" s="680">
        <f t="shared" si="84"/>
        <v>0</v>
      </c>
      <c r="BO112" s="1167">
        <f t="shared" si="84"/>
        <v>0</v>
      </c>
      <c r="BP112" s="1170">
        <f t="shared" si="84"/>
        <v>18.247668312045505</v>
      </c>
      <c r="BT112" s="1175">
        <f t="shared" si="85"/>
        <v>18.247668312045505</v>
      </c>
      <c r="BU112" s="1175">
        <f t="shared" si="85"/>
        <v>0</v>
      </c>
      <c r="BV112" s="1175">
        <f t="shared" si="85"/>
        <v>32.788464757545455</v>
      </c>
      <c r="BW112" s="1175"/>
    </row>
    <row r="113" spans="1:75" x14ac:dyDescent="0.2">
      <c r="A113">
        <f t="shared" si="74"/>
        <v>1999</v>
      </c>
      <c r="B113" s="680">
        <f t="shared" ref="B113:F113" si="101">+B63-B62</f>
        <v>0.20481732000000008</v>
      </c>
      <c r="C113" s="680">
        <f t="shared" si="101"/>
        <v>0</v>
      </c>
      <c r="D113" s="680">
        <f t="shared" si="101"/>
        <v>0.80398710000000007</v>
      </c>
      <c r="E113" s="680">
        <f t="shared" si="101"/>
        <v>0.87256901341114723</v>
      </c>
      <c r="F113" s="680">
        <f t="shared" si="101"/>
        <v>0</v>
      </c>
      <c r="G113" s="680">
        <f t="shared" ref="G113:V113" si="102">+G63-G62</f>
        <v>0</v>
      </c>
      <c r="H113" s="680">
        <f t="shared" si="102"/>
        <v>0.79012269000000046</v>
      </c>
      <c r="I113" s="680">
        <f t="shared" si="102"/>
        <v>1.6100769600000007</v>
      </c>
      <c r="J113" s="680">
        <f t="shared" si="102"/>
        <v>0</v>
      </c>
      <c r="K113" s="680">
        <f t="shared" si="102"/>
        <v>0</v>
      </c>
      <c r="L113" s="680">
        <f t="shared" si="102"/>
        <v>0</v>
      </c>
      <c r="M113" s="680">
        <f t="shared" si="102"/>
        <v>0</v>
      </c>
      <c r="N113" s="680">
        <f t="shared" si="102"/>
        <v>0</v>
      </c>
      <c r="O113" s="680">
        <f t="shared" si="102"/>
        <v>0</v>
      </c>
      <c r="P113" s="680">
        <f t="shared" si="102"/>
        <v>0</v>
      </c>
      <c r="Q113" s="680">
        <f t="shared" si="102"/>
        <v>0</v>
      </c>
      <c r="R113" s="1168">
        <f t="shared" si="102"/>
        <v>4.2815730834111534</v>
      </c>
      <c r="S113" s="680">
        <f t="shared" si="102"/>
        <v>-9.133199999999988</v>
      </c>
      <c r="T113" s="680">
        <f t="shared" si="102"/>
        <v>0</v>
      </c>
      <c r="U113" s="1167">
        <f t="shared" si="102"/>
        <v>-9.133199999999988</v>
      </c>
      <c r="V113" s="1170">
        <f t="shared" si="102"/>
        <v>-4.8516269165888275</v>
      </c>
      <c r="W113" s="680"/>
      <c r="X113">
        <f t="shared" si="77"/>
        <v>1999</v>
      </c>
      <c r="Y113" s="680">
        <f t="shared" si="78"/>
        <v>0.44387352000000391</v>
      </c>
      <c r="Z113" s="680">
        <f t="shared" si="78"/>
        <v>0</v>
      </c>
      <c r="AA113" s="680">
        <f t="shared" si="78"/>
        <v>0.87612268108000579</v>
      </c>
      <c r="AB113" s="680">
        <f t="shared" si="78"/>
        <v>1.1964673941495949</v>
      </c>
      <c r="AC113" s="680">
        <f t="shared" si="78"/>
        <v>0</v>
      </c>
      <c r="AD113" s="680">
        <f t="shared" si="78"/>
        <v>0</v>
      </c>
      <c r="AE113" s="680">
        <f t="shared" si="78"/>
        <v>9.4638643199999706</v>
      </c>
      <c r="AF113" s="680">
        <f t="shared" si="78"/>
        <v>6.2253378000000001</v>
      </c>
      <c r="AG113" s="680">
        <f t="shared" ref="AG113:AI113" si="103">+AG63-AG62</f>
        <v>0</v>
      </c>
      <c r="AH113" s="680">
        <f t="shared" si="103"/>
        <v>0</v>
      </c>
      <c r="AI113" s="680">
        <f t="shared" si="103"/>
        <v>0</v>
      </c>
      <c r="AJ113" s="680">
        <f t="shared" ref="AJ113:AS113" si="104">+AJ63-AJ62</f>
        <v>0</v>
      </c>
      <c r="AK113" s="680">
        <f t="shared" si="104"/>
        <v>0</v>
      </c>
      <c r="AL113" s="680">
        <f t="shared" si="104"/>
        <v>0</v>
      </c>
      <c r="AM113" s="680">
        <f t="shared" si="104"/>
        <v>0</v>
      </c>
      <c r="AN113" s="680">
        <f t="shared" si="104"/>
        <v>0</v>
      </c>
      <c r="AO113" s="1168">
        <f t="shared" si="104"/>
        <v>18.205665715229543</v>
      </c>
      <c r="AP113" s="680">
        <f t="shared" si="104"/>
        <v>105.98759999999999</v>
      </c>
      <c r="AQ113" s="680">
        <f t="shared" si="104"/>
        <v>0</v>
      </c>
      <c r="AR113" s="1167">
        <f t="shared" si="104"/>
        <v>105.98759999999999</v>
      </c>
      <c r="AS113" s="1170">
        <f t="shared" si="104"/>
        <v>124.19326571522959</v>
      </c>
      <c r="AU113">
        <f t="shared" si="81"/>
        <v>1999</v>
      </c>
      <c r="AV113" s="680">
        <f t="shared" si="82"/>
        <v>1.6874430344999993</v>
      </c>
      <c r="AW113" s="680">
        <f t="shared" si="82"/>
        <v>0</v>
      </c>
      <c r="AX113" s="680">
        <f t="shared" si="82"/>
        <v>3.4428132499999986</v>
      </c>
      <c r="AY113" s="680">
        <f t="shared" si="82"/>
        <v>2.1071961923189626</v>
      </c>
      <c r="AZ113" s="680">
        <f t="shared" si="82"/>
        <v>0</v>
      </c>
      <c r="BA113" s="680">
        <f t="shared" si="82"/>
        <v>0</v>
      </c>
      <c r="BB113" s="680">
        <f t="shared" si="82"/>
        <v>3.2275195784999937</v>
      </c>
      <c r="BC113" s="680">
        <f t="shared" si="82"/>
        <v>7.1171870239999961</v>
      </c>
      <c r="BD113" s="680">
        <f t="shared" ref="BD113:BF113" si="105">+BD63-BD62</f>
        <v>0</v>
      </c>
      <c r="BE113" s="680">
        <f t="shared" si="105"/>
        <v>0</v>
      </c>
      <c r="BF113" s="680">
        <f t="shared" si="105"/>
        <v>0</v>
      </c>
      <c r="BG113" s="680">
        <f t="shared" si="82"/>
        <v>0</v>
      </c>
      <c r="BH113" s="680">
        <f t="shared" si="82"/>
        <v>0</v>
      </c>
      <c r="BI113" s="680">
        <f t="shared" si="82"/>
        <v>0</v>
      </c>
      <c r="BJ113" s="680">
        <f t="shared" si="82"/>
        <v>0</v>
      </c>
      <c r="BK113" s="680">
        <f t="shared" si="82"/>
        <v>0</v>
      </c>
      <c r="BL113" s="1168"/>
      <c r="BM113" s="680">
        <f t="shared" si="84"/>
        <v>0</v>
      </c>
      <c r="BN113" s="680">
        <f t="shared" si="84"/>
        <v>0</v>
      </c>
      <c r="BO113" s="1167">
        <f t="shared" si="84"/>
        <v>0</v>
      </c>
      <c r="BP113" s="1170">
        <f t="shared" si="84"/>
        <v>17.582159079318956</v>
      </c>
      <c r="BT113" s="1175">
        <f t="shared" si="85"/>
        <v>17.582159079318956</v>
      </c>
      <c r="BU113" s="1175">
        <f t="shared" si="85"/>
        <v>0</v>
      </c>
      <c r="BV113" s="1175">
        <f t="shared" si="85"/>
        <v>34.197672682318967</v>
      </c>
      <c r="BW113" s="1175"/>
    </row>
    <row r="114" spans="1:75" x14ac:dyDescent="0.2">
      <c r="A114">
        <f t="shared" si="74"/>
        <v>2000</v>
      </c>
      <c r="B114" s="680">
        <f t="shared" ref="B114:F114" si="106">+B64-B63</f>
        <v>0.27950755316019738</v>
      </c>
      <c r="C114" s="680">
        <f t="shared" si="106"/>
        <v>3.8799999999998835E-3</v>
      </c>
      <c r="D114" s="680">
        <f t="shared" si="106"/>
        <v>0.87567932999999987</v>
      </c>
      <c r="E114" s="680">
        <f t="shared" si="106"/>
        <v>0.92198166449785113</v>
      </c>
      <c r="F114" s="680">
        <f t="shared" si="106"/>
        <v>0</v>
      </c>
      <c r="G114" s="680">
        <f t="shared" ref="G114:V114" si="107">+G64-G63</f>
        <v>0</v>
      </c>
      <c r="H114" s="680">
        <f t="shared" si="107"/>
        <v>0.54341397799974445</v>
      </c>
      <c r="I114" s="680">
        <f t="shared" si="107"/>
        <v>1.3593899459735619</v>
      </c>
      <c r="J114" s="680">
        <f t="shared" si="107"/>
        <v>0</v>
      </c>
      <c r="K114" s="680">
        <f t="shared" si="107"/>
        <v>0</v>
      </c>
      <c r="L114" s="680">
        <f t="shared" si="107"/>
        <v>0</v>
      </c>
      <c r="M114" s="680">
        <f t="shared" si="107"/>
        <v>0</v>
      </c>
      <c r="N114" s="680">
        <f t="shared" si="107"/>
        <v>0</v>
      </c>
      <c r="O114" s="680">
        <f t="shared" si="107"/>
        <v>0</v>
      </c>
      <c r="P114" s="680">
        <f t="shared" si="107"/>
        <v>0</v>
      </c>
      <c r="Q114" s="680">
        <f t="shared" si="107"/>
        <v>0</v>
      </c>
      <c r="R114" s="1168">
        <f t="shared" si="107"/>
        <v>3.9838524716313657</v>
      </c>
      <c r="S114" s="680">
        <f t="shared" si="107"/>
        <v>-19.353000000000009</v>
      </c>
      <c r="T114" s="680">
        <f t="shared" si="107"/>
        <v>0</v>
      </c>
      <c r="U114" s="1167">
        <f t="shared" si="107"/>
        <v>-19.353000000000009</v>
      </c>
      <c r="V114" s="1170">
        <f t="shared" si="107"/>
        <v>-15.369147528368643</v>
      </c>
      <c r="W114" s="680"/>
      <c r="X114">
        <f t="shared" si="77"/>
        <v>2000</v>
      </c>
      <c r="Y114" s="680">
        <f t="shared" si="78"/>
        <v>0.54675058922089192</v>
      </c>
      <c r="Z114" s="680">
        <f t="shared" si="78"/>
        <v>5.4399999999998894E-3</v>
      </c>
      <c r="AA114" s="680">
        <f t="shared" si="78"/>
        <v>1.0277367015875289</v>
      </c>
      <c r="AB114" s="680">
        <f t="shared" si="78"/>
        <v>0.94493342969268035</v>
      </c>
      <c r="AC114" s="680">
        <f t="shared" si="78"/>
        <v>0</v>
      </c>
      <c r="AD114" s="680">
        <f t="shared" si="78"/>
        <v>0</v>
      </c>
      <c r="AE114" s="680">
        <f t="shared" si="78"/>
        <v>3.7751261669636733</v>
      </c>
      <c r="AF114" s="680">
        <f t="shared" si="78"/>
        <v>8.1972315354802596</v>
      </c>
      <c r="AG114" s="680">
        <f t="shared" ref="AG114:AI114" si="108">+AG64-AG63</f>
        <v>0</v>
      </c>
      <c r="AH114" s="680">
        <f t="shared" si="108"/>
        <v>0</v>
      </c>
      <c r="AI114" s="680">
        <f t="shared" si="108"/>
        <v>0</v>
      </c>
      <c r="AJ114" s="680">
        <f t="shared" ref="AJ114:AS114" si="109">+AJ64-AJ63</f>
        <v>0</v>
      </c>
      <c r="AK114" s="680">
        <f t="shared" si="109"/>
        <v>0</v>
      </c>
      <c r="AL114" s="680">
        <f t="shared" si="109"/>
        <v>0</v>
      </c>
      <c r="AM114" s="680">
        <f t="shared" si="109"/>
        <v>0</v>
      </c>
      <c r="AN114" s="680">
        <f t="shared" si="109"/>
        <v>0</v>
      </c>
      <c r="AO114" s="1168">
        <f t="shared" si="109"/>
        <v>14.497218422945025</v>
      </c>
      <c r="AP114" s="680">
        <f t="shared" si="109"/>
        <v>-56.137199999999979</v>
      </c>
      <c r="AQ114" s="680">
        <f t="shared" si="109"/>
        <v>0</v>
      </c>
      <c r="AR114" s="1167">
        <f t="shared" si="109"/>
        <v>-56.137199999999979</v>
      </c>
      <c r="AS114" s="1170">
        <f t="shared" si="109"/>
        <v>-41.639981577054982</v>
      </c>
      <c r="AU114">
        <f t="shared" si="81"/>
        <v>2000</v>
      </c>
      <c r="AV114" s="680">
        <f t="shared" si="82"/>
        <v>2.3648953568819664</v>
      </c>
      <c r="AW114" s="680">
        <f t="shared" si="82"/>
        <v>2.9430000000000511E-2</v>
      </c>
      <c r="AX114" s="680">
        <f t="shared" si="82"/>
        <v>3.5427280000000021</v>
      </c>
      <c r="AY114" s="680">
        <f t="shared" si="82"/>
        <v>2.1379886556197434</v>
      </c>
      <c r="AZ114" s="680">
        <f t="shared" si="82"/>
        <v>0</v>
      </c>
      <c r="BA114" s="680">
        <f t="shared" si="82"/>
        <v>0</v>
      </c>
      <c r="BB114" s="680">
        <f t="shared" si="82"/>
        <v>3.4200094076631444</v>
      </c>
      <c r="BC114" s="680">
        <f t="shared" si="82"/>
        <v>6.0783092323772436</v>
      </c>
      <c r="BD114" s="680">
        <f t="shared" ref="BD114:BF114" si="110">+BD64-BD63</f>
        <v>0</v>
      </c>
      <c r="BE114" s="680">
        <f t="shared" si="110"/>
        <v>0</v>
      </c>
      <c r="BF114" s="680">
        <f t="shared" si="110"/>
        <v>0</v>
      </c>
      <c r="BG114" s="680">
        <f t="shared" si="82"/>
        <v>0</v>
      </c>
      <c r="BH114" s="680">
        <f t="shared" si="82"/>
        <v>0</v>
      </c>
      <c r="BI114" s="680">
        <f t="shared" si="82"/>
        <v>0</v>
      </c>
      <c r="BJ114" s="680">
        <f t="shared" si="82"/>
        <v>0</v>
      </c>
      <c r="BK114" s="680">
        <f t="shared" si="82"/>
        <v>0</v>
      </c>
      <c r="BL114" s="1168"/>
      <c r="BM114" s="680">
        <f t="shared" si="84"/>
        <v>0</v>
      </c>
      <c r="BN114" s="680">
        <f t="shared" si="84"/>
        <v>0</v>
      </c>
      <c r="BO114" s="1167">
        <f t="shared" si="84"/>
        <v>0</v>
      </c>
      <c r="BP114" s="1170">
        <f t="shared" si="84"/>
        <v>17.573360652542135</v>
      </c>
      <c r="BT114" s="1175">
        <f t="shared" si="85"/>
        <v>17.573360652542135</v>
      </c>
      <c r="BU114" s="1175">
        <f t="shared" si="85"/>
        <v>0</v>
      </c>
      <c r="BV114" s="1175">
        <f t="shared" si="85"/>
        <v>41.993263834301615</v>
      </c>
      <c r="BW114" s="1175"/>
    </row>
    <row r="115" spans="1:75" x14ac:dyDescent="0.2">
      <c r="A115">
        <f t="shared" si="74"/>
        <v>2001</v>
      </c>
      <c r="B115" s="680">
        <f t="shared" ref="B115:F115" si="111">+B65-B64</f>
        <v>0.2795478400000011</v>
      </c>
      <c r="C115" s="680">
        <f t="shared" si="111"/>
        <v>0</v>
      </c>
      <c r="D115" s="680">
        <f t="shared" si="111"/>
        <v>0.79216058999999994</v>
      </c>
      <c r="E115" s="680">
        <f t="shared" si="111"/>
        <v>0.9191983373012711</v>
      </c>
      <c r="F115" s="680">
        <f t="shared" si="111"/>
        <v>1.7962100000000001E-3</v>
      </c>
      <c r="G115" s="680">
        <f t="shared" ref="G115:V115" si="112">+G65-G64</f>
        <v>0</v>
      </c>
      <c r="H115" s="680">
        <f t="shared" si="112"/>
        <v>0.79893316769765121</v>
      </c>
      <c r="I115" s="680">
        <f t="shared" si="112"/>
        <v>0.82936931999999963</v>
      </c>
      <c r="J115" s="680">
        <f t="shared" si="112"/>
        <v>0</v>
      </c>
      <c r="K115" s="680">
        <f t="shared" si="112"/>
        <v>0</v>
      </c>
      <c r="L115" s="680">
        <f t="shared" si="112"/>
        <v>0</v>
      </c>
      <c r="M115" s="680">
        <f t="shared" si="112"/>
        <v>0</v>
      </c>
      <c r="N115" s="680">
        <f t="shared" si="112"/>
        <v>0</v>
      </c>
      <c r="O115" s="680">
        <f t="shared" si="112"/>
        <v>0</v>
      </c>
      <c r="P115" s="680">
        <f t="shared" si="112"/>
        <v>0</v>
      </c>
      <c r="Q115" s="680">
        <f t="shared" si="112"/>
        <v>0</v>
      </c>
      <c r="R115" s="1168">
        <f t="shared" si="112"/>
        <v>3.6210054649989161</v>
      </c>
      <c r="S115" s="680">
        <f t="shared" si="112"/>
        <v>11.832599999999999</v>
      </c>
      <c r="T115" s="680">
        <f t="shared" si="112"/>
        <v>0</v>
      </c>
      <c r="U115" s="1167">
        <f t="shared" si="112"/>
        <v>11.832599999999999</v>
      </c>
      <c r="V115" s="1170">
        <f t="shared" si="112"/>
        <v>15.453605464998901</v>
      </c>
      <c r="W115" s="680"/>
      <c r="X115">
        <f t="shared" si="77"/>
        <v>2001</v>
      </c>
      <c r="Y115" s="680">
        <f t="shared" si="78"/>
        <v>0.57755879999999848</v>
      </c>
      <c r="Z115" s="680">
        <f t="shared" si="78"/>
        <v>0</v>
      </c>
      <c r="AA115" s="680">
        <f t="shared" si="78"/>
        <v>0.87515148822999578</v>
      </c>
      <c r="AB115" s="680">
        <f t="shared" si="78"/>
        <v>0.63505042554848856</v>
      </c>
      <c r="AC115" s="680">
        <f t="shared" si="78"/>
        <v>0</v>
      </c>
      <c r="AD115" s="680">
        <f t="shared" si="78"/>
        <v>0</v>
      </c>
      <c r="AE115" s="680">
        <f t="shared" si="78"/>
        <v>1.8552436907732499</v>
      </c>
      <c r="AF115" s="680">
        <f t="shared" si="78"/>
        <v>3.4455507839999981</v>
      </c>
      <c r="AG115" s="680">
        <f t="shared" ref="AG115:AI115" si="113">+AG65-AG64</f>
        <v>0</v>
      </c>
      <c r="AH115" s="680">
        <f t="shared" si="113"/>
        <v>0</v>
      </c>
      <c r="AI115" s="680">
        <f t="shared" si="113"/>
        <v>0</v>
      </c>
      <c r="AJ115" s="680">
        <f t="shared" ref="AJ115:AS115" si="114">+AJ65-AJ64</f>
        <v>0</v>
      </c>
      <c r="AK115" s="680">
        <f t="shared" si="114"/>
        <v>0</v>
      </c>
      <c r="AL115" s="680">
        <f t="shared" si="114"/>
        <v>0</v>
      </c>
      <c r="AM115" s="680">
        <f t="shared" si="114"/>
        <v>0</v>
      </c>
      <c r="AN115" s="680">
        <f t="shared" si="114"/>
        <v>0</v>
      </c>
      <c r="AO115" s="1168">
        <f t="shared" si="114"/>
        <v>7.3885551885517202</v>
      </c>
      <c r="AP115" s="680">
        <f t="shared" si="114"/>
        <v>-13.005200000000002</v>
      </c>
      <c r="AQ115" s="680">
        <f t="shared" si="114"/>
        <v>0</v>
      </c>
      <c r="AR115" s="1167">
        <f t="shared" si="114"/>
        <v>-13.005200000000002</v>
      </c>
      <c r="AS115" s="1170">
        <f t="shared" si="114"/>
        <v>-5.6166448114482819</v>
      </c>
      <c r="AU115">
        <f t="shared" si="81"/>
        <v>2001</v>
      </c>
      <c r="AV115" s="680">
        <f t="shared" si="82"/>
        <v>2.3141368800000066</v>
      </c>
      <c r="AW115" s="680">
        <f t="shared" si="82"/>
        <v>0</v>
      </c>
      <c r="AX115" s="680">
        <f t="shared" si="82"/>
        <v>3.3648374999999984</v>
      </c>
      <c r="AY115" s="680">
        <f t="shared" si="82"/>
        <v>2.008157826220188</v>
      </c>
      <c r="AZ115" s="680">
        <f t="shared" si="82"/>
        <v>3.6580600000000003E-3</v>
      </c>
      <c r="BA115" s="680">
        <f t="shared" si="82"/>
        <v>0</v>
      </c>
      <c r="BB115" s="680">
        <f t="shared" si="82"/>
        <v>2.1941677257167385</v>
      </c>
      <c r="BC115" s="680">
        <f t="shared" si="82"/>
        <v>3.6561753199999991</v>
      </c>
      <c r="BD115" s="680">
        <f t="shared" ref="BD115:BF115" si="115">+BD65-BD64</f>
        <v>0</v>
      </c>
      <c r="BE115" s="680">
        <f t="shared" si="115"/>
        <v>0</v>
      </c>
      <c r="BF115" s="680">
        <f t="shared" si="115"/>
        <v>0</v>
      </c>
      <c r="BG115" s="680">
        <f t="shared" si="82"/>
        <v>0</v>
      </c>
      <c r="BH115" s="680">
        <f t="shared" si="82"/>
        <v>0</v>
      </c>
      <c r="BI115" s="680">
        <f t="shared" si="82"/>
        <v>0</v>
      </c>
      <c r="BJ115" s="680">
        <f t="shared" si="82"/>
        <v>0</v>
      </c>
      <c r="BK115" s="680">
        <f t="shared" si="82"/>
        <v>0</v>
      </c>
      <c r="BL115" s="1168"/>
      <c r="BM115" s="680">
        <f t="shared" si="84"/>
        <v>0</v>
      </c>
      <c r="BN115" s="680">
        <f t="shared" si="84"/>
        <v>0</v>
      </c>
      <c r="BO115" s="1167">
        <f t="shared" si="84"/>
        <v>0</v>
      </c>
      <c r="BP115" s="1170">
        <f t="shared" si="84"/>
        <v>13.541133311936903</v>
      </c>
      <c r="BT115" s="1175">
        <f t="shared" si="85"/>
        <v>13.541133311936903</v>
      </c>
      <c r="BU115" s="1175">
        <f t="shared" si="85"/>
        <v>0</v>
      </c>
      <c r="BV115" s="1175">
        <f t="shared" si="85"/>
        <v>21.468677356703552</v>
      </c>
      <c r="BW115" s="1175"/>
    </row>
    <row r="116" spans="1:75" x14ac:dyDescent="0.2">
      <c r="A116">
        <f t="shared" si="74"/>
        <v>2002</v>
      </c>
      <c r="B116" s="680">
        <f t="shared" ref="B116:F116" si="116">+B66-B65</f>
        <v>0.33559811999999845</v>
      </c>
      <c r="C116" s="680">
        <f t="shared" si="116"/>
        <v>0</v>
      </c>
      <c r="D116" s="680">
        <f t="shared" si="116"/>
        <v>0.8290974900000001</v>
      </c>
      <c r="E116" s="680">
        <f t="shared" si="116"/>
        <v>1.4731664069255981</v>
      </c>
      <c r="F116" s="680">
        <f t="shared" si="116"/>
        <v>6.9218933333333342E-3</v>
      </c>
      <c r="G116" s="680">
        <f t="shared" ref="G116:V116" si="117">+G66-G65</f>
        <v>0</v>
      </c>
      <c r="H116" s="680">
        <f t="shared" si="117"/>
        <v>1.0731619130034638</v>
      </c>
      <c r="I116" s="680">
        <f t="shared" si="117"/>
        <v>0.73381308000000089</v>
      </c>
      <c r="J116" s="680">
        <f t="shared" si="117"/>
        <v>0</v>
      </c>
      <c r="K116" s="680">
        <f t="shared" si="117"/>
        <v>0</v>
      </c>
      <c r="L116" s="680">
        <f t="shared" si="117"/>
        <v>0</v>
      </c>
      <c r="M116" s="680">
        <f t="shared" si="117"/>
        <v>0</v>
      </c>
      <c r="N116" s="680">
        <f t="shared" si="117"/>
        <v>0</v>
      </c>
      <c r="O116" s="680">
        <f t="shared" si="117"/>
        <v>0</v>
      </c>
      <c r="P116" s="680">
        <f t="shared" si="117"/>
        <v>0</v>
      </c>
      <c r="Q116" s="680">
        <f t="shared" si="117"/>
        <v>0</v>
      </c>
      <c r="R116" s="1168">
        <f t="shared" si="117"/>
        <v>4.4517589032623945</v>
      </c>
      <c r="S116" s="680">
        <f t="shared" si="117"/>
        <v>8.8478000000000065</v>
      </c>
      <c r="T116" s="680">
        <f t="shared" si="117"/>
        <v>0</v>
      </c>
      <c r="U116" s="1167">
        <f t="shared" si="117"/>
        <v>8.8478000000000065</v>
      </c>
      <c r="V116" s="1170">
        <f t="shared" si="117"/>
        <v>13.299558903262408</v>
      </c>
      <c r="W116" s="680"/>
      <c r="X116">
        <f t="shared" si="77"/>
        <v>2002</v>
      </c>
      <c r="Y116" s="680">
        <f t="shared" si="78"/>
        <v>0.68040648000000203</v>
      </c>
      <c r="Z116" s="680">
        <f t="shared" si="78"/>
        <v>0</v>
      </c>
      <c r="AA116" s="680">
        <f t="shared" si="78"/>
        <v>0.96568513599999983</v>
      </c>
      <c r="AB116" s="680">
        <f t="shared" si="78"/>
        <v>0.96619906472625416</v>
      </c>
      <c r="AC116" s="680">
        <f t="shared" si="78"/>
        <v>2.8320066666666665E-3</v>
      </c>
      <c r="AD116" s="680">
        <f t="shared" si="78"/>
        <v>0</v>
      </c>
      <c r="AE116" s="680">
        <f t="shared" si="78"/>
        <v>3.2867041974495237</v>
      </c>
      <c r="AF116" s="680">
        <f t="shared" si="78"/>
        <v>3.7699684491272869</v>
      </c>
      <c r="AG116" s="680">
        <f t="shared" ref="AG116:AI116" si="118">+AG66-AG65</f>
        <v>0</v>
      </c>
      <c r="AH116" s="680">
        <f t="shared" si="118"/>
        <v>0</v>
      </c>
      <c r="AI116" s="680">
        <f t="shared" si="118"/>
        <v>0</v>
      </c>
      <c r="AJ116" s="680">
        <f t="shared" ref="AJ116:AS116" si="119">+AJ66-AJ65</f>
        <v>0</v>
      </c>
      <c r="AK116" s="680">
        <f t="shared" si="119"/>
        <v>0</v>
      </c>
      <c r="AL116" s="680">
        <f t="shared" si="119"/>
        <v>0</v>
      </c>
      <c r="AM116" s="680">
        <f t="shared" si="119"/>
        <v>0</v>
      </c>
      <c r="AN116" s="680">
        <f t="shared" si="119"/>
        <v>0</v>
      </c>
      <c r="AO116" s="1168">
        <f t="shared" si="119"/>
        <v>9.6717953339697829</v>
      </c>
      <c r="AP116" s="680">
        <f t="shared" si="119"/>
        <v>-20.360600000000034</v>
      </c>
      <c r="AQ116" s="680">
        <f t="shared" si="119"/>
        <v>0</v>
      </c>
      <c r="AR116" s="1167">
        <f t="shared" si="119"/>
        <v>-20.360600000000034</v>
      </c>
      <c r="AS116" s="1170">
        <f t="shared" si="119"/>
        <v>-10.688804666030251</v>
      </c>
      <c r="AU116">
        <f t="shared" si="81"/>
        <v>2002</v>
      </c>
      <c r="AV116" s="680">
        <f t="shared" si="82"/>
        <v>2.7781290900000002</v>
      </c>
      <c r="AW116" s="680">
        <f t="shared" si="82"/>
        <v>0</v>
      </c>
      <c r="AX116" s="680">
        <f t="shared" si="82"/>
        <v>3.3399275000000017</v>
      </c>
      <c r="AY116" s="680">
        <f t="shared" si="82"/>
        <v>3.2186565668460467</v>
      </c>
      <c r="AZ116" s="680">
        <f t="shared" si="82"/>
        <v>1.3854906666666666E-2</v>
      </c>
      <c r="BA116" s="680">
        <f t="shared" si="82"/>
        <v>0</v>
      </c>
      <c r="BB116" s="680">
        <f t="shared" si="82"/>
        <v>2.8049519999163408</v>
      </c>
      <c r="BC116" s="680">
        <f t="shared" si="82"/>
        <v>3.2349270799999985</v>
      </c>
      <c r="BD116" s="680">
        <f t="shared" ref="BD116:BF116" si="120">+BD66-BD65</f>
        <v>0</v>
      </c>
      <c r="BE116" s="680">
        <f t="shared" si="120"/>
        <v>0</v>
      </c>
      <c r="BF116" s="680">
        <f t="shared" si="120"/>
        <v>0</v>
      </c>
      <c r="BG116" s="680">
        <f t="shared" si="82"/>
        <v>0</v>
      </c>
      <c r="BH116" s="680">
        <f t="shared" si="82"/>
        <v>0</v>
      </c>
      <c r="BI116" s="680">
        <f t="shared" si="82"/>
        <v>0</v>
      </c>
      <c r="BJ116" s="680">
        <f t="shared" si="82"/>
        <v>0</v>
      </c>
      <c r="BK116" s="680">
        <f t="shared" si="82"/>
        <v>0</v>
      </c>
      <c r="BL116" s="1168"/>
      <c r="BM116" s="680">
        <f t="shared" si="84"/>
        <v>0</v>
      </c>
      <c r="BN116" s="680">
        <f t="shared" si="84"/>
        <v>0</v>
      </c>
      <c r="BO116" s="1167">
        <f t="shared" si="84"/>
        <v>0</v>
      </c>
      <c r="BP116" s="1170">
        <f t="shared" si="84"/>
        <v>15.390447143429014</v>
      </c>
      <c r="BT116" s="1175">
        <f t="shared" si="85"/>
        <v>15.390447143429071</v>
      </c>
      <c r="BU116" s="1175">
        <f t="shared" si="85"/>
        <v>0</v>
      </c>
      <c r="BV116" s="1175">
        <f t="shared" si="85"/>
        <v>31.113368753709779</v>
      </c>
      <c r="BW116" s="1175"/>
    </row>
    <row r="117" spans="1:75" x14ac:dyDescent="0.2">
      <c r="A117">
        <f t="shared" si="74"/>
        <v>2003</v>
      </c>
      <c r="B117" s="680">
        <f t="shared" ref="B117:F117" si="121">+B67-B66</f>
        <v>0.39021995999999959</v>
      </c>
      <c r="C117" s="680">
        <f t="shared" si="121"/>
        <v>0</v>
      </c>
      <c r="D117" s="680">
        <f t="shared" si="121"/>
        <v>0.79224053999999988</v>
      </c>
      <c r="E117" s="680">
        <f t="shared" si="121"/>
        <v>2.194120067199691</v>
      </c>
      <c r="F117" s="680">
        <f t="shared" si="121"/>
        <v>6.451432E-3</v>
      </c>
      <c r="G117" s="680">
        <f t="shared" ref="G117:V117" si="122">+G67-G66</f>
        <v>0</v>
      </c>
      <c r="H117" s="680">
        <f t="shared" si="122"/>
        <v>1.1130191280000012</v>
      </c>
      <c r="I117" s="680">
        <f t="shared" si="122"/>
        <v>0.50163827999999988</v>
      </c>
      <c r="J117" s="680">
        <f t="shared" si="122"/>
        <v>0</v>
      </c>
      <c r="K117" s="680">
        <f t="shared" si="122"/>
        <v>0</v>
      </c>
      <c r="L117" s="680">
        <f t="shared" si="122"/>
        <v>0</v>
      </c>
      <c r="M117" s="680">
        <f t="shared" si="122"/>
        <v>0</v>
      </c>
      <c r="N117" s="680">
        <f t="shared" si="122"/>
        <v>0</v>
      </c>
      <c r="O117" s="680">
        <f t="shared" si="122"/>
        <v>0</v>
      </c>
      <c r="P117" s="680">
        <f t="shared" si="122"/>
        <v>0</v>
      </c>
      <c r="Q117" s="680">
        <f t="shared" si="122"/>
        <v>0</v>
      </c>
      <c r="R117" s="1168">
        <f t="shared" si="122"/>
        <v>4.9976894071996938</v>
      </c>
      <c r="S117" s="680">
        <f t="shared" si="122"/>
        <v>-35.604399999999998</v>
      </c>
      <c r="T117" s="680">
        <f t="shared" si="122"/>
        <v>0</v>
      </c>
      <c r="U117" s="1167">
        <f t="shared" si="122"/>
        <v>-35.604399999999998</v>
      </c>
      <c r="V117" s="1170">
        <f t="shared" si="122"/>
        <v>-30.606710592800283</v>
      </c>
      <c r="W117" s="680"/>
      <c r="X117">
        <f t="shared" si="77"/>
        <v>2003</v>
      </c>
      <c r="Y117" s="680">
        <f t="shared" si="78"/>
        <v>0.82978505999999896</v>
      </c>
      <c r="Z117" s="680">
        <f t="shared" si="78"/>
        <v>0</v>
      </c>
      <c r="AA117" s="680">
        <f t="shared" si="78"/>
        <v>0.86152170411777451</v>
      </c>
      <c r="AB117" s="680">
        <f t="shared" si="78"/>
        <v>1.7408741797117031</v>
      </c>
      <c r="AC117" s="680">
        <f t="shared" si="78"/>
        <v>6.8053439999999996E-3</v>
      </c>
      <c r="AD117" s="680">
        <f t="shared" si="78"/>
        <v>0</v>
      </c>
      <c r="AE117" s="680">
        <f t="shared" si="78"/>
        <v>3.0531730733476934</v>
      </c>
      <c r="AF117" s="680">
        <f t="shared" si="78"/>
        <v>2.6142114960000029</v>
      </c>
      <c r="AG117" s="680">
        <f t="shared" ref="AG117:AI117" si="123">+AG67-AG66</f>
        <v>0</v>
      </c>
      <c r="AH117" s="680">
        <f t="shared" si="123"/>
        <v>0</v>
      </c>
      <c r="AI117" s="680">
        <f t="shared" si="123"/>
        <v>0</v>
      </c>
      <c r="AJ117" s="680">
        <f t="shared" ref="AJ117:AS117" si="124">+AJ67-AJ66</f>
        <v>0</v>
      </c>
      <c r="AK117" s="680">
        <f t="shared" si="124"/>
        <v>0</v>
      </c>
      <c r="AL117" s="680">
        <f t="shared" si="124"/>
        <v>0</v>
      </c>
      <c r="AM117" s="680">
        <f t="shared" si="124"/>
        <v>0</v>
      </c>
      <c r="AN117" s="680">
        <f t="shared" si="124"/>
        <v>0</v>
      </c>
      <c r="AO117" s="1168">
        <f t="shared" si="124"/>
        <v>9.1063708571771258</v>
      </c>
      <c r="AP117" s="680">
        <f t="shared" si="124"/>
        <v>34.005400000000009</v>
      </c>
      <c r="AQ117" s="680">
        <f t="shared" si="124"/>
        <v>0</v>
      </c>
      <c r="AR117" s="1167">
        <f t="shared" si="124"/>
        <v>34.005400000000009</v>
      </c>
      <c r="AS117" s="1170">
        <f t="shared" si="124"/>
        <v>43.111770857177135</v>
      </c>
      <c r="AU117">
        <f t="shared" si="81"/>
        <v>2003</v>
      </c>
      <c r="AV117" s="680">
        <f t="shared" si="82"/>
        <v>3.230296469999999</v>
      </c>
      <c r="AW117" s="680">
        <f t="shared" si="82"/>
        <v>0</v>
      </c>
      <c r="AX117" s="680">
        <f t="shared" si="82"/>
        <v>3.4153200000000012</v>
      </c>
      <c r="AY117" s="680">
        <f t="shared" si="82"/>
        <v>4.7928265063348086</v>
      </c>
      <c r="AZ117" s="680">
        <f t="shared" si="82"/>
        <v>1.3428504000000001E-2</v>
      </c>
      <c r="BA117" s="680">
        <f t="shared" si="82"/>
        <v>0</v>
      </c>
      <c r="BB117" s="680">
        <f t="shared" si="82"/>
        <v>2.8347393805714205</v>
      </c>
      <c r="BC117" s="680">
        <f t="shared" si="82"/>
        <v>2.2114122799999976</v>
      </c>
      <c r="BD117" s="680">
        <f t="shared" ref="BD117:BF117" si="125">+BD67-BD66</f>
        <v>0</v>
      </c>
      <c r="BE117" s="680">
        <f t="shared" si="125"/>
        <v>0</v>
      </c>
      <c r="BF117" s="680">
        <f t="shared" si="125"/>
        <v>0</v>
      </c>
      <c r="BG117" s="680">
        <f t="shared" si="82"/>
        <v>0</v>
      </c>
      <c r="BH117" s="680">
        <f t="shared" si="82"/>
        <v>0</v>
      </c>
      <c r="BI117" s="680">
        <f t="shared" si="82"/>
        <v>0</v>
      </c>
      <c r="BJ117" s="680">
        <f t="shared" si="82"/>
        <v>0</v>
      </c>
      <c r="BK117" s="680">
        <f t="shared" si="82"/>
        <v>0</v>
      </c>
      <c r="BL117" s="1168"/>
      <c r="BM117" s="680">
        <f t="shared" si="84"/>
        <v>0</v>
      </c>
      <c r="BN117" s="680">
        <f t="shared" si="84"/>
        <v>0</v>
      </c>
      <c r="BO117" s="1167">
        <f t="shared" si="84"/>
        <v>0</v>
      </c>
      <c r="BP117" s="1170">
        <f t="shared" si="84"/>
        <v>16.498023140906241</v>
      </c>
      <c r="BT117" s="1175">
        <f t="shared" si="85"/>
        <v>16.498023140906184</v>
      </c>
      <c r="BU117" s="1175">
        <f t="shared" si="85"/>
        <v>0</v>
      </c>
      <c r="BV117" s="1175">
        <f t="shared" si="85"/>
        <v>31.026902889498729</v>
      </c>
      <c r="BW117" s="1175"/>
    </row>
    <row r="118" spans="1:75" x14ac:dyDescent="0.2">
      <c r="A118">
        <f t="shared" si="74"/>
        <v>2004</v>
      </c>
      <c r="B118" s="680">
        <f t="shared" ref="B118:F118" si="126">+B68-B67</f>
        <v>0.38416507999999894</v>
      </c>
      <c r="C118" s="680">
        <f t="shared" si="126"/>
        <v>0</v>
      </c>
      <c r="D118" s="680">
        <f t="shared" si="126"/>
        <v>0.86814507000000063</v>
      </c>
      <c r="E118" s="680">
        <f t="shared" si="126"/>
        <v>2.0430423000000015</v>
      </c>
      <c r="F118" s="680">
        <f t="shared" si="126"/>
        <v>2.6117000000000015E-3</v>
      </c>
      <c r="G118" s="680">
        <f t="shared" ref="G118:V118" si="127">+G68-G67</f>
        <v>0</v>
      </c>
      <c r="H118" s="680">
        <f t="shared" si="127"/>
        <v>1.1115128699999985</v>
      </c>
      <c r="I118" s="680">
        <f t="shared" si="127"/>
        <v>0.45782567999999912</v>
      </c>
      <c r="J118" s="680">
        <f t="shared" si="127"/>
        <v>0</v>
      </c>
      <c r="K118" s="680">
        <f t="shared" si="127"/>
        <v>0</v>
      </c>
      <c r="L118" s="680">
        <f t="shared" si="127"/>
        <v>0</v>
      </c>
      <c r="M118" s="680">
        <f t="shared" si="127"/>
        <v>0</v>
      </c>
      <c r="N118" s="680">
        <f t="shared" si="127"/>
        <v>0</v>
      </c>
      <c r="O118" s="680">
        <f t="shared" si="127"/>
        <v>0</v>
      </c>
      <c r="P118" s="680">
        <f t="shared" si="127"/>
        <v>0</v>
      </c>
      <c r="Q118" s="680">
        <f t="shared" si="127"/>
        <v>0</v>
      </c>
      <c r="R118" s="1168">
        <f t="shared" si="127"/>
        <v>4.8673026999999962</v>
      </c>
      <c r="S118" s="680">
        <f t="shared" si="127"/>
        <v>31.340400000000002</v>
      </c>
      <c r="T118" s="680">
        <f t="shared" si="127"/>
        <v>0</v>
      </c>
      <c r="U118" s="1167">
        <f t="shared" si="127"/>
        <v>31.340400000000002</v>
      </c>
      <c r="V118" s="1170">
        <f t="shared" si="127"/>
        <v>36.20770269999997</v>
      </c>
      <c r="W118" s="680"/>
      <c r="X118">
        <f t="shared" si="77"/>
        <v>2004</v>
      </c>
      <c r="Y118" s="680">
        <f t="shared" si="78"/>
        <v>0.92620476000000096</v>
      </c>
      <c r="Z118" s="680">
        <f t="shared" si="78"/>
        <v>0</v>
      </c>
      <c r="AA118" s="680">
        <f t="shared" si="78"/>
        <v>1.0069308080000008</v>
      </c>
      <c r="AB118" s="680">
        <f t="shared" si="78"/>
        <v>2.1630952199999989</v>
      </c>
      <c r="AC118" s="680">
        <f t="shared" si="78"/>
        <v>3.5178000000000015E-3</v>
      </c>
      <c r="AD118" s="680">
        <f t="shared" si="78"/>
        <v>0</v>
      </c>
      <c r="AE118" s="680">
        <f t="shared" si="78"/>
        <v>3.0847908000000075</v>
      </c>
      <c r="AF118" s="680">
        <f t="shared" si="78"/>
        <v>1.7500448817094423</v>
      </c>
      <c r="AG118" s="680">
        <f t="shared" ref="AG118:AI118" si="128">+AG68-AG67</f>
        <v>0</v>
      </c>
      <c r="AH118" s="680">
        <f t="shared" si="128"/>
        <v>0</v>
      </c>
      <c r="AI118" s="680">
        <f t="shared" si="128"/>
        <v>0</v>
      </c>
      <c r="AJ118" s="680">
        <f t="shared" ref="AJ118:AS118" si="129">+AJ68-AJ67</f>
        <v>0</v>
      </c>
      <c r="AK118" s="680">
        <f t="shared" si="129"/>
        <v>0</v>
      </c>
      <c r="AL118" s="680">
        <f t="shared" si="129"/>
        <v>0</v>
      </c>
      <c r="AM118" s="680">
        <f t="shared" si="129"/>
        <v>0</v>
      </c>
      <c r="AN118" s="680">
        <f t="shared" si="129"/>
        <v>0</v>
      </c>
      <c r="AO118" s="1168">
        <f t="shared" si="129"/>
        <v>8.9345842697094326</v>
      </c>
      <c r="AP118" s="680">
        <f t="shared" si="129"/>
        <v>-73.873799999999989</v>
      </c>
      <c r="AQ118" s="680">
        <f t="shared" si="129"/>
        <v>0</v>
      </c>
      <c r="AR118" s="1167">
        <f t="shared" si="129"/>
        <v>-73.873799999999989</v>
      </c>
      <c r="AS118" s="1170">
        <f t="shared" si="129"/>
        <v>-64.939215730290471</v>
      </c>
      <c r="AU118">
        <f t="shared" si="81"/>
        <v>2004</v>
      </c>
      <c r="AV118" s="680">
        <f t="shared" si="82"/>
        <v>3.1801733100000007</v>
      </c>
      <c r="AW118" s="680">
        <f t="shared" si="82"/>
        <v>0</v>
      </c>
      <c r="AX118" s="680">
        <f t="shared" si="82"/>
        <v>3.5127075000000012</v>
      </c>
      <c r="AY118" s="680">
        <f t="shared" si="82"/>
        <v>4.4603655199999963</v>
      </c>
      <c r="AZ118" s="680">
        <f t="shared" si="82"/>
        <v>4.8712300000000007E-3</v>
      </c>
      <c r="BA118" s="680">
        <f t="shared" si="82"/>
        <v>0</v>
      </c>
      <c r="BB118" s="680">
        <f t="shared" si="82"/>
        <v>2.7936315900000182</v>
      </c>
      <c r="BC118" s="680">
        <f t="shared" si="82"/>
        <v>2.018269679999996</v>
      </c>
      <c r="BD118" s="680">
        <f t="shared" ref="BD118:BF118" si="130">+BD68-BD67</f>
        <v>0</v>
      </c>
      <c r="BE118" s="680">
        <f t="shared" si="130"/>
        <v>0</v>
      </c>
      <c r="BF118" s="680">
        <f t="shared" si="130"/>
        <v>0</v>
      </c>
      <c r="BG118" s="680">
        <f t="shared" si="82"/>
        <v>0</v>
      </c>
      <c r="BH118" s="680">
        <f t="shared" si="82"/>
        <v>0</v>
      </c>
      <c r="BI118" s="680">
        <f t="shared" si="82"/>
        <v>0</v>
      </c>
      <c r="BJ118" s="680">
        <f t="shared" si="82"/>
        <v>0</v>
      </c>
      <c r="BK118" s="680">
        <f t="shared" si="82"/>
        <v>0</v>
      </c>
      <c r="BL118" s="1168"/>
      <c r="BM118" s="680">
        <f t="shared" si="84"/>
        <v>0</v>
      </c>
      <c r="BN118" s="680">
        <f t="shared" si="84"/>
        <v>0</v>
      </c>
      <c r="BO118" s="1167">
        <f t="shared" si="84"/>
        <v>0</v>
      </c>
      <c r="BP118" s="1170">
        <f t="shared" si="84"/>
        <v>15.970018830000015</v>
      </c>
      <c r="BT118" s="1175">
        <f t="shared" si="85"/>
        <v>15.970018830000015</v>
      </c>
      <c r="BU118" s="1175">
        <f t="shared" si="85"/>
        <v>0</v>
      </c>
      <c r="BV118" s="1175">
        <f t="shared" si="85"/>
        <v>31.599738389666641</v>
      </c>
      <c r="BW118" s="1175"/>
    </row>
    <row r="119" spans="1:75" x14ac:dyDescent="0.2">
      <c r="A119">
        <f t="shared" si="74"/>
        <v>2005</v>
      </c>
      <c r="B119" s="680">
        <f t="shared" ref="B119:F119" si="131">+B69-B68</f>
        <v>0.25126685999999943</v>
      </c>
      <c r="C119" s="680">
        <f t="shared" si="131"/>
        <v>0</v>
      </c>
      <c r="D119" s="680">
        <f t="shared" si="131"/>
        <v>0.42497156000000036</v>
      </c>
      <c r="E119" s="680">
        <f t="shared" si="131"/>
        <v>1.5440026540732319</v>
      </c>
      <c r="F119" s="680">
        <f t="shared" si="131"/>
        <v>4.2373500000000008E-3</v>
      </c>
      <c r="G119" s="680">
        <f t="shared" ref="G119:V119" si="132">+G69-G68</f>
        <v>0</v>
      </c>
      <c r="H119" s="680">
        <f t="shared" si="132"/>
        <v>1.0070814810126159</v>
      </c>
      <c r="I119" s="680">
        <f t="shared" si="132"/>
        <v>0.54983213999999947</v>
      </c>
      <c r="J119" s="680">
        <f t="shared" si="132"/>
        <v>0</v>
      </c>
      <c r="K119" s="680">
        <f t="shared" si="132"/>
        <v>0</v>
      </c>
      <c r="L119" s="680">
        <f t="shared" si="132"/>
        <v>0</v>
      </c>
      <c r="M119" s="680">
        <f t="shared" si="132"/>
        <v>0</v>
      </c>
      <c r="N119" s="680">
        <f t="shared" si="132"/>
        <v>0</v>
      </c>
      <c r="O119" s="680">
        <f t="shared" si="132"/>
        <v>0</v>
      </c>
      <c r="P119" s="680">
        <f t="shared" si="132"/>
        <v>0</v>
      </c>
      <c r="Q119" s="680">
        <f t="shared" si="132"/>
        <v>0</v>
      </c>
      <c r="R119" s="1168">
        <f t="shared" si="132"/>
        <v>3.7813920450858376</v>
      </c>
      <c r="S119" s="680">
        <f t="shared" si="132"/>
        <v>-17.767400000000009</v>
      </c>
      <c r="T119" s="680">
        <f t="shared" si="132"/>
        <v>0</v>
      </c>
      <c r="U119" s="1167">
        <f t="shared" si="132"/>
        <v>-17.767400000000009</v>
      </c>
      <c r="V119" s="1170">
        <f t="shared" si="132"/>
        <v>-13.986007954914157</v>
      </c>
      <c r="W119" s="680"/>
      <c r="X119">
        <f t="shared" si="77"/>
        <v>2005</v>
      </c>
      <c r="Y119" s="680">
        <f t="shared" ref="Y119:AF128" si="133">+Y69-Y68</f>
        <v>0.35668360000000021</v>
      </c>
      <c r="Z119" s="680">
        <f t="shared" si="133"/>
        <v>0</v>
      </c>
      <c r="AA119" s="680">
        <f t="shared" si="133"/>
        <v>0.40358759999999982</v>
      </c>
      <c r="AB119" s="680">
        <f t="shared" si="133"/>
        <v>1.4016641767660438</v>
      </c>
      <c r="AC119" s="680">
        <f t="shared" si="133"/>
        <v>1.4151150000000015E-3</v>
      </c>
      <c r="AD119" s="680">
        <f t="shared" si="133"/>
        <v>0</v>
      </c>
      <c r="AE119" s="680">
        <f t="shared" si="133"/>
        <v>2.7415661649137064</v>
      </c>
      <c r="AF119" s="680">
        <f t="shared" si="133"/>
        <v>1.0523580480442405</v>
      </c>
      <c r="AG119" s="680">
        <f t="shared" ref="AG119:AI119" si="134">+AG69-AG68</f>
        <v>0</v>
      </c>
      <c r="AH119" s="680">
        <f t="shared" si="134"/>
        <v>0</v>
      </c>
      <c r="AI119" s="680">
        <f t="shared" si="134"/>
        <v>0</v>
      </c>
      <c r="AJ119" s="680">
        <f t="shared" ref="AJ119:AS119" si="135">+AJ69-AJ68</f>
        <v>0</v>
      </c>
      <c r="AK119" s="680">
        <f t="shared" si="135"/>
        <v>0</v>
      </c>
      <c r="AL119" s="680">
        <f t="shared" si="135"/>
        <v>0</v>
      </c>
      <c r="AM119" s="680">
        <f t="shared" si="135"/>
        <v>0</v>
      </c>
      <c r="AN119" s="680">
        <f t="shared" si="135"/>
        <v>0</v>
      </c>
      <c r="AO119" s="1168">
        <f t="shared" si="135"/>
        <v>5.957274704724</v>
      </c>
      <c r="AP119" s="680">
        <f t="shared" si="135"/>
        <v>52.87360000000001</v>
      </c>
      <c r="AQ119" s="680">
        <f t="shared" si="135"/>
        <v>0</v>
      </c>
      <c r="AR119" s="1167">
        <f t="shared" si="135"/>
        <v>52.87360000000001</v>
      </c>
      <c r="AS119" s="1170">
        <f t="shared" si="135"/>
        <v>58.83087470472401</v>
      </c>
      <c r="AU119">
        <f t="shared" si="81"/>
        <v>2005</v>
      </c>
      <c r="AV119" s="680">
        <f t="shared" si="82"/>
        <v>1.1409935399999895</v>
      </c>
      <c r="AW119" s="680">
        <f t="shared" si="82"/>
        <v>0</v>
      </c>
      <c r="AX119" s="680">
        <f t="shared" si="82"/>
        <v>0.79843333999999899</v>
      </c>
      <c r="AY119" s="680">
        <f t="shared" si="82"/>
        <v>3.3722814549351909</v>
      </c>
      <c r="AZ119" s="680">
        <f t="shared" si="82"/>
        <v>8.4164000000000044E-3</v>
      </c>
      <c r="BA119" s="680">
        <f t="shared" si="82"/>
        <v>0</v>
      </c>
      <c r="BB119" s="680">
        <f t="shared" si="82"/>
        <v>2.4763920439243066</v>
      </c>
      <c r="BC119" s="680">
        <f t="shared" si="82"/>
        <v>2.1444255800000036</v>
      </c>
      <c r="BD119" s="680">
        <f t="shared" ref="BD119:BF119" si="136">+BD69-BD68</f>
        <v>0</v>
      </c>
      <c r="BE119" s="680">
        <f t="shared" si="136"/>
        <v>0</v>
      </c>
      <c r="BF119" s="680">
        <f t="shared" si="136"/>
        <v>0</v>
      </c>
      <c r="BG119" s="680">
        <f t="shared" si="82"/>
        <v>0</v>
      </c>
      <c r="BH119" s="680">
        <f t="shared" si="82"/>
        <v>0</v>
      </c>
      <c r="BI119" s="680">
        <f t="shared" si="82"/>
        <v>0</v>
      </c>
      <c r="BJ119" s="680">
        <f t="shared" si="82"/>
        <v>0</v>
      </c>
      <c r="BK119" s="680">
        <f t="shared" si="82"/>
        <v>0</v>
      </c>
      <c r="BL119" s="1168"/>
      <c r="BM119" s="680">
        <f t="shared" si="84"/>
        <v>0</v>
      </c>
      <c r="BN119" s="680">
        <f t="shared" si="84"/>
        <v>0</v>
      </c>
      <c r="BO119" s="1167">
        <f t="shared" si="84"/>
        <v>0</v>
      </c>
      <c r="BP119" s="1170">
        <f t="shared" si="84"/>
        <v>9.9409423588595018</v>
      </c>
      <c r="BT119" s="1175">
        <f t="shared" si="85"/>
        <v>9.9409423588595018</v>
      </c>
      <c r="BU119" s="1175">
        <f t="shared" si="85"/>
        <v>0</v>
      </c>
      <c r="BV119" s="1175">
        <f t="shared" si="85"/>
        <v>21.155106031119089</v>
      </c>
      <c r="BW119" s="1175"/>
    </row>
    <row r="120" spans="1:75" x14ac:dyDescent="0.2">
      <c r="A120">
        <f t="shared" si="74"/>
        <v>2006</v>
      </c>
      <c r="B120" s="680">
        <f t="shared" ref="B120:F120" si="137">+B70-B69</f>
        <v>0.22441965000000152</v>
      </c>
      <c r="C120" s="680">
        <f t="shared" si="137"/>
        <v>0</v>
      </c>
      <c r="D120" s="680">
        <f t="shared" si="137"/>
        <v>8.2177940000000227E-2</v>
      </c>
      <c r="E120" s="680">
        <f t="shared" si="137"/>
        <v>1.7896729117647077</v>
      </c>
      <c r="F120" s="680">
        <f t="shared" si="137"/>
        <v>4.7810099999999987E-3</v>
      </c>
      <c r="G120" s="680">
        <f t="shared" ref="G120:V120" si="138">+G70-G69</f>
        <v>0</v>
      </c>
      <c r="H120" s="680">
        <f t="shared" si="138"/>
        <v>0.73178185011723329</v>
      </c>
      <c r="I120" s="680">
        <f t="shared" si="138"/>
        <v>0.33310368000000068</v>
      </c>
      <c r="J120" s="680">
        <f t="shared" si="138"/>
        <v>0</v>
      </c>
      <c r="K120" s="680">
        <f t="shared" si="138"/>
        <v>0</v>
      </c>
      <c r="L120" s="680">
        <f t="shared" si="138"/>
        <v>0</v>
      </c>
      <c r="M120" s="680">
        <f t="shared" si="138"/>
        <v>0</v>
      </c>
      <c r="N120" s="680">
        <f t="shared" si="138"/>
        <v>0</v>
      </c>
      <c r="O120" s="680">
        <f t="shared" si="138"/>
        <v>0</v>
      </c>
      <c r="P120" s="680">
        <f t="shared" si="138"/>
        <v>0</v>
      </c>
      <c r="Q120" s="680">
        <f t="shared" si="138"/>
        <v>0</v>
      </c>
      <c r="R120" s="1168">
        <f t="shared" si="138"/>
        <v>3.1659370418819464</v>
      </c>
      <c r="S120" s="680">
        <f t="shared" si="138"/>
        <v>-0.3545999999999907</v>
      </c>
      <c r="T120" s="680">
        <f t="shared" si="138"/>
        <v>0</v>
      </c>
      <c r="U120" s="1167">
        <f t="shared" si="138"/>
        <v>-0.3545999999999907</v>
      </c>
      <c r="V120" s="1170">
        <f t="shared" si="138"/>
        <v>2.8113370418819557</v>
      </c>
      <c r="W120" s="680"/>
      <c r="X120">
        <f t="shared" si="77"/>
        <v>2006</v>
      </c>
      <c r="Y120" s="680">
        <f t="shared" si="133"/>
        <v>0.31336135999999826</v>
      </c>
      <c r="Z120" s="680">
        <f t="shared" si="133"/>
        <v>0</v>
      </c>
      <c r="AA120" s="680">
        <f t="shared" si="133"/>
        <v>6.4151879999999828E-2</v>
      </c>
      <c r="AB120" s="680">
        <f t="shared" si="133"/>
        <v>1.0233224407843124</v>
      </c>
      <c r="AC120" s="680">
        <f t="shared" si="133"/>
        <v>5.6711199999999982E-3</v>
      </c>
      <c r="AD120" s="680">
        <f t="shared" si="133"/>
        <v>0</v>
      </c>
      <c r="AE120" s="680">
        <f t="shared" si="133"/>
        <v>2.1578931275029163</v>
      </c>
      <c r="AF120" s="680">
        <f t="shared" si="133"/>
        <v>0.45051727151653154</v>
      </c>
      <c r="AG120" s="680">
        <f t="shared" ref="AG120:AI120" si="139">+AG70-AG69</f>
        <v>0</v>
      </c>
      <c r="AH120" s="680">
        <f t="shared" si="139"/>
        <v>0</v>
      </c>
      <c r="AI120" s="680">
        <f t="shared" si="139"/>
        <v>0</v>
      </c>
      <c r="AJ120" s="680">
        <f t="shared" ref="AJ120:AS120" si="140">+AJ70-AJ69</f>
        <v>0</v>
      </c>
      <c r="AK120" s="680">
        <f t="shared" si="140"/>
        <v>0</v>
      </c>
      <c r="AL120" s="680">
        <f t="shared" si="140"/>
        <v>0</v>
      </c>
      <c r="AM120" s="680">
        <f t="shared" si="140"/>
        <v>0</v>
      </c>
      <c r="AN120" s="680">
        <f t="shared" si="140"/>
        <v>0</v>
      </c>
      <c r="AO120" s="1168">
        <f t="shared" si="140"/>
        <v>4.01491719980379</v>
      </c>
      <c r="AP120" s="680">
        <f t="shared" si="140"/>
        <v>-60.122399999999999</v>
      </c>
      <c r="AQ120" s="680">
        <f t="shared" si="140"/>
        <v>0</v>
      </c>
      <c r="AR120" s="1167">
        <f t="shared" si="140"/>
        <v>-60.122399999999999</v>
      </c>
      <c r="AS120" s="1170">
        <f t="shared" si="140"/>
        <v>-56.107482800196294</v>
      </c>
      <c r="AU120">
        <f t="shared" si="81"/>
        <v>2006</v>
      </c>
      <c r="AV120" s="680">
        <f t="shared" si="82"/>
        <v>1.0190813500000075</v>
      </c>
      <c r="AW120" s="680">
        <f t="shared" si="82"/>
        <v>0</v>
      </c>
      <c r="AX120" s="680">
        <f t="shared" si="82"/>
        <v>0.20181923000000168</v>
      </c>
      <c r="AY120" s="680">
        <f t="shared" si="82"/>
        <v>3.9125531565731464</v>
      </c>
      <c r="AZ120" s="680">
        <f t="shared" si="82"/>
        <v>9.2251800000000064E-3</v>
      </c>
      <c r="BA120" s="680">
        <f t="shared" si="82"/>
        <v>0</v>
      </c>
      <c r="BB120" s="680">
        <f t="shared" si="82"/>
        <v>1.7503633426728982</v>
      </c>
      <c r="BC120" s="680">
        <f t="shared" si="82"/>
        <v>1.2991529600000007</v>
      </c>
      <c r="BD120" s="680">
        <f t="shared" ref="BD120:BF120" si="141">+BD70-BD69</f>
        <v>0</v>
      </c>
      <c r="BE120" s="680">
        <f t="shared" si="141"/>
        <v>0</v>
      </c>
      <c r="BF120" s="680">
        <f t="shared" si="141"/>
        <v>0</v>
      </c>
      <c r="BG120" s="680">
        <f t="shared" si="82"/>
        <v>0</v>
      </c>
      <c r="BH120" s="680">
        <f t="shared" si="82"/>
        <v>0</v>
      </c>
      <c r="BI120" s="680">
        <f t="shared" si="82"/>
        <v>0</v>
      </c>
      <c r="BJ120" s="680">
        <f t="shared" si="82"/>
        <v>0</v>
      </c>
      <c r="BK120" s="680">
        <f t="shared" si="82"/>
        <v>0</v>
      </c>
      <c r="BL120" s="1168"/>
      <c r="BM120" s="680">
        <f t="shared" si="84"/>
        <v>0</v>
      </c>
      <c r="BN120" s="680">
        <f t="shared" si="84"/>
        <v>0</v>
      </c>
      <c r="BO120" s="1167">
        <f t="shared" si="84"/>
        <v>0</v>
      </c>
      <c r="BP120" s="1170">
        <f t="shared" si="84"/>
        <v>8.1921952192460594</v>
      </c>
      <c r="BT120" s="1175">
        <f t="shared" si="85"/>
        <v>8.1921952192460594</v>
      </c>
      <c r="BU120" s="1175">
        <f t="shared" si="85"/>
        <v>0</v>
      </c>
      <c r="BV120" s="1175">
        <f t="shared" si="85"/>
        <v>17.124835481662785</v>
      </c>
      <c r="BW120" s="1175"/>
    </row>
    <row r="121" spans="1:75" x14ac:dyDescent="0.2">
      <c r="A121">
        <f t="shared" si="74"/>
        <v>2007</v>
      </c>
      <c r="B121" s="680">
        <f t="shared" ref="B121:F121" si="142">+B71-B70</f>
        <v>0.21103601999999988</v>
      </c>
      <c r="C121" s="680">
        <f t="shared" si="142"/>
        <v>0</v>
      </c>
      <c r="D121" s="680">
        <f t="shared" si="142"/>
        <v>7.1166160000000644E-2</v>
      </c>
      <c r="E121" s="680">
        <f t="shared" si="142"/>
        <v>2.6073933599999997</v>
      </c>
      <c r="F121" s="680">
        <f t="shared" si="142"/>
        <v>2.8355600000000009E-3</v>
      </c>
      <c r="G121" s="680">
        <f t="shared" ref="G121:V121" si="143">+G71-G70</f>
        <v>0</v>
      </c>
      <c r="H121" s="680">
        <f t="shared" si="143"/>
        <v>0.23425350000000122</v>
      </c>
      <c r="I121" s="680">
        <f t="shared" si="143"/>
        <v>0.28474992000000121</v>
      </c>
      <c r="J121" s="680">
        <f t="shared" si="143"/>
        <v>0</v>
      </c>
      <c r="K121" s="680">
        <f t="shared" si="143"/>
        <v>0</v>
      </c>
      <c r="L121" s="680">
        <f t="shared" si="143"/>
        <v>0</v>
      </c>
      <c r="M121" s="680">
        <f t="shared" si="143"/>
        <v>0</v>
      </c>
      <c r="N121" s="680">
        <f t="shared" si="143"/>
        <v>0</v>
      </c>
      <c r="O121" s="680">
        <f t="shared" si="143"/>
        <v>0</v>
      </c>
      <c r="P121" s="680">
        <f t="shared" si="143"/>
        <v>0</v>
      </c>
      <c r="Q121" s="680">
        <f t="shared" si="143"/>
        <v>0</v>
      </c>
      <c r="R121" s="1168">
        <f t="shared" si="143"/>
        <v>3.4114345200000002</v>
      </c>
      <c r="S121" s="680">
        <f t="shared" si="143"/>
        <v>-7.4620000000000033</v>
      </c>
      <c r="T121" s="680">
        <f t="shared" si="143"/>
        <v>0.21746399999999999</v>
      </c>
      <c r="U121" s="1167">
        <f t="shared" si="143"/>
        <v>-7.2445359999999965</v>
      </c>
      <c r="V121" s="1170">
        <f t="shared" si="143"/>
        <v>-3.8331014800000105</v>
      </c>
      <c r="W121" s="680"/>
      <c r="X121">
        <f t="shared" si="77"/>
        <v>2007</v>
      </c>
      <c r="Y121" s="680">
        <f t="shared" si="133"/>
        <v>0.28509104000000107</v>
      </c>
      <c r="Z121" s="680">
        <f t="shared" si="133"/>
        <v>0</v>
      </c>
      <c r="AA121" s="680">
        <f t="shared" si="133"/>
        <v>5.4078179999999421E-2</v>
      </c>
      <c r="AB121" s="680">
        <f t="shared" si="133"/>
        <v>2.1909497999999985</v>
      </c>
      <c r="AC121" s="680">
        <f t="shared" si="133"/>
        <v>2.8142400000000026E-3</v>
      </c>
      <c r="AD121" s="680">
        <f t="shared" si="133"/>
        <v>0</v>
      </c>
      <c r="AE121" s="680">
        <f t="shared" si="133"/>
        <v>1.1457154799999785</v>
      </c>
      <c r="AF121" s="680">
        <f t="shared" si="133"/>
        <v>0.74790560000000283</v>
      </c>
      <c r="AG121" s="680">
        <f t="shared" ref="AG121:AI121" si="144">+AG71-AG70</f>
        <v>0</v>
      </c>
      <c r="AH121" s="680">
        <f t="shared" si="144"/>
        <v>0</v>
      </c>
      <c r="AI121" s="680">
        <f t="shared" si="144"/>
        <v>0</v>
      </c>
      <c r="AJ121" s="680">
        <f t="shared" ref="AJ121:AS121" si="145">+AJ71-AJ70</f>
        <v>0</v>
      </c>
      <c r="AK121" s="680">
        <f t="shared" si="145"/>
        <v>0</v>
      </c>
      <c r="AL121" s="680">
        <f t="shared" si="145"/>
        <v>0</v>
      </c>
      <c r="AM121" s="680">
        <f t="shared" si="145"/>
        <v>0</v>
      </c>
      <c r="AN121" s="680">
        <f t="shared" si="145"/>
        <v>0</v>
      </c>
      <c r="AO121" s="1168">
        <f t="shared" si="145"/>
        <v>4.4265543399999387</v>
      </c>
      <c r="AP121" s="680">
        <f t="shared" si="145"/>
        <v>-32.832800000000006</v>
      </c>
      <c r="AQ121" s="680">
        <f t="shared" si="145"/>
        <v>0</v>
      </c>
      <c r="AR121" s="1167">
        <f t="shared" si="145"/>
        <v>-32.832800000000006</v>
      </c>
      <c r="AS121" s="1170">
        <f t="shared" si="145"/>
        <v>-28.406245660000081</v>
      </c>
      <c r="AU121">
        <f t="shared" si="81"/>
        <v>2007</v>
      </c>
      <c r="AV121" s="680">
        <f t="shared" si="82"/>
        <v>0.95830678000000091</v>
      </c>
      <c r="AW121" s="680">
        <f t="shared" si="82"/>
        <v>0</v>
      </c>
      <c r="AX121" s="680">
        <f t="shared" si="82"/>
        <v>0.17981946000000093</v>
      </c>
      <c r="AY121" s="680">
        <f t="shared" si="82"/>
        <v>5.7802351200000004</v>
      </c>
      <c r="AZ121" s="680">
        <f t="shared" si="82"/>
        <v>5.5501599999999984E-3</v>
      </c>
      <c r="BA121" s="680">
        <f t="shared" si="82"/>
        <v>0</v>
      </c>
      <c r="BB121" s="680">
        <f t="shared" si="82"/>
        <v>1.0155966000000092</v>
      </c>
      <c r="BC121" s="680">
        <f t="shared" si="82"/>
        <v>0.54741792000000089</v>
      </c>
      <c r="BD121" s="680">
        <f t="shared" ref="BD121:BF121" si="146">+BD71-BD70</f>
        <v>0</v>
      </c>
      <c r="BE121" s="680">
        <f t="shared" si="146"/>
        <v>0</v>
      </c>
      <c r="BF121" s="680">
        <f t="shared" si="146"/>
        <v>0</v>
      </c>
      <c r="BG121" s="680">
        <f t="shared" si="82"/>
        <v>0</v>
      </c>
      <c r="BH121" s="680">
        <f t="shared" si="82"/>
        <v>0</v>
      </c>
      <c r="BI121" s="680">
        <f t="shared" si="82"/>
        <v>0</v>
      </c>
      <c r="BJ121" s="680">
        <f t="shared" si="82"/>
        <v>0</v>
      </c>
      <c r="BK121" s="680">
        <f t="shared" si="82"/>
        <v>0</v>
      </c>
      <c r="BL121" s="1168"/>
      <c r="BM121" s="680">
        <f t="shared" si="84"/>
        <v>0</v>
      </c>
      <c r="BN121" s="680">
        <f t="shared" si="84"/>
        <v>9.6497100000000016E-2</v>
      </c>
      <c r="BO121" s="1167">
        <f t="shared" si="84"/>
        <v>9.6497100000000016E-2</v>
      </c>
      <c r="BP121" s="1170">
        <f t="shared" si="84"/>
        <v>8.5834231400000363</v>
      </c>
      <c r="BT121" s="1175">
        <f t="shared" si="85"/>
        <v>8.4869260400000144</v>
      </c>
      <c r="BU121" s="1175">
        <f t="shared" si="85"/>
        <v>9.6497100000021874E-2</v>
      </c>
      <c r="BV121" s="1175">
        <f t="shared" si="85"/>
        <v>18.602580243666694</v>
      </c>
      <c r="BW121" s="1175">
        <f t="shared" ref="BW121:BW136" si="147">+BW71-BW70</f>
        <v>9.6497100000021874E-2</v>
      </c>
    </row>
    <row r="122" spans="1:75" x14ac:dyDescent="0.2">
      <c r="A122">
        <f t="shared" si="74"/>
        <v>2008</v>
      </c>
      <c r="B122" s="680">
        <f t="shared" ref="B122:F122" si="148">+B72-B71</f>
        <v>0.19698080999999945</v>
      </c>
      <c r="C122" s="680">
        <f t="shared" si="148"/>
        <v>0</v>
      </c>
      <c r="D122" s="680">
        <f t="shared" si="148"/>
        <v>7.191612641815226E-2</v>
      </c>
      <c r="E122" s="680">
        <f t="shared" si="148"/>
        <v>3.136651699999998</v>
      </c>
      <c r="F122" s="680">
        <f t="shared" si="148"/>
        <v>1.8654999999999991E-3</v>
      </c>
      <c r="G122" s="680">
        <f t="shared" ref="G122:V122" si="149">+G72-G71</f>
        <v>4.70106E-3</v>
      </c>
      <c r="H122" s="680">
        <f t="shared" si="149"/>
        <v>0.25120289999999912</v>
      </c>
      <c r="I122" s="680">
        <f t="shared" si="149"/>
        <v>0.40241499999999952</v>
      </c>
      <c r="J122" s="680">
        <f t="shared" si="149"/>
        <v>0</v>
      </c>
      <c r="K122" s="680">
        <f t="shared" si="149"/>
        <v>0</v>
      </c>
      <c r="L122" s="680">
        <f t="shared" si="149"/>
        <v>0</v>
      </c>
      <c r="M122" s="680">
        <f t="shared" si="149"/>
        <v>0</v>
      </c>
      <c r="N122" s="680">
        <f t="shared" si="149"/>
        <v>0</v>
      </c>
      <c r="O122" s="680">
        <f t="shared" si="149"/>
        <v>0</v>
      </c>
      <c r="P122" s="680">
        <f t="shared" si="149"/>
        <v>0</v>
      </c>
      <c r="Q122" s="680">
        <f t="shared" si="149"/>
        <v>0</v>
      </c>
      <c r="R122" s="1168">
        <f t="shared" si="149"/>
        <v>4.0657330964181568</v>
      </c>
      <c r="S122" s="680">
        <f t="shared" si="149"/>
        <v>-0.61628587902957577</v>
      </c>
      <c r="T122" s="680">
        <f t="shared" si="149"/>
        <v>0.20083440000000002</v>
      </c>
      <c r="U122" s="1167">
        <f t="shared" si="149"/>
        <v>-0.4154514790295849</v>
      </c>
      <c r="V122" s="1170">
        <f t="shared" si="149"/>
        <v>3.6502816173886004</v>
      </c>
      <c r="W122" s="680"/>
      <c r="X122">
        <f t="shared" si="77"/>
        <v>2008</v>
      </c>
      <c r="Y122" s="680">
        <f t="shared" si="133"/>
        <v>0.27767168000000098</v>
      </c>
      <c r="Z122" s="680">
        <f t="shared" si="133"/>
        <v>0</v>
      </c>
      <c r="AA122" s="680">
        <f t="shared" si="133"/>
        <v>5.1928626418152213E-2</v>
      </c>
      <c r="AB122" s="680">
        <f t="shared" si="133"/>
        <v>2.6464089599999987</v>
      </c>
      <c r="AC122" s="680">
        <f t="shared" si="133"/>
        <v>2.1106799999999967E-3</v>
      </c>
      <c r="AD122" s="680">
        <f t="shared" si="133"/>
        <v>0</v>
      </c>
      <c r="AE122" s="680">
        <f t="shared" si="133"/>
        <v>0.78287040000003572</v>
      </c>
      <c r="AF122" s="680">
        <f t="shared" si="133"/>
        <v>0.44000215999999881</v>
      </c>
      <c r="AG122" s="680">
        <f t="shared" ref="AG122:AI122" si="150">+AG72-AG71</f>
        <v>0</v>
      </c>
      <c r="AH122" s="680">
        <f t="shared" si="150"/>
        <v>0</v>
      </c>
      <c r="AI122" s="680">
        <f t="shared" si="150"/>
        <v>0</v>
      </c>
      <c r="AJ122" s="680">
        <f t="shared" ref="AJ122:AS122" si="151">+AJ72-AJ71</f>
        <v>0</v>
      </c>
      <c r="AK122" s="680">
        <f t="shared" si="151"/>
        <v>0</v>
      </c>
      <c r="AL122" s="680">
        <f t="shared" si="151"/>
        <v>0</v>
      </c>
      <c r="AM122" s="680">
        <f t="shared" si="151"/>
        <v>0</v>
      </c>
      <c r="AN122" s="680">
        <f t="shared" si="151"/>
        <v>0</v>
      </c>
      <c r="AO122" s="1168">
        <f t="shared" si="151"/>
        <v>4.2009925064182312</v>
      </c>
      <c r="AP122" s="680">
        <f t="shared" si="151"/>
        <v>32.832800000000006</v>
      </c>
      <c r="AQ122" s="680">
        <f t="shared" si="151"/>
        <v>0.561782</v>
      </c>
      <c r="AR122" s="1167">
        <f t="shared" si="151"/>
        <v>33.394582</v>
      </c>
      <c r="AS122" s="1170">
        <f t="shared" si="151"/>
        <v>37.595574506418302</v>
      </c>
      <c r="AU122">
        <f t="shared" si="81"/>
        <v>2008</v>
      </c>
      <c r="AV122" s="680">
        <f t="shared" si="82"/>
        <v>0.89448258999999553</v>
      </c>
      <c r="AW122" s="680">
        <f t="shared" si="82"/>
        <v>0</v>
      </c>
      <c r="AX122" s="680">
        <f t="shared" si="82"/>
        <v>0.19099864262560473</v>
      </c>
      <c r="AY122" s="680">
        <f t="shared" si="82"/>
        <v>6.8885276600000012</v>
      </c>
      <c r="AZ122" s="680">
        <f t="shared" si="82"/>
        <v>3.479449999999995E-3</v>
      </c>
      <c r="BA122" s="680">
        <f t="shared" si="82"/>
        <v>2.7313020000000004E-2</v>
      </c>
      <c r="BB122" s="680">
        <f t="shared" si="82"/>
        <v>1.0690969199999927</v>
      </c>
      <c r="BC122" s="680">
        <f t="shared" si="82"/>
        <v>0.87872939999999744</v>
      </c>
      <c r="BD122" s="680">
        <f t="shared" ref="BD122:BF122" si="152">+BD72-BD71</f>
        <v>0</v>
      </c>
      <c r="BE122" s="680">
        <f t="shared" si="152"/>
        <v>0</v>
      </c>
      <c r="BF122" s="680">
        <f t="shared" si="152"/>
        <v>0</v>
      </c>
      <c r="BG122" s="680">
        <f t="shared" si="82"/>
        <v>0</v>
      </c>
      <c r="BH122" s="680">
        <f t="shared" si="82"/>
        <v>0</v>
      </c>
      <c r="BI122" s="680">
        <f t="shared" si="82"/>
        <v>0</v>
      </c>
      <c r="BJ122" s="680">
        <f t="shared" si="82"/>
        <v>0</v>
      </c>
      <c r="BK122" s="680">
        <f t="shared" si="82"/>
        <v>0</v>
      </c>
      <c r="BL122" s="1168"/>
      <c r="BM122" s="680">
        <f t="shared" si="84"/>
        <v>0</v>
      </c>
      <c r="BN122" s="680">
        <f t="shared" si="84"/>
        <v>8.9117909999999981E-2</v>
      </c>
      <c r="BO122" s="1167">
        <f t="shared" si="84"/>
        <v>8.9117909999999981E-2</v>
      </c>
      <c r="BP122" s="1170">
        <f t="shared" si="84"/>
        <v>10.041745592625546</v>
      </c>
      <c r="BT122" s="1175">
        <f t="shared" si="85"/>
        <v>9.9253146626255671</v>
      </c>
      <c r="BU122" s="1175">
        <f t="shared" si="85"/>
        <v>0.11643092999997862</v>
      </c>
      <c r="BV122" s="1175">
        <f t="shared" si="85"/>
        <v>24.076517521892129</v>
      </c>
      <c r="BW122" s="1175">
        <f t="shared" si="147"/>
        <v>1.6610527399999739</v>
      </c>
    </row>
    <row r="123" spans="1:75" x14ac:dyDescent="0.2">
      <c r="A123">
        <f t="shared" si="74"/>
        <v>2009</v>
      </c>
      <c r="B123" s="680">
        <f t="shared" ref="B123:F123" si="153">+B73-B72</f>
        <v>0.23166312000000033</v>
      </c>
      <c r="C123" s="680">
        <f t="shared" si="153"/>
        <v>0</v>
      </c>
      <c r="D123" s="680">
        <f t="shared" si="153"/>
        <v>7.9502279999999814E-2</v>
      </c>
      <c r="E123" s="680">
        <f t="shared" si="153"/>
        <v>3.5123634000000017</v>
      </c>
      <c r="F123" s="680">
        <f t="shared" si="153"/>
        <v>8.4208670000000013E-2</v>
      </c>
      <c r="G123" s="680">
        <f t="shared" ref="G123:V123" si="154">+G73-G72</f>
        <v>3.2416179391304346E-2</v>
      </c>
      <c r="H123" s="680">
        <f t="shared" si="154"/>
        <v>0.43548764999999889</v>
      </c>
      <c r="I123" s="680">
        <f t="shared" si="154"/>
        <v>0.73992926069850284</v>
      </c>
      <c r="J123" s="680">
        <f t="shared" si="154"/>
        <v>0</v>
      </c>
      <c r="K123" s="680">
        <f t="shared" si="154"/>
        <v>0</v>
      </c>
      <c r="L123" s="680">
        <f t="shared" si="154"/>
        <v>0</v>
      </c>
      <c r="M123" s="680">
        <f t="shared" si="154"/>
        <v>0</v>
      </c>
      <c r="N123" s="680">
        <f t="shared" si="154"/>
        <v>0</v>
      </c>
      <c r="O123" s="680">
        <f t="shared" si="154"/>
        <v>0</v>
      </c>
      <c r="P123" s="680">
        <f t="shared" si="154"/>
        <v>0</v>
      </c>
      <c r="Q123" s="680">
        <f t="shared" si="154"/>
        <v>0</v>
      </c>
      <c r="R123" s="1168">
        <f t="shared" si="154"/>
        <v>5.1155705600898074</v>
      </c>
      <c r="S123" s="680">
        <f t="shared" si="154"/>
        <v>-12.799907340509399</v>
      </c>
      <c r="T123" s="680">
        <f t="shared" si="154"/>
        <v>0.56305267199999998</v>
      </c>
      <c r="U123" s="1167">
        <f t="shared" si="154"/>
        <v>-12.236854668509395</v>
      </c>
      <c r="V123" s="1170">
        <f t="shared" si="154"/>
        <v>-7.1212841084196157</v>
      </c>
      <c r="W123" s="680"/>
      <c r="X123">
        <f t="shared" si="77"/>
        <v>2009</v>
      </c>
      <c r="Y123" s="680">
        <f t="shared" si="133"/>
        <v>0.24761047999999874</v>
      </c>
      <c r="Z123" s="680">
        <f t="shared" si="133"/>
        <v>0</v>
      </c>
      <c r="AA123" s="680">
        <f t="shared" si="133"/>
        <v>5.9194980000000008E-2</v>
      </c>
      <c r="AB123" s="680">
        <f t="shared" si="133"/>
        <v>2.992645760000002</v>
      </c>
      <c r="AC123" s="680">
        <f t="shared" si="133"/>
        <v>1.2365600000000011E-3</v>
      </c>
      <c r="AD123" s="680">
        <f t="shared" si="133"/>
        <v>3.0797945043478266E-2</v>
      </c>
      <c r="AE123" s="680">
        <f t="shared" si="133"/>
        <v>1.3085363200000302</v>
      </c>
      <c r="AF123" s="680">
        <f t="shared" si="133"/>
        <v>0.62463896732715085</v>
      </c>
      <c r="AG123" s="680">
        <f t="shared" ref="AG123:AI123" si="155">+AG73-AG72</f>
        <v>0</v>
      </c>
      <c r="AH123" s="680">
        <f t="shared" si="155"/>
        <v>0</v>
      </c>
      <c r="AI123" s="680">
        <f t="shared" si="155"/>
        <v>0</v>
      </c>
      <c r="AJ123" s="680">
        <f t="shared" ref="AJ123:AS123" si="156">+AJ73-AJ72</f>
        <v>0</v>
      </c>
      <c r="AK123" s="680">
        <f t="shared" si="156"/>
        <v>0</v>
      </c>
      <c r="AL123" s="680">
        <f t="shared" si="156"/>
        <v>0</v>
      </c>
      <c r="AM123" s="680">
        <f t="shared" si="156"/>
        <v>0</v>
      </c>
      <c r="AN123" s="680">
        <f t="shared" si="156"/>
        <v>0</v>
      </c>
      <c r="AO123" s="1168">
        <f t="shared" si="156"/>
        <v>5.2646610123706523</v>
      </c>
      <c r="AP123" s="680">
        <f t="shared" si="156"/>
        <v>-23.894519655872443</v>
      </c>
      <c r="AQ123" s="680">
        <f t="shared" si="156"/>
        <v>-3.7763049999999909E-2</v>
      </c>
      <c r="AR123" s="1167">
        <f t="shared" si="156"/>
        <v>-23.932282705872439</v>
      </c>
      <c r="AS123" s="1170">
        <f t="shared" si="156"/>
        <v>-18.667621693501815</v>
      </c>
      <c r="AU123">
        <f t="shared" si="81"/>
        <v>2009</v>
      </c>
      <c r="AV123" s="680">
        <f t="shared" si="82"/>
        <v>1.0519736800000032</v>
      </c>
      <c r="AW123" s="680">
        <f t="shared" si="82"/>
        <v>0</v>
      </c>
      <c r="AX123" s="680">
        <f t="shared" si="82"/>
        <v>0.20504004000000009</v>
      </c>
      <c r="AY123" s="680">
        <f t="shared" si="82"/>
        <v>7.643791439999994</v>
      </c>
      <c r="AZ123" s="680">
        <f t="shared" si="82"/>
        <v>0.15797373439688717</v>
      </c>
      <c r="BA123" s="680">
        <f t="shared" si="82"/>
        <v>6.9042546956521747E-2</v>
      </c>
      <c r="BB123" s="680">
        <f t="shared" si="82"/>
        <v>1.8938129599999911</v>
      </c>
      <c r="BC123" s="680">
        <f t="shared" si="82"/>
        <v>1.6102879194868152</v>
      </c>
      <c r="BD123" s="680">
        <f t="shared" ref="BD123:BF123" si="157">+BD73-BD72</f>
        <v>0</v>
      </c>
      <c r="BE123" s="680">
        <f t="shared" si="157"/>
        <v>0</v>
      </c>
      <c r="BF123" s="680">
        <f t="shared" si="157"/>
        <v>0</v>
      </c>
      <c r="BG123" s="680">
        <f t="shared" si="82"/>
        <v>0</v>
      </c>
      <c r="BH123" s="680">
        <f t="shared" si="82"/>
        <v>0</v>
      </c>
      <c r="BI123" s="680">
        <f t="shared" si="82"/>
        <v>0</v>
      </c>
      <c r="BJ123" s="680">
        <f t="shared" si="82"/>
        <v>0</v>
      </c>
      <c r="BK123" s="680">
        <f t="shared" si="82"/>
        <v>0</v>
      </c>
      <c r="BL123" s="1168"/>
      <c r="BM123" s="680">
        <f t="shared" si="84"/>
        <v>0</v>
      </c>
      <c r="BN123" s="680">
        <f t="shared" si="84"/>
        <v>0.28608552000000009</v>
      </c>
      <c r="BO123" s="1167">
        <f t="shared" si="84"/>
        <v>0.28608552000000009</v>
      </c>
      <c r="BP123" s="1170">
        <f t="shared" si="84"/>
        <v>12.918007840840232</v>
      </c>
      <c r="BT123" s="1175">
        <f t="shared" si="85"/>
        <v>12.562879773883708</v>
      </c>
      <c r="BU123" s="1175">
        <f t="shared" si="85"/>
        <v>0.35512806695652444</v>
      </c>
      <c r="BV123" s="1175">
        <f t="shared" si="85"/>
        <v>30.392111382935582</v>
      </c>
      <c r="BW123" s="1175">
        <f t="shared" si="147"/>
        <v>3.5599312640887604</v>
      </c>
    </row>
    <row r="124" spans="1:75" x14ac:dyDescent="0.2">
      <c r="A124">
        <f t="shared" si="74"/>
        <v>2010</v>
      </c>
      <c r="B124" s="680">
        <f t="shared" ref="B124:F124" si="158">+B74-B73</f>
        <v>0.30336227999999998</v>
      </c>
      <c r="C124" s="680">
        <f t="shared" si="158"/>
        <v>0</v>
      </c>
      <c r="D124" s="680">
        <f t="shared" si="158"/>
        <v>8.1783520000000109E-2</v>
      </c>
      <c r="E124" s="680">
        <f t="shared" si="158"/>
        <v>3.3997031900000003</v>
      </c>
      <c r="F124" s="680">
        <f t="shared" si="158"/>
        <v>0.4145141</v>
      </c>
      <c r="G124" s="680">
        <f t="shared" ref="G124:V124" si="159">+G74-G73</f>
        <v>1.7322500000000005E-2</v>
      </c>
      <c r="H124" s="680">
        <f t="shared" si="159"/>
        <v>0.75592725000000272</v>
      </c>
      <c r="I124" s="680">
        <f t="shared" si="159"/>
        <v>0.35296112800000046</v>
      </c>
      <c r="J124" s="680">
        <f t="shared" si="159"/>
        <v>0</v>
      </c>
      <c r="K124" s="680">
        <f t="shared" si="159"/>
        <v>0</v>
      </c>
      <c r="L124" s="680">
        <f t="shared" si="159"/>
        <v>0</v>
      </c>
      <c r="M124" s="680">
        <f t="shared" si="159"/>
        <v>0</v>
      </c>
      <c r="N124" s="680">
        <f t="shared" si="159"/>
        <v>0</v>
      </c>
      <c r="O124" s="680">
        <f t="shared" si="159"/>
        <v>0</v>
      </c>
      <c r="P124" s="680">
        <f t="shared" si="159"/>
        <v>0</v>
      </c>
      <c r="Q124" s="680">
        <f t="shared" si="159"/>
        <v>0</v>
      </c>
      <c r="R124" s="1168">
        <f t="shared" si="159"/>
        <v>5.3255739680000005</v>
      </c>
      <c r="S124" s="680">
        <f t="shared" si="159"/>
        <v>-6.0841031511589065</v>
      </c>
      <c r="T124" s="680">
        <f t="shared" si="159"/>
        <v>1.3305470880000005</v>
      </c>
      <c r="U124" s="1167">
        <f t="shared" si="159"/>
        <v>-4.7535560631589107</v>
      </c>
      <c r="V124" s="1170">
        <f t="shared" si="159"/>
        <v>0.57201790484111825</v>
      </c>
      <c r="W124" s="680"/>
      <c r="X124">
        <f t="shared" si="77"/>
        <v>2010</v>
      </c>
      <c r="Y124" s="680">
        <f t="shared" si="133"/>
        <v>0.37015783999999741</v>
      </c>
      <c r="Z124" s="680">
        <f t="shared" si="133"/>
        <v>0</v>
      </c>
      <c r="AA124" s="680">
        <f t="shared" si="133"/>
        <v>6.0921900000000306E-2</v>
      </c>
      <c r="AB124" s="680">
        <f t="shared" si="133"/>
        <v>3.4375941600000033</v>
      </c>
      <c r="AC124" s="680">
        <f t="shared" si="133"/>
        <v>0.18081492000000002</v>
      </c>
      <c r="AD124" s="680">
        <f t="shared" si="133"/>
        <v>3.5305919999999991E-2</v>
      </c>
      <c r="AE124" s="680">
        <f t="shared" si="133"/>
        <v>2.3700058200000171</v>
      </c>
      <c r="AF124" s="680">
        <f t="shared" si="133"/>
        <v>0.84052607599999618</v>
      </c>
      <c r="AG124" s="680">
        <f t="shared" ref="AG124:AI124" si="160">+AG74-AG73</f>
        <v>0</v>
      </c>
      <c r="AH124" s="680">
        <f t="shared" si="160"/>
        <v>0</v>
      </c>
      <c r="AI124" s="680">
        <f t="shared" si="160"/>
        <v>0</v>
      </c>
      <c r="AJ124" s="680">
        <f t="shared" ref="AJ124:AS124" si="161">+AJ74-AJ73</f>
        <v>0</v>
      </c>
      <c r="AK124" s="680">
        <f t="shared" si="161"/>
        <v>0</v>
      </c>
      <c r="AL124" s="680">
        <f t="shared" si="161"/>
        <v>0</v>
      </c>
      <c r="AM124" s="680">
        <f t="shared" si="161"/>
        <v>0</v>
      </c>
      <c r="AN124" s="680">
        <f t="shared" si="161"/>
        <v>0</v>
      </c>
      <c r="AO124" s="1168">
        <f t="shared" si="161"/>
        <v>7.2953266359999702</v>
      </c>
      <c r="AP124" s="680">
        <f t="shared" si="161"/>
        <v>4.2616778160079036</v>
      </c>
      <c r="AQ124" s="680">
        <f t="shared" si="161"/>
        <v>1.50180745</v>
      </c>
      <c r="AR124" s="1167">
        <f t="shared" si="161"/>
        <v>5.7634852660079048</v>
      </c>
      <c r="AS124" s="1170">
        <f t="shared" si="161"/>
        <v>13.058811902007847</v>
      </c>
      <c r="AU124">
        <f t="shared" si="81"/>
        <v>2010</v>
      </c>
      <c r="AV124" s="680">
        <f t="shared" si="82"/>
        <v>1.3775569199999893</v>
      </c>
      <c r="AW124" s="680">
        <f t="shared" si="82"/>
        <v>0</v>
      </c>
      <c r="AX124" s="680">
        <f t="shared" si="82"/>
        <v>0.2108265799999991</v>
      </c>
      <c r="AY124" s="680">
        <f t="shared" si="82"/>
        <v>7.5194794100000166</v>
      </c>
      <c r="AZ124" s="680">
        <f t="shared" si="82"/>
        <v>0.77313379000000004</v>
      </c>
      <c r="BA124" s="680">
        <f t="shared" si="82"/>
        <v>5.7770000000000016E-2</v>
      </c>
      <c r="BB124" s="680">
        <f t="shared" si="82"/>
        <v>3.2672698000000082</v>
      </c>
      <c r="BC124" s="680">
        <f t="shared" si="82"/>
        <v>0.78076950000000522</v>
      </c>
      <c r="BD124" s="680">
        <f t="shared" ref="BD124:BF124" si="162">+BD74-BD73</f>
        <v>0</v>
      </c>
      <c r="BE124" s="680">
        <f t="shared" si="162"/>
        <v>0</v>
      </c>
      <c r="BF124" s="680">
        <f t="shared" si="162"/>
        <v>0</v>
      </c>
      <c r="BG124" s="680">
        <f t="shared" si="82"/>
        <v>0</v>
      </c>
      <c r="BH124" s="680">
        <f t="shared" si="82"/>
        <v>0</v>
      </c>
      <c r="BI124" s="680">
        <f t="shared" si="82"/>
        <v>0</v>
      </c>
      <c r="BJ124" s="680">
        <f t="shared" si="82"/>
        <v>0</v>
      </c>
      <c r="BK124" s="680">
        <f t="shared" si="82"/>
        <v>0</v>
      </c>
      <c r="BL124" s="1168"/>
      <c r="BM124" s="680">
        <f t="shared" si="84"/>
        <v>0</v>
      </c>
      <c r="BN124" s="680">
        <f t="shared" si="84"/>
        <v>0.67604732999999984</v>
      </c>
      <c r="BO124" s="1167">
        <f t="shared" si="84"/>
        <v>0.67604732999999984</v>
      </c>
      <c r="BP124" s="1170">
        <f t="shared" si="84"/>
        <v>14.662853329999962</v>
      </c>
      <c r="BT124" s="1175">
        <f t="shared" si="85"/>
        <v>13.929035999999996</v>
      </c>
      <c r="BU124" s="1175">
        <f t="shared" si="85"/>
        <v>0.7338173299999653</v>
      </c>
      <c r="BV124" s="1175">
        <f t="shared" si="85"/>
        <v>22.590028370333357</v>
      </c>
      <c r="BW124" s="1175">
        <f t="shared" si="147"/>
        <v>4.9899915720000081</v>
      </c>
    </row>
    <row r="125" spans="1:75" x14ac:dyDescent="0.2">
      <c r="A125">
        <f t="shared" si="74"/>
        <v>2011</v>
      </c>
      <c r="B125" s="680">
        <f t="shared" ref="B125:F125" si="163">+B75-B74</f>
        <v>0.40386475999999938</v>
      </c>
      <c r="C125" s="680">
        <f t="shared" si="163"/>
        <v>0</v>
      </c>
      <c r="D125" s="680">
        <f t="shared" si="163"/>
        <v>0.11704679999999978</v>
      </c>
      <c r="E125" s="680">
        <f t="shared" si="163"/>
        <v>1.6811566199999994</v>
      </c>
      <c r="F125" s="680">
        <f t="shared" si="163"/>
        <v>0.94198156000000011</v>
      </c>
      <c r="G125" s="680">
        <f t="shared" ref="G125:V125" si="164">+G75-G74</f>
        <v>1.6693559999999996E-2</v>
      </c>
      <c r="H125" s="680">
        <f t="shared" si="164"/>
        <v>1.5005495699999969</v>
      </c>
      <c r="I125" s="680">
        <f t="shared" si="164"/>
        <v>0</v>
      </c>
      <c r="J125" s="680">
        <f t="shared" si="164"/>
        <v>0</v>
      </c>
      <c r="K125" s="680">
        <f t="shared" si="164"/>
        <v>0</v>
      </c>
      <c r="L125" s="680">
        <f t="shared" si="164"/>
        <v>0</v>
      </c>
      <c r="M125" s="680">
        <f t="shared" si="164"/>
        <v>2.7716000000000004E-4</v>
      </c>
      <c r="N125" s="680">
        <f t="shared" si="164"/>
        <v>0</v>
      </c>
      <c r="O125" s="680">
        <f t="shared" si="164"/>
        <v>0</v>
      </c>
      <c r="P125" s="680">
        <f t="shared" si="164"/>
        <v>7.1955000000000005E-3</v>
      </c>
      <c r="Q125" s="680">
        <f t="shared" si="164"/>
        <v>9.2715350000000002E-2</v>
      </c>
      <c r="R125" s="1168">
        <f t="shared" si="164"/>
        <v>4.7614808799999935</v>
      </c>
      <c r="S125" s="680">
        <f t="shared" si="164"/>
        <v>-1.4524488506947293</v>
      </c>
      <c r="T125" s="680">
        <f t="shared" si="164"/>
        <v>1.2397579999999997</v>
      </c>
      <c r="U125" s="1167">
        <f t="shared" si="164"/>
        <v>-0.21269085069472737</v>
      </c>
      <c r="V125" s="1170">
        <f t="shared" si="164"/>
        <v>4.5487900293052519</v>
      </c>
      <c r="W125" s="680"/>
      <c r="X125">
        <f t="shared" si="77"/>
        <v>2011</v>
      </c>
      <c r="Y125" s="680">
        <f t="shared" si="133"/>
        <v>0.65821236000000383</v>
      </c>
      <c r="Z125" s="680">
        <f t="shared" si="133"/>
        <v>0</v>
      </c>
      <c r="AA125" s="680">
        <f t="shared" si="133"/>
        <v>8.3446480000000101E-2</v>
      </c>
      <c r="AB125" s="680">
        <f t="shared" si="133"/>
        <v>2.1491519399999959</v>
      </c>
      <c r="AC125" s="680">
        <f t="shared" si="133"/>
        <v>0.6099438800000001</v>
      </c>
      <c r="AD125" s="680">
        <f t="shared" si="133"/>
        <v>6.8756999999999985E-3</v>
      </c>
      <c r="AE125" s="680">
        <f t="shared" si="133"/>
        <v>3.4744137999999793</v>
      </c>
      <c r="AF125" s="680">
        <f t="shared" si="133"/>
        <v>0</v>
      </c>
      <c r="AG125" s="680">
        <f t="shared" ref="AG125:AI125" si="165">+AG75-AG74</f>
        <v>0</v>
      </c>
      <c r="AH125" s="680">
        <f t="shared" si="165"/>
        <v>0</v>
      </c>
      <c r="AI125" s="680">
        <f t="shared" si="165"/>
        <v>0</v>
      </c>
      <c r="AJ125" s="680">
        <f t="shared" ref="AJ125:AS125" si="166">+AJ75-AJ74</f>
        <v>0</v>
      </c>
      <c r="AK125" s="680">
        <f t="shared" si="166"/>
        <v>0</v>
      </c>
      <c r="AL125" s="680">
        <f t="shared" si="166"/>
        <v>0</v>
      </c>
      <c r="AM125" s="680">
        <f t="shared" si="166"/>
        <v>0</v>
      </c>
      <c r="AN125" s="680">
        <f t="shared" si="166"/>
        <v>0</v>
      </c>
      <c r="AO125" s="1168">
        <f t="shared" si="166"/>
        <v>6.9820441599999867</v>
      </c>
      <c r="AP125" s="680">
        <f t="shared" si="166"/>
        <v>-21.280962602848618</v>
      </c>
      <c r="AQ125" s="680">
        <f t="shared" si="166"/>
        <v>2.2273004000000003</v>
      </c>
      <c r="AR125" s="1167">
        <f t="shared" si="166"/>
        <v>-19.053662202848614</v>
      </c>
      <c r="AS125" s="1170">
        <f t="shared" si="166"/>
        <v>-12.071618042848627</v>
      </c>
      <c r="AU125">
        <f t="shared" si="81"/>
        <v>2011</v>
      </c>
      <c r="AV125" s="680">
        <f t="shared" ref="AV125:BK136" si="167">+AV75-AV74</f>
        <v>4.3773484400000058</v>
      </c>
      <c r="AW125" s="680">
        <f t="shared" si="167"/>
        <v>0</v>
      </c>
      <c r="AX125" s="680">
        <f t="shared" si="167"/>
        <v>0.5433591799999995</v>
      </c>
      <c r="AY125" s="680">
        <f t="shared" si="167"/>
        <v>3.3929200799999961</v>
      </c>
      <c r="AZ125" s="680">
        <f t="shared" si="167"/>
        <v>1.9146833000000003</v>
      </c>
      <c r="BA125" s="680">
        <f t="shared" si="167"/>
        <v>9.1297799999999985E-2</v>
      </c>
      <c r="BB125" s="680">
        <f t="shared" si="167"/>
        <v>4.7471002900000201</v>
      </c>
      <c r="BC125" s="680">
        <f t="shared" si="167"/>
        <v>0</v>
      </c>
      <c r="BD125" s="680">
        <f t="shared" ref="BD125:BF125" si="168">+BD75-BD74</f>
        <v>0</v>
      </c>
      <c r="BE125" s="680">
        <f t="shared" si="168"/>
        <v>0</v>
      </c>
      <c r="BF125" s="680">
        <f t="shared" si="168"/>
        <v>0</v>
      </c>
      <c r="BG125" s="680">
        <f t="shared" si="167"/>
        <v>3.5138999999999999E-3</v>
      </c>
      <c r="BH125" s="680">
        <f t="shared" si="167"/>
        <v>0</v>
      </c>
      <c r="BI125" s="680">
        <f t="shared" si="167"/>
        <v>0</v>
      </c>
      <c r="BJ125" s="680">
        <f t="shared" si="167"/>
        <v>5.6667600000000005E-2</v>
      </c>
      <c r="BK125" s="680">
        <f t="shared" si="167"/>
        <v>0.25982985000000003</v>
      </c>
      <c r="BL125" s="1168"/>
      <c r="BM125" s="680">
        <f t="shared" ref="BM125:BP136" si="169">+BM75-BM74</f>
        <v>0</v>
      </c>
      <c r="BN125" s="680">
        <f t="shared" si="169"/>
        <v>0.7113140600000003</v>
      </c>
      <c r="BO125" s="1167">
        <f t="shared" si="169"/>
        <v>0.7113140600000003</v>
      </c>
      <c r="BP125" s="1170">
        <f t="shared" si="169"/>
        <v>16.098034500000097</v>
      </c>
      <c r="BT125" s="1175">
        <f t="shared" si="85"/>
        <v>14.975411290000011</v>
      </c>
      <c r="BU125" s="1175">
        <f t="shared" si="85"/>
        <v>1.1226232100000857</v>
      </c>
      <c r="BV125" s="1175">
        <f t="shared" si="85"/>
        <v>16.45211955100001</v>
      </c>
      <c r="BW125" s="1175">
        <f t="shared" si="147"/>
        <v>14.334556910000003</v>
      </c>
    </row>
    <row r="126" spans="1:75" x14ac:dyDescent="0.2">
      <c r="A126">
        <f t="shared" si="74"/>
        <v>2012</v>
      </c>
      <c r="B126" s="680">
        <f t="shared" ref="B126:F126" si="170">+B76-B75</f>
        <v>0.44132399999999983</v>
      </c>
      <c r="C126" s="680">
        <f t="shared" si="170"/>
        <v>0</v>
      </c>
      <c r="D126" s="680">
        <f t="shared" si="170"/>
        <v>0.11538384000000068</v>
      </c>
      <c r="E126" s="680">
        <f t="shared" si="170"/>
        <v>0.55321135999999882</v>
      </c>
      <c r="F126" s="680">
        <f t="shared" si="170"/>
        <v>1.5513498000000003</v>
      </c>
      <c r="G126" s="680">
        <f t="shared" ref="G126:V126" si="171">+G76-G75</f>
        <v>0.59035079999999995</v>
      </c>
      <c r="H126" s="680">
        <f t="shared" si="171"/>
        <v>1.4657713200000018</v>
      </c>
      <c r="I126" s="680">
        <f t="shared" si="171"/>
        <v>2.1482991399999989</v>
      </c>
      <c r="J126" s="680">
        <f t="shared" si="171"/>
        <v>0</v>
      </c>
      <c r="K126" s="680">
        <f t="shared" si="171"/>
        <v>0</v>
      </c>
      <c r="L126" s="680">
        <f t="shared" si="171"/>
        <v>0</v>
      </c>
      <c r="M126" s="680">
        <f t="shared" si="171"/>
        <v>4.903600000000001E-3</v>
      </c>
      <c r="N126" s="680">
        <f t="shared" si="171"/>
        <v>0</v>
      </c>
      <c r="O126" s="680">
        <f t="shared" si="171"/>
        <v>5.0070020000000007E-2</v>
      </c>
      <c r="P126" s="680">
        <f t="shared" si="171"/>
        <v>1.1193000000000002E-2</v>
      </c>
      <c r="Q126" s="680">
        <f t="shared" si="171"/>
        <v>0.26803504</v>
      </c>
      <c r="R126" s="1168">
        <f t="shared" si="171"/>
        <v>7.1998919200000131</v>
      </c>
      <c r="S126" s="680">
        <f t="shared" si="171"/>
        <v>-2.9382979809470768</v>
      </c>
      <c r="T126" s="680">
        <f t="shared" si="171"/>
        <v>0.63746800000000015</v>
      </c>
      <c r="U126" s="1167">
        <f t="shared" si="171"/>
        <v>-2.3008299809470785</v>
      </c>
      <c r="V126" s="1170">
        <f t="shared" si="171"/>
        <v>4.8990619390529275</v>
      </c>
      <c r="W126" s="680"/>
      <c r="X126">
        <f t="shared" si="77"/>
        <v>2012</v>
      </c>
      <c r="Y126" s="680">
        <f t="shared" si="133"/>
        <v>0.64561224000000195</v>
      </c>
      <c r="Z126" s="680">
        <f t="shared" si="133"/>
        <v>0</v>
      </c>
      <c r="AA126" s="680">
        <f t="shared" si="133"/>
        <v>9.2678040000000905E-2</v>
      </c>
      <c r="AB126" s="680">
        <f t="shared" si="133"/>
        <v>0.89863800000000538</v>
      </c>
      <c r="AC126" s="680">
        <f t="shared" si="133"/>
        <v>1.4137292000000001</v>
      </c>
      <c r="AD126" s="680">
        <f t="shared" si="133"/>
        <v>9.4287700000000016E-2</v>
      </c>
      <c r="AE126" s="680">
        <f t="shared" si="133"/>
        <v>2.4949943200000462</v>
      </c>
      <c r="AF126" s="680">
        <f t="shared" si="133"/>
        <v>0</v>
      </c>
      <c r="AG126" s="680">
        <f t="shared" ref="AG126:AI126" si="172">+AG76-AG75</f>
        <v>0</v>
      </c>
      <c r="AH126" s="680">
        <f t="shared" si="172"/>
        <v>0</v>
      </c>
      <c r="AI126" s="680">
        <f t="shared" si="172"/>
        <v>0</v>
      </c>
      <c r="AJ126" s="680">
        <f t="shared" ref="AJ126:AS126" si="173">+AJ76-AJ75</f>
        <v>8.3148E-4</v>
      </c>
      <c r="AK126" s="680">
        <f t="shared" si="173"/>
        <v>0</v>
      </c>
      <c r="AL126" s="680">
        <f t="shared" si="173"/>
        <v>0</v>
      </c>
      <c r="AM126" s="680">
        <f t="shared" si="173"/>
        <v>2.9261700000000002E-2</v>
      </c>
      <c r="AN126" s="680">
        <f t="shared" si="173"/>
        <v>0</v>
      </c>
      <c r="AO126" s="1168">
        <f t="shared" si="173"/>
        <v>5.6700326800000767</v>
      </c>
      <c r="AP126" s="680">
        <f t="shared" si="173"/>
        <v>-3.6086060262143604</v>
      </c>
      <c r="AQ126" s="680">
        <f t="shared" si="173"/>
        <v>1.6159493999999999</v>
      </c>
      <c r="AR126" s="1167">
        <f t="shared" si="173"/>
        <v>-1.9926566262143695</v>
      </c>
      <c r="AS126" s="1170">
        <f t="shared" si="173"/>
        <v>3.6773760537856788</v>
      </c>
      <c r="AU126">
        <f t="shared" si="81"/>
        <v>2012</v>
      </c>
      <c r="AV126" s="680">
        <f t="shared" si="167"/>
        <v>4.7745791999999909</v>
      </c>
      <c r="AW126" s="680">
        <f t="shared" si="167"/>
        <v>0</v>
      </c>
      <c r="AX126" s="680">
        <f t="shared" si="167"/>
        <v>0.67953419999999909</v>
      </c>
      <c r="AY126" s="680">
        <f t="shared" si="167"/>
        <v>0.93172780999999816</v>
      </c>
      <c r="AZ126" s="680">
        <f t="shared" si="167"/>
        <v>3.5774045999999999</v>
      </c>
      <c r="BA126" s="680">
        <f t="shared" si="167"/>
        <v>1.2053641599999998</v>
      </c>
      <c r="BB126" s="680">
        <f t="shared" si="167"/>
        <v>3.830041819999991</v>
      </c>
      <c r="BC126" s="680">
        <f t="shared" si="167"/>
        <v>2.4203806799999938</v>
      </c>
      <c r="BD126" s="680">
        <f t="shared" ref="BD126:BF126" si="174">+BD76-BD75</f>
        <v>0</v>
      </c>
      <c r="BE126" s="680">
        <f t="shared" si="174"/>
        <v>0</v>
      </c>
      <c r="BF126" s="680">
        <f t="shared" si="174"/>
        <v>0</v>
      </c>
      <c r="BG126" s="680">
        <f t="shared" si="167"/>
        <v>6.2169000000000002E-2</v>
      </c>
      <c r="BH126" s="680">
        <f t="shared" si="167"/>
        <v>0</v>
      </c>
      <c r="BI126" s="680">
        <f t="shared" si="167"/>
        <v>0.12624865000000002</v>
      </c>
      <c r="BJ126" s="680">
        <f t="shared" si="167"/>
        <v>8.8149599999999995E-2</v>
      </c>
      <c r="BK126" s="680">
        <f t="shared" si="167"/>
        <v>0.75025103999999998</v>
      </c>
      <c r="BL126" s="1168"/>
      <c r="BM126" s="680">
        <f t="shared" si="169"/>
        <v>0</v>
      </c>
      <c r="BN126" s="680">
        <f t="shared" si="169"/>
        <v>0.36574875999999978</v>
      </c>
      <c r="BO126" s="1167">
        <f t="shared" si="169"/>
        <v>0.36574875999999978</v>
      </c>
      <c r="BP126" s="1170">
        <f t="shared" si="169"/>
        <v>18.811599519999902</v>
      </c>
      <c r="BT126" s="1175">
        <f t="shared" si="85"/>
        <v>16.213668310000003</v>
      </c>
      <c r="BU126" s="1175">
        <f t="shared" si="85"/>
        <v>2.5979312099998992</v>
      </c>
      <c r="BV126" s="1175">
        <f t="shared" si="85"/>
        <v>25.616428359666656</v>
      </c>
      <c r="BW126" s="1175">
        <f t="shared" si="147"/>
        <v>8.5002106219998836</v>
      </c>
    </row>
    <row r="127" spans="1:75" x14ac:dyDescent="0.2">
      <c r="A127">
        <f t="shared" si="74"/>
        <v>2013</v>
      </c>
      <c r="B127" s="680">
        <f t="shared" ref="B127:F127" si="175">+B77-B76</f>
        <v>0.52339081303034618</v>
      </c>
      <c r="C127" s="680">
        <f t="shared" si="175"/>
        <v>6.7900000000000738E-3</v>
      </c>
      <c r="D127" s="680">
        <f t="shared" si="175"/>
        <v>0.13039191473257539</v>
      </c>
      <c r="E127" s="680">
        <f t="shared" si="175"/>
        <v>0.5540664121891794</v>
      </c>
      <c r="F127" s="680">
        <f t="shared" si="175"/>
        <v>1.9340167423333328</v>
      </c>
      <c r="G127" s="680">
        <f t="shared" ref="G127:V127" si="176">+G77-G76</f>
        <v>1.5998947042173914</v>
      </c>
      <c r="H127" s="680">
        <f t="shared" si="176"/>
        <v>1.3928831675825641</v>
      </c>
      <c r="I127" s="680">
        <f t="shared" si="176"/>
        <v>4.4119688171248228</v>
      </c>
      <c r="J127" s="680">
        <f t="shared" si="176"/>
        <v>0</v>
      </c>
      <c r="K127" s="680">
        <f t="shared" si="176"/>
        <v>0</v>
      </c>
      <c r="L127" s="680">
        <f t="shared" si="176"/>
        <v>0</v>
      </c>
      <c r="M127" s="680">
        <f t="shared" si="176"/>
        <v>2.1826649999999996E-2</v>
      </c>
      <c r="N127" s="680">
        <f t="shared" si="176"/>
        <v>7.5110000000000004E-5</v>
      </c>
      <c r="O127" s="680">
        <f t="shared" si="176"/>
        <v>6.6200259999999997E-2</v>
      </c>
      <c r="P127" s="680">
        <f t="shared" si="176"/>
        <v>1.2031049999999998E-2</v>
      </c>
      <c r="Q127" s="680">
        <f t="shared" si="176"/>
        <v>0.30817927000000006</v>
      </c>
      <c r="R127" s="1168">
        <f t="shared" si="176"/>
        <v>10.961714911210208</v>
      </c>
      <c r="S127" s="680">
        <f t="shared" si="176"/>
        <v>-6.4446606518153331</v>
      </c>
      <c r="T127" s="680">
        <f t="shared" si="176"/>
        <v>0.48074351999999898</v>
      </c>
      <c r="U127" s="1167">
        <f t="shared" si="176"/>
        <v>-5.9639171318153288</v>
      </c>
      <c r="V127" s="1170">
        <f t="shared" si="176"/>
        <v>4.9977977793948867</v>
      </c>
      <c r="W127" s="680"/>
      <c r="X127">
        <f t="shared" si="77"/>
        <v>2013</v>
      </c>
      <c r="Y127" s="680">
        <f t="shared" si="133"/>
        <v>0.75513082613656124</v>
      </c>
      <c r="Z127" s="680">
        <f t="shared" si="133"/>
        <v>9.5199999999999729E-3</v>
      </c>
      <c r="AA127" s="680">
        <f t="shared" si="133"/>
        <v>0.11853891998795785</v>
      </c>
      <c r="AB127" s="680">
        <f t="shared" si="133"/>
        <v>0.73858667419352031</v>
      </c>
      <c r="AC127" s="680">
        <f t="shared" si="133"/>
        <v>1.5095529771666665</v>
      </c>
      <c r="AD127" s="680">
        <f t="shared" si="133"/>
        <v>1.5274837979130431</v>
      </c>
      <c r="AE127" s="680">
        <f t="shared" si="133"/>
        <v>3.2386457930883807</v>
      </c>
      <c r="AF127" s="680">
        <f t="shared" si="133"/>
        <v>5.3997938971318717</v>
      </c>
      <c r="AG127" s="680">
        <f t="shared" ref="AG127:AI127" si="177">+AG77-AG76</f>
        <v>0</v>
      </c>
      <c r="AH127" s="680">
        <f t="shared" si="177"/>
        <v>0</v>
      </c>
      <c r="AI127" s="680">
        <f t="shared" si="177"/>
        <v>0</v>
      </c>
      <c r="AJ127" s="680">
        <f t="shared" ref="AJ127:AS127" si="178">+AJ77-AJ76</f>
        <v>1.3975919999999998E-2</v>
      </c>
      <c r="AK127" s="680">
        <f t="shared" si="178"/>
        <v>0</v>
      </c>
      <c r="AL127" s="680">
        <f t="shared" si="178"/>
        <v>9.359779E-2</v>
      </c>
      <c r="AM127" s="680">
        <f t="shared" si="178"/>
        <v>1.6555399999999998E-2</v>
      </c>
      <c r="AN127" s="680">
        <f t="shared" si="178"/>
        <v>0</v>
      </c>
      <c r="AO127" s="1168">
        <f t="shared" si="178"/>
        <v>13.421381995617992</v>
      </c>
      <c r="AP127" s="680">
        <f t="shared" si="178"/>
        <v>-15.508826963021505</v>
      </c>
      <c r="AQ127" s="680">
        <f t="shared" si="178"/>
        <v>0.40110659999999942</v>
      </c>
      <c r="AR127" s="1167">
        <f t="shared" si="178"/>
        <v>-15.1077203630215</v>
      </c>
      <c r="AS127" s="1170">
        <f t="shared" si="178"/>
        <v>-1.6863383674034367</v>
      </c>
      <c r="AU127">
        <f t="shared" si="81"/>
        <v>2013</v>
      </c>
      <c r="AV127" s="680">
        <f t="shared" si="167"/>
        <v>4.199142084941343</v>
      </c>
      <c r="AW127" s="680">
        <f t="shared" si="167"/>
        <v>-1.3079999999999981E-2</v>
      </c>
      <c r="AX127" s="680">
        <f t="shared" si="167"/>
        <v>0.35923974840518369</v>
      </c>
      <c r="AY127" s="680">
        <f t="shared" si="167"/>
        <v>0.27934859835843895</v>
      </c>
      <c r="AZ127" s="680">
        <f t="shared" si="167"/>
        <v>4.4425974024337238</v>
      </c>
      <c r="BA127" s="680">
        <f t="shared" si="167"/>
        <v>3.052630050086957</v>
      </c>
      <c r="BB127" s="680">
        <f t="shared" si="167"/>
        <v>1.6685209217911563</v>
      </c>
      <c r="BC127" s="680">
        <f t="shared" si="167"/>
        <v>4.7219706869283939</v>
      </c>
      <c r="BD127" s="680">
        <f t="shared" ref="BD127:BF127" si="179">+BD77-BD76</f>
        <v>0</v>
      </c>
      <c r="BE127" s="680">
        <f t="shared" si="179"/>
        <v>0</v>
      </c>
      <c r="BF127" s="680">
        <f t="shared" si="179"/>
        <v>0</v>
      </c>
      <c r="BG127" s="680">
        <f t="shared" si="167"/>
        <v>0.27320598000000001</v>
      </c>
      <c r="BH127" s="680">
        <f t="shared" si="167"/>
        <v>1.85856E-4</v>
      </c>
      <c r="BI127" s="680">
        <f t="shared" si="167"/>
        <v>0.16390846999999997</v>
      </c>
      <c r="BJ127" s="680">
        <f t="shared" si="167"/>
        <v>9.2288592000000003E-2</v>
      </c>
      <c r="BK127" s="680">
        <f t="shared" si="167"/>
        <v>0.84379205400000012</v>
      </c>
      <c r="BL127" s="1168"/>
      <c r="BM127" s="680">
        <f t="shared" si="169"/>
        <v>0</v>
      </c>
      <c r="BN127" s="680">
        <f t="shared" si="169"/>
        <v>0.1906562639999998</v>
      </c>
      <c r="BO127" s="1167">
        <f t="shared" si="169"/>
        <v>0.1906562639999998</v>
      </c>
      <c r="BP127" s="1170">
        <f t="shared" si="169"/>
        <v>20.274406708945264</v>
      </c>
      <c r="BT127" s="1175">
        <f t="shared" si="85"/>
        <v>15.657739442858258</v>
      </c>
      <c r="BU127" s="1175">
        <f t="shared" si="85"/>
        <v>4.6166672660870063</v>
      </c>
      <c r="BV127" s="1175">
        <f t="shared" si="85"/>
        <v>29.261541128531462</v>
      </c>
      <c r="BW127" s="1175">
        <f t="shared" si="147"/>
        <v>12.330135849691715</v>
      </c>
    </row>
    <row r="128" spans="1:75" x14ac:dyDescent="0.2">
      <c r="A128">
        <f t="shared" si="74"/>
        <v>2014</v>
      </c>
      <c r="B128" s="680">
        <f t="shared" ref="B128:F128" si="180">+B78-B77</f>
        <v>0.46307997499999942</v>
      </c>
      <c r="C128" s="680">
        <f t="shared" si="180"/>
        <v>0</v>
      </c>
      <c r="D128" s="680">
        <f t="shared" si="180"/>
        <v>6.6676220000000619E-2</v>
      </c>
      <c r="E128" s="680">
        <f t="shared" si="180"/>
        <v>0.31137387000000416</v>
      </c>
      <c r="F128" s="680">
        <f t="shared" si="180"/>
        <v>2.0741841099999991</v>
      </c>
      <c r="G128" s="680">
        <f t="shared" ref="G128:V128" si="181">+G78-G77</f>
        <v>1.53314532</v>
      </c>
      <c r="H128" s="680">
        <f t="shared" si="181"/>
        <v>0.43649640000000289</v>
      </c>
      <c r="I128" s="680">
        <f t="shared" si="181"/>
        <v>3.9182762378609368</v>
      </c>
      <c r="J128" s="680">
        <f t="shared" si="181"/>
        <v>0</v>
      </c>
      <c r="K128" s="680">
        <f t="shared" si="181"/>
        <v>0</v>
      </c>
      <c r="L128" s="680">
        <f t="shared" si="181"/>
        <v>0</v>
      </c>
      <c r="M128" s="680">
        <f t="shared" si="181"/>
        <v>2.919633E-2</v>
      </c>
      <c r="N128" s="680">
        <f t="shared" si="181"/>
        <v>7.5110000000000004E-5</v>
      </c>
      <c r="O128" s="680">
        <f t="shared" si="181"/>
        <v>2.1331240000000001E-2</v>
      </c>
      <c r="P128" s="680">
        <f t="shared" si="181"/>
        <v>1.6577849999999995E-2</v>
      </c>
      <c r="Q128" s="680">
        <f t="shared" si="181"/>
        <v>0.3068136199999999</v>
      </c>
      <c r="R128" s="1168">
        <f t="shared" si="181"/>
        <v>9.1772262828609428</v>
      </c>
      <c r="S128" s="680">
        <f t="shared" si="181"/>
        <v>-2.663518355461683</v>
      </c>
      <c r="T128" s="680">
        <f t="shared" si="181"/>
        <v>1.3479562499999993</v>
      </c>
      <c r="U128" s="1167">
        <f t="shared" si="181"/>
        <v>-1.3155621054616873</v>
      </c>
      <c r="V128" s="1170">
        <f t="shared" si="181"/>
        <v>7.8616641773992626</v>
      </c>
      <c r="W128" s="680"/>
      <c r="X128">
        <f t="shared" si="77"/>
        <v>2014</v>
      </c>
      <c r="Y128" s="680">
        <f t="shared" si="133"/>
        <v>0.58157672999999832</v>
      </c>
      <c r="Z128" s="680">
        <f t="shared" si="133"/>
        <v>0</v>
      </c>
      <c r="AA128" s="680">
        <f t="shared" si="133"/>
        <v>4.3778399999999884E-2</v>
      </c>
      <c r="AB128" s="680">
        <f t="shared" si="133"/>
        <v>0.40319047999999924</v>
      </c>
      <c r="AC128" s="680">
        <f t="shared" si="133"/>
        <v>2.5548129999999989</v>
      </c>
      <c r="AD128" s="680">
        <f t="shared" si="133"/>
        <v>1.47679136</v>
      </c>
      <c r="AE128" s="680">
        <f t="shared" si="133"/>
        <v>0.94866075999999566</v>
      </c>
      <c r="AF128" s="680">
        <f t="shared" si="133"/>
        <v>4.5249911114791388</v>
      </c>
      <c r="AG128" s="680">
        <f t="shared" ref="AG128:AI128" si="182">+AG78-AG77</f>
        <v>0</v>
      </c>
      <c r="AH128" s="680">
        <f t="shared" si="182"/>
        <v>0</v>
      </c>
      <c r="AI128" s="680">
        <f t="shared" si="182"/>
        <v>0</v>
      </c>
      <c r="AJ128" s="680">
        <f t="shared" ref="AJ128:AS128" si="183">+AJ78-AJ77</f>
        <v>5.140742999999999E-2</v>
      </c>
      <c r="AK128" s="680">
        <f t="shared" si="183"/>
        <v>1.3949000000000001E-4</v>
      </c>
      <c r="AL128" s="680">
        <f t="shared" si="183"/>
        <v>2.873494E-2</v>
      </c>
      <c r="AM128" s="680">
        <f t="shared" si="183"/>
        <v>3.2071970000000005E-2</v>
      </c>
      <c r="AN128" s="680">
        <f t="shared" si="183"/>
        <v>0</v>
      </c>
      <c r="AO128" s="1168">
        <f t="shared" si="183"/>
        <v>10.646155671479107</v>
      </c>
      <c r="AP128" s="680">
        <f t="shared" si="183"/>
        <v>-5.3069012495140129</v>
      </c>
      <c r="AQ128" s="680">
        <f t="shared" si="183"/>
        <v>0.81611307000000011</v>
      </c>
      <c r="AR128" s="1167">
        <f t="shared" si="183"/>
        <v>-4.4907881795140128</v>
      </c>
      <c r="AS128" s="1170">
        <f t="shared" si="183"/>
        <v>6.1553674919650803</v>
      </c>
      <c r="AU128">
        <f t="shared" si="81"/>
        <v>2014</v>
      </c>
      <c r="AV128" s="680">
        <f t="shared" si="167"/>
        <v>4.958486016000009</v>
      </c>
      <c r="AW128" s="680">
        <f t="shared" si="167"/>
        <v>0</v>
      </c>
      <c r="AX128" s="680">
        <f t="shared" si="167"/>
        <v>0.47043216000000143</v>
      </c>
      <c r="AY128" s="680">
        <f t="shared" si="167"/>
        <v>0.5371724160000042</v>
      </c>
      <c r="AZ128" s="680">
        <f t="shared" si="167"/>
        <v>6.7634160000000012</v>
      </c>
      <c r="BA128" s="680">
        <f t="shared" si="167"/>
        <v>7.6825869119999997</v>
      </c>
      <c r="BB128" s="680">
        <f t="shared" si="167"/>
        <v>1.7140273919999913</v>
      </c>
      <c r="BC128" s="680">
        <f t="shared" si="167"/>
        <v>9.5752877221501933</v>
      </c>
      <c r="BD128" s="680">
        <f t="shared" ref="BD128:BF128" si="184">+BD78-BD77</f>
        <v>0</v>
      </c>
      <c r="BE128" s="680">
        <f t="shared" si="184"/>
        <v>0</v>
      </c>
      <c r="BF128" s="680">
        <f t="shared" si="184"/>
        <v>0</v>
      </c>
      <c r="BG128" s="680">
        <f t="shared" si="167"/>
        <v>0.36635544000000003</v>
      </c>
      <c r="BH128" s="680">
        <f t="shared" si="167"/>
        <v>1.85856E-4</v>
      </c>
      <c r="BI128" s="680">
        <f t="shared" si="167"/>
        <v>5.3232959999999996E-2</v>
      </c>
      <c r="BJ128" s="680">
        <f t="shared" si="167"/>
        <v>0.12921638399999999</v>
      </c>
      <c r="BK128" s="680">
        <f t="shared" si="167"/>
        <v>0.84938726399999998</v>
      </c>
      <c r="BL128" s="1168"/>
      <c r="BM128" s="680">
        <f t="shared" si="169"/>
        <v>0</v>
      </c>
      <c r="BN128" s="680">
        <f t="shared" si="169"/>
        <v>0.15972000000000008</v>
      </c>
      <c r="BO128" s="1167">
        <f t="shared" si="169"/>
        <v>0.15972000000000008</v>
      </c>
      <c r="BP128" s="1170">
        <f t="shared" si="169"/>
        <v>33.259506522150105</v>
      </c>
      <c r="BT128" s="1175">
        <f t="shared" si="85"/>
        <v>24.01882170615022</v>
      </c>
      <c r="BU128" s="1175">
        <f t="shared" si="85"/>
        <v>9.2406848159998844</v>
      </c>
      <c r="BV128" s="1175">
        <f t="shared" si="85"/>
        <v>32.275535763405401</v>
      </c>
      <c r="BW128" s="1175">
        <f t="shared" si="147"/>
        <v>12.619087083999943</v>
      </c>
    </row>
    <row r="129" spans="1:75" x14ac:dyDescent="0.2">
      <c r="A129">
        <f t="shared" si="74"/>
        <v>2015</v>
      </c>
      <c r="B129" s="1173">
        <f t="shared" ref="B129:F129" si="185">+B79-B78</f>
        <v>0</v>
      </c>
      <c r="C129" s="1173">
        <f t="shared" si="185"/>
        <v>0</v>
      </c>
      <c r="D129" s="1173">
        <f t="shared" si="185"/>
        <v>0</v>
      </c>
      <c r="E129" s="680">
        <f t="shared" si="185"/>
        <v>0.31076141632189547</v>
      </c>
      <c r="F129" s="680">
        <f t="shared" si="185"/>
        <v>1.904356854883722</v>
      </c>
      <c r="G129" s="680">
        <f t="shared" ref="G129:V129" si="186">+G79-G78</f>
        <v>1.560787589463474</v>
      </c>
      <c r="H129" s="680">
        <f t="shared" si="186"/>
        <v>1.7219193377407009</v>
      </c>
      <c r="I129" s="680">
        <f t="shared" si="186"/>
        <v>1.6309278099999993</v>
      </c>
      <c r="J129" s="680">
        <f t="shared" si="186"/>
        <v>0.44107971950000002</v>
      </c>
      <c r="K129" s="680">
        <f t="shared" si="186"/>
        <v>2.2382779999999998E-2</v>
      </c>
      <c r="L129" s="680">
        <f t="shared" si="186"/>
        <v>0.65061891499999991</v>
      </c>
      <c r="M129" s="680">
        <f t="shared" si="186"/>
        <v>2.8483195354107642E-2</v>
      </c>
      <c r="N129" s="680">
        <f t="shared" si="186"/>
        <v>3.0044000000000002E-4</v>
      </c>
      <c r="O129" s="680">
        <f t="shared" si="186"/>
        <v>0.13210775999999999</v>
      </c>
      <c r="P129" s="680">
        <f t="shared" si="186"/>
        <v>1.7382599999999998E-2</v>
      </c>
      <c r="Q129" s="680">
        <f t="shared" si="186"/>
        <v>0.32191609500000007</v>
      </c>
      <c r="R129" s="1168">
        <f t="shared" si="186"/>
        <v>8.7430245132639044</v>
      </c>
      <c r="S129" s="680">
        <f t="shared" si="186"/>
        <v>-14.766151658843214</v>
      </c>
      <c r="T129" s="680">
        <f t="shared" si="186"/>
        <v>2.2496808686351102</v>
      </c>
      <c r="U129" s="1167">
        <f t="shared" si="186"/>
        <v>-12.516470790208103</v>
      </c>
      <c r="V129" s="1170">
        <f t="shared" si="186"/>
        <v>-3.7734462769442132</v>
      </c>
      <c r="W129" s="680"/>
      <c r="X129">
        <f t="shared" si="77"/>
        <v>2015</v>
      </c>
      <c r="Y129" s="1173">
        <f t="shared" ref="Y129:AF136" si="187">+Y79-Y78</f>
        <v>0</v>
      </c>
      <c r="Z129" s="1173">
        <f t="shared" si="187"/>
        <v>0</v>
      </c>
      <c r="AA129" s="1173">
        <f t="shared" si="187"/>
        <v>0</v>
      </c>
      <c r="AB129" s="680">
        <f t="shared" si="187"/>
        <v>0.36852255778363485</v>
      </c>
      <c r="AC129" s="680">
        <f t="shared" si="187"/>
        <v>1.3780099517441862</v>
      </c>
      <c r="AD129" s="680">
        <f t="shared" si="187"/>
        <v>1.7204768639635994</v>
      </c>
      <c r="AE129" s="680">
        <f t="shared" si="187"/>
        <v>2.3201112113846989</v>
      </c>
      <c r="AF129" s="680">
        <f t="shared" si="187"/>
        <v>0</v>
      </c>
      <c r="AG129" s="680">
        <f t="shared" ref="AG129:AI129" si="188">+AG79-AG78</f>
        <v>0</v>
      </c>
      <c r="AH129" s="680">
        <f t="shared" si="188"/>
        <v>0</v>
      </c>
      <c r="AI129" s="680">
        <f t="shared" si="188"/>
        <v>0</v>
      </c>
      <c r="AJ129" s="680">
        <f t="shared" ref="AJ129:AS129" si="189">+AJ79-AJ78</f>
        <v>3.9786049688385283E-2</v>
      </c>
      <c r="AK129" s="680">
        <f t="shared" si="189"/>
        <v>0</v>
      </c>
      <c r="AL129" s="680">
        <f t="shared" si="189"/>
        <v>1.0880219999999996E-2</v>
      </c>
      <c r="AM129" s="680">
        <f t="shared" si="189"/>
        <v>3.5344619999999993E-2</v>
      </c>
      <c r="AN129" s="680">
        <f t="shared" si="189"/>
        <v>0</v>
      </c>
      <c r="AO129" s="1168">
        <f t="shared" si="189"/>
        <v>5.8731314745645022</v>
      </c>
      <c r="AP129" s="680">
        <f t="shared" si="189"/>
        <v>-16.435861318536986</v>
      </c>
      <c r="AQ129" s="680">
        <f t="shared" si="189"/>
        <v>3.3543411291268379</v>
      </c>
      <c r="AR129" s="1167">
        <f t="shared" si="189"/>
        <v>-13.081520189410149</v>
      </c>
      <c r="AS129" s="1170">
        <f t="shared" si="189"/>
        <v>-7.2083887148456824</v>
      </c>
      <c r="AU129">
        <f t="shared" si="81"/>
        <v>2015</v>
      </c>
      <c r="AV129" s="1173">
        <f t="shared" si="167"/>
        <v>0</v>
      </c>
      <c r="AW129" s="680">
        <f t="shared" si="167"/>
        <v>0</v>
      </c>
      <c r="AX129" s="1173">
        <f t="shared" si="167"/>
        <v>0</v>
      </c>
      <c r="AY129" s="680">
        <f t="shared" si="167"/>
        <v>0.51924214173720884</v>
      </c>
      <c r="AZ129" s="680">
        <f t="shared" si="167"/>
        <v>4.4407592309157948</v>
      </c>
      <c r="BA129" s="680">
        <f t="shared" si="167"/>
        <v>4.9110706470212353</v>
      </c>
      <c r="BB129" s="680">
        <f t="shared" si="167"/>
        <v>4.4979446343291158</v>
      </c>
      <c r="BC129" s="680">
        <f t="shared" si="167"/>
        <v>3.1724098560000016</v>
      </c>
      <c r="BD129" s="680">
        <f t="shared" ref="BD129:BF129" si="190">+BD79-BD78</f>
        <v>0.52176696000000011</v>
      </c>
      <c r="BE129" s="680">
        <f t="shared" si="190"/>
        <v>8.3707008000000013E-2</v>
      </c>
      <c r="BF129" s="680">
        <f t="shared" si="190"/>
        <v>1.046755248</v>
      </c>
      <c r="BG129" s="680">
        <f t="shared" si="167"/>
        <v>0.36322773103682726</v>
      </c>
      <c r="BH129" s="680">
        <f t="shared" si="167"/>
        <v>7.4342400000000012E-4</v>
      </c>
      <c r="BI129" s="680">
        <f t="shared" si="167"/>
        <v>4.0487039999999974E-2</v>
      </c>
      <c r="BJ129" s="680">
        <f t="shared" si="167"/>
        <v>0.13548902400000001</v>
      </c>
      <c r="BK129" s="680">
        <f t="shared" si="167"/>
        <v>0.89185747199999987</v>
      </c>
      <c r="BL129" s="1168"/>
      <c r="BM129" s="680">
        <f t="shared" si="169"/>
        <v>0</v>
      </c>
      <c r="BN129" s="680">
        <f t="shared" si="169"/>
        <v>1.1457702882352945</v>
      </c>
      <c r="BO129" s="1167">
        <f t="shared" si="169"/>
        <v>1.1457702882352945</v>
      </c>
      <c r="BP129" s="1170">
        <f t="shared" si="169"/>
        <v>21.77123070527557</v>
      </c>
      <c r="BT129" s="1175">
        <f t="shared" si="85"/>
        <v>12.630355862982015</v>
      </c>
      <c r="BU129" s="1175">
        <f t="shared" si="85"/>
        <v>9.140874842293556</v>
      </c>
      <c r="BV129" s="1175">
        <f t="shared" si="85"/>
        <v>17.259831941773996</v>
      </c>
      <c r="BW129" s="1175">
        <f t="shared" si="147"/>
        <v>15.196037169113652</v>
      </c>
    </row>
    <row r="130" spans="1:75" x14ac:dyDescent="0.2">
      <c r="A130">
        <f t="shared" si="74"/>
        <v>2016</v>
      </c>
      <c r="B130" s="1173">
        <f t="shared" ref="B130:F130" si="191">+B80-B79</f>
        <v>0</v>
      </c>
      <c r="C130" s="1173">
        <f t="shared" si="191"/>
        <v>0</v>
      </c>
      <c r="D130" s="1173">
        <f t="shared" si="191"/>
        <v>0</v>
      </c>
      <c r="E130" s="680">
        <f t="shared" si="191"/>
        <v>0.29247190200000261</v>
      </c>
      <c r="F130" s="680">
        <f t="shared" si="191"/>
        <v>0.82530170549999937</v>
      </c>
      <c r="G130" s="680">
        <f t="shared" ref="G130:V130" si="192">+G80-G79</f>
        <v>1.7334781755000002</v>
      </c>
      <c r="H130" s="680">
        <f t="shared" si="192"/>
        <v>0.48741776099999612</v>
      </c>
      <c r="I130" s="680">
        <f t="shared" si="192"/>
        <v>0</v>
      </c>
      <c r="J130" s="680">
        <f t="shared" si="192"/>
        <v>0.60678149999999986</v>
      </c>
      <c r="K130" s="680">
        <f t="shared" si="192"/>
        <v>7.0860920000000022E-3</v>
      </c>
      <c r="L130" s="680">
        <f t="shared" si="192"/>
        <v>0.53859664200000013</v>
      </c>
      <c r="M130" s="680">
        <f t="shared" si="192"/>
        <v>2.5121612500000001E-2</v>
      </c>
      <c r="N130" s="680">
        <f t="shared" si="192"/>
        <v>3.2189999999999991E-4</v>
      </c>
      <c r="O130" s="680">
        <f t="shared" si="192"/>
        <v>0</v>
      </c>
      <c r="P130" s="680">
        <f t="shared" si="192"/>
        <v>0</v>
      </c>
      <c r="Q130" s="680">
        <f t="shared" si="192"/>
        <v>0</v>
      </c>
      <c r="R130" s="1168">
        <f t="shared" si="192"/>
        <v>4.5165772904999812</v>
      </c>
      <c r="S130" s="680">
        <f t="shared" si="192"/>
        <v>-21.418026131540088</v>
      </c>
      <c r="T130" s="680">
        <f t="shared" si="192"/>
        <v>2.156717124</v>
      </c>
      <c r="U130" s="1167">
        <f t="shared" si="192"/>
        <v>-19.261309007540088</v>
      </c>
      <c r="V130" s="1170">
        <f t="shared" si="192"/>
        <v>-14.744731717040111</v>
      </c>
      <c r="W130" s="680"/>
      <c r="X130">
        <f t="shared" si="77"/>
        <v>2016</v>
      </c>
      <c r="Y130" s="1173">
        <f t="shared" si="187"/>
        <v>0</v>
      </c>
      <c r="Z130" s="1173">
        <f t="shared" si="187"/>
        <v>0</v>
      </c>
      <c r="AA130" s="1173">
        <f t="shared" si="187"/>
        <v>0</v>
      </c>
      <c r="AB130" s="680">
        <f t="shared" si="187"/>
        <v>0.44123369500000109</v>
      </c>
      <c r="AC130" s="680">
        <f t="shared" si="187"/>
        <v>1.3112703800000016</v>
      </c>
      <c r="AD130" s="680">
        <f t="shared" si="187"/>
        <v>2.8609871120000001</v>
      </c>
      <c r="AE130" s="680">
        <f t="shared" si="187"/>
        <v>1.8630091260000086</v>
      </c>
      <c r="AF130" s="680">
        <f t="shared" si="187"/>
        <v>0</v>
      </c>
      <c r="AG130" s="680">
        <f t="shared" ref="AG130:AI130" si="193">+AG80-AG79</f>
        <v>1.2136595699999999</v>
      </c>
      <c r="AH130" s="680">
        <f t="shared" si="193"/>
        <v>2.9584755999999997E-2</v>
      </c>
      <c r="AI130" s="680">
        <f t="shared" si="193"/>
        <v>0.411959036</v>
      </c>
      <c r="AJ130" s="680">
        <f t="shared" ref="AJ130:AS130" si="194">+AJ80-AJ79</f>
        <v>6.969349599999998E-2</v>
      </c>
      <c r="AK130" s="680">
        <f t="shared" si="194"/>
        <v>6.0946399999999988E-4</v>
      </c>
      <c r="AL130" s="680">
        <f t="shared" si="194"/>
        <v>0</v>
      </c>
      <c r="AM130" s="680">
        <f t="shared" si="194"/>
        <v>0</v>
      </c>
      <c r="AN130" s="680">
        <f t="shared" si="194"/>
        <v>0</v>
      </c>
      <c r="AO130" s="1168">
        <f t="shared" si="194"/>
        <v>8.2020066349999752</v>
      </c>
      <c r="AP130" s="680">
        <f t="shared" si="194"/>
        <v>-25.953068693366149</v>
      </c>
      <c r="AQ130" s="680">
        <f t="shared" si="194"/>
        <v>3.6587068160000005</v>
      </c>
      <c r="AR130" s="1167">
        <f t="shared" si="194"/>
        <v>-22.29436187736615</v>
      </c>
      <c r="AS130" s="1170">
        <f t="shared" si="194"/>
        <v>-14.092355242366125</v>
      </c>
      <c r="AU130">
        <f t="shared" si="81"/>
        <v>2016</v>
      </c>
      <c r="AV130" s="1173">
        <f t="shared" si="167"/>
        <v>0</v>
      </c>
      <c r="AW130" s="1173">
        <f t="shared" si="167"/>
        <v>0</v>
      </c>
      <c r="AX130" s="1173">
        <f t="shared" si="167"/>
        <v>0</v>
      </c>
      <c r="AY130" s="680">
        <f t="shared" si="167"/>
        <v>0.50161267200000736</v>
      </c>
      <c r="AZ130" s="680">
        <f t="shared" si="167"/>
        <v>3.8072142240000026</v>
      </c>
      <c r="BA130" s="680">
        <f t="shared" si="167"/>
        <v>8.6504109119999981</v>
      </c>
      <c r="BB130" s="680">
        <f t="shared" si="167"/>
        <v>1.7447744160000411</v>
      </c>
      <c r="BC130" s="680">
        <f t="shared" si="167"/>
        <v>0</v>
      </c>
      <c r="BD130" s="680">
        <f t="shared" ref="BD130:BF130" si="195">+BD80-BD79</f>
        <v>1.9476864</v>
      </c>
      <c r="BE130" s="680">
        <f t="shared" si="195"/>
        <v>2.6755344E-2</v>
      </c>
      <c r="BF130" s="680">
        <f t="shared" si="195"/>
        <v>1.9106144640000002</v>
      </c>
      <c r="BG130" s="680">
        <f t="shared" si="167"/>
        <v>0.33821884799999991</v>
      </c>
      <c r="BH130" s="680">
        <f t="shared" si="167"/>
        <v>8.1945600000000009E-4</v>
      </c>
      <c r="BI130" s="680">
        <f t="shared" si="167"/>
        <v>0</v>
      </c>
      <c r="BJ130" s="680">
        <f t="shared" si="167"/>
        <v>0</v>
      </c>
      <c r="BK130" s="680">
        <f t="shared" si="167"/>
        <v>0</v>
      </c>
      <c r="BL130" s="1168"/>
      <c r="BM130" s="680">
        <f t="shared" si="169"/>
        <v>0</v>
      </c>
      <c r="BN130" s="680">
        <f t="shared" si="169"/>
        <v>0.25529644799999973</v>
      </c>
      <c r="BO130" s="1167">
        <f t="shared" si="169"/>
        <v>0.25529644799999973</v>
      </c>
      <c r="BP130" s="1170">
        <f t="shared" si="169"/>
        <v>19.183403184000099</v>
      </c>
      <c r="BT130" s="1175">
        <f t="shared" si="85"/>
        <v>6.0536013120001826</v>
      </c>
      <c r="BU130" s="1175">
        <f t="shared" si="85"/>
        <v>13.129801871999916</v>
      </c>
      <c r="BV130" s="1175">
        <f t="shared" si="85"/>
        <v>6.1737721539800532</v>
      </c>
      <c r="BW130" s="1175">
        <f t="shared" si="147"/>
        <v>27.168932809999944</v>
      </c>
    </row>
    <row r="131" spans="1:75" x14ac:dyDescent="0.2">
      <c r="A131">
        <f t="shared" si="74"/>
        <v>2017</v>
      </c>
      <c r="B131" s="1173">
        <f t="shared" ref="B131:F131" si="196">+B81-B80</f>
        <v>0</v>
      </c>
      <c r="C131" s="1173">
        <f t="shared" si="196"/>
        <v>0</v>
      </c>
      <c r="D131" s="1173">
        <f t="shared" si="196"/>
        <v>0</v>
      </c>
      <c r="E131" s="680">
        <f t="shared" si="196"/>
        <v>0.18742788449999637</v>
      </c>
      <c r="F131" s="680">
        <f t="shared" si="196"/>
        <v>0.18602761949999902</v>
      </c>
      <c r="G131" s="680">
        <f t="shared" ref="G131:V131" si="197">+G81-G80</f>
        <v>1.5185873924999997</v>
      </c>
      <c r="H131" s="680">
        <f t="shared" si="197"/>
        <v>0.25407888899999875</v>
      </c>
      <c r="I131" s="680">
        <f t="shared" si="197"/>
        <v>0</v>
      </c>
      <c r="J131" s="680">
        <f t="shared" si="197"/>
        <v>0.31985057000000028</v>
      </c>
      <c r="K131" s="680">
        <f t="shared" si="197"/>
        <v>1.8412680000000001E-3</v>
      </c>
      <c r="L131" s="680">
        <f t="shared" si="197"/>
        <v>0.31985432549999993</v>
      </c>
      <c r="M131" s="680">
        <f t="shared" si="197"/>
        <v>1.2889412499999989E-2</v>
      </c>
      <c r="N131" s="680">
        <f t="shared" si="197"/>
        <v>1.6094999999999998E-3</v>
      </c>
      <c r="O131" s="680">
        <f t="shared" si="197"/>
        <v>0</v>
      </c>
      <c r="P131" s="680">
        <f t="shared" si="197"/>
        <v>0</v>
      </c>
      <c r="Q131" s="680">
        <f t="shared" si="197"/>
        <v>0</v>
      </c>
      <c r="R131" s="1168">
        <f t="shared" si="197"/>
        <v>2.802166861499984</v>
      </c>
      <c r="S131" s="680">
        <f t="shared" si="197"/>
        <v>0</v>
      </c>
      <c r="T131" s="680">
        <f t="shared" si="197"/>
        <v>2.0617265800000002</v>
      </c>
      <c r="U131" s="1167">
        <f t="shared" si="197"/>
        <v>2.0617265800000002</v>
      </c>
      <c r="V131" s="1170">
        <f t="shared" si="197"/>
        <v>4.8638934414999824</v>
      </c>
      <c r="W131" s="680"/>
      <c r="X131">
        <f t="shared" si="77"/>
        <v>2017</v>
      </c>
      <c r="Y131" s="1173">
        <f t="shared" si="187"/>
        <v>0</v>
      </c>
      <c r="Z131" s="1173">
        <f t="shared" si="187"/>
        <v>0</v>
      </c>
      <c r="AA131" s="1173">
        <f t="shared" si="187"/>
        <v>0</v>
      </c>
      <c r="AB131" s="680">
        <f t="shared" si="187"/>
        <v>0.30106341300000139</v>
      </c>
      <c r="AC131" s="680">
        <f t="shared" si="187"/>
        <v>0.21188530999999777</v>
      </c>
      <c r="AD131" s="680">
        <f t="shared" si="187"/>
        <v>1.9869974950000007</v>
      </c>
      <c r="AE131" s="680">
        <f t="shared" si="187"/>
        <v>1.3195421369999849</v>
      </c>
      <c r="AF131" s="680">
        <f t="shared" si="187"/>
        <v>0</v>
      </c>
      <c r="AG131" s="680">
        <f t="shared" ref="AG131:AI131" si="198">+AG81-AG80</f>
        <v>0.51333392999999994</v>
      </c>
      <c r="AH131" s="680">
        <f t="shared" si="198"/>
        <v>1.2124900000000001E-3</v>
      </c>
      <c r="AI131" s="680">
        <f t="shared" si="198"/>
        <v>0.322333492</v>
      </c>
      <c r="AJ131" s="680">
        <f t="shared" ref="AJ131:AS131" si="199">+AJ81-AJ80</f>
        <v>2.2754038000000004E-2</v>
      </c>
      <c r="AK131" s="680">
        <f t="shared" si="199"/>
        <v>0</v>
      </c>
      <c r="AL131" s="680">
        <f t="shared" si="199"/>
        <v>0</v>
      </c>
      <c r="AM131" s="680">
        <f t="shared" si="199"/>
        <v>0</v>
      </c>
      <c r="AN131" s="680">
        <f t="shared" si="199"/>
        <v>0</v>
      </c>
      <c r="AO131" s="1168">
        <f t="shared" si="199"/>
        <v>4.6791223050000781</v>
      </c>
      <c r="AP131" s="680">
        <f t="shared" si="199"/>
        <v>-21.258931306633848</v>
      </c>
      <c r="AQ131" s="680">
        <f t="shared" si="199"/>
        <v>3.0601316199999982</v>
      </c>
      <c r="AR131" s="1167">
        <f t="shared" si="199"/>
        <v>-18.198799686633848</v>
      </c>
      <c r="AS131" s="1170">
        <f t="shared" si="199"/>
        <v>-13.519677381633755</v>
      </c>
      <c r="AU131">
        <f t="shared" si="81"/>
        <v>2017</v>
      </c>
      <c r="AV131" s="1173">
        <f t="shared" si="167"/>
        <v>0</v>
      </c>
      <c r="AW131" s="1173">
        <f t="shared" si="167"/>
        <v>0</v>
      </c>
      <c r="AX131" s="1173">
        <f t="shared" si="167"/>
        <v>0</v>
      </c>
      <c r="AY131" s="680">
        <f t="shared" si="167"/>
        <v>0.32145379199998558</v>
      </c>
      <c r="AZ131" s="680">
        <f t="shared" si="167"/>
        <v>0.85816737600000081</v>
      </c>
      <c r="BA131" s="680">
        <f t="shared" si="167"/>
        <v>7.5780619199999997</v>
      </c>
      <c r="BB131" s="680">
        <f t="shared" si="167"/>
        <v>0.90950798399998689</v>
      </c>
      <c r="BC131" s="680">
        <f t="shared" si="167"/>
        <v>0</v>
      </c>
      <c r="BD131" s="680">
        <f t="shared" ref="BD131:BF131" si="200">+BD81-BD80</f>
        <v>1.0266769920000001</v>
      </c>
      <c r="BE131" s="680">
        <f t="shared" si="200"/>
        <v>6.9521760000000044E-3</v>
      </c>
      <c r="BF131" s="680">
        <f t="shared" si="200"/>
        <v>1.1346492960000001</v>
      </c>
      <c r="BG131" s="680">
        <f t="shared" si="167"/>
        <v>0.17353353599999988</v>
      </c>
      <c r="BH131" s="680">
        <f t="shared" si="167"/>
        <v>4.09728E-3</v>
      </c>
      <c r="BI131" s="680">
        <f t="shared" si="167"/>
        <v>0</v>
      </c>
      <c r="BJ131" s="680">
        <f t="shared" si="167"/>
        <v>0</v>
      </c>
      <c r="BK131" s="680">
        <f t="shared" si="167"/>
        <v>0</v>
      </c>
      <c r="BL131" s="1168"/>
      <c r="BM131" s="680">
        <f t="shared" si="169"/>
        <v>0</v>
      </c>
      <c r="BN131" s="680">
        <f t="shared" si="169"/>
        <v>0.2440521600000003</v>
      </c>
      <c r="BO131" s="1167">
        <f t="shared" si="169"/>
        <v>0.2440521600000003</v>
      </c>
      <c r="BP131" s="1170">
        <f t="shared" si="169"/>
        <v>12.257152511999948</v>
      </c>
      <c r="BT131" s="1175">
        <f t="shared" si="85"/>
        <v>2.0891291519999413</v>
      </c>
      <c r="BU131" s="1175">
        <f t="shared" si="85"/>
        <v>10.168023360000007</v>
      </c>
      <c r="BV131" s="1175">
        <f t="shared" si="85"/>
        <v>2.0499737187715255</v>
      </c>
      <c r="BW131" s="1175">
        <f t="shared" si="147"/>
        <v>20.847301945999959</v>
      </c>
    </row>
    <row r="132" spans="1:75" x14ac:dyDescent="0.2">
      <c r="A132">
        <f t="shared" si="74"/>
        <v>2018</v>
      </c>
      <c r="B132" s="1173">
        <f t="shared" ref="B132:F132" si="201">+B82-B81</f>
        <v>0</v>
      </c>
      <c r="C132" s="1173">
        <f t="shared" si="201"/>
        <v>0</v>
      </c>
      <c r="D132" s="1173">
        <f t="shared" si="201"/>
        <v>0</v>
      </c>
      <c r="E132" s="680">
        <f t="shared" si="201"/>
        <v>0.13761225000000366</v>
      </c>
      <c r="F132" s="680">
        <f t="shared" si="201"/>
        <v>0.14244075000000045</v>
      </c>
      <c r="G132" s="680">
        <f t="shared" ref="G132:V132" si="202">+G82-G81</f>
        <v>1.6808544999999988</v>
      </c>
      <c r="H132" s="680">
        <f t="shared" si="202"/>
        <v>0.10123755000000045</v>
      </c>
      <c r="I132" s="680">
        <f t="shared" si="202"/>
        <v>0</v>
      </c>
      <c r="J132" s="680">
        <f t="shared" si="202"/>
        <v>0.27898000000000001</v>
      </c>
      <c r="K132" s="680">
        <f t="shared" si="202"/>
        <v>3.1245760000000039E-3</v>
      </c>
      <c r="L132" s="680">
        <f t="shared" si="202"/>
        <v>0.16685149999999993</v>
      </c>
      <c r="M132" s="680">
        <f t="shared" si="202"/>
        <v>1.3412500000000022E-2</v>
      </c>
      <c r="N132" s="680">
        <f t="shared" si="202"/>
        <v>4.4261249999999995E-3</v>
      </c>
      <c r="O132" s="680">
        <f t="shared" si="202"/>
        <v>0</v>
      </c>
      <c r="P132" s="680">
        <f t="shared" si="202"/>
        <v>0</v>
      </c>
      <c r="Q132" s="680">
        <f t="shared" si="202"/>
        <v>0</v>
      </c>
      <c r="R132" s="1168">
        <f t="shared" si="202"/>
        <v>2.5289397510000242</v>
      </c>
      <c r="S132" s="680">
        <f t="shared" si="202"/>
        <v>0</v>
      </c>
      <c r="T132" s="680">
        <f t="shared" si="202"/>
        <v>2.1588760000000011</v>
      </c>
      <c r="U132" s="1167">
        <f t="shared" si="202"/>
        <v>2.1588760000000011</v>
      </c>
      <c r="V132" s="1170">
        <f t="shared" si="202"/>
        <v>4.6878157510000449</v>
      </c>
      <c r="W132" s="680"/>
      <c r="X132">
        <f t="shared" si="77"/>
        <v>2018</v>
      </c>
      <c r="Y132" s="1173">
        <f t="shared" si="187"/>
        <v>0</v>
      </c>
      <c r="Z132" s="1173">
        <f t="shared" si="187"/>
        <v>0</v>
      </c>
      <c r="AA132" s="1173">
        <f t="shared" si="187"/>
        <v>0</v>
      </c>
      <c r="AB132" s="680">
        <f t="shared" si="187"/>
        <v>0.17463074999999861</v>
      </c>
      <c r="AC132" s="680">
        <f t="shared" si="187"/>
        <v>0.13144250000000213</v>
      </c>
      <c r="AD132" s="680">
        <f t="shared" si="187"/>
        <v>2.2600062499999982</v>
      </c>
      <c r="AE132" s="680">
        <f t="shared" si="187"/>
        <v>0.3394435499999986</v>
      </c>
      <c r="AF132" s="680">
        <f t="shared" si="187"/>
        <v>0</v>
      </c>
      <c r="AG132" s="680">
        <f t="shared" ref="AG132:AI132" si="203">+AG82-AG81</f>
        <v>0.39700999999999986</v>
      </c>
      <c r="AH132" s="680">
        <f t="shared" si="203"/>
        <v>6.7899440000000026E-3</v>
      </c>
      <c r="AI132" s="680">
        <f t="shared" si="203"/>
        <v>0.11373800000000001</v>
      </c>
      <c r="AJ132" s="680">
        <f t="shared" ref="AJ132:AS132" si="204">+AJ82-AJ81</f>
        <v>2.4678999999999979E-2</v>
      </c>
      <c r="AK132" s="680">
        <f t="shared" si="204"/>
        <v>3.0473199999999992E-3</v>
      </c>
      <c r="AL132" s="680">
        <f t="shared" si="204"/>
        <v>0</v>
      </c>
      <c r="AM132" s="680">
        <f t="shared" si="204"/>
        <v>0</v>
      </c>
      <c r="AN132" s="680">
        <f t="shared" si="204"/>
        <v>0</v>
      </c>
      <c r="AO132" s="1168">
        <f t="shared" si="204"/>
        <v>3.4507873139999674</v>
      </c>
      <c r="AP132" s="680">
        <f t="shared" si="204"/>
        <v>0</v>
      </c>
      <c r="AQ132" s="680">
        <f t="shared" si="204"/>
        <v>3.3627819999999993</v>
      </c>
      <c r="AR132" s="1167">
        <f t="shared" si="204"/>
        <v>3.3627819999999993</v>
      </c>
      <c r="AS132" s="1170">
        <f t="shared" si="204"/>
        <v>6.8135693139998921</v>
      </c>
      <c r="AU132">
        <f t="shared" si="81"/>
        <v>2018</v>
      </c>
      <c r="AV132" s="1173">
        <f t="shared" si="167"/>
        <v>0</v>
      </c>
      <c r="AW132" s="1173">
        <f t="shared" si="167"/>
        <v>0</v>
      </c>
      <c r="AX132" s="1173">
        <f t="shared" si="167"/>
        <v>0</v>
      </c>
      <c r="AY132" s="680">
        <f t="shared" si="167"/>
        <v>0.23601600000000644</v>
      </c>
      <c r="AZ132" s="680">
        <f t="shared" si="167"/>
        <v>0.65709599999999924</v>
      </c>
      <c r="BA132" s="680">
        <f t="shared" si="167"/>
        <v>8.3878079999999997</v>
      </c>
      <c r="BB132" s="680">
        <f t="shared" si="167"/>
        <v>0.36239280000000917</v>
      </c>
      <c r="BC132" s="680">
        <f t="shared" si="167"/>
        <v>0</v>
      </c>
      <c r="BD132" s="680">
        <f t="shared" ref="BD132:BF132" si="205">+BD82-BD81</f>
        <v>0.89548799999999984</v>
      </c>
      <c r="BE132" s="680">
        <f t="shared" si="205"/>
        <v>1.1797632000000002E-2</v>
      </c>
      <c r="BF132" s="680">
        <f t="shared" si="205"/>
        <v>0.59188799999999997</v>
      </c>
      <c r="BG132" s="680">
        <f t="shared" si="167"/>
        <v>0.18057600000000007</v>
      </c>
      <c r="BH132" s="680">
        <f t="shared" si="167"/>
        <v>1.126752E-2</v>
      </c>
      <c r="BI132" s="680">
        <f t="shared" si="167"/>
        <v>0</v>
      </c>
      <c r="BJ132" s="680">
        <f t="shared" si="167"/>
        <v>0</v>
      </c>
      <c r="BK132" s="680">
        <f t="shared" si="167"/>
        <v>0</v>
      </c>
      <c r="BL132" s="1168"/>
      <c r="BM132" s="680">
        <f t="shared" si="169"/>
        <v>0</v>
      </c>
      <c r="BN132" s="680">
        <f t="shared" si="169"/>
        <v>0.25555199999999978</v>
      </c>
      <c r="BO132" s="1167">
        <f t="shared" si="169"/>
        <v>0.25555199999999978</v>
      </c>
      <c r="BP132" s="1170">
        <f t="shared" si="169"/>
        <v>11.589881952000155</v>
      </c>
      <c r="BT132" s="1175">
        <f t="shared" si="85"/>
        <v>1.255504799999926</v>
      </c>
      <c r="BU132" s="1175">
        <f t="shared" si="85"/>
        <v>10.334377152000229</v>
      </c>
      <c r="BV132" s="1175">
        <f t="shared" si="85"/>
        <v>1.5917679679325829</v>
      </c>
      <c r="BW132" s="1175">
        <f t="shared" si="147"/>
        <v>14.783174692000159</v>
      </c>
    </row>
    <row r="133" spans="1:75" x14ac:dyDescent="0.2">
      <c r="A133">
        <f t="shared" si="74"/>
        <v>2019</v>
      </c>
      <c r="B133" s="1173">
        <f t="shared" ref="B133:F133" si="206">+B83-B82</f>
        <v>0</v>
      </c>
      <c r="C133" s="1173">
        <f t="shared" si="206"/>
        <v>0</v>
      </c>
      <c r="D133" s="1173">
        <f t="shared" si="206"/>
        <v>0</v>
      </c>
      <c r="E133" s="680">
        <f t="shared" si="206"/>
        <v>0.11467687500000068</v>
      </c>
      <c r="F133" s="680">
        <f t="shared" si="206"/>
        <v>0.14244075000000045</v>
      </c>
      <c r="G133" s="680">
        <f t="shared" ref="G133:V133" si="207">+G83-G82</f>
        <v>1.7778268749999988</v>
      </c>
      <c r="H133" s="680">
        <f t="shared" si="207"/>
        <v>9.8501399999996408E-2</v>
      </c>
      <c r="I133" s="680">
        <f t="shared" si="207"/>
        <v>0</v>
      </c>
      <c r="J133" s="680">
        <f t="shared" si="207"/>
        <v>0.34872499999999973</v>
      </c>
      <c r="K133" s="680">
        <f t="shared" si="207"/>
        <v>3.124575999999997E-3</v>
      </c>
      <c r="L133" s="680">
        <f t="shared" si="207"/>
        <v>0.16685149999999993</v>
      </c>
      <c r="M133" s="680">
        <f t="shared" si="207"/>
        <v>1.3412499999999994E-2</v>
      </c>
      <c r="N133" s="680">
        <f t="shared" si="207"/>
        <v>6.0356249999999993E-3</v>
      </c>
      <c r="O133" s="680">
        <f t="shared" si="207"/>
        <v>0</v>
      </c>
      <c r="P133" s="680">
        <f t="shared" si="207"/>
        <v>0</v>
      </c>
      <c r="Q133" s="680">
        <f t="shared" si="207"/>
        <v>0</v>
      </c>
      <c r="R133" s="1168">
        <f t="shared" si="207"/>
        <v>2.6715951009999799</v>
      </c>
      <c r="S133" s="680">
        <f t="shared" si="207"/>
        <v>0</v>
      </c>
      <c r="T133" s="680">
        <f t="shared" si="207"/>
        <v>2.4287354999999984</v>
      </c>
      <c r="U133" s="1167">
        <f t="shared" si="207"/>
        <v>2.4287354999999984</v>
      </c>
      <c r="V133" s="1170">
        <f t="shared" si="207"/>
        <v>5.1003306009999676</v>
      </c>
      <c r="W133" s="680"/>
      <c r="X133">
        <f t="shared" si="77"/>
        <v>2019</v>
      </c>
      <c r="Y133" s="1173">
        <f t="shared" si="187"/>
        <v>0</v>
      </c>
      <c r="Z133" s="1173">
        <f t="shared" si="187"/>
        <v>0</v>
      </c>
      <c r="AA133" s="1173">
        <f t="shared" si="187"/>
        <v>0</v>
      </c>
      <c r="AB133" s="680">
        <f t="shared" si="187"/>
        <v>0.17463075000000572</v>
      </c>
      <c r="AC133" s="680">
        <f t="shared" si="187"/>
        <v>0.13144250000000035</v>
      </c>
      <c r="AD133" s="680">
        <f t="shared" si="187"/>
        <v>2.4408067500000019</v>
      </c>
      <c r="AE133" s="680">
        <f t="shared" si="187"/>
        <v>0.32157809999995379</v>
      </c>
      <c r="AF133" s="680">
        <f t="shared" si="187"/>
        <v>0</v>
      </c>
      <c r="AG133" s="680">
        <f t="shared" ref="AG133:AI133" si="208">+AG83-AG82</f>
        <v>0.39701000000000031</v>
      </c>
      <c r="AH133" s="680">
        <f t="shared" si="208"/>
        <v>6.7899439999999991E-3</v>
      </c>
      <c r="AI133" s="680">
        <f t="shared" si="208"/>
        <v>0.11373800000000001</v>
      </c>
      <c r="AJ133" s="680">
        <f t="shared" ref="AJ133:AS133" si="209">+AJ83-AJ82</f>
        <v>2.4679000000000006E-2</v>
      </c>
      <c r="AK133" s="680">
        <f t="shared" si="209"/>
        <v>5.3328099999999986E-3</v>
      </c>
      <c r="AL133" s="680">
        <f t="shared" si="209"/>
        <v>0</v>
      </c>
      <c r="AM133" s="680">
        <f t="shared" si="209"/>
        <v>0</v>
      </c>
      <c r="AN133" s="680">
        <f t="shared" si="209"/>
        <v>0</v>
      </c>
      <c r="AO133" s="1168">
        <f t="shared" si="209"/>
        <v>3.6160078540000313</v>
      </c>
      <c r="AP133" s="680">
        <f t="shared" si="209"/>
        <v>0</v>
      </c>
      <c r="AQ133" s="680">
        <f t="shared" si="209"/>
        <v>3.3627820000000028</v>
      </c>
      <c r="AR133" s="1167">
        <f t="shared" si="209"/>
        <v>3.3627820000000028</v>
      </c>
      <c r="AS133" s="1170">
        <f t="shared" si="209"/>
        <v>6.9787898540000697</v>
      </c>
      <c r="AU133">
        <f t="shared" si="81"/>
        <v>2019</v>
      </c>
      <c r="AV133" s="1173">
        <f t="shared" si="167"/>
        <v>0</v>
      </c>
      <c r="AW133" s="1173">
        <f t="shared" si="167"/>
        <v>0</v>
      </c>
      <c r="AX133" s="1173">
        <f t="shared" si="167"/>
        <v>0</v>
      </c>
      <c r="AY133" s="680">
        <f t="shared" si="167"/>
        <v>0.19668000000000063</v>
      </c>
      <c r="AZ133" s="680">
        <f t="shared" si="167"/>
        <v>0.65709600000000279</v>
      </c>
      <c r="BA133" s="680">
        <f t="shared" si="167"/>
        <v>8.8717199999999963</v>
      </c>
      <c r="BB133" s="680">
        <f t="shared" si="167"/>
        <v>0.35259840000000509</v>
      </c>
      <c r="BC133" s="680">
        <f t="shared" si="167"/>
        <v>0</v>
      </c>
      <c r="BD133" s="680">
        <f t="shared" ref="BD133:BF133" si="210">+BD83-BD82</f>
        <v>1.1193600000000004</v>
      </c>
      <c r="BE133" s="680">
        <f t="shared" si="210"/>
        <v>1.1797632000000002E-2</v>
      </c>
      <c r="BF133" s="680">
        <f t="shared" si="210"/>
        <v>0.59188799999999997</v>
      </c>
      <c r="BG133" s="680">
        <f t="shared" si="167"/>
        <v>0.18057600000000007</v>
      </c>
      <c r="BH133" s="680">
        <f t="shared" si="167"/>
        <v>1.5364800000000001E-2</v>
      </c>
      <c r="BI133" s="680">
        <f t="shared" si="167"/>
        <v>0</v>
      </c>
      <c r="BJ133" s="680">
        <f t="shared" si="167"/>
        <v>0</v>
      </c>
      <c r="BK133" s="680">
        <f t="shared" si="167"/>
        <v>0</v>
      </c>
      <c r="BL133" s="1168"/>
      <c r="BM133" s="680">
        <f t="shared" si="169"/>
        <v>0</v>
      </c>
      <c r="BN133" s="680">
        <f t="shared" si="169"/>
        <v>0.28749599999999997</v>
      </c>
      <c r="BO133" s="1167">
        <f t="shared" si="169"/>
        <v>0.28749599999999997</v>
      </c>
      <c r="BP133" s="1170">
        <f t="shared" si="169"/>
        <v>12.284576831999743</v>
      </c>
      <c r="BT133" s="1175">
        <f t="shared" si="85"/>
        <v>1.2063744000000725</v>
      </c>
      <c r="BU133" s="1175">
        <f t="shared" si="85"/>
        <v>11.078202431999671</v>
      </c>
      <c r="BV133" s="1175">
        <f t="shared" si="85"/>
        <v>1.542637567932843</v>
      </c>
      <c r="BW133" s="1175">
        <f t="shared" si="147"/>
        <v>16.106670907999785</v>
      </c>
    </row>
    <row r="134" spans="1:75" x14ac:dyDescent="0.2">
      <c r="A134">
        <f t="shared" si="74"/>
        <v>2020</v>
      </c>
      <c r="B134" s="1173">
        <f t="shared" ref="B134:F134" si="211">+B84-B83</f>
        <v>0</v>
      </c>
      <c r="C134" s="1173">
        <f t="shared" si="211"/>
        <v>0</v>
      </c>
      <c r="D134" s="1173">
        <f t="shared" si="211"/>
        <v>0</v>
      </c>
      <c r="E134" s="680">
        <f t="shared" si="211"/>
        <v>9.17414999999977E-2</v>
      </c>
      <c r="F134" s="680">
        <f t="shared" si="211"/>
        <v>0.14244074999999867</v>
      </c>
      <c r="G134" s="680">
        <f t="shared" ref="G134:V134" si="212">+G84-G83</f>
        <v>1.8101509999999994</v>
      </c>
      <c r="H134" s="680">
        <f t="shared" si="212"/>
        <v>9.8501399999996408E-2</v>
      </c>
      <c r="I134" s="680">
        <f t="shared" si="212"/>
        <v>0</v>
      </c>
      <c r="J134" s="680">
        <f t="shared" si="212"/>
        <v>0.41847000000000034</v>
      </c>
      <c r="K134" s="680">
        <f t="shared" si="212"/>
        <v>3.124575999999997E-3</v>
      </c>
      <c r="L134" s="680">
        <f t="shared" si="212"/>
        <v>0.16685149999999993</v>
      </c>
      <c r="M134" s="680">
        <f t="shared" si="212"/>
        <v>1.3412500000000022E-2</v>
      </c>
      <c r="N134" s="680">
        <f t="shared" si="212"/>
        <v>6.438000000000001E-3</v>
      </c>
      <c r="O134" s="680">
        <f t="shared" si="212"/>
        <v>0</v>
      </c>
      <c r="P134" s="680">
        <f t="shared" si="212"/>
        <v>0</v>
      </c>
      <c r="Q134" s="680">
        <f t="shared" si="212"/>
        <v>0</v>
      </c>
      <c r="R134" s="1168">
        <f t="shared" si="212"/>
        <v>2.7511312259999841</v>
      </c>
      <c r="S134" s="680">
        <f t="shared" si="212"/>
        <v>0</v>
      </c>
      <c r="T134" s="680">
        <f t="shared" si="212"/>
        <v>2.698595000000001</v>
      </c>
      <c r="U134" s="1167">
        <f t="shared" si="212"/>
        <v>2.698595000000001</v>
      </c>
      <c r="V134" s="1170">
        <f t="shared" si="212"/>
        <v>5.4497262259999957</v>
      </c>
      <c r="W134" s="680"/>
      <c r="X134">
        <f t="shared" si="77"/>
        <v>2020</v>
      </c>
      <c r="Y134" s="1173">
        <f t="shared" si="187"/>
        <v>0</v>
      </c>
      <c r="Z134" s="1173">
        <f t="shared" si="187"/>
        <v>0</v>
      </c>
      <c r="AA134" s="1173">
        <f t="shared" si="187"/>
        <v>0</v>
      </c>
      <c r="AB134" s="680">
        <f t="shared" si="187"/>
        <v>0.11642049999999671</v>
      </c>
      <c r="AC134" s="680">
        <f t="shared" si="187"/>
        <v>0.13144250000000035</v>
      </c>
      <c r="AD134" s="680">
        <f t="shared" si="187"/>
        <v>2.5312069999999984</v>
      </c>
      <c r="AE134" s="680">
        <f t="shared" si="187"/>
        <v>0.32157810000001064</v>
      </c>
      <c r="AF134" s="680">
        <f t="shared" si="187"/>
        <v>0</v>
      </c>
      <c r="AG134" s="680">
        <f t="shared" ref="AG134:AI134" si="213">+AG84-AG83</f>
        <v>0.59551499999999979</v>
      </c>
      <c r="AH134" s="680">
        <f t="shared" si="213"/>
        <v>6.7899439999999991E-3</v>
      </c>
      <c r="AI134" s="680">
        <f t="shared" si="213"/>
        <v>0.11373800000000001</v>
      </c>
      <c r="AJ134" s="680">
        <f t="shared" ref="AJ134:AS134" si="214">+AJ84-AJ83</f>
        <v>2.4679000000000006E-2</v>
      </c>
      <c r="AK134" s="680">
        <f t="shared" si="214"/>
        <v>6.0946400000000001E-3</v>
      </c>
      <c r="AL134" s="680">
        <f t="shared" si="214"/>
        <v>0</v>
      </c>
      <c r="AM134" s="680">
        <f t="shared" si="214"/>
        <v>0</v>
      </c>
      <c r="AN134" s="680">
        <f t="shared" si="214"/>
        <v>0</v>
      </c>
      <c r="AO134" s="1168">
        <f t="shared" si="214"/>
        <v>3.8474646839999878</v>
      </c>
      <c r="AP134" s="680">
        <f t="shared" si="214"/>
        <v>0</v>
      </c>
      <c r="AQ134" s="680">
        <f t="shared" si="214"/>
        <v>4.2034774999999982</v>
      </c>
      <c r="AR134" s="1167">
        <f t="shared" si="214"/>
        <v>4.2034774999999982</v>
      </c>
      <c r="AS134" s="1170">
        <f t="shared" si="214"/>
        <v>8.0509421839999504</v>
      </c>
      <c r="AU134">
        <f t="shared" si="81"/>
        <v>2020</v>
      </c>
      <c r="AV134" s="1173">
        <f t="shared" si="167"/>
        <v>0</v>
      </c>
      <c r="AW134" s="1173">
        <f t="shared" si="167"/>
        <v>0</v>
      </c>
      <c r="AX134" s="1173">
        <f t="shared" si="167"/>
        <v>0</v>
      </c>
      <c r="AY134" s="680">
        <f t="shared" si="167"/>
        <v>0.15734399999999482</v>
      </c>
      <c r="AZ134" s="680">
        <f t="shared" si="167"/>
        <v>0.65709599999999924</v>
      </c>
      <c r="BA134" s="680">
        <f t="shared" si="167"/>
        <v>9.0330240000000046</v>
      </c>
      <c r="BB134" s="680">
        <f t="shared" si="167"/>
        <v>0.35259839999997666</v>
      </c>
      <c r="BC134" s="680">
        <f t="shared" si="167"/>
        <v>0</v>
      </c>
      <c r="BD134" s="680">
        <f t="shared" ref="BD134:BF134" si="215">+BD84-BD83</f>
        <v>1.3432320000000004</v>
      </c>
      <c r="BE134" s="680">
        <f t="shared" si="215"/>
        <v>1.1797631999999975E-2</v>
      </c>
      <c r="BF134" s="680">
        <f t="shared" si="215"/>
        <v>0.59188800000000086</v>
      </c>
      <c r="BG134" s="680">
        <f t="shared" si="167"/>
        <v>0.18057600000000007</v>
      </c>
      <c r="BH134" s="680">
        <f t="shared" si="167"/>
        <v>1.638912E-2</v>
      </c>
      <c r="BI134" s="680">
        <f t="shared" si="167"/>
        <v>0</v>
      </c>
      <c r="BJ134" s="680">
        <f t="shared" si="167"/>
        <v>0</v>
      </c>
      <c r="BK134" s="680">
        <f t="shared" si="167"/>
        <v>0</v>
      </c>
      <c r="BL134" s="1168"/>
      <c r="BM134" s="680">
        <f t="shared" si="169"/>
        <v>0</v>
      </c>
      <c r="BN134" s="680">
        <f t="shared" si="169"/>
        <v>0.31944000000000017</v>
      </c>
      <c r="BO134" s="1167">
        <f t="shared" si="169"/>
        <v>0.31944000000000017</v>
      </c>
      <c r="BP134" s="1170">
        <f t="shared" si="169"/>
        <v>12.663385151999933</v>
      </c>
      <c r="BT134" s="1175">
        <f t="shared" si="85"/>
        <v>1.167038400000024</v>
      </c>
      <c r="BU134" s="1175">
        <f t="shared" si="85"/>
        <v>11.496346751999909</v>
      </c>
      <c r="BV134" s="1175">
        <f t="shared" si="85"/>
        <v>1.5033015679325672</v>
      </c>
      <c r="BW134" s="1175">
        <f t="shared" si="147"/>
        <v>17.204364095999836</v>
      </c>
    </row>
    <row r="135" spans="1:75" x14ac:dyDescent="0.2">
      <c r="A135">
        <f t="shared" si="74"/>
        <v>2021</v>
      </c>
      <c r="B135" s="1173">
        <f t="shared" ref="B135:F135" si="216">+B85-B84</f>
        <v>0</v>
      </c>
      <c r="C135" s="1173">
        <f t="shared" si="216"/>
        <v>0</v>
      </c>
      <c r="D135" s="1173">
        <f t="shared" si="216"/>
        <v>0</v>
      </c>
      <c r="E135" s="680">
        <f t="shared" si="216"/>
        <v>9.1741500000004805E-2</v>
      </c>
      <c r="F135" s="680">
        <f t="shared" si="216"/>
        <v>0.14244075000000045</v>
      </c>
      <c r="G135" s="680">
        <f t="shared" ref="G135:V135" si="217">+G85-G84</f>
        <v>1.8101509999999994</v>
      </c>
      <c r="H135" s="680">
        <f t="shared" si="217"/>
        <v>9.8501400000003514E-2</v>
      </c>
      <c r="I135" s="680">
        <f t="shared" si="217"/>
        <v>0</v>
      </c>
      <c r="J135" s="680">
        <f t="shared" si="217"/>
        <v>0.41847000000000012</v>
      </c>
      <c r="K135" s="680">
        <f t="shared" si="217"/>
        <v>3.124575999999997E-3</v>
      </c>
      <c r="L135" s="680">
        <f t="shared" si="217"/>
        <v>0.16685149999999993</v>
      </c>
      <c r="M135" s="680">
        <f t="shared" si="217"/>
        <v>1.3412500000000022E-2</v>
      </c>
      <c r="N135" s="680">
        <f t="shared" si="217"/>
        <v>6.4379999999999958E-3</v>
      </c>
      <c r="O135" s="680">
        <f t="shared" si="217"/>
        <v>0</v>
      </c>
      <c r="P135" s="680">
        <f t="shared" si="217"/>
        <v>0</v>
      </c>
      <c r="Q135" s="680">
        <f t="shared" si="217"/>
        <v>0</v>
      </c>
      <c r="R135" s="1168">
        <f t="shared" si="217"/>
        <v>2.7511312260000693</v>
      </c>
      <c r="S135" s="680">
        <f t="shared" si="217"/>
        <v>0</v>
      </c>
      <c r="T135" s="680">
        <f t="shared" si="217"/>
        <v>2.698595000000001</v>
      </c>
      <c r="U135" s="1167">
        <f t="shared" si="217"/>
        <v>2.698595000000001</v>
      </c>
      <c r="V135" s="1170">
        <f t="shared" si="217"/>
        <v>5.4497262260000525</v>
      </c>
      <c r="W135" s="680"/>
      <c r="X135">
        <f t="shared" si="77"/>
        <v>2021</v>
      </c>
      <c r="Y135" s="1173">
        <f t="shared" si="187"/>
        <v>0</v>
      </c>
      <c r="Z135" s="1173">
        <f t="shared" si="187"/>
        <v>0</v>
      </c>
      <c r="AA135" s="1173">
        <f t="shared" si="187"/>
        <v>0</v>
      </c>
      <c r="AB135" s="680">
        <f t="shared" si="187"/>
        <v>0.11642049999999671</v>
      </c>
      <c r="AC135" s="680">
        <f t="shared" si="187"/>
        <v>0.13144250000000035</v>
      </c>
      <c r="AD135" s="680">
        <f t="shared" si="187"/>
        <v>2.531207000000002</v>
      </c>
      <c r="AE135" s="680">
        <f t="shared" si="187"/>
        <v>0.32157809999995379</v>
      </c>
      <c r="AF135" s="680">
        <f t="shared" si="187"/>
        <v>0</v>
      </c>
      <c r="AG135" s="680">
        <f t="shared" ref="AG135:AI135" si="218">+AG85-AG84</f>
        <v>0.59551500000000024</v>
      </c>
      <c r="AH135" s="680">
        <f t="shared" si="218"/>
        <v>6.7899439999999991E-3</v>
      </c>
      <c r="AI135" s="680">
        <f t="shared" si="218"/>
        <v>0.11373800000000012</v>
      </c>
      <c r="AJ135" s="680">
        <f t="shared" ref="AJ135:AS135" si="219">+AJ85-AJ84</f>
        <v>2.4679000000000006E-2</v>
      </c>
      <c r="AK135" s="680">
        <f t="shared" si="219"/>
        <v>6.0946399999999984E-3</v>
      </c>
      <c r="AL135" s="680">
        <f t="shared" si="219"/>
        <v>0</v>
      </c>
      <c r="AM135" s="680">
        <f t="shared" si="219"/>
        <v>0</v>
      </c>
      <c r="AN135" s="680">
        <f t="shared" si="219"/>
        <v>0</v>
      </c>
      <c r="AO135" s="1168">
        <f t="shared" si="219"/>
        <v>3.8474646839999878</v>
      </c>
      <c r="AP135" s="680">
        <f t="shared" si="219"/>
        <v>0</v>
      </c>
      <c r="AQ135" s="680">
        <f t="shared" si="219"/>
        <v>4.2034775000000018</v>
      </c>
      <c r="AR135" s="1167">
        <f t="shared" si="219"/>
        <v>4.2034775000000018</v>
      </c>
      <c r="AS135" s="1170">
        <f t="shared" si="219"/>
        <v>8.0509421840000641</v>
      </c>
      <c r="AU135">
        <f t="shared" si="81"/>
        <v>2021</v>
      </c>
      <c r="AV135" s="1173">
        <f t="shared" si="167"/>
        <v>0</v>
      </c>
      <c r="AW135" s="1173">
        <f t="shared" si="167"/>
        <v>0</v>
      </c>
      <c r="AX135" s="1173">
        <f t="shared" si="167"/>
        <v>0</v>
      </c>
      <c r="AY135" s="680">
        <f t="shared" si="167"/>
        <v>0.15734400000000903</v>
      </c>
      <c r="AZ135" s="680">
        <f t="shared" si="167"/>
        <v>0.65709600000000279</v>
      </c>
      <c r="BA135" s="680">
        <f t="shared" si="167"/>
        <v>9.0330239999999975</v>
      </c>
      <c r="BB135" s="680">
        <f t="shared" si="167"/>
        <v>0.35259840000000509</v>
      </c>
      <c r="BC135" s="680">
        <f t="shared" si="167"/>
        <v>0</v>
      </c>
      <c r="BD135" s="680">
        <f t="shared" ref="BD135:BF135" si="220">+BD85-BD84</f>
        <v>1.3432320000000004</v>
      </c>
      <c r="BE135" s="680">
        <f t="shared" si="220"/>
        <v>1.1797632000000002E-2</v>
      </c>
      <c r="BF135" s="680">
        <f t="shared" si="220"/>
        <v>0.59188799999999997</v>
      </c>
      <c r="BG135" s="680">
        <f t="shared" si="167"/>
        <v>0.18057599999999985</v>
      </c>
      <c r="BH135" s="680">
        <f t="shared" si="167"/>
        <v>1.6389120000000007E-2</v>
      </c>
      <c r="BI135" s="680">
        <f t="shared" si="167"/>
        <v>0</v>
      </c>
      <c r="BJ135" s="680">
        <f t="shared" si="167"/>
        <v>0</v>
      </c>
      <c r="BK135" s="680">
        <f t="shared" si="167"/>
        <v>0</v>
      </c>
      <c r="BL135" s="1168"/>
      <c r="BM135" s="680">
        <f t="shared" si="169"/>
        <v>0</v>
      </c>
      <c r="BN135" s="680">
        <f t="shared" si="169"/>
        <v>0.31944000000000017</v>
      </c>
      <c r="BO135" s="1167">
        <f t="shared" si="169"/>
        <v>0.31944000000000017</v>
      </c>
      <c r="BP135" s="1170">
        <f t="shared" si="169"/>
        <v>12.663385152000501</v>
      </c>
      <c r="BT135" s="1175">
        <f t="shared" si="85"/>
        <v>1.167038400000024</v>
      </c>
      <c r="BU135" s="1175">
        <f t="shared" si="85"/>
        <v>11.496346752000477</v>
      </c>
      <c r="BV135" s="1175">
        <f t="shared" si="85"/>
        <v>1.5033015679327946</v>
      </c>
      <c r="BW135" s="1175">
        <f t="shared" si="147"/>
        <v>17.324486716000479</v>
      </c>
    </row>
    <row r="136" spans="1:75" ht="13.5" thickBot="1" x14ac:dyDescent="0.25">
      <c r="A136">
        <f t="shared" si="74"/>
        <v>2022</v>
      </c>
      <c r="B136" s="1173">
        <f t="shared" ref="B136:F136" si="221">+B86-B85</f>
        <v>0</v>
      </c>
      <c r="C136" s="1173">
        <f t="shared" si="221"/>
        <v>0</v>
      </c>
      <c r="D136" s="1173">
        <f t="shared" si="221"/>
        <v>0</v>
      </c>
      <c r="E136" s="680">
        <f t="shared" si="221"/>
        <v>9.1741500000004805E-2</v>
      </c>
      <c r="F136" s="680">
        <f t="shared" si="221"/>
        <v>0.14244074999999867</v>
      </c>
      <c r="G136" s="680">
        <f t="shared" ref="G136:V136" si="222">+G86-G85</f>
        <v>1.8101509999999994</v>
      </c>
      <c r="H136" s="680">
        <f t="shared" si="222"/>
        <v>8.7556800000001545E-2</v>
      </c>
      <c r="I136" s="680">
        <f t="shared" si="222"/>
        <v>0</v>
      </c>
      <c r="J136" s="680">
        <f t="shared" si="222"/>
        <v>0.41847000000000012</v>
      </c>
      <c r="K136" s="680">
        <f t="shared" si="222"/>
        <v>3.124575999999997E-3</v>
      </c>
      <c r="L136" s="680">
        <f t="shared" si="222"/>
        <v>0.16685149999999993</v>
      </c>
      <c r="M136" s="680">
        <f t="shared" si="222"/>
        <v>1.3412499999999994E-2</v>
      </c>
      <c r="N136" s="680">
        <f t="shared" si="222"/>
        <v>6.4379999999999993E-3</v>
      </c>
      <c r="O136" s="680">
        <f t="shared" si="222"/>
        <v>0</v>
      </c>
      <c r="P136" s="680">
        <f t="shared" si="222"/>
        <v>0</v>
      </c>
      <c r="Q136" s="680">
        <f t="shared" si="222"/>
        <v>0</v>
      </c>
      <c r="R136" s="1168">
        <f t="shared" si="222"/>
        <v>2.7401866259999679</v>
      </c>
      <c r="S136" s="680">
        <f t="shared" si="222"/>
        <v>0</v>
      </c>
      <c r="T136" s="680">
        <f t="shared" si="222"/>
        <v>2.698595000000001</v>
      </c>
      <c r="U136" s="1167">
        <f t="shared" si="222"/>
        <v>2.698595000000001</v>
      </c>
      <c r="V136" s="1171">
        <f t="shared" si="222"/>
        <v>5.4387816259999795</v>
      </c>
      <c r="W136" s="680"/>
      <c r="X136">
        <f t="shared" si="77"/>
        <v>2022</v>
      </c>
      <c r="Y136" s="1173">
        <f t="shared" si="187"/>
        <v>0</v>
      </c>
      <c r="Z136" s="1173">
        <f t="shared" si="187"/>
        <v>0</v>
      </c>
      <c r="AA136" s="1173">
        <f t="shared" si="187"/>
        <v>0</v>
      </c>
      <c r="AB136" s="680">
        <f t="shared" si="187"/>
        <v>0.11642050000000381</v>
      </c>
      <c r="AC136" s="680">
        <f t="shared" si="187"/>
        <v>0.13144250000000035</v>
      </c>
      <c r="AD136" s="680">
        <f t="shared" si="187"/>
        <v>2.5312069999999984</v>
      </c>
      <c r="AE136" s="680">
        <f t="shared" si="187"/>
        <v>0.32157809999995379</v>
      </c>
      <c r="AF136" s="680">
        <f t="shared" si="187"/>
        <v>0</v>
      </c>
      <c r="AG136" s="680">
        <f t="shared" ref="AG136:AI136" si="223">+AG86-AG85</f>
        <v>0.59551499999999979</v>
      </c>
      <c r="AH136" s="680">
        <f t="shared" si="223"/>
        <v>6.7899440000000061E-3</v>
      </c>
      <c r="AI136" s="680">
        <f t="shared" si="223"/>
        <v>0.11373800000000012</v>
      </c>
      <c r="AJ136" s="680">
        <f t="shared" ref="AJ136:AS136" si="224">+AJ86-AJ85</f>
        <v>2.4679000000000062E-2</v>
      </c>
      <c r="AK136" s="680">
        <f t="shared" si="224"/>
        <v>6.0946399999999984E-3</v>
      </c>
      <c r="AL136" s="680">
        <f t="shared" si="224"/>
        <v>0</v>
      </c>
      <c r="AM136" s="680">
        <f t="shared" si="224"/>
        <v>0</v>
      </c>
      <c r="AN136" s="680">
        <f t="shared" si="224"/>
        <v>0</v>
      </c>
      <c r="AO136" s="1168">
        <f t="shared" si="224"/>
        <v>3.8474646839999878</v>
      </c>
      <c r="AP136" s="680">
        <f t="shared" si="224"/>
        <v>0</v>
      </c>
      <c r="AQ136" s="680">
        <f t="shared" si="224"/>
        <v>4.2034774999999982</v>
      </c>
      <c r="AR136" s="1167">
        <f t="shared" si="224"/>
        <v>4.2034774999999982</v>
      </c>
      <c r="AS136" s="1171">
        <f t="shared" si="224"/>
        <v>8.0509421839999504</v>
      </c>
      <c r="AU136">
        <f t="shared" si="81"/>
        <v>2022</v>
      </c>
      <c r="AV136" s="1173">
        <f t="shared" si="167"/>
        <v>0</v>
      </c>
      <c r="AW136" s="1173">
        <f t="shared" si="167"/>
        <v>0</v>
      </c>
      <c r="AX136" s="1173">
        <f t="shared" si="167"/>
        <v>0</v>
      </c>
      <c r="AY136" s="680">
        <f t="shared" si="167"/>
        <v>0.15734399999999482</v>
      </c>
      <c r="AZ136" s="680">
        <f t="shared" si="167"/>
        <v>0.65709600000000279</v>
      </c>
      <c r="BA136" s="680">
        <f t="shared" si="167"/>
        <v>9.0330240000000117</v>
      </c>
      <c r="BB136" s="680">
        <f t="shared" si="167"/>
        <v>0.31342079999998873</v>
      </c>
      <c r="BC136" s="680">
        <f t="shared" si="167"/>
        <v>0</v>
      </c>
      <c r="BD136" s="680">
        <f t="shared" ref="BD136:BF136" si="225">+BD86-BD85</f>
        <v>1.3432320000000004</v>
      </c>
      <c r="BE136" s="680">
        <f t="shared" si="225"/>
        <v>1.1797631999999975E-2</v>
      </c>
      <c r="BF136" s="680">
        <f t="shared" si="225"/>
        <v>0.59188799999999997</v>
      </c>
      <c r="BG136" s="680">
        <f t="shared" si="167"/>
        <v>0.18057599999999985</v>
      </c>
      <c r="BH136" s="680">
        <f t="shared" si="167"/>
        <v>1.6389120000000007E-2</v>
      </c>
      <c r="BI136" s="680">
        <f t="shared" si="167"/>
        <v>0</v>
      </c>
      <c r="BJ136" s="680">
        <f t="shared" si="167"/>
        <v>0</v>
      </c>
      <c r="BK136" s="680">
        <f t="shared" si="167"/>
        <v>0</v>
      </c>
      <c r="BL136" s="1168"/>
      <c r="BM136" s="680">
        <f t="shared" si="169"/>
        <v>0</v>
      </c>
      <c r="BN136" s="680">
        <f t="shared" si="169"/>
        <v>0.31944000000000017</v>
      </c>
      <c r="BO136" s="1167">
        <f t="shared" si="169"/>
        <v>0.31944000000000017</v>
      </c>
      <c r="BP136" s="1171">
        <f t="shared" si="169"/>
        <v>12.624207551999802</v>
      </c>
      <c r="BT136" s="1175">
        <f t="shared" si="85"/>
        <v>1.127860799999894</v>
      </c>
      <c r="BU136" s="1175">
        <f t="shared" si="85"/>
        <v>11.496346751999909</v>
      </c>
      <c r="BV136" s="1175">
        <f t="shared" si="85"/>
        <v>1.4641239679325508</v>
      </c>
      <c r="BW136" s="1175">
        <f t="shared" si="147"/>
        <v>17.331289473999846</v>
      </c>
    </row>
  </sheetData>
  <mergeCells count="18">
    <mergeCell ref="B1:U1"/>
    <mergeCell ref="Y1:AR1"/>
    <mergeCell ref="AV1:BO1"/>
    <mergeCell ref="B2:R2"/>
    <mergeCell ref="S2:U2"/>
    <mergeCell ref="Y2:AO2"/>
    <mergeCell ref="AP2:AR2"/>
    <mergeCell ref="AV2:BL2"/>
    <mergeCell ref="BM2:BO2"/>
    <mergeCell ref="B54:U54"/>
    <mergeCell ref="Y54:AR54"/>
    <mergeCell ref="AV54:BO54"/>
    <mergeCell ref="B55:R55"/>
    <mergeCell ref="S55:U55"/>
    <mergeCell ref="Y55:AO55"/>
    <mergeCell ref="AP55:AR55"/>
    <mergeCell ref="AV55:BL55"/>
    <mergeCell ref="BM55:BO55"/>
  </mergeCells>
  <phoneticPr fontId="7" type="noConversion"/>
  <conditionalFormatting sqref="B109:V136">
    <cfRule type="colorScale" priority="3">
      <colorScale>
        <cfvo type="min"/>
        <cfvo type="percentile" val="50"/>
        <cfvo type="max"/>
        <color rgb="FFF8696B"/>
        <color rgb="FFFFEB84"/>
        <color rgb="FF63BE7B"/>
      </colorScale>
    </cfRule>
  </conditionalFormatting>
  <conditionalFormatting sqref="Y109:AS136">
    <cfRule type="colorScale" priority="2">
      <colorScale>
        <cfvo type="min"/>
        <cfvo type="percentile" val="50"/>
        <cfvo type="max"/>
        <color rgb="FFF8696B"/>
        <color rgb="FFFFEB84"/>
        <color rgb="FF63BE7B"/>
      </colorScale>
    </cfRule>
  </conditionalFormatting>
  <conditionalFormatting sqref="AV109:BP136">
    <cfRule type="colorScale" priority="1">
      <colorScale>
        <cfvo type="min"/>
        <cfvo type="percentile" val="50"/>
        <cfvo type="max"/>
        <color rgb="FFF8696B"/>
        <color rgb="FFFFEB84"/>
        <color rgb="FF63BE7B"/>
      </colorScale>
    </cfRule>
  </conditionalFormatting>
  <pageMargins left="0.25" right="0.25" top="0.28999999999999998" bottom="0.23" header="0.25" footer="0.16"/>
  <pageSetup scale="55" fitToWidth="3" orientation="portrait" horizontalDpi="300" verticalDpi="300" r:id="rId1"/>
  <headerFooter alignWithMargins="0"/>
  <ignoredErrors>
    <ignoredError sqref="I58 R57:R92 AO57:AO92 BL57:BL92"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theme="7" tint="-0.249977111117893"/>
    <pageSetUpPr fitToPage="1"/>
  </sheetPr>
  <dimension ref="A1:GV63"/>
  <sheetViews>
    <sheetView workbookViewId="0">
      <pane xSplit="1" ySplit="5" topLeftCell="B22" activePane="bottomRight" state="frozen"/>
      <selection activeCell="B31" sqref="B31"/>
      <selection pane="topRight" activeCell="B31" sqref="B31"/>
      <selection pane="bottomLeft" activeCell="B31" sqref="B31"/>
      <selection pane="bottomRight" activeCell="C30" sqref="C30"/>
    </sheetView>
  </sheetViews>
  <sheetFormatPr defaultRowHeight="12.75" x14ac:dyDescent="0.2"/>
  <cols>
    <col min="1" max="1" width="12.28515625" customWidth="1"/>
    <col min="2" max="2" width="14.5703125" customWidth="1"/>
    <col min="3" max="3" width="11.28515625" customWidth="1"/>
    <col min="4" max="4" width="10.28515625" customWidth="1"/>
    <col min="5" max="5" width="11" customWidth="1"/>
    <col min="6" max="6" width="11.28515625" customWidth="1"/>
    <col min="7" max="7" width="10.5703125" customWidth="1"/>
    <col min="8" max="9" width="10.7109375" customWidth="1"/>
    <col min="10" max="11" width="11.42578125" customWidth="1"/>
    <col min="12" max="12" width="12.28515625" customWidth="1"/>
    <col min="13" max="13" width="10.42578125" customWidth="1"/>
    <col min="14" max="15" width="11" style="2" customWidth="1"/>
    <col min="16" max="16" width="11.7109375" style="2" customWidth="1"/>
    <col min="17" max="17" width="10.42578125" customWidth="1"/>
    <col min="18" max="18" width="9.5703125" customWidth="1"/>
    <col min="19" max="21" width="10.28515625" customWidth="1"/>
    <col min="22" max="22" width="11.28515625" customWidth="1"/>
    <col min="23" max="23" width="11.42578125" customWidth="1"/>
    <col min="24" max="24" width="10" customWidth="1"/>
    <col min="25" max="26" width="10.28515625" customWidth="1"/>
    <col min="27" max="28" width="11.28515625" bestFit="1" customWidth="1"/>
    <col min="29" max="29" width="14.42578125" bestFit="1" customWidth="1"/>
    <col min="30" max="31" width="9.7109375" bestFit="1" customWidth="1"/>
  </cols>
  <sheetData>
    <row r="1" spans="1:31" ht="15.75" x14ac:dyDescent="0.25">
      <c r="A1" s="4" t="str">
        <f>'RES Audit Alt'!A1</f>
        <v>Conservation Savings @ Meter</v>
      </c>
      <c r="B1" s="4"/>
      <c r="C1" s="4"/>
      <c r="D1" s="4"/>
      <c r="E1" s="4"/>
      <c r="F1" s="249"/>
      <c r="G1" s="249"/>
      <c r="H1" s="409"/>
      <c r="I1" s="249"/>
      <c r="J1" s="4"/>
      <c r="K1" s="4"/>
      <c r="L1" s="4"/>
      <c r="M1" s="4"/>
      <c r="N1" s="4"/>
      <c r="O1" s="4"/>
      <c r="P1" s="4"/>
      <c r="Q1" s="4"/>
      <c r="AA1" s="2"/>
    </row>
    <row r="2" spans="1:31" ht="16.5" thickBot="1" x14ac:dyDescent="0.3">
      <c r="A2" s="5" t="str">
        <f>'RES Audit Alt'!A2</f>
        <v>PROGRAM:</v>
      </c>
      <c r="B2" s="27" t="s">
        <v>3</v>
      </c>
      <c r="C2" s="23"/>
      <c r="D2" s="27"/>
      <c r="E2" s="27"/>
      <c r="F2" s="4"/>
      <c r="G2" s="4"/>
      <c r="K2" s="4"/>
      <c r="L2" s="4"/>
      <c r="M2" s="4"/>
      <c r="O2" s="778" t="s">
        <v>311</v>
      </c>
      <c r="P2" s="769"/>
      <c r="Q2" s="4"/>
      <c r="U2" s="778" t="str">
        <f>O2</f>
        <v>update history when time.</v>
      </c>
      <c r="V2" s="769"/>
      <c r="AA2" s="2"/>
    </row>
    <row r="3" spans="1:31" ht="16.5" thickBot="1" x14ac:dyDescent="0.3">
      <c r="A3" s="4"/>
      <c r="B3" s="128" t="s">
        <v>69</v>
      </c>
      <c r="C3" s="4"/>
      <c r="D3" s="4"/>
      <c r="E3" s="4"/>
      <c r="F3" s="4"/>
      <c r="G3" s="4"/>
      <c r="H3" s="1463" t="s">
        <v>72</v>
      </c>
      <c r="I3" s="1464"/>
      <c r="J3" s="1465"/>
      <c r="K3" s="4"/>
      <c r="L3" s="4"/>
      <c r="M3" s="4"/>
      <c r="O3" s="4"/>
      <c r="P3" s="4"/>
      <c r="Q3" s="4"/>
      <c r="U3" s="760"/>
      <c r="V3" s="760"/>
      <c r="AA3" s="2"/>
    </row>
    <row r="4" spans="1:31" ht="16.5" thickBot="1" x14ac:dyDescent="0.3">
      <c r="A4" s="26"/>
      <c r="B4" s="1472" t="s">
        <v>26</v>
      </c>
      <c r="C4" s="1472"/>
      <c r="D4" s="1472"/>
      <c r="E4" s="1472"/>
      <c r="F4" s="1472"/>
      <c r="G4" s="1472"/>
      <c r="H4" s="1472"/>
      <c r="I4" s="1472"/>
      <c r="J4" s="1473"/>
      <c r="K4" s="1466" t="s">
        <v>27</v>
      </c>
      <c r="L4" s="1467"/>
      <c r="M4" s="1467"/>
      <c r="N4" s="1467"/>
      <c r="O4" s="227"/>
      <c r="P4" s="214"/>
      <c r="Q4" s="1467" t="s">
        <v>78</v>
      </c>
      <c r="R4" s="1467"/>
      <c r="S4" s="1467"/>
      <c r="T4" s="1468"/>
      <c r="U4" s="213"/>
      <c r="V4" s="213"/>
      <c r="W4" s="1466" t="s">
        <v>28</v>
      </c>
      <c r="X4" s="1467"/>
      <c r="Y4" s="1467"/>
      <c r="Z4" s="1468"/>
      <c r="AA4" s="2"/>
    </row>
    <row r="5" spans="1:31" s="19" customFormat="1" ht="55.5" customHeight="1" x14ac:dyDescent="0.2">
      <c r="A5" s="413" t="s">
        <v>0</v>
      </c>
      <c r="B5" s="420" t="s">
        <v>70</v>
      </c>
      <c r="C5" s="124" t="s">
        <v>66</v>
      </c>
      <c r="D5" s="124" t="s">
        <v>68</v>
      </c>
      <c r="E5" s="22" t="s">
        <v>21</v>
      </c>
      <c r="F5" s="17" t="s">
        <v>23</v>
      </c>
      <c r="G5" s="18" t="s">
        <v>24</v>
      </c>
      <c r="H5" s="22" t="s">
        <v>17</v>
      </c>
      <c r="I5" s="17" t="s">
        <v>18</v>
      </c>
      <c r="J5" s="29" t="s">
        <v>19</v>
      </c>
      <c r="K5" s="163" t="s">
        <v>75</v>
      </c>
      <c r="L5" s="16" t="s">
        <v>10</v>
      </c>
      <c r="M5" s="16" t="s">
        <v>12</v>
      </c>
      <c r="N5" s="215" t="s">
        <v>97</v>
      </c>
      <c r="O5" s="16" t="s">
        <v>96</v>
      </c>
      <c r="P5" s="237" t="s">
        <v>99</v>
      </c>
      <c r="Q5" s="219" t="s">
        <v>76</v>
      </c>
      <c r="R5" s="17" t="s">
        <v>11</v>
      </c>
      <c r="S5" s="17" t="s">
        <v>14</v>
      </c>
      <c r="T5" s="39" t="s">
        <v>101</v>
      </c>
      <c r="U5" s="241" t="s">
        <v>100</v>
      </c>
      <c r="V5" s="241" t="s">
        <v>99</v>
      </c>
      <c r="W5" s="42" t="s">
        <v>77</v>
      </c>
      <c r="X5" s="230" t="s">
        <v>25</v>
      </c>
      <c r="Y5" s="18" t="s">
        <v>16</v>
      </c>
      <c r="Z5" s="29" t="s">
        <v>15</v>
      </c>
      <c r="AA5" s="20"/>
    </row>
    <row r="6" spans="1:31" s="19" customFormat="1" ht="15" customHeight="1" x14ac:dyDescent="0.2">
      <c r="A6" s="414" t="s">
        <v>37</v>
      </c>
      <c r="B6" s="421"/>
      <c r="C6" s="416"/>
      <c r="D6" s="64">
        <v>0</v>
      </c>
      <c r="E6" s="15"/>
      <c r="F6" s="15"/>
      <c r="G6" s="15"/>
      <c r="H6" s="15"/>
      <c r="I6" s="15"/>
      <c r="J6" s="31"/>
      <c r="K6" s="37"/>
      <c r="L6" s="59"/>
      <c r="M6" s="6"/>
      <c r="N6" s="216">
        <v>0</v>
      </c>
      <c r="O6" s="226"/>
      <c r="P6" s="238"/>
      <c r="Q6" s="220"/>
      <c r="R6" s="55"/>
      <c r="S6" s="57"/>
      <c r="T6" s="41">
        <v>0</v>
      </c>
      <c r="U6" s="294"/>
      <c r="V6" s="228"/>
      <c r="W6" s="21"/>
      <c r="X6" s="233"/>
      <c r="Y6" s="21"/>
      <c r="Z6" s="47">
        <v>0</v>
      </c>
      <c r="AA6" s="365"/>
    </row>
    <row r="7" spans="1:31" s="1" customFormat="1" ht="15.75" customHeight="1" x14ac:dyDescent="0.2">
      <c r="A7" s="414" t="s">
        <v>63</v>
      </c>
      <c r="B7" s="422"/>
      <c r="C7" s="417"/>
      <c r="D7" s="64">
        <v>39</v>
      </c>
      <c r="E7" s="15"/>
      <c r="F7" s="15"/>
      <c r="G7" s="15"/>
      <c r="H7" s="15"/>
      <c r="I7" s="15"/>
      <c r="J7" s="31"/>
      <c r="K7" s="37"/>
      <c r="L7" s="59">
        <f>+(N7-N6)/($D7-$D6)*1000</f>
        <v>158.46153846153845</v>
      </c>
      <c r="M7" s="6"/>
      <c r="N7" s="216">
        <f>N6+6.18</f>
        <v>6.18</v>
      </c>
      <c r="O7" s="226"/>
      <c r="P7" s="238"/>
      <c r="Q7" s="221"/>
      <c r="R7" s="58">
        <f>+(T7-T6)/($D7-$D6)*1000</f>
        <v>153.84615384615387</v>
      </c>
      <c r="S7" s="55"/>
      <c r="T7" s="41">
        <v>6</v>
      </c>
      <c r="U7" s="294"/>
      <c r="V7" s="228"/>
      <c r="W7" s="21"/>
      <c r="X7" s="233">
        <f>+(Z7-Z6)/($D7-$D6)*1000</f>
        <v>10.256410256410257</v>
      </c>
      <c r="Y7" s="21"/>
      <c r="Z7" s="47">
        <f>0+0.4</f>
        <v>0.4</v>
      </c>
      <c r="AA7" s="365"/>
    </row>
    <row r="8" spans="1:31" x14ac:dyDescent="0.2">
      <c r="A8" s="415">
        <v>1995</v>
      </c>
      <c r="B8" s="422">
        <v>9</v>
      </c>
      <c r="C8" s="417">
        <v>9</v>
      </c>
      <c r="D8" s="64">
        <f>D7+C8</f>
        <v>48</v>
      </c>
      <c r="E8" s="614">
        <v>233.33333333333334</v>
      </c>
      <c r="F8" s="614">
        <v>155.55555555555554</v>
      </c>
      <c r="G8" s="615">
        <v>11111.111111111111</v>
      </c>
      <c r="H8" s="599">
        <f t="shared" ref="H8:H20" si="0">+$B8*E8/1000</f>
        <v>2.1</v>
      </c>
      <c r="I8" s="599">
        <f t="shared" ref="I8:I20" si="1">+$B8*F8/1000</f>
        <v>1.4</v>
      </c>
      <c r="J8" s="600">
        <f t="shared" ref="J8:J20" si="2">+$B8*G8/1000000</f>
        <v>0.1</v>
      </c>
      <c r="K8" s="61">
        <f>+(D8+D7)/2</f>
        <v>43.5</v>
      </c>
      <c r="L8" s="183">
        <f t="shared" ref="L8:L19" si="3">N8*1000/K8</f>
        <v>160.91954022988506</v>
      </c>
      <c r="M8" s="59">
        <f>+N8-N7</f>
        <v>0.82000000000000028</v>
      </c>
      <c r="N8" s="216">
        <v>7</v>
      </c>
      <c r="O8" s="226"/>
      <c r="P8" s="424"/>
      <c r="Q8" s="221">
        <f>+D7</f>
        <v>39</v>
      </c>
      <c r="R8" s="184">
        <f t="shared" ref="R8:R19" si="4">T8*1000/Q8</f>
        <v>179.48717948717947</v>
      </c>
      <c r="S8" s="55">
        <f t="shared" ref="S8:S17" si="5">+T8-T7</f>
        <v>1</v>
      </c>
      <c r="T8" s="41">
        <v>7</v>
      </c>
      <c r="U8" s="294">
        <v>7</v>
      </c>
      <c r="V8" s="193"/>
      <c r="W8" s="137">
        <f>K8</f>
        <v>43.5</v>
      </c>
      <c r="X8" s="233">
        <f>+(Z8*1000000)/W8</f>
        <v>16091.954022988506</v>
      </c>
      <c r="Y8" s="136">
        <f>+Z8-Z7</f>
        <v>0.29999999999999993</v>
      </c>
      <c r="Z8" s="53">
        <f>+((((T8*5)+(N8*7))/12)*100)/1000</f>
        <v>0.7</v>
      </c>
      <c r="AA8" s="365"/>
      <c r="AC8" s="1"/>
    </row>
    <row r="9" spans="1:31" x14ac:dyDescent="0.2">
      <c r="A9" s="415">
        <v>1996</v>
      </c>
      <c r="B9" s="422">
        <v>3</v>
      </c>
      <c r="C9" s="417">
        <v>0</v>
      </c>
      <c r="D9" s="64">
        <f t="shared" ref="D9:D42" si="6">D8+C9</f>
        <v>48</v>
      </c>
      <c r="E9" s="614">
        <v>2259.3333333333335</v>
      </c>
      <c r="F9" s="614">
        <v>2290.6666666666665</v>
      </c>
      <c r="G9" s="615">
        <v>113624.66666666667</v>
      </c>
      <c r="H9" s="599">
        <f t="shared" si="0"/>
        <v>6.7779999999999996</v>
      </c>
      <c r="I9" s="599">
        <f t="shared" si="1"/>
        <v>6.8719999999999999</v>
      </c>
      <c r="J9" s="600">
        <f t="shared" si="2"/>
        <v>0.34087400000000001</v>
      </c>
      <c r="K9" s="61">
        <f t="shared" ref="K9:K42" si="7">+(D9+D8)/2</f>
        <v>48</v>
      </c>
      <c r="L9" s="190">
        <f t="shared" si="3"/>
        <v>212.5</v>
      </c>
      <c r="M9" s="59">
        <f t="shared" ref="M9:M17" si="8">+N9-N8</f>
        <v>3.1999999999999993</v>
      </c>
      <c r="N9" s="216">
        <v>10.199999999999999</v>
      </c>
      <c r="O9" s="226"/>
      <c r="P9" s="424"/>
      <c r="Q9" s="222">
        <f>+D8</f>
        <v>48</v>
      </c>
      <c r="R9" s="595">
        <f t="shared" si="4"/>
        <v>145.83333333333334</v>
      </c>
      <c r="S9" s="55">
        <f t="shared" si="5"/>
        <v>0</v>
      </c>
      <c r="T9" s="41">
        <v>7</v>
      </c>
      <c r="U9" s="294"/>
      <c r="V9" s="193"/>
      <c r="W9" s="137">
        <f t="shared" ref="W9:W37" si="9">K9</f>
        <v>48</v>
      </c>
      <c r="X9" s="233">
        <f t="shared" ref="X9:X40" si="10">+(Z9*1000000)/W9</f>
        <v>18472.222222222219</v>
      </c>
      <c r="Y9" s="136">
        <f t="shared" ref="Y9:Y37" si="11">+Z9-Z8</f>
        <v>0.18666666666666654</v>
      </c>
      <c r="Z9" s="53">
        <f t="shared" ref="Z9:Z40" si="12">+((((T9*5)+(N9*7))/12)*100)/1000</f>
        <v>0.88666666666666649</v>
      </c>
      <c r="AA9" s="365"/>
      <c r="AC9" s="1"/>
    </row>
    <row r="10" spans="1:31" x14ac:dyDescent="0.2">
      <c r="A10" s="415">
        <v>1997</v>
      </c>
      <c r="B10" s="422">
        <v>2</v>
      </c>
      <c r="C10" s="417">
        <v>-5</v>
      </c>
      <c r="D10" s="64">
        <f t="shared" si="6"/>
        <v>43</v>
      </c>
      <c r="E10" s="614">
        <v>66.5</v>
      </c>
      <c r="F10" s="614">
        <v>65.5</v>
      </c>
      <c r="G10" s="615">
        <v>3296</v>
      </c>
      <c r="H10" s="599">
        <f t="shared" si="0"/>
        <v>0.13300000000000001</v>
      </c>
      <c r="I10" s="599">
        <f t="shared" si="1"/>
        <v>0.13100000000000001</v>
      </c>
      <c r="J10" s="600">
        <f t="shared" si="2"/>
        <v>6.5919999999999998E-3</v>
      </c>
      <c r="K10" s="61">
        <f t="shared" si="7"/>
        <v>45.5</v>
      </c>
      <c r="L10" s="190">
        <f t="shared" si="3"/>
        <v>380.2197802197802</v>
      </c>
      <c r="M10" s="59">
        <f t="shared" si="8"/>
        <v>7.1000000000000014</v>
      </c>
      <c r="N10" s="216">
        <v>17.3</v>
      </c>
      <c r="O10" s="226">
        <f>(D19+D20)/2</f>
        <v>36.5</v>
      </c>
      <c r="P10" s="424"/>
      <c r="Q10" s="222">
        <f t="shared" ref="Q10:Q16" si="13">+D9</f>
        <v>48</v>
      </c>
      <c r="R10" s="595">
        <f t="shared" si="4"/>
        <v>360.41666666666669</v>
      </c>
      <c r="S10" s="55">
        <f t="shared" si="5"/>
        <v>10.3</v>
      </c>
      <c r="T10" s="41">
        <v>17.3</v>
      </c>
      <c r="U10" s="294"/>
      <c r="V10" s="193"/>
      <c r="W10" s="137">
        <f t="shared" si="9"/>
        <v>45.5</v>
      </c>
      <c r="X10" s="233">
        <f t="shared" si="10"/>
        <v>38021.978021978022</v>
      </c>
      <c r="Y10" s="136">
        <f t="shared" si="11"/>
        <v>0.84333333333333349</v>
      </c>
      <c r="Z10" s="53">
        <f t="shared" si="12"/>
        <v>1.73</v>
      </c>
      <c r="AA10" s="365"/>
      <c r="AB10" s="359"/>
      <c r="AC10" s="364"/>
      <c r="AD10" s="359"/>
      <c r="AE10" s="359"/>
    </row>
    <row r="11" spans="1:31" x14ac:dyDescent="0.2">
      <c r="A11" s="415">
        <v>1998</v>
      </c>
      <c r="B11" s="422">
        <v>1</v>
      </c>
      <c r="C11" s="417">
        <v>-4</v>
      </c>
      <c r="D11" s="64">
        <f t="shared" si="6"/>
        <v>39</v>
      </c>
      <c r="E11" s="732">
        <v>291.15999999999997</v>
      </c>
      <c r="F11" s="732">
        <v>253.91000000000003</v>
      </c>
      <c r="G11" s="728">
        <v>13776</v>
      </c>
      <c r="H11" s="599">
        <f t="shared" si="0"/>
        <v>0.29115999999999997</v>
      </c>
      <c r="I11" s="599">
        <f t="shared" si="1"/>
        <v>0.25391000000000002</v>
      </c>
      <c r="J11" s="600">
        <f t="shared" si="2"/>
        <v>1.3776E-2</v>
      </c>
      <c r="K11" s="61">
        <f t="shared" si="7"/>
        <v>41</v>
      </c>
      <c r="L11" s="190">
        <f t="shared" si="3"/>
        <v>421.95121951219511</v>
      </c>
      <c r="M11" s="59">
        <f t="shared" si="8"/>
        <v>0</v>
      </c>
      <c r="N11" s="216">
        <v>17.3</v>
      </c>
      <c r="O11" s="226"/>
      <c r="P11" s="424"/>
      <c r="Q11" s="222">
        <f t="shared" si="13"/>
        <v>43</v>
      </c>
      <c r="R11" s="595">
        <f t="shared" si="4"/>
        <v>402.32558139534882</v>
      </c>
      <c r="S11" s="55">
        <f t="shared" si="5"/>
        <v>0</v>
      </c>
      <c r="T11" s="41">
        <v>17.3</v>
      </c>
      <c r="U11" s="294"/>
      <c r="V11" s="193"/>
      <c r="W11" s="137">
        <f t="shared" si="9"/>
        <v>41</v>
      </c>
      <c r="X11" s="233">
        <f t="shared" si="10"/>
        <v>42195.121951219509</v>
      </c>
      <c r="Y11" s="136">
        <f t="shared" si="11"/>
        <v>0</v>
      </c>
      <c r="Z11" s="53">
        <f t="shared" si="12"/>
        <v>1.73</v>
      </c>
      <c r="AA11" s="365"/>
      <c r="AB11" s="359"/>
      <c r="AC11" s="364"/>
      <c r="AD11" s="363"/>
      <c r="AE11" s="363"/>
    </row>
    <row r="12" spans="1:31" x14ac:dyDescent="0.2">
      <c r="A12" s="415">
        <v>1999</v>
      </c>
      <c r="B12" s="422">
        <v>5</v>
      </c>
      <c r="C12" s="417">
        <v>3</v>
      </c>
      <c r="D12" s="64">
        <f t="shared" si="6"/>
        <v>42</v>
      </c>
      <c r="E12" s="732">
        <v>1008.2</v>
      </c>
      <c r="F12" s="732">
        <v>972.2</v>
      </c>
      <c r="G12" s="728">
        <v>99320</v>
      </c>
      <c r="H12" s="599">
        <f t="shared" si="0"/>
        <v>5.0410000000000004</v>
      </c>
      <c r="I12" s="599">
        <f t="shared" si="1"/>
        <v>4.8609999999999998</v>
      </c>
      <c r="J12" s="600">
        <f t="shared" si="2"/>
        <v>0.49659999999999999</v>
      </c>
      <c r="K12" s="61">
        <f t="shared" si="7"/>
        <v>40.5</v>
      </c>
      <c r="L12" s="190">
        <f t="shared" si="3"/>
        <v>441.97530864197529</v>
      </c>
      <c r="M12" s="59">
        <f t="shared" si="8"/>
        <v>0.59999999999999787</v>
      </c>
      <c r="N12" s="216">
        <v>17.899999999999999</v>
      </c>
      <c r="O12" s="226"/>
      <c r="P12" s="424"/>
      <c r="Q12" s="222">
        <f t="shared" si="13"/>
        <v>39</v>
      </c>
      <c r="R12" s="595">
        <f t="shared" si="4"/>
        <v>451.28205128205127</v>
      </c>
      <c r="S12" s="55">
        <f t="shared" si="5"/>
        <v>0.30000000000000071</v>
      </c>
      <c r="T12" s="41">
        <v>17.600000000000001</v>
      </c>
      <c r="U12" s="294"/>
      <c r="V12" s="193"/>
      <c r="W12" s="137">
        <f t="shared" si="9"/>
        <v>40.5</v>
      </c>
      <c r="X12" s="233">
        <f t="shared" si="10"/>
        <v>43888.888888888883</v>
      </c>
      <c r="Y12" s="136">
        <f t="shared" si="11"/>
        <v>4.7499999999999876E-2</v>
      </c>
      <c r="Z12" s="53">
        <f t="shared" si="12"/>
        <v>1.7774999999999999</v>
      </c>
      <c r="AA12" s="365"/>
      <c r="AC12" s="1"/>
    </row>
    <row r="13" spans="1:31" x14ac:dyDescent="0.2">
      <c r="A13" s="415">
        <v>2000</v>
      </c>
      <c r="B13" s="127">
        <v>0</v>
      </c>
      <c r="C13" s="417">
        <v>-1</v>
      </c>
      <c r="D13" s="64">
        <f t="shared" si="6"/>
        <v>41</v>
      </c>
      <c r="E13" s="732">
        <v>0</v>
      </c>
      <c r="F13" s="732">
        <v>0</v>
      </c>
      <c r="G13" s="728">
        <v>0</v>
      </c>
      <c r="H13" s="599">
        <f t="shared" si="0"/>
        <v>0</v>
      </c>
      <c r="I13" s="599">
        <f t="shared" si="1"/>
        <v>0</v>
      </c>
      <c r="J13" s="600">
        <f t="shared" si="2"/>
        <v>0</v>
      </c>
      <c r="K13" s="61">
        <f t="shared" si="7"/>
        <v>41.5</v>
      </c>
      <c r="L13" s="190">
        <f>N13*1000/K13</f>
        <v>462.65060240963857</v>
      </c>
      <c r="M13" s="59">
        <f t="shared" si="8"/>
        <v>1.3000000000000007</v>
      </c>
      <c r="N13" s="216">
        <v>19.2</v>
      </c>
      <c r="O13" s="767"/>
      <c r="P13" s="773"/>
      <c r="Q13" s="222">
        <f t="shared" si="13"/>
        <v>42</v>
      </c>
      <c r="R13" s="595">
        <f t="shared" si="4"/>
        <v>426.1904761904762</v>
      </c>
      <c r="S13" s="55">
        <f t="shared" si="5"/>
        <v>0.29999999999999716</v>
      </c>
      <c r="T13" s="41">
        <v>17.899999999999999</v>
      </c>
      <c r="U13" s="774"/>
      <c r="V13" s="775"/>
      <c r="W13" s="137">
        <f t="shared" si="9"/>
        <v>41.5</v>
      </c>
      <c r="X13" s="233">
        <f t="shared" si="10"/>
        <v>44959.839357429722</v>
      </c>
      <c r="Y13" s="136">
        <f t="shared" si="11"/>
        <v>8.8333333333333597E-2</v>
      </c>
      <c r="Z13" s="53">
        <f t="shared" si="12"/>
        <v>1.8658333333333335</v>
      </c>
      <c r="AA13" s="365"/>
      <c r="AC13" s="1"/>
    </row>
    <row r="14" spans="1:31" x14ac:dyDescent="0.2">
      <c r="A14" s="415">
        <v>2001</v>
      </c>
      <c r="B14" s="127">
        <v>1</v>
      </c>
      <c r="C14" s="417">
        <v>1</v>
      </c>
      <c r="D14" s="64">
        <f t="shared" si="6"/>
        <v>42</v>
      </c>
      <c r="E14" s="732">
        <v>891</v>
      </c>
      <c r="F14" s="732">
        <v>891</v>
      </c>
      <c r="G14" s="728">
        <v>89100</v>
      </c>
      <c r="H14" s="599">
        <f t="shared" si="0"/>
        <v>0.89100000000000001</v>
      </c>
      <c r="I14" s="599">
        <f t="shared" si="1"/>
        <v>0.89100000000000001</v>
      </c>
      <c r="J14" s="600">
        <f t="shared" si="2"/>
        <v>8.9099999999999999E-2</v>
      </c>
      <c r="K14" s="61">
        <f t="shared" si="7"/>
        <v>41.5</v>
      </c>
      <c r="L14" s="190">
        <f t="shared" si="3"/>
        <v>460.24096385542168</v>
      </c>
      <c r="M14" s="59">
        <f t="shared" si="8"/>
        <v>-9.9999999999997868E-2</v>
      </c>
      <c r="N14" s="216">
        <v>19.100000000000001</v>
      </c>
      <c r="O14" s="767"/>
      <c r="P14" s="773"/>
      <c r="Q14" s="222">
        <f t="shared" si="13"/>
        <v>41</v>
      </c>
      <c r="R14" s="595">
        <f t="shared" si="4"/>
        <v>468.29268292682929</v>
      </c>
      <c r="S14" s="55">
        <f t="shared" si="5"/>
        <v>1.3000000000000007</v>
      </c>
      <c r="T14" s="41">
        <v>19.2</v>
      </c>
      <c r="U14" s="774"/>
      <c r="V14" s="775"/>
      <c r="W14" s="137">
        <f t="shared" si="9"/>
        <v>41.5</v>
      </c>
      <c r="X14" s="233">
        <f t="shared" si="10"/>
        <v>46124.497991967881</v>
      </c>
      <c r="Y14" s="136">
        <f t="shared" si="11"/>
        <v>4.8333333333333561E-2</v>
      </c>
      <c r="Z14" s="53">
        <f t="shared" si="12"/>
        <v>1.914166666666667</v>
      </c>
      <c r="AA14" s="365"/>
      <c r="AC14" s="1"/>
    </row>
    <row r="15" spans="1:31" x14ac:dyDescent="0.2">
      <c r="A15" s="415">
        <v>2002</v>
      </c>
      <c r="B15" s="127">
        <v>4</v>
      </c>
      <c r="C15" s="417">
        <v>2</v>
      </c>
      <c r="D15" s="64">
        <f t="shared" si="6"/>
        <v>44</v>
      </c>
      <c r="E15" s="732">
        <v>577</v>
      </c>
      <c r="F15" s="732">
        <v>490.5</v>
      </c>
      <c r="G15" s="728">
        <v>54100</v>
      </c>
      <c r="H15" s="599">
        <f t="shared" si="0"/>
        <v>2.3079999999999998</v>
      </c>
      <c r="I15" s="599">
        <f t="shared" si="1"/>
        <v>1.962</v>
      </c>
      <c r="J15" s="600">
        <f t="shared" si="2"/>
        <v>0.21640000000000001</v>
      </c>
      <c r="K15" s="61">
        <f t="shared" si="7"/>
        <v>43</v>
      </c>
      <c r="L15" s="190">
        <f t="shared" si="3"/>
        <v>439.53488372093022</v>
      </c>
      <c r="M15" s="59">
        <f t="shared" si="8"/>
        <v>-0.20000000000000284</v>
      </c>
      <c r="N15" s="216">
        <v>18.899999999999999</v>
      </c>
      <c r="O15" s="767"/>
      <c r="P15" s="773"/>
      <c r="Q15" s="222">
        <f t="shared" si="13"/>
        <v>42</v>
      </c>
      <c r="R15" s="595">
        <f t="shared" si="4"/>
        <v>480.95238095238096</v>
      </c>
      <c r="S15" s="55">
        <f t="shared" si="5"/>
        <v>1</v>
      </c>
      <c r="T15" s="41">
        <v>20.2</v>
      </c>
      <c r="U15" s="774"/>
      <c r="V15" s="775"/>
      <c r="W15" s="137">
        <f t="shared" si="9"/>
        <v>43</v>
      </c>
      <c r="X15" s="233">
        <f t="shared" si="10"/>
        <v>45213.178294573649</v>
      </c>
      <c r="Y15" s="136">
        <f t="shared" si="11"/>
        <v>2.9999999999999805E-2</v>
      </c>
      <c r="Z15" s="53">
        <f t="shared" si="12"/>
        <v>1.9441666666666668</v>
      </c>
      <c r="AA15" s="365"/>
      <c r="AC15" s="1"/>
    </row>
    <row r="16" spans="1:31" x14ac:dyDescent="0.2">
      <c r="A16" s="415">
        <v>2003</v>
      </c>
      <c r="B16" s="764">
        <v>2</v>
      </c>
      <c r="C16" s="418">
        <v>-4</v>
      </c>
      <c r="D16" s="64">
        <f t="shared" si="6"/>
        <v>40</v>
      </c>
      <c r="E16" s="732">
        <v>166.5</v>
      </c>
      <c r="F16" s="732">
        <v>171</v>
      </c>
      <c r="G16" s="728">
        <v>16850</v>
      </c>
      <c r="H16" s="599">
        <f t="shared" si="0"/>
        <v>0.33300000000000002</v>
      </c>
      <c r="I16" s="599">
        <f t="shared" si="1"/>
        <v>0.34200000000000003</v>
      </c>
      <c r="J16" s="600">
        <f t="shared" si="2"/>
        <v>3.3700000000000001E-2</v>
      </c>
      <c r="K16" s="61">
        <f t="shared" si="7"/>
        <v>42</v>
      </c>
      <c r="L16" s="598">
        <f t="shared" si="3"/>
        <v>454.76190476190476</v>
      </c>
      <c r="M16" s="196">
        <f t="shared" si="8"/>
        <v>0.20000000000000284</v>
      </c>
      <c r="N16" s="217">
        <v>19.100000000000001</v>
      </c>
      <c r="O16" s="767"/>
      <c r="P16" s="773"/>
      <c r="Q16" s="223">
        <f t="shared" si="13"/>
        <v>44</v>
      </c>
      <c r="R16" s="596">
        <f t="shared" si="4"/>
        <v>443.18181818181819</v>
      </c>
      <c r="S16" s="197">
        <f t="shared" si="5"/>
        <v>-0.69999999999999929</v>
      </c>
      <c r="T16" s="198">
        <v>19.5</v>
      </c>
      <c r="U16" s="776"/>
      <c r="V16" s="775"/>
      <c r="W16" s="199">
        <f t="shared" si="9"/>
        <v>42</v>
      </c>
      <c r="X16" s="233">
        <f t="shared" si="10"/>
        <v>45873.01587301588</v>
      </c>
      <c r="Y16" s="200">
        <f t="shared" si="11"/>
        <v>-1.7499999999999849E-2</v>
      </c>
      <c r="Z16" s="53">
        <f t="shared" si="12"/>
        <v>1.926666666666667</v>
      </c>
      <c r="AA16" s="365"/>
    </row>
    <row r="17" spans="1:204" x14ac:dyDescent="0.2">
      <c r="A17" s="415">
        <v>2004</v>
      </c>
      <c r="B17" s="764">
        <v>1</v>
      </c>
      <c r="C17" s="418">
        <v>-6</v>
      </c>
      <c r="D17" s="64">
        <f t="shared" si="6"/>
        <v>34</v>
      </c>
      <c r="E17" s="732">
        <v>652</v>
      </c>
      <c r="F17" s="732">
        <v>627</v>
      </c>
      <c r="G17" s="728">
        <v>64949.999999999993</v>
      </c>
      <c r="H17" s="599">
        <f t="shared" si="0"/>
        <v>0.65200000000000002</v>
      </c>
      <c r="I17" s="599">
        <f t="shared" si="1"/>
        <v>0.627</v>
      </c>
      <c r="J17" s="600">
        <f t="shared" si="2"/>
        <v>6.4949999999999994E-2</v>
      </c>
      <c r="K17" s="61">
        <f t="shared" si="7"/>
        <v>37</v>
      </c>
      <c r="L17" s="598">
        <f t="shared" si="3"/>
        <v>510.81081081081084</v>
      </c>
      <c r="M17" s="196">
        <f t="shared" si="8"/>
        <v>-0.20000000000000284</v>
      </c>
      <c r="N17" s="217">
        <v>18.899999999999999</v>
      </c>
      <c r="O17" s="767"/>
      <c r="P17" s="773"/>
      <c r="Q17" s="223">
        <f>+D16</f>
        <v>40</v>
      </c>
      <c r="R17" s="596">
        <f t="shared" si="4"/>
        <v>427.5</v>
      </c>
      <c r="S17" s="197">
        <f t="shared" si="5"/>
        <v>-2.3999999999999986</v>
      </c>
      <c r="T17" s="198">
        <v>17.100000000000001</v>
      </c>
      <c r="U17" s="776"/>
      <c r="V17" s="775"/>
      <c r="W17" s="199">
        <f t="shared" si="9"/>
        <v>37</v>
      </c>
      <c r="X17" s="233">
        <f t="shared" si="10"/>
        <v>49054.054054054046</v>
      </c>
      <c r="Y17" s="200">
        <f t="shared" si="11"/>
        <v>-0.11166666666666725</v>
      </c>
      <c r="Z17" s="53">
        <f t="shared" si="12"/>
        <v>1.8149999999999997</v>
      </c>
      <c r="AA17" s="365"/>
    </row>
    <row r="18" spans="1:204" x14ac:dyDescent="0.2">
      <c r="A18" s="415">
        <f>+A17+1</f>
        <v>2005</v>
      </c>
      <c r="B18" s="764">
        <v>1</v>
      </c>
      <c r="C18" s="418">
        <v>-2</v>
      </c>
      <c r="D18" s="64">
        <f t="shared" si="6"/>
        <v>32</v>
      </c>
      <c r="E18" s="732">
        <v>3196.6</v>
      </c>
      <c r="F18" s="732">
        <v>2997</v>
      </c>
      <c r="G18" s="728">
        <v>317664</v>
      </c>
      <c r="H18" s="599">
        <f t="shared" si="0"/>
        <v>3.1966000000000001</v>
      </c>
      <c r="I18" s="599">
        <f t="shared" si="1"/>
        <v>2.9969999999999999</v>
      </c>
      <c r="J18" s="600">
        <f t="shared" si="2"/>
        <v>0.317664</v>
      </c>
      <c r="K18" s="61">
        <f t="shared" si="7"/>
        <v>33</v>
      </c>
      <c r="L18" s="598">
        <f t="shared" si="3"/>
        <v>536.36363636363637</v>
      </c>
      <c r="M18" s="196">
        <f t="shared" ref="M18:M37" si="14">+N18-N17</f>
        <v>-1.1999999999999993</v>
      </c>
      <c r="N18" s="217">
        <v>17.7</v>
      </c>
      <c r="O18" s="226">
        <v>5.2</v>
      </c>
      <c r="P18" s="424">
        <v>91</v>
      </c>
      <c r="Q18" s="223">
        <f t="shared" ref="Q18:Q37" si="15">+D17</f>
        <v>34</v>
      </c>
      <c r="R18" s="596">
        <f t="shared" si="4"/>
        <v>452.94117647058823</v>
      </c>
      <c r="S18" s="197">
        <f t="shared" ref="S18:S37" si="16">+T18-T17</f>
        <v>-1.7000000000000011</v>
      </c>
      <c r="T18" s="198">
        <v>15.4</v>
      </c>
      <c r="U18" s="425">
        <v>0</v>
      </c>
      <c r="V18" s="193">
        <v>33</v>
      </c>
      <c r="W18" s="199">
        <f t="shared" si="9"/>
        <v>33</v>
      </c>
      <c r="X18" s="233">
        <f t="shared" si="10"/>
        <v>50732.323232323222</v>
      </c>
      <c r="Y18" s="200">
        <f t="shared" si="11"/>
        <v>-0.14083333333333337</v>
      </c>
      <c r="Z18" s="53">
        <f t="shared" si="12"/>
        <v>1.6741666666666664</v>
      </c>
      <c r="AA18" s="365"/>
    </row>
    <row r="19" spans="1:204" s="201" customFormat="1" ht="13.5" thickBot="1" x14ac:dyDescent="0.25">
      <c r="A19" s="415">
        <f t="shared" ref="A19:A38" si="17">+A18+1</f>
        <v>2006</v>
      </c>
      <c r="B19" s="127">
        <v>0</v>
      </c>
      <c r="C19" s="419">
        <v>0</v>
      </c>
      <c r="D19" s="64">
        <f t="shared" si="6"/>
        <v>32</v>
      </c>
      <c r="E19" s="732">
        <v>0</v>
      </c>
      <c r="F19" s="732">
        <v>0</v>
      </c>
      <c r="G19" s="728">
        <v>0</v>
      </c>
      <c r="H19" s="599">
        <f t="shared" si="0"/>
        <v>0</v>
      </c>
      <c r="I19" s="599">
        <f t="shared" si="1"/>
        <v>0</v>
      </c>
      <c r="J19" s="600">
        <f t="shared" si="2"/>
        <v>0</v>
      </c>
      <c r="K19" s="61">
        <f t="shared" si="7"/>
        <v>32</v>
      </c>
      <c r="L19" s="190">
        <f t="shared" si="3"/>
        <v>518.75</v>
      </c>
      <c r="M19" s="59">
        <f t="shared" si="14"/>
        <v>-1.0999999999999979</v>
      </c>
      <c r="N19" s="765">
        <v>16.600000000000001</v>
      </c>
      <c r="O19" s="226">
        <v>0</v>
      </c>
      <c r="P19" s="424">
        <v>92</v>
      </c>
      <c r="Q19" s="222">
        <f>+D18</f>
        <v>32</v>
      </c>
      <c r="R19" s="595">
        <f t="shared" si="4"/>
        <v>512.5</v>
      </c>
      <c r="S19" s="55">
        <f t="shared" si="16"/>
        <v>0.99999999999999822</v>
      </c>
      <c r="T19" s="41">
        <v>16.399999999999999</v>
      </c>
      <c r="U19" s="294">
        <v>0</v>
      </c>
      <c r="V19" s="193">
        <v>40</v>
      </c>
      <c r="W19" s="137">
        <f t="shared" si="9"/>
        <v>32</v>
      </c>
      <c r="X19" s="233">
        <f t="shared" si="10"/>
        <v>51614.583333333343</v>
      </c>
      <c r="Y19" s="136">
        <f t="shared" si="11"/>
        <v>-2.2499999999999298E-2</v>
      </c>
      <c r="Z19" s="53">
        <f t="shared" si="12"/>
        <v>1.6516666666666671</v>
      </c>
      <c r="AA19" s="365"/>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row>
    <row r="20" spans="1:204" x14ac:dyDescent="0.2">
      <c r="A20" s="415">
        <f t="shared" si="17"/>
        <v>2007</v>
      </c>
      <c r="B20" s="127">
        <v>9</v>
      </c>
      <c r="C20" s="417">
        <v>9</v>
      </c>
      <c r="D20" s="64">
        <f t="shared" si="6"/>
        <v>41</v>
      </c>
      <c r="E20" s="732">
        <v>555.78</v>
      </c>
      <c r="F20" s="732">
        <v>510.44</v>
      </c>
      <c r="G20" s="728">
        <v>55124</v>
      </c>
      <c r="H20" s="599">
        <f t="shared" si="0"/>
        <v>5.0020199999999999</v>
      </c>
      <c r="I20" s="599">
        <f t="shared" si="1"/>
        <v>4.59396</v>
      </c>
      <c r="J20" s="600">
        <f t="shared" si="2"/>
        <v>0.496116</v>
      </c>
      <c r="K20" s="61">
        <f t="shared" si="7"/>
        <v>36.5</v>
      </c>
      <c r="L20" s="190">
        <f>+N20/K20*1000</f>
        <v>454.79452054794524</v>
      </c>
      <c r="M20" s="59">
        <f t="shared" si="14"/>
        <v>0</v>
      </c>
      <c r="N20" s="766">
        <v>16.600000000000001</v>
      </c>
      <c r="O20" s="226">
        <v>0</v>
      </c>
      <c r="P20" s="424">
        <v>94</v>
      </c>
      <c r="Q20" s="222">
        <f t="shared" si="15"/>
        <v>32</v>
      </c>
      <c r="R20" s="595">
        <f>+T20/Q20*1000</f>
        <v>528.125</v>
      </c>
      <c r="S20" s="55">
        <f t="shared" si="16"/>
        <v>0.5</v>
      </c>
      <c r="T20" s="198">
        <v>16.899999999999999</v>
      </c>
      <c r="U20" s="294">
        <v>0</v>
      </c>
      <c r="V20" s="193">
        <v>41</v>
      </c>
      <c r="W20" s="137">
        <f t="shared" si="9"/>
        <v>36.5</v>
      </c>
      <c r="X20" s="24">
        <f t="shared" si="10"/>
        <v>45821.917808219187</v>
      </c>
      <c r="Y20" s="374">
        <f t="shared" si="11"/>
        <v>2.0833333333333259E-2</v>
      </c>
      <c r="Z20" s="53">
        <f t="shared" si="12"/>
        <v>1.6725000000000003</v>
      </c>
      <c r="AA20" s="365"/>
    </row>
    <row r="21" spans="1:204" x14ac:dyDescent="0.2">
      <c r="A21" s="415">
        <f t="shared" si="17"/>
        <v>2008</v>
      </c>
      <c r="B21" s="127">
        <v>38</v>
      </c>
      <c r="C21" s="417">
        <v>38</v>
      </c>
      <c r="D21" s="64">
        <f t="shared" si="6"/>
        <v>79</v>
      </c>
      <c r="E21" s="732">
        <v>463.26</v>
      </c>
      <c r="F21" s="732">
        <v>436.85</v>
      </c>
      <c r="G21" s="728">
        <v>46062</v>
      </c>
      <c r="H21" s="599">
        <f>+$B21*E21/1000</f>
        <v>17.60388</v>
      </c>
      <c r="I21" s="599">
        <f>+$B21*F21/1000</f>
        <v>16.600300000000001</v>
      </c>
      <c r="J21" s="600">
        <f>+$B21*G21/1000000</f>
        <v>1.750356</v>
      </c>
      <c r="K21" s="61">
        <f t="shared" si="7"/>
        <v>60</v>
      </c>
      <c r="L21" s="190">
        <f t="shared" ref="L21:L40" si="18">+N21/K21*1000</f>
        <v>276.66666666666669</v>
      </c>
      <c r="M21" s="59">
        <f t="shared" si="14"/>
        <v>0</v>
      </c>
      <c r="N21" s="766">
        <v>16.600000000000001</v>
      </c>
      <c r="O21" s="226">
        <v>0</v>
      </c>
      <c r="P21" s="424">
        <v>96</v>
      </c>
      <c r="Q21" s="222">
        <f t="shared" si="15"/>
        <v>41</v>
      </c>
      <c r="R21" s="595">
        <f t="shared" ref="R21:R40" si="19">+T21/Q21*1000</f>
        <v>556.09756097560978</v>
      </c>
      <c r="S21" s="55">
        <f t="shared" si="16"/>
        <v>5.9000000000000021</v>
      </c>
      <c r="T21" s="198">
        <v>22.8</v>
      </c>
      <c r="U21" s="294">
        <v>0</v>
      </c>
      <c r="V21" s="193">
        <v>30</v>
      </c>
      <c r="W21" s="137">
        <f t="shared" si="9"/>
        <v>60</v>
      </c>
      <c r="X21" s="233">
        <f t="shared" si="10"/>
        <v>31972.222222222223</v>
      </c>
      <c r="Y21" s="136">
        <f t="shared" si="11"/>
        <v>0.2458333333333329</v>
      </c>
      <c r="Z21" s="53">
        <f t="shared" si="12"/>
        <v>1.9183333333333332</v>
      </c>
      <c r="AA21" s="365"/>
    </row>
    <row r="22" spans="1:204" x14ac:dyDescent="0.2">
      <c r="A22" s="762">
        <f t="shared" si="17"/>
        <v>2009</v>
      </c>
      <c r="B22" s="127">
        <v>5</v>
      </c>
      <c r="C22" s="417">
        <v>5</v>
      </c>
      <c r="D22" s="187">
        <f t="shared" si="6"/>
        <v>84</v>
      </c>
      <c r="E22" s="732">
        <v>200.85714285714286</v>
      </c>
      <c r="F22" s="732">
        <v>199.24</v>
      </c>
      <c r="G22" s="728">
        <v>20069.542857142857</v>
      </c>
      <c r="H22" s="599">
        <f t="shared" ref="H22:H42" si="20">+$B22*E22/1000</f>
        <v>1.0042857142857142</v>
      </c>
      <c r="I22" s="599">
        <f t="shared" ref="I22:I42" si="21">+$B22*F22/1000</f>
        <v>0.99620000000000009</v>
      </c>
      <c r="J22" s="600">
        <f t="shared" ref="J22:J42" si="22">+$B22*G22/1000000</f>
        <v>0.10034771428571429</v>
      </c>
      <c r="K22" s="61">
        <f t="shared" si="7"/>
        <v>81.5</v>
      </c>
      <c r="L22" s="59">
        <f t="shared" si="18"/>
        <v>462.57668711656447</v>
      </c>
      <c r="M22" s="59">
        <f t="shared" si="14"/>
        <v>21.1</v>
      </c>
      <c r="N22" s="766">
        <v>37.700000000000003</v>
      </c>
      <c r="O22" s="569">
        <f>23/(1+'Conversion Factors'!F20)</f>
        <v>21.5962441314554</v>
      </c>
      <c r="P22" s="570">
        <v>93</v>
      </c>
      <c r="Q22" s="222">
        <f t="shared" si="15"/>
        <v>79</v>
      </c>
      <c r="R22" s="55">
        <f t="shared" si="19"/>
        <v>213.54430379746836</v>
      </c>
      <c r="S22" s="55">
        <f t="shared" si="16"/>
        <v>-5.93</v>
      </c>
      <c r="T22" s="198">
        <v>16.87</v>
      </c>
      <c r="U22" s="294">
        <v>0</v>
      </c>
      <c r="V22" s="193">
        <v>35</v>
      </c>
      <c r="W22" s="137">
        <f t="shared" si="9"/>
        <v>81.5</v>
      </c>
      <c r="X22" s="24">
        <f t="shared" si="10"/>
        <v>35608.384458077715</v>
      </c>
      <c r="Y22" s="374">
        <f t="shared" si="11"/>
        <v>0.98375000000000079</v>
      </c>
      <c r="Z22" s="53">
        <f t="shared" si="12"/>
        <v>2.902083333333334</v>
      </c>
      <c r="AA22" s="365"/>
      <c r="AB22" s="367"/>
      <c r="AC22" s="366"/>
    </row>
    <row r="23" spans="1:204" x14ac:dyDescent="0.2">
      <c r="A23" s="763">
        <f t="shared" si="17"/>
        <v>2010</v>
      </c>
      <c r="B23" s="127">
        <v>7</v>
      </c>
      <c r="C23" s="417">
        <v>7</v>
      </c>
      <c r="D23" s="187">
        <f t="shared" si="6"/>
        <v>91</v>
      </c>
      <c r="E23" s="732">
        <v>576</v>
      </c>
      <c r="F23" s="732">
        <v>523.57000000000005</v>
      </c>
      <c r="G23" s="728">
        <v>57076</v>
      </c>
      <c r="H23" s="599">
        <f t="shared" si="20"/>
        <v>4.032</v>
      </c>
      <c r="I23" s="599">
        <f t="shared" si="21"/>
        <v>3.6649900000000004</v>
      </c>
      <c r="J23" s="600">
        <f t="shared" si="22"/>
        <v>0.399532</v>
      </c>
      <c r="K23" s="61">
        <f t="shared" si="7"/>
        <v>87.5</v>
      </c>
      <c r="L23" s="59">
        <f t="shared" si="18"/>
        <v>430.85714285714289</v>
      </c>
      <c r="M23" s="59">
        <f t="shared" si="14"/>
        <v>0</v>
      </c>
      <c r="N23" s="766">
        <v>37.700000000000003</v>
      </c>
      <c r="O23" s="226">
        <v>0</v>
      </c>
      <c r="P23" s="593">
        <v>93</v>
      </c>
      <c r="Q23" s="597">
        <f t="shared" si="15"/>
        <v>84</v>
      </c>
      <c r="R23" s="55">
        <f t="shared" si="19"/>
        <v>448.80952380952385</v>
      </c>
      <c r="S23" s="55">
        <f t="shared" si="16"/>
        <v>20.830000000000002</v>
      </c>
      <c r="T23" s="198">
        <v>37.700000000000003</v>
      </c>
      <c r="U23" s="294">
        <v>0</v>
      </c>
      <c r="V23" s="193">
        <v>32</v>
      </c>
      <c r="W23" s="137">
        <f t="shared" ref="W23:W25" si="23">K23</f>
        <v>87.5</v>
      </c>
      <c r="X23" s="24">
        <f t="shared" ref="X23:X25" si="24">+(Z23*1000000)/W23</f>
        <v>43085.71428571429</v>
      </c>
      <c r="Y23" s="374">
        <f t="shared" ref="Y23:Y25" si="25">+Z23-Z22</f>
        <v>0.86791666666666645</v>
      </c>
      <c r="Z23" s="53">
        <f t="shared" ref="Z23:Z25" si="26">+((((T23*5)+(N23*7))/12)*100)/1000</f>
        <v>3.7700000000000005</v>
      </c>
      <c r="AA23" s="365"/>
      <c r="AB23" s="367"/>
      <c r="AC23" s="366"/>
    </row>
    <row r="24" spans="1:204" x14ac:dyDescent="0.2">
      <c r="A24" s="762">
        <f t="shared" si="17"/>
        <v>2011</v>
      </c>
      <c r="B24" s="127">
        <v>6</v>
      </c>
      <c r="C24" s="417">
        <v>3</v>
      </c>
      <c r="D24" s="187">
        <f t="shared" si="6"/>
        <v>94</v>
      </c>
      <c r="E24" s="732">
        <v>886.17</v>
      </c>
      <c r="F24" s="732">
        <v>847</v>
      </c>
      <c r="G24" s="728">
        <v>88225</v>
      </c>
      <c r="H24" s="599">
        <f t="shared" si="20"/>
        <v>5.3170199999999994</v>
      </c>
      <c r="I24" s="599">
        <f t="shared" si="21"/>
        <v>5.0819999999999999</v>
      </c>
      <c r="J24" s="600">
        <f t="shared" si="22"/>
        <v>0.52934999999999999</v>
      </c>
      <c r="K24" s="61">
        <f t="shared" si="7"/>
        <v>92.5</v>
      </c>
      <c r="L24" s="59">
        <f t="shared" si="18"/>
        <v>407.56756756756761</v>
      </c>
      <c r="M24" s="59">
        <f t="shared" si="14"/>
        <v>0</v>
      </c>
      <c r="N24" s="766">
        <v>37.700000000000003</v>
      </c>
      <c r="O24" s="226">
        <v>0</v>
      </c>
      <c r="P24" s="593">
        <v>92</v>
      </c>
      <c r="Q24" s="597">
        <f t="shared" si="15"/>
        <v>91</v>
      </c>
      <c r="R24" s="55">
        <f t="shared" si="19"/>
        <v>414.28571428571433</v>
      </c>
      <c r="S24" s="142">
        <f t="shared" si="16"/>
        <v>0</v>
      </c>
      <c r="T24" s="198">
        <v>37.700000000000003</v>
      </c>
      <c r="U24" s="294">
        <v>0</v>
      </c>
      <c r="V24" s="373">
        <v>36</v>
      </c>
      <c r="W24" s="137">
        <f t="shared" si="23"/>
        <v>92.5</v>
      </c>
      <c r="X24" s="24">
        <f t="shared" si="24"/>
        <v>40756.75675675676</v>
      </c>
      <c r="Y24" s="374">
        <f t="shared" si="25"/>
        <v>0</v>
      </c>
      <c r="Z24" s="53">
        <f t="shared" si="26"/>
        <v>3.7700000000000005</v>
      </c>
      <c r="AA24" s="365"/>
      <c r="AB24" s="367"/>
      <c r="AC24" s="366"/>
    </row>
    <row r="25" spans="1:204" x14ac:dyDescent="0.2">
      <c r="A25" s="762">
        <f t="shared" si="17"/>
        <v>2012</v>
      </c>
      <c r="B25" s="127">
        <v>2</v>
      </c>
      <c r="C25" s="417">
        <v>1</v>
      </c>
      <c r="D25" s="187">
        <f t="shared" si="6"/>
        <v>95</v>
      </c>
      <c r="E25" s="732">
        <v>506</v>
      </c>
      <c r="F25" s="732">
        <v>506</v>
      </c>
      <c r="G25" s="728">
        <v>50600</v>
      </c>
      <c r="H25" s="599">
        <f t="shared" si="20"/>
        <v>1.012</v>
      </c>
      <c r="I25" s="599">
        <f t="shared" si="21"/>
        <v>1.012</v>
      </c>
      <c r="J25" s="600">
        <f t="shared" si="22"/>
        <v>0.1012</v>
      </c>
      <c r="K25" s="61">
        <f t="shared" si="7"/>
        <v>94.5</v>
      </c>
      <c r="L25" s="59">
        <f t="shared" si="18"/>
        <v>508.26455026455022</v>
      </c>
      <c r="M25" s="59">
        <f t="shared" si="14"/>
        <v>10.330999999999996</v>
      </c>
      <c r="N25" s="594">
        <v>48.030999999999999</v>
      </c>
      <c r="O25" s="226">
        <v>0</v>
      </c>
      <c r="P25" s="593">
        <v>92</v>
      </c>
      <c r="Q25" s="597">
        <f t="shared" si="15"/>
        <v>94</v>
      </c>
      <c r="R25" s="55">
        <f t="shared" si="19"/>
        <v>484.87659574468091</v>
      </c>
      <c r="S25" s="142">
        <f t="shared" si="16"/>
        <v>7.8783999999999992</v>
      </c>
      <c r="T25" s="198">
        <v>45.578400000000002</v>
      </c>
      <c r="U25" s="294">
        <v>0</v>
      </c>
      <c r="V25" s="373">
        <v>36</v>
      </c>
      <c r="W25" s="137">
        <f t="shared" si="23"/>
        <v>94.5</v>
      </c>
      <c r="X25" s="24">
        <f t="shared" si="24"/>
        <v>49745.061728395056</v>
      </c>
      <c r="Y25" s="374">
        <f t="shared" si="25"/>
        <v>0.93090833333333212</v>
      </c>
      <c r="Z25" s="53">
        <f t="shared" si="26"/>
        <v>4.7009083333333326</v>
      </c>
      <c r="AA25" s="365"/>
      <c r="AB25" s="367"/>
      <c r="AC25" s="366"/>
    </row>
    <row r="26" spans="1:204" s="831" customFormat="1" x14ac:dyDescent="0.2">
      <c r="A26" s="762">
        <f t="shared" si="17"/>
        <v>2013</v>
      </c>
      <c r="B26" s="127">
        <v>6</v>
      </c>
      <c r="C26" s="417">
        <v>2</v>
      </c>
      <c r="D26" s="187">
        <f t="shared" si="6"/>
        <v>97</v>
      </c>
      <c r="E26" s="732">
        <v>324.47000000000003</v>
      </c>
      <c r="F26" s="732">
        <v>324.47000000000003</v>
      </c>
      <c r="G26" s="728">
        <v>32447</v>
      </c>
      <c r="H26" s="599">
        <f t="shared" si="20"/>
        <v>1.9468200000000002</v>
      </c>
      <c r="I26" s="599">
        <f t="shared" si="21"/>
        <v>1.9468200000000002</v>
      </c>
      <c r="J26" s="600">
        <f t="shared" si="22"/>
        <v>0.19468199999999999</v>
      </c>
      <c r="K26" s="61">
        <f t="shared" si="7"/>
        <v>96</v>
      </c>
      <c r="L26" s="59">
        <f t="shared" si="18"/>
        <v>493.74999999999994</v>
      </c>
      <c r="M26" s="59">
        <f t="shared" si="14"/>
        <v>-0.63100000000000023</v>
      </c>
      <c r="N26" s="226">
        <v>47.4</v>
      </c>
      <c r="O26" s="226">
        <v>0</v>
      </c>
      <c r="P26" s="593">
        <v>90</v>
      </c>
      <c r="Q26" s="597">
        <f t="shared" si="15"/>
        <v>95</v>
      </c>
      <c r="R26" s="55">
        <f t="shared" si="19"/>
        <v>505.26315789473688</v>
      </c>
      <c r="S26" s="55">
        <f t="shared" si="16"/>
        <v>2.421599999999998</v>
      </c>
      <c r="T26" s="41">
        <v>48</v>
      </c>
      <c r="U26" s="294">
        <v>0</v>
      </c>
      <c r="V26" s="932">
        <v>40</v>
      </c>
      <c r="W26" s="137">
        <f t="shared" si="9"/>
        <v>96</v>
      </c>
      <c r="X26" s="24">
        <f t="shared" si="10"/>
        <v>49635.416666666664</v>
      </c>
      <c r="Y26" s="374">
        <f t="shared" si="11"/>
        <v>6.4091666666667102E-2</v>
      </c>
      <c r="Z26" s="53">
        <f t="shared" si="12"/>
        <v>4.7649999999999997</v>
      </c>
      <c r="AA26" s="933"/>
      <c r="AB26" s="934"/>
      <c r="AC26" s="935"/>
    </row>
    <row r="27" spans="1:204" s="831" customFormat="1" x14ac:dyDescent="0.2">
      <c r="A27" s="762">
        <f t="shared" si="17"/>
        <v>2014</v>
      </c>
      <c r="B27" s="127">
        <v>2</v>
      </c>
      <c r="C27" s="417">
        <v>2</v>
      </c>
      <c r="D27" s="187">
        <f t="shared" si="6"/>
        <v>99</v>
      </c>
      <c r="E27" s="732">
        <v>485.5</v>
      </c>
      <c r="F27" s="732">
        <v>485.5</v>
      </c>
      <c r="G27" s="728">
        <v>48550</v>
      </c>
      <c r="H27" s="599">
        <f t="shared" si="20"/>
        <v>0.97099999999999997</v>
      </c>
      <c r="I27" s="599">
        <f t="shared" si="21"/>
        <v>0.97099999999999997</v>
      </c>
      <c r="J27" s="600">
        <f t="shared" si="22"/>
        <v>9.7100000000000006E-2</v>
      </c>
      <c r="K27" s="61">
        <f t="shared" si="7"/>
        <v>98</v>
      </c>
      <c r="L27" s="59">
        <f t="shared" si="18"/>
        <v>495.61224489795916</v>
      </c>
      <c r="M27" s="59">
        <f t="shared" si="14"/>
        <v>1.1700000000000017</v>
      </c>
      <c r="N27" s="226">
        <v>48.57</v>
      </c>
      <c r="O27" s="226">
        <v>0</v>
      </c>
      <c r="P27" s="593">
        <f>'RES Prime Time'!P27</f>
        <v>92</v>
      </c>
      <c r="Q27" s="597">
        <f t="shared" si="15"/>
        <v>97</v>
      </c>
      <c r="R27" s="55">
        <f t="shared" si="19"/>
        <v>554.2268041237113</v>
      </c>
      <c r="S27" s="55">
        <f t="shared" si="16"/>
        <v>5.759999999999998</v>
      </c>
      <c r="T27" s="41">
        <v>53.76</v>
      </c>
      <c r="U27" s="294">
        <v>0</v>
      </c>
      <c r="V27" s="932">
        <f>'RES Prime Time'!V27</f>
        <v>40</v>
      </c>
      <c r="W27" s="137">
        <f t="shared" si="9"/>
        <v>98</v>
      </c>
      <c r="X27" s="24">
        <f t="shared" si="10"/>
        <v>51767.85714285713</v>
      </c>
      <c r="Y27" s="374">
        <f t="shared" si="11"/>
        <v>0.30824999999999925</v>
      </c>
      <c r="Z27" s="53">
        <f t="shared" si="12"/>
        <v>5.0732499999999989</v>
      </c>
      <c r="AA27" s="933"/>
      <c r="AB27" s="934"/>
      <c r="AC27" s="935"/>
    </row>
    <row r="28" spans="1:204" s="831" customFormat="1" x14ac:dyDescent="0.2">
      <c r="A28" s="762">
        <f t="shared" si="17"/>
        <v>2015</v>
      </c>
      <c r="B28" s="127">
        <v>4</v>
      </c>
      <c r="C28" s="417">
        <v>-3</v>
      </c>
      <c r="D28" s="187">
        <f t="shared" si="6"/>
        <v>96</v>
      </c>
      <c r="E28" s="732">
        <f>E63</f>
        <v>860.74749999999995</v>
      </c>
      <c r="F28" s="732">
        <f t="shared" ref="F28:G28" si="27">F63</f>
        <v>860.74749999999995</v>
      </c>
      <c r="G28" s="728">
        <f t="shared" si="27"/>
        <v>86074.997499999998</v>
      </c>
      <c r="H28" s="599">
        <f t="shared" si="20"/>
        <v>3.44299</v>
      </c>
      <c r="I28" s="599">
        <f t="shared" si="21"/>
        <v>3.44299</v>
      </c>
      <c r="J28" s="600">
        <f t="shared" si="22"/>
        <v>0.34429999</v>
      </c>
      <c r="K28" s="61">
        <f t="shared" si="7"/>
        <v>97.5</v>
      </c>
      <c r="L28" s="59">
        <f t="shared" si="18"/>
        <v>561.06666666666672</v>
      </c>
      <c r="M28" s="59">
        <f t="shared" si="14"/>
        <v>6.1340000000000003</v>
      </c>
      <c r="N28" s="226">
        <v>54.704000000000001</v>
      </c>
      <c r="O28" s="226">
        <v>0</v>
      </c>
      <c r="P28" s="593">
        <v>92</v>
      </c>
      <c r="Q28" s="597">
        <f t="shared" si="15"/>
        <v>99</v>
      </c>
      <c r="R28" s="55">
        <f t="shared" si="19"/>
        <v>532.90707070707083</v>
      </c>
      <c r="S28" s="55">
        <f t="shared" si="16"/>
        <v>-1.0021999999999949</v>
      </c>
      <c r="T28" s="41">
        <v>52.757800000000003</v>
      </c>
      <c r="U28" s="294">
        <v>0</v>
      </c>
      <c r="V28" s="932">
        <v>36</v>
      </c>
      <c r="W28" s="137">
        <f t="shared" si="9"/>
        <v>97.5</v>
      </c>
      <c r="X28" s="24">
        <f t="shared" si="10"/>
        <v>55274.957264957258</v>
      </c>
      <c r="Y28" s="374">
        <f t="shared" si="11"/>
        <v>0.31605833333333422</v>
      </c>
      <c r="Z28" s="53">
        <f t="shared" si="12"/>
        <v>5.3893083333333331</v>
      </c>
      <c r="AA28" s="933"/>
      <c r="AB28" s="934"/>
      <c r="AC28" s="935"/>
    </row>
    <row r="29" spans="1:204" ht="13.5" thickBot="1" x14ac:dyDescent="0.25">
      <c r="A29" s="1251">
        <f t="shared" si="17"/>
        <v>2016</v>
      </c>
      <c r="B29" s="924">
        <v>0</v>
      </c>
      <c r="C29" s="925">
        <v>-5</v>
      </c>
      <c r="D29" s="895">
        <f t="shared" si="6"/>
        <v>91</v>
      </c>
      <c r="E29" s="926">
        <v>298</v>
      </c>
      <c r="F29" s="926">
        <v>298</v>
      </c>
      <c r="G29" s="1035">
        <v>29800</v>
      </c>
      <c r="H29" s="927">
        <f t="shared" si="20"/>
        <v>0</v>
      </c>
      <c r="I29" s="927">
        <f t="shared" si="21"/>
        <v>0</v>
      </c>
      <c r="J29" s="928">
        <f t="shared" si="22"/>
        <v>0</v>
      </c>
      <c r="K29" s="708">
        <f t="shared" si="7"/>
        <v>93.5</v>
      </c>
      <c r="L29" s="896">
        <f t="shared" si="18"/>
        <v>575.1344028520499</v>
      </c>
      <c r="M29" s="896">
        <f t="shared" si="14"/>
        <v>-0.92893333333333317</v>
      </c>
      <c r="N29" s="906">
        <f t="shared" ref="N29:N40" si="28">+((L28*(K29-C29))/1000)+(E29/1000*C29)</f>
        <v>53.775066666666667</v>
      </c>
      <c r="O29" s="906"/>
      <c r="P29" s="915"/>
      <c r="Q29" s="712">
        <f t="shared" si="15"/>
        <v>96</v>
      </c>
      <c r="R29" s="898">
        <f t="shared" si="19"/>
        <v>532.90707070707083</v>
      </c>
      <c r="S29" s="898">
        <f t="shared" si="16"/>
        <v>-1.5987212121212053</v>
      </c>
      <c r="T29" s="918">
        <f t="shared" ref="T29:T40" si="29">+((R28*(Q29-I29))/1000)+(K29/1000*I29)</f>
        <v>51.159078787878798</v>
      </c>
      <c r="U29" s="919"/>
      <c r="V29" s="929"/>
      <c r="W29" s="930">
        <f t="shared" si="9"/>
        <v>93.5</v>
      </c>
      <c r="X29" s="715">
        <f t="shared" si="10"/>
        <v>56347.67028574516</v>
      </c>
      <c r="Y29" s="931">
        <f t="shared" si="11"/>
        <v>-0.12080116161616061</v>
      </c>
      <c r="Z29" s="900">
        <f t="shared" si="12"/>
        <v>5.2685071717171725</v>
      </c>
      <c r="AA29" s="365"/>
      <c r="AB29" s="367"/>
      <c r="AC29" s="366"/>
    </row>
    <row r="30" spans="1:204" x14ac:dyDescent="0.2">
      <c r="A30" s="762">
        <f t="shared" si="17"/>
        <v>2017</v>
      </c>
      <c r="B30" s="288"/>
      <c r="C30" s="805">
        <v>1</v>
      </c>
      <c r="D30" s="802">
        <f t="shared" si="6"/>
        <v>92</v>
      </c>
      <c r="E30" s="729">
        <f t="shared" ref="E30:E54" si="30">+E29</f>
        <v>298</v>
      </c>
      <c r="F30" s="729">
        <f t="shared" ref="F30:F54" si="31">+F29</f>
        <v>298</v>
      </c>
      <c r="G30" s="368">
        <f t="shared" ref="G30:G54" si="32">+G29</f>
        <v>29800</v>
      </c>
      <c r="H30" s="599">
        <f t="shared" si="20"/>
        <v>0</v>
      </c>
      <c r="I30" s="599">
        <f t="shared" si="21"/>
        <v>0</v>
      </c>
      <c r="J30" s="600">
        <f t="shared" si="22"/>
        <v>0</v>
      </c>
      <c r="K30" s="61">
        <f t="shared" si="7"/>
        <v>91.5</v>
      </c>
      <c r="L30" s="59">
        <f t="shared" si="18"/>
        <v>572.10561156404935</v>
      </c>
      <c r="M30" s="139">
        <f t="shared" si="14"/>
        <v>-1.4274032085561501</v>
      </c>
      <c r="N30" s="266">
        <f t="shared" si="28"/>
        <v>52.347663458110517</v>
      </c>
      <c r="O30" s="139"/>
      <c r="P30" s="240"/>
      <c r="Q30" s="222">
        <f t="shared" si="15"/>
        <v>91</v>
      </c>
      <c r="R30" s="55">
        <f t="shared" si="19"/>
        <v>532.90707070707083</v>
      </c>
      <c r="S30" s="55">
        <f t="shared" si="16"/>
        <v>-2.6645353535353493</v>
      </c>
      <c r="T30" s="267">
        <f t="shared" si="29"/>
        <v>48.494543434343448</v>
      </c>
      <c r="U30" s="295"/>
      <c r="V30" s="300"/>
      <c r="W30" s="137">
        <f t="shared" si="9"/>
        <v>91.5</v>
      </c>
      <c r="X30" s="233">
        <f t="shared" si="10"/>
        <v>55455.952766711373</v>
      </c>
      <c r="Y30" s="136">
        <f t="shared" si="11"/>
        <v>-0.19428749356308206</v>
      </c>
      <c r="Z30" s="53">
        <f t="shared" si="12"/>
        <v>5.0742196781540905</v>
      </c>
      <c r="AA30" s="365"/>
      <c r="AB30" s="367"/>
      <c r="AC30" s="366"/>
    </row>
    <row r="31" spans="1:204" x14ac:dyDescent="0.2">
      <c r="A31" s="762">
        <f t="shared" si="17"/>
        <v>2018</v>
      </c>
      <c r="B31" s="288"/>
      <c r="C31" s="805">
        <v>1</v>
      </c>
      <c r="D31" s="802">
        <f t="shared" si="6"/>
        <v>93</v>
      </c>
      <c r="E31" s="729">
        <f t="shared" si="30"/>
        <v>298</v>
      </c>
      <c r="F31" s="729">
        <f t="shared" si="31"/>
        <v>298</v>
      </c>
      <c r="G31" s="368">
        <f t="shared" si="32"/>
        <v>29800</v>
      </c>
      <c r="H31" s="599">
        <f t="shared" si="20"/>
        <v>0</v>
      </c>
      <c r="I31" s="599">
        <f t="shared" si="21"/>
        <v>0</v>
      </c>
      <c r="J31" s="600">
        <f t="shared" si="22"/>
        <v>0</v>
      </c>
      <c r="K31" s="61">
        <f t="shared" si="7"/>
        <v>92.5</v>
      </c>
      <c r="L31" s="59">
        <f t="shared" si="18"/>
        <v>569.14230765524883</v>
      </c>
      <c r="M31" s="139">
        <f t="shared" si="14"/>
        <v>0.29800000000000182</v>
      </c>
      <c r="N31" s="266">
        <f t="shared" si="28"/>
        <v>52.645663458110519</v>
      </c>
      <c r="O31" s="139"/>
      <c r="P31" s="240"/>
      <c r="Q31" s="222">
        <f t="shared" si="15"/>
        <v>92</v>
      </c>
      <c r="R31" s="55">
        <f t="shared" si="19"/>
        <v>532.90707070707083</v>
      </c>
      <c r="S31" s="55">
        <f t="shared" si="16"/>
        <v>0.53290707070706844</v>
      </c>
      <c r="T31" s="267">
        <f t="shared" si="29"/>
        <v>49.027450505050517</v>
      </c>
      <c r="U31" s="295"/>
      <c r="V31" s="300"/>
      <c r="W31" s="137">
        <f t="shared" si="9"/>
        <v>92.5</v>
      </c>
      <c r="X31" s="233">
        <f t="shared" si="10"/>
        <v>55284.405110993357</v>
      </c>
      <c r="Y31" s="136">
        <f t="shared" si="11"/>
        <v>3.9587794612795157E-2</v>
      </c>
      <c r="Z31" s="53">
        <f t="shared" si="12"/>
        <v>5.1138074727668856</v>
      </c>
      <c r="AA31" s="365"/>
      <c r="AB31" s="367"/>
      <c r="AC31" s="366"/>
    </row>
    <row r="32" spans="1:204" x14ac:dyDescent="0.2">
      <c r="A32" s="762">
        <f t="shared" si="17"/>
        <v>2019</v>
      </c>
      <c r="B32" s="568"/>
      <c r="C32" s="805">
        <v>1</v>
      </c>
      <c r="D32" s="802">
        <f t="shared" si="6"/>
        <v>94</v>
      </c>
      <c r="E32" s="730">
        <f t="shared" si="30"/>
        <v>298</v>
      </c>
      <c r="F32" s="730">
        <f t="shared" si="31"/>
        <v>298</v>
      </c>
      <c r="G32" s="604">
        <f t="shared" si="32"/>
        <v>29800</v>
      </c>
      <c r="H32" s="599">
        <f t="shared" si="20"/>
        <v>0</v>
      </c>
      <c r="I32" s="599">
        <f t="shared" si="21"/>
        <v>0</v>
      </c>
      <c r="J32" s="600">
        <f t="shared" si="22"/>
        <v>0</v>
      </c>
      <c r="K32" s="61">
        <f t="shared" si="7"/>
        <v>93.5</v>
      </c>
      <c r="L32" s="59">
        <f t="shared" si="18"/>
        <v>566.2423899263157</v>
      </c>
      <c r="M32" s="139">
        <f t="shared" si="14"/>
        <v>0.29800000000000182</v>
      </c>
      <c r="N32" s="266">
        <f t="shared" si="28"/>
        <v>52.943663458110521</v>
      </c>
      <c r="O32" s="139"/>
      <c r="P32" s="240"/>
      <c r="Q32" s="222">
        <f t="shared" si="15"/>
        <v>93</v>
      </c>
      <c r="R32" s="55">
        <f t="shared" si="19"/>
        <v>532.90707070707083</v>
      </c>
      <c r="S32" s="55">
        <f t="shared" si="16"/>
        <v>0.53290707070707555</v>
      </c>
      <c r="T32" s="267">
        <f t="shared" si="29"/>
        <v>49.560357575757592</v>
      </c>
      <c r="U32" s="295"/>
      <c r="V32" s="300"/>
      <c r="W32" s="137">
        <f t="shared" si="9"/>
        <v>93.5</v>
      </c>
      <c r="X32" s="233">
        <f t="shared" si="10"/>
        <v>55116.526923846832</v>
      </c>
      <c r="Y32" s="136">
        <f t="shared" si="11"/>
        <v>3.9587794612793381E-2</v>
      </c>
      <c r="Z32" s="53">
        <f t="shared" si="12"/>
        <v>5.153395267379679</v>
      </c>
      <c r="AA32" s="365"/>
      <c r="AB32" s="367"/>
      <c r="AC32" s="366"/>
    </row>
    <row r="33" spans="1:29" x14ac:dyDescent="0.2">
      <c r="A33" s="283">
        <f t="shared" si="17"/>
        <v>2020</v>
      </c>
      <c r="B33" s="288"/>
      <c r="C33" s="805">
        <v>1</v>
      </c>
      <c r="D33" s="802">
        <f t="shared" si="6"/>
        <v>95</v>
      </c>
      <c r="E33" s="731">
        <f t="shared" si="30"/>
        <v>298</v>
      </c>
      <c r="F33" s="731">
        <f t="shared" si="31"/>
        <v>298</v>
      </c>
      <c r="G33" s="475">
        <f t="shared" si="32"/>
        <v>29800</v>
      </c>
      <c r="H33" s="599">
        <f t="shared" si="20"/>
        <v>0</v>
      </c>
      <c r="I33" s="599">
        <f t="shared" si="21"/>
        <v>0</v>
      </c>
      <c r="J33" s="600">
        <f t="shared" si="22"/>
        <v>0</v>
      </c>
      <c r="K33" s="61">
        <f t="shared" si="7"/>
        <v>94.5</v>
      </c>
      <c r="L33" s="59">
        <f t="shared" si="18"/>
        <v>563.40384611757156</v>
      </c>
      <c r="M33" s="139">
        <f t="shared" si="14"/>
        <v>0.29799999999999471</v>
      </c>
      <c r="N33" s="266">
        <f t="shared" si="28"/>
        <v>53.241663458110516</v>
      </c>
      <c r="O33" s="139"/>
      <c r="P33" s="240"/>
      <c r="Q33" s="222">
        <f t="shared" si="15"/>
        <v>94</v>
      </c>
      <c r="R33" s="55">
        <f t="shared" si="19"/>
        <v>532.90707070707083</v>
      </c>
      <c r="S33" s="55">
        <f t="shared" si="16"/>
        <v>0.53290707070706844</v>
      </c>
      <c r="T33" s="267">
        <f t="shared" si="29"/>
        <v>50.093264646464661</v>
      </c>
      <c r="U33" s="295"/>
      <c r="V33" s="300"/>
      <c r="W33" s="137">
        <f t="shared" si="9"/>
        <v>94.5</v>
      </c>
      <c r="X33" s="233">
        <f t="shared" si="10"/>
        <v>54952.201714206065</v>
      </c>
      <c r="Y33" s="136">
        <f t="shared" si="11"/>
        <v>3.9587794612794269E-2</v>
      </c>
      <c r="Z33" s="53">
        <f t="shared" si="12"/>
        <v>5.1929830619924733</v>
      </c>
      <c r="AA33" s="365"/>
      <c r="AB33" s="367"/>
      <c r="AC33" s="366"/>
    </row>
    <row r="34" spans="1:29" x14ac:dyDescent="0.2">
      <c r="A34" s="33">
        <f t="shared" si="17"/>
        <v>2021</v>
      </c>
      <c r="B34" s="288"/>
      <c r="C34" s="805">
        <v>1</v>
      </c>
      <c r="D34" s="802">
        <f t="shared" si="6"/>
        <v>96</v>
      </c>
      <c r="E34" s="731">
        <f t="shared" si="30"/>
        <v>298</v>
      </c>
      <c r="F34" s="731">
        <f t="shared" si="31"/>
        <v>298</v>
      </c>
      <c r="G34" s="475">
        <f t="shared" si="32"/>
        <v>29800</v>
      </c>
      <c r="H34" s="599">
        <f t="shared" si="20"/>
        <v>0</v>
      </c>
      <c r="I34" s="599">
        <f t="shared" si="21"/>
        <v>0</v>
      </c>
      <c r="J34" s="600">
        <f t="shared" si="22"/>
        <v>0</v>
      </c>
      <c r="K34" s="61">
        <f t="shared" si="7"/>
        <v>95.5</v>
      </c>
      <c r="L34" s="59">
        <f t="shared" si="18"/>
        <v>560.62474825246613</v>
      </c>
      <c r="M34" s="139">
        <f t="shared" si="14"/>
        <v>0.29799999999999471</v>
      </c>
      <c r="N34" s="266">
        <f t="shared" si="28"/>
        <v>53.53966345811051</v>
      </c>
      <c r="O34" s="139"/>
      <c r="P34" s="240"/>
      <c r="Q34" s="222">
        <f t="shared" si="15"/>
        <v>95</v>
      </c>
      <c r="R34" s="55">
        <f t="shared" si="19"/>
        <v>532.90707070707083</v>
      </c>
      <c r="S34" s="55">
        <f t="shared" si="16"/>
        <v>0.53290707070706844</v>
      </c>
      <c r="T34" s="267">
        <f t="shared" si="29"/>
        <v>50.626171717171729</v>
      </c>
      <c r="U34" s="295"/>
      <c r="V34" s="300"/>
      <c r="W34" s="137">
        <f t="shared" si="9"/>
        <v>95.5</v>
      </c>
      <c r="X34" s="233">
        <f t="shared" si="10"/>
        <v>54791.317870212239</v>
      </c>
      <c r="Y34" s="136">
        <f t="shared" si="11"/>
        <v>3.9587794612796046E-2</v>
      </c>
      <c r="Z34" s="53">
        <f t="shared" si="12"/>
        <v>5.2325708566052693</v>
      </c>
      <c r="AA34" s="365"/>
      <c r="AB34" s="367"/>
      <c r="AC34" s="366"/>
    </row>
    <row r="35" spans="1:29" x14ac:dyDescent="0.2">
      <c r="A35" s="33">
        <f t="shared" si="17"/>
        <v>2022</v>
      </c>
      <c r="B35" s="288"/>
      <c r="C35" s="805">
        <v>1</v>
      </c>
      <c r="D35" s="802">
        <f t="shared" si="6"/>
        <v>97</v>
      </c>
      <c r="E35" s="731">
        <f t="shared" si="30"/>
        <v>298</v>
      </c>
      <c r="F35" s="731">
        <f t="shared" si="31"/>
        <v>298</v>
      </c>
      <c r="G35" s="475">
        <f t="shared" si="32"/>
        <v>29800</v>
      </c>
      <c r="H35" s="599">
        <f t="shared" si="20"/>
        <v>0</v>
      </c>
      <c r="I35" s="599">
        <f t="shared" si="21"/>
        <v>0</v>
      </c>
      <c r="J35" s="600">
        <f t="shared" si="22"/>
        <v>0</v>
      </c>
      <c r="K35" s="61">
        <f t="shared" si="7"/>
        <v>96.5</v>
      </c>
      <c r="L35" s="59">
        <f t="shared" si="18"/>
        <v>557.90324827057532</v>
      </c>
      <c r="M35" s="139">
        <f t="shared" si="14"/>
        <v>0.29800000000000892</v>
      </c>
      <c r="N35" s="266">
        <f t="shared" si="28"/>
        <v>53.837663458110519</v>
      </c>
      <c r="O35" s="139"/>
      <c r="P35" s="240"/>
      <c r="Q35" s="222">
        <f t="shared" si="15"/>
        <v>96</v>
      </c>
      <c r="R35" s="55">
        <f t="shared" si="19"/>
        <v>532.90707070707083</v>
      </c>
      <c r="S35" s="55">
        <f t="shared" si="16"/>
        <v>0.53290707070706844</v>
      </c>
      <c r="T35" s="267">
        <f t="shared" si="29"/>
        <v>51.159078787878798</v>
      </c>
      <c r="U35" s="295"/>
      <c r="V35" s="300"/>
      <c r="W35" s="137">
        <f t="shared" si="9"/>
        <v>96.5</v>
      </c>
      <c r="X35" s="233">
        <f t="shared" si="10"/>
        <v>54633.768406404801</v>
      </c>
      <c r="Y35" s="136">
        <f t="shared" si="11"/>
        <v>3.9587794612794269E-2</v>
      </c>
      <c r="Z35" s="53">
        <f t="shared" si="12"/>
        <v>5.2721586512180636</v>
      </c>
      <c r="AA35" s="365"/>
      <c r="AB35" s="367"/>
      <c r="AC35" s="366"/>
    </row>
    <row r="36" spans="1:29" x14ac:dyDescent="0.2">
      <c r="A36" s="33">
        <f t="shared" si="17"/>
        <v>2023</v>
      </c>
      <c r="B36" s="288"/>
      <c r="C36" s="805">
        <v>1</v>
      </c>
      <c r="D36" s="802">
        <f t="shared" si="6"/>
        <v>98</v>
      </c>
      <c r="E36" s="731">
        <f t="shared" si="30"/>
        <v>298</v>
      </c>
      <c r="F36" s="731">
        <f t="shared" si="31"/>
        <v>298</v>
      </c>
      <c r="G36" s="475">
        <f t="shared" si="32"/>
        <v>29800</v>
      </c>
      <c r="H36" s="599">
        <f t="shared" si="20"/>
        <v>0</v>
      </c>
      <c r="I36" s="599">
        <f t="shared" si="21"/>
        <v>0</v>
      </c>
      <c r="J36" s="600">
        <f t="shared" si="22"/>
        <v>0</v>
      </c>
      <c r="K36" s="61">
        <f t="shared" si="7"/>
        <v>97.5</v>
      </c>
      <c r="L36" s="59">
        <f t="shared" si="18"/>
        <v>555.23757392933874</v>
      </c>
      <c r="M36" s="139">
        <f t="shared" si="14"/>
        <v>0.29800000000000182</v>
      </c>
      <c r="N36" s="266">
        <f t="shared" si="28"/>
        <v>54.135663458110521</v>
      </c>
      <c r="O36" s="139"/>
      <c r="P36" s="240"/>
      <c r="Q36" s="222">
        <f t="shared" si="15"/>
        <v>97</v>
      </c>
      <c r="R36" s="55">
        <f t="shared" si="19"/>
        <v>532.90707070707083</v>
      </c>
      <c r="S36" s="55">
        <f t="shared" si="16"/>
        <v>0.53290707070706844</v>
      </c>
      <c r="T36" s="267">
        <f t="shared" si="29"/>
        <v>51.691985858585866</v>
      </c>
      <c r="U36" s="295"/>
      <c r="V36" s="300"/>
      <c r="W36" s="137">
        <f t="shared" si="9"/>
        <v>97.5</v>
      </c>
      <c r="X36" s="233">
        <f t="shared" si="10"/>
        <v>54479.450726470342</v>
      </c>
      <c r="Y36" s="136">
        <f t="shared" si="11"/>
        <v>3.9587794612795157E-2</v>
      </c>
      <c r="Z36" s="53">
        <f t="shared" si="12"/>
        <v>5.3117464458308588</v>
      </c>
      <c r="AA36" s="365"/>
      <c r="AB36" s="367"/>
      <c r="AC36" s="366"/>
    </row>
    <row r="37" spans="1:29" x14ac:dyDescent="0.2">
      <c r="A37" s="11">
        <f t="shared" si="17"/>
        <v>2024</v>
      </c>
      <c r="B37" s="288"/>
      <c r="C37" s="805">
        <v>1</v>
      </c>
      <c r="D37" s="802">
        <f t="shared" si="6"/>
        <v>99</v>
      </c>
      <c r="E37" s="731">
        <f t="shared" si="30"/>
        <v>298</v>
      </c>
      <c r="F37" s="731">
        <f t="shared" si="31"/>
        <v>298</v>
      </c>
      <c r="G37" s="475">
        <f t="shared" si="32"/>
        <v>29800</v>
      </c>
      <c r="H37" s="599">
        <f t="shared" si="20"/>
        <v>0</v>
      </c>
      <c r="I37" s="599">
        <f t="shared" si="21"/>
        <v>0</v>
      </c>
      <c r="J37" s="600">
        <f t="shared" si="22"/>
        <v>0</v>
      </c>
      <c r="K37" s="61">
        <f t="shared" si="7"/>
        <v>98.5</v>
      </c>
      <c r="L37" s="59">
        <f t="shared" si="18"/>
        <v>552.62602495543683</v>
      </c>
      <c r="M37" s="139">
        <f t="shared" si="14"/>
        <v>0.29800000000000182</v>
      </c>
      <c r="N37" s="266">
        <f t="shared" si="28"/>
        <v>54.433663458110523</v>
      </c>
      <c r="O37" s="139"/>
      <c r="P37" s="240"/>
      <c r="Q37" s="222">
        <f t="shared" si="15"/>
        <v>98</v>
      </c>
      <c r="R37" s="55">
        <f t="shared" si="19"/>
        <v>532.90707070707083</v>
      </c>
      <c r="S37" s="55">
        <f t="shared" si="16"/>
        <v>0.53290707070707555</v>
      </c>
      <c r="T37" s="267">
        <f t="shared" si="29"/>
        <v>52.224892929292942</v>
      </c>
      <c r="U37" s="295"/>
      <c r="V37" s="300"/>
      <c r="W37" s="137">
        <f t="shared" si="9"/>
        <v>98.5</v>
      </c>
      <c r="X37" s="233">
        <f t="shared" si="10"/>
        <v>54328.266400443194</v>
      </c>
      <c r="Y37" s="136">
        <f t="shared" si="11"/>
        <v>3.9587794612795157E-2</v>
      </c>
      <c r="Z37" s="53">
        <f t="shared" si="12"/>
        <v>5.3513342404436539</v>
      </c>
      <c r="AA37" s="365"/>
      <c r="AB37" s="367"/>
      <c r="AC37" s="366"/>
    </row>
    <row r="38" spans="1:29" x14ac:dyDescent="0.2">
      <c r="A38" s="11">
        <f t="shared" si="17"/>
        <v>2025</v>
      </c>
      <c r="B38" s="288"/>
      <c r="C38" s="805">
        <v>1</v>
      </c>
      <c r="D38" s="802">
        <f t="shared" si="6"/>
        <v>100</v>
      </c>
      <c r="E38" s="731">
        <f t="shared" si="30"/>
        <v>298</v>
      </c>
      <c r="F38" s="731">
        <f t="shared" si="31"/>
        <v>298</v>
      </c>
      <c r="G38" s="475">
        <f t="shared" si="32"/>
        <v>29800</v>
      </c>
      <c r="H38" s="599">
        <f t="shared" si="20"/>
        <v>0</v>
      </c>
      <c r="I38" s="599">
        <f t="shared" si="21"/>
        <v>0</v>
      </c>
      <c r="J38" s="600">
        <f t="shared" si="22"/>
        <v>0</v>
      </c>
      <c r="K38" s="61">
        <f t="shared" si="7"/>
        <v>99.5</v>
      </c>
      <c r="L38" s="59">
        <f t="shared" si="18"/>
        <v>550.06696942824647</v>
      </c>
      <c r="M38" s="139">
        <f t="shared" ref="M38:M42" si="33">+N38-N37</f>
        <v>0.29800000000000182</v>
      </c>
      <c r="N38" s="266">
        <f t="shared" si="28"/>
        <v>54.731663458110525</v>
      </c>
      <c r="O38" s="139"/>
      <c r="P38" s="240"/>
      <c r="Q38" s="222">
        <f t="shared" ref="Q38:Q42" si="34">+D37</f>
        <v>99</v>
      </c>
      <c r="R38" s="55">
        <f t="shared" si="19"/>
        <v>532.90707070707083</v>
      </c>
      <c r="S38" s="55">
        <f t="shared" ref="S38:S42" si="35">+T38-T37</f>
        <v>0.53290707070706844</v>
      </c>
      <c r="T38" s="267">
        <f t="shared" si="29"/>
        <v>52.75780000000001</v>
      </c>
      <c r="U38" s="295"/>
      <c r="V38" s="300"/>
      <c r="W38" s="137">
        <f t="shared" ref="W38:W42" si="36">K38</f>
        <v>99.5</v>
      </c>
      <c r="X38" s="233">
        <f t="shared" si="10"/>
        <v>54180.120955341183</v>
      </c>
      <c r="Y38" s="136">
        <f t="shared" ref="Y38:Y42" si="37">+Z38-Z37</f>
        <v>3.9587794612793381E-2</v>
      </c>
      <c r="Z38" s="53">
        <f t="shared" si="12"/>
        <v>5.3909220350564473</v>
      </c>
      <c r="AA38" s="365"/>
      <c r="AB38" s="367"/>
      <c r="AC38" s="366"/>
    </row>
    <row r="39" spans="1:29" x14ac:dyDescent="0.2">
      <c r="A39" s="11">
        <f>+A38+1</f>
        <v>2026</v>
      </c>
      <c r="B39" s="288"/>
      <c r="C39" s="805">
        <v>1</v>
      </c>
      <c r="D39" s="802">
        <f t="shared" si="6"/>
        <v>101</v>
      </c>
      <c r="E39" s="731">
        <f t="shared" si="30"/>
        <v>298</v>
      </c>
      <c r="F39" s="731">
        <f t="shared" si="31"/>
        <v>298</v>
      </c>
      <c r="G39" s="475">
        <f t="shared" si="32"/>
        <v>29800</v>
      </c>
      <c r="H39" s="599">
        <f t="shared" si="20"/>
        <v>0</v>
      </c>
      <c r="I39" s="599">
        <f t="shared" si="21"/>
        <v>0</v>
      </c>
      <c r="J39" s="600">
        <f t="shared" si="22"/>
        <v>0</v>
      </c>
      <c r="K39" s="61">
        <f t="shared" si="7"/>
        <v>100.5</v>
      </c>
      <c r="L39" s="59">
        <f t="shared" si="18"/>
        <v>547.55884037920919</v>
      </c>
      <c r="M39" s="139">
        <f t="shared" si="33"/>
        <v>0.29800000000000182</v>
      </c>
      <c r="N39" s="266">
        <f t="shared" si="28"/>
        <v>55.029663458110527</v>
      </c>
      <c r="O39" s="139"/>
      <c r="P39" s="240"/>
      <c r="Q39" s="222">
        <f t="shared" si="34"/>
        <v>100</v>
      </c>
      <c r="R39" s="55">
        <f t="shared" si="19"/>
        <v>532.90707070707083</v>
      </c>
      <c r="S39" s="55">
        <f t="shared" si="35"/>
        <v>0.53290707070706844</v>
      </c>
      <c r="T39" s="267">
        <f t="shared" si="29"/>
        <v>53.290707070707079</v>
      </c>
      <c r="U39" s="295"/>
      <c r="V39" s="300"/>
      <c r="W39" s="137">
        <f t="shared" si="36"/>
        <v>100.5</v>
      </c>
      <c r="X39" s="233">
        <f t="shared" si="10"/>
        <v>54034.923678300933</v>
      </c>
      <c r="Y39" s="136">
        <f t="shared" si="37"/>
        <v>3.9587794612796046E-2</v>
      </c>
      <c r="Z39" s="53">
        <f t="shared" si="12"/>
        <v>5.4305098296692433</v>
      </c>
      <c r="AA39" s="365"/>
      <c r="AB39" s="367"/>
      <c r="AC39" s="366"/>
    </row>
    <row r="40" spans="1:29" x14ac:dyDescent="0.2">
      <c r="A40" s="11">
        <f>+A39+1</f>
        <v>2027</v>
      </c>
      <c r="B40" s="288"/>
      <c r="C40" s="805">
        <v>1</v>
      </c>
      <c r="D40" s="802">
        <f t="shared" si="6"/>
        <v>102</v>
      </c>
      <c r="E40" s="731">
        <f t="shared" si="30"/>
        <v>298</v>
      </c>
      <c r="F40" s="731">
        <f t="shared" si="31"/>
        <v>298</v>
      </c>
      <c r="G40" s="475">
        <f t="shared" si="32"/>
        <v>29800</v>
      </c>
      <c r="H40" s="599">
        <f t="shared" si="20"/>
        <v>0</v>
      </c>
      <c r="I40" s="599">
        <f t="shared" si="21"/>
        <v>0</v>
      </c>
      <c r="J40" s="600">
        <f t="shared" si="22"/>
        <v>0</v>
      </c>
      <c r="K40" s="61">
        <f t="shared" si="7"/>
        <v>101.5</v>
      </c>
      <c r="L40" s="59">
        <f t="shared" si="18"/>
        <v>545.10013259222205</v>
      </c>
      <c r="M40" s="139">
        <f t="shared" si="33"/>
        <v>0.29800000000000182</v>
      </c>
      <c r="N40" s="266">
        <f t="shared" si="28"/>
        <v>55.327663458110528</v>
      </c>
      <c r="O40" s="139"/>
      <c r="P40" s="240"/>
      <c r="Q40" s="222">
        <f t="shared" si="34"/>
        <v>101</v>
      </c>
      <c r="R40" s="55">
        <f t="shared" si="19"/>
        <v>532.90707070707083</v>
      </c>
      <c r="S40" s="55">
        <f t="shared" si="35"/>
        <v>0.53290707070707555</v>
      </c>
      <c r="T40" s="267">
        <f t="shared" si="29"/>
        <v>53.823614141414154</v>
      </c>
      <c r="U40" s="295"/>
      <c r="V40" s="300"/>
      <c r="W40" s="137">
        <f t="shared" si="36"/>
        <v>101.5</v>
      </c>
      <c r="X40" s="233">
        <f t="shared" si="10"/>
        <v>53892.587431350119</v>
      </c>
      <c r="Y40" s="136">
        <f t="shared" si="37"/>
        <v>3.9587794612793381E-2</v>
      </c>
      <c r="Z40" s="53">
        <f t="shared" si="12"/>
        <v>5.4700976242820367</v>
      </c>
      <c r="AA40" s="365"/>
      <c r="AB40" s="367"/>
      <c r="AC40" s="366"/>
    </row>
    <row r="41" spans="1:29" x14ac:dyDescent="0.2">
      <c r="A41" s="11">
        <f t="shared" ref="A41:A54" si="38">+A40+1</f>
        <v>2028</v>
      </c>
      <c r="B41" s="288"/>
      <c r="C41" s="805">
        <v>1</v>
      </c>
      <c r="D41" s="802">
        <f t="shared" si="6"/>
        <v>103</v>
      </c>
      <c r="E41" s="731">
        <f>+E40</f>
        <v>298</v>
      </c>
      <c r="F41" s="731">
        <f>+F40</f>
        <v>298</v>
      </c>
      <c r="G41" s="475">
        <f>+G40</f>
        <v>29800</v>
      </c>
      <c r="H41" s="599">
        <f t="shared" si="20"/>
        <v>0</v>
      </c>
      <c r="I41" s="599">
        <f t="shared" si="21"/>
        <v>0</v>
      </c>
      <c r="J41" s="600">
        <f t="shared" si="22"/>
        <v>0</v>
      </c>
      <c r="K41" s="61">
        <f t="shared" si="7"/>
        <v>102.5</v>
      </c>
      <c r="L41" s="59">
        <f>+N41/K41*1000</f>
        <v>542.68939959132229</v>
      </c>
      <c r="M41" s="139">
        <f t="shared" si="33"/>
        <v>0.29800000000000892</v>
      </c>
      <c r="N41" s="266">
        <f>+((L40*(K41-C41))/1000)+(E41/1000*C41)</f>
        <v>55.625663458110537</v>
      </c>
      <c r="O41" s="139"/>
      <c r="P41" s="240"/>
      <c r="Q41" s="222">
        <f t="shared" si="34"/>
        <v>102</v>
      </c>
      <c r="R41" s="55">
        <f>+T41/Q41*1000</f>
        <v>532.90707070707083</v>
      </c>
      <c r="S41" s="55">
        <f t="shared" si="35"/>
        <v>0.53290707070706844</v>
      </c>
      <c r="T41" s="267">
        <f>+((R40*(Q41-I41))/1000)+(K41/1000*I41)</f>
        <v>54.356521212121223</v>
      </c>
      <c r="U41" s="295"/>
      <c r="V41" s="300"/>
      <c r="W41" s="137">
        <f t="shared" si="36"/>
        <v>102.5</v>
      </c>
      <c r="X41" s="233">
        <f>+(Z41*1000000)/W41</f>
        <v>53753.028477022759</v>
      </c>
      <c r="Y41" s="136">
        <f t="shared" si="37"/>
        <v>3.9587794612796046E-2</v>
      </c>
      <c r="Z41" s="53">
        <f>+((((T41*5)+(N41*7))/12)*100)/1000</f>
        <v>5.5096854188948328</v>
      </c>
      <c r="AA41" s="365"/>
      <c r="AB41" s="367"/>
      <c r="AC41" s="366"/>
    </row>
    <row r="42" spans="1:29" x14ac:dyDescent="0.2">
      <c r="A42" s="11">
        <f t="shared" si="38"/>
        <v>2029</v>
      </c>
      <c r="B42" s="288"/>
      <c r="C42" s="805">
        <v>1</v>
      </c>
      <c r="D42" s="802">
        <f t="shared" si="6"/>
        <v>104</v>
      </c>
      <c r="E42" s="731">
        <f t="shared" si="30"/>
        <v>298</v>
      </c>
      <c r="F42" s="731">
        <f t="shared" si="31"/>
        <v>298</v>
      </c>
      <c r="G42" s="475">
        <f t="shared" si="32"/>
        <v>29800</v>
      </c>
      <c r="H42" s="599">
        <f t="shared" si="20"/>
        <v>0</v>
      </c>
      <c r="I42" s="599">
        <f t="shared" si="21"/>
        <v>0</v>
      </c>
      <c r="J42" s="600">
        <f t="shared" si="22"/>
        <v>0</v>
      </c>
      <c r="K42" s="61">
        <f t="shared" si="7"/>
        <v>103.5</v>
      </c>
      <c r="L42" s="59">
        <f>+N42/K42*1000</f>
        <v>540.32525080300036</v>
      </c>
      <c r="M42" s="139">
        <f t="shared" si="33"/>
        <v>0.29799999999999471</v>
      </c>
      <c r="N42" s="266">
        <f>+((L41*(K42-C42))/1000)+(E42/1000*C42)</f>
        <v>55.923663458110532</v>
      </c>
      <c r="O42" s="139"/>
      <c r="P42" s="240"/>
      <c r="Q42" s="222">
        <f t="shared" si="34"/>
        <v>103</v>
      </c>
      <c r="R42" s="55">
        <f>+T42/Q42*1000</f>
        <v>532.90707070707083</v>
      </c>
      <c r="S42" s="55">
        <f t="shared" si="35"/>
        <v>0.53290707070707555</v>
      </c>
      <c r="T42" s="267">
        <f>+((R41*(Q42-I42))/1000)+(K42/1000*I42)</f>
        <v>54.889428282828298</v>
      </c>
      <c r="U42" s="295"/>
      <c r="V42" s="300"/>
      <c r="W42" s="137">
        <f t="shared" si="36"/>
        <v>103.5</v>
      </c>
      <c r="X42" s="233">
        <f>+(Z42*1000000)/W42</f>
        <v>53616.166314083355</v>
      </c>
      <c r="Y42" s="136">
        <f t="shared" si="37"/>
        <v>3.9587794612794269E-2</v>
      </c>
      <c r="Z42" s="53">
        <f>+((((T42*5)+(N42*7))/12)*100)/1000</f>
        <v>5.549273213507627</v>
      </c>
      <c r="AA42" s="365"/>
      <c r="AB42" s="367"/>
      <c r="AC42" s="366"/>
    </row>
    <row r="43" spans="1:29" x14ac:dyDescent="0.2">
      <c r="A43" s="11">
        <f t="shared" si="38"/>
        <v>2030</v>
      </c>
      <c r="B43" s="288"/>
      <c r="C43" s="805">
        <v>1</v>
      </c>
      <c r="D43" s="802">
        <f t="shared" ref="D43:D47" si="39">D42+C43</f>
        <v>105</v>
      </c>
      <c r="E43" s="731">
        <f t="shared" si="30"/>
        <v>298</v>
      </c>
      <c r="F43" s="731">
        <f t="shared" si="31"/>
        <v>298</v>
      </c>
      <c r="G43" s="475">
        <f t="shared" si="32"/>
        <v>29800</v>
      </c>
      <c r="H43" s="599">
        <f t="shared" ref="H43:H47" si="40">+$B43*E43/1000</f>
        <v>0</v>
      </c>
      <c r="I43" s="599">
        <f t="shared" ref="I43:I47" si="41">+$B43*F43/1000</f>
        <v>0</v>
      </c>
      <c r="J43" s="600">
        <f t="shared" ref="J43:J47" si="42">+$B43*G43/1000000</f>
        <v>0</v>
      </c>
      <c r="K43" s="61">
        <f t="shared" ref="K43:K47" si="43">+(D43+D42)/2</f>
        <v>104.5</v>
      </c>
      <c r="L43" s="59">
        <f t="shared" ref="L43:L47" si="44">+N43/K43*1000</f>
        <v>538.00634888144066</v>
      </c>
      <c r="M43" s="139">
        <f t="shared" ref="M43:M47" si="45">+N43-N42</f>
        <v>0.29800000000000892</v>
      </c>
      <c r="N43" s="266">
        <f t="shared" ref="N43:N47" si="46">+((L42*(K43-C43))/1000)+(E43/1000*C43)</f>
        <v>56.221663458110541</v>
      </c>
      <c r="O43" s="139"/>
      <c r="P43" s="240"/>
      <c r="Q43" s="222">
        <f t="shared" ref="Q43:Q47" si="47">+D42</f>
        <v>104</v>
      </c>
      <c r="R43" s="55">
        <f t="shared" ref="R43:R47" si="48">+T43/Q43*1000</f>
        <v>532.90707070707083</v>
      </c>
      <c r="S43" s="55">
        <f t="shared" ref="S43:S47" si="49">+T43-T42</f>
        <v>0.53290707070706844</v>
      </c>
      <c r="T43" s="267">
        <f t="shared" ref="T43:T47" si="50">+((R42*(Q43-I43))/1000)+(K43/1000*I43)</f>
        <v>55.422335353535367</v>
      </c>
      <c r="U43" s="295"/>
      <c r="V43" s="300"/>
      <c r="W43" s="137">
        <f t="shared" ref="W43:W47" si="51">K43</f>
        <v>104.5</v>
      </c>
      <c r="X43" s="233">
        <f t="shared" ref="X43:X47" si="52">+(Z43*1000000)/W43</f>
        <v>53481.923522683464</v>
      </c>
      <c r="Y43" s="136">
        <f t="shared" ref="Y43:Y47" si="53">+Z43-Z42</f>
        <v>3.9587794612795157E-2</v>
      </c>
      <c r="Z43" s="53">
        <f t="shared" ref="Z43:Z47" si="54">+((((T43*5)+(N43*7))/12)*100)/1000</f>
        <v>5.5888610081204222</v>
      </c>
      <c r="AA43" s="365"/>
      <c r="AB43" s="367"/>
      <c r="AC43" s="366"/>
    </row>
    <row r="44" spans="1:29" x14ac:dyDescent="0.2">
      <c r="A44" s="11">
        <f t="shared" si="38"/>
        <v>2031</v>
      </c>
      <c r="B44" s="288"/>
      <c r="C44" s="805">
        <v>1</v>
      </c>
      <c r="D44" s="802">
        <f t="shared" si="39"/>
        <v>106</v>
      </c>
      <c r="E44" s="731">
        <f t="shared" si="30"/>
        <v>298</v>
      </c>
      <c r="F44" s="731">
        <f t="shared" si="31"/>
        <v>298</v>
      </c>
      <c r="G44" s="475">
        <f t="shared" si="32"/>
        <v>29800</v>
      </c>
      <c r="H44" s="599">
        <f t="shared" si="40"/>
        <v>0</v>
      </c>
      <c r="I44" s="599">
        <f t="shared" si="41"/>
        <v>0</v>
      </c>
      <c r="J44" s="600">
        <f t="shared" si="42"/>
        <v>0</v>
      </c>
      <c r="K44" s="61">
        <f t="shared" si="43"/>
        <v>105.5</v>
      </c>
      <c r="L44" s="59">
        <f t="shared" si="44"/>
        <v>535.73140718588195</v>
      </c>
      <c r="M44" s="139">
        <f t="shared" si="45"/>
        <v>0.29800000000000892</v>
      </c>
      <c r="N44" s="266">
        <f t="shared" si="46"/>
        <v>56.51966345811055</v>
      </c>
      <c r="O44" s="139"/>
      <c r="P44" s="240"/>
      <c r="Q44" s="222">
        <f t="shared" si="47"/>
        <v>105</v>
      </c>
      <c r="R44" s="55">
        <f t="shared" si="48"/>
        <v>532.90707070707083</v>
      </c>
      <c r="S44" s="55">
        <f t="shared" si="49"/>
        <v>0.53290707070706844</v>
      </c>
      <c r="T44" s="267">
        <f t="shared" si="50"/>
        <v>55.955242424242435</v>
      </c>
      <c r="U44" s="295"/>
      <c r="V44" s="300"/>
      <c r="W44" s="137">
        <f t="shared" si="51"/>
        <v>105.5</v>
      </c>
      <c r="X44" s="233">
        <f t="shared" si="52"/>
        <v>53350.22561832433</v>
      </c>
      <c r="Y44" s="136">
        <f t="shared" si="53"/>
        <v>3.9587794612794269E-2</v>
      </c>
      <c r="Z44" s="53">
        <f t="shared" si="54"/>
        <v>5.6284488027332165</v>
      </c>
      <c r="AA44" s="365"/>
      <c r="AB44" s="367"/>
      <c r="AC44" s="366"/>
    </row>
    <row r="45" spans="1:29" x14ac:dyDescent="0.2">
      <c r="A45" s="11">
        <f t="shared" si="38"/>
        <v>2032</v>
      </c>
      <c r="B45" s="288"/>
      <c r="C45" s="805">
        <v>1</v>
      </c>
      <c r="D45" s="802">
        <f t="shared" si="39"/>
        <v>107</v>
      </c>
      <c r="E45" s="731">
        <f t="shared" si="30"/>
        <v>298</v>
      </c>
      <c r="F45" s="731">
        <f t="shared" si="31"/>
        <v>298</v>
      </c>
      <c r="G45" s="475">
        <f t="shared" si="32"/>
        <v>29800</v>
      </c>
      <c r="H45" s="599">
        <f t="shared" si="40"/>
        <v>0</v>
      </c>
      <c r="I45" s="599">
        <f t="shared" si="41"/>
        <v>0</v>
      </c>
      <c r="J45" s="600">
        <f t="shared" si="42"/>
        <v>0</v>
      </c>
      <c r="K45" s="61">
        <f t="shared" si="43"/>
        <v>106.5</v>
      </c>
      <c r="L45" s="59">
        <f t="shared" si="44"/>
        <v>533.499187400099</v>
      </c>
      <c r="M45" s="139">
        <f t="shared" si="45"/>
        <v>0.29799999999999471</v>
      </c>
      <c r="N45" s="266">
        <f t="shared" si="46"/>
        <v>56.817663458110545</v>
      </c>
      <c r="O45" s="139"/>
      <c r="P45" s="240"/>
      <c r="Q45" s="222">
        <f t="shared" si="47"/>
        <v>106</v>
      </c>
      <c r="R45" s="55">
        <f t="shared" si="48"/>
        <v>532.90707070707083</v>
      </c>
      <c r="S45" s="55">
        <f t="shared" si="49"/>
        <v>0.53290707070707555</v>
      </c>
      <c r="T45" s="267">
        <f t="shared" si="50"/>
        <v>56.488149494949511</v>
      </c>
      <c r="U45" s="295"/>
      <c r="V45" s="300"/>
      <c r="W45" s="137">
        <f t="shared" si="51"/>
        <v>106.5</v>
      </c>
      <c r="X45" s="233">
        <f t="shared" si="52"/>
        <v>53221.000914047057</v>
      </c>
      <c r="Y45" s="136">
        <f t="shared" si="53"/>
        <v>3.9587794612795157E-2</v>
      </c>
      <c r="Z45" s="53">
        <f t="shared" si="54"/>
        <v>5.6680365973460116</v>
      </c>
      <c r="AA45" s="365"/>
      <c r="AB45" s="367"/>
      <c r="AC45" s="366"/>
    </row>
    <row r="46" spans="1:29" x14ac:dyDescent="0.2">
      <c r="A46" s="11">
        <f t="shared" si="38"/>
        <v>2033</v>
      </c>
      <c r="B46" s="288"/>
      <c r="C46" s="805">
        <v>1</v>
      </c>
      <c r="D46" s="802">
        <f t="shared" si="39"/>
        <v>108</v>
      </c>
      <c r="E46" s="731">
        <f t="shared" si="30"/>
        <v>298</v>
      </c>
      <c r="F46" s="731">
        <f t="shared" si="31"/>
        <v>298</v>
      </c>
      <c r="G46" s="475">
        <f t="shared" si="32"/>
        <v>29800</v>
      </c>
      <c r="H46" s="599">
        <f t="shared" si="40"/>
        <v>0</v>
      </c>
      <c r="I46" s="599">
        <f t="shared" si="41"/>
        <v>0</v>
      </c>
      <c r="J46" s="600">
        <f t="shared" si="42"/>
        <v>0</v>
      </c>
      <c r="K46" s="61">
        <f t="shared" si="43"/>
        <v>107.5</v>
      </c>
      <c r="L46" s="59">
        <f t="shared" si="44"/>
        <v>531.30849728474925</v>
      </c>
      <c r="M46" s="139">
        <f t="shared" si="45"/>
        <v>0.29800000000000182</v>
      </c>
      <c r="N46" s="266">
        <f t="shared" si="46"/>
        <v>57.115663458110546</v>
      </c>
      <c r="O46" s="139"/>
      <c r="P46" s="240"/>
      <c r="Q46" s="222">
        <f t="shared" si="47"/>
        <v>107</v>
      </c>
      <c r="R46" s="55">
        <f t="shared" si="48"/>
        <v>532.90707070707083</v>
      </c>
      <c r="S46" s="55">
        <f t="shared" si="49"/>
        <v>0.53290707070706844</v>
      </c>
      <c r="T46" s="267">
        <f t="shared" si="50"/>
        <v>57.021056565656579</v>
      </c>
      <c r="U46" s="295"/>
      <c r="V46" s="300"/>
      <c r="W46" s="137">
        <f t="shared" si="51"/>
        <v>107.5</v>
      </c>
      <c r="X46" s="233">
        <f t="shared" si="52"/>
        <v>53094.180390314476</v>
      </c>
      <c r="Y46" s="136">
        <f t="shared" si="53"/>
        <v>3.9587794612794269E-2</v>
      </c>
      <c r="Z46" s="53">
        <f t="shared" si="54"/>
        <v>5.7076243919588059</v>
      </c>
      <c r="AA46" s="365"/>
      <c r="AB46" s="367"/>
      <c r="AC46" s="366"/>
    </row>
    <row r="47" spans="1:29" x14ac:dyDescent="0.2">
      <c r="A47" s="11">
        <f t="shared" si="38"/>
        <v>2034</v>
      </c>
      <c r="B47" s="288"/>
      <c r="C47" s="805">
        <v>1</v>
      </c>
      <c r="D47" s="802">
        <f t="shared" si="39"/>
        <v>109</v>
      </c>
      <c r="E47" s="731">
        <f t="shared" si="30"/>
        <v>298</v>
      </c>
      <c r="F47" s="731">
        <f t="shared" si="31"/>
        <v>298</v>
      </c>
      <c r="G47" s="475">
        <f t="shared" si="32"/>
        <v>29800</v>
      </c>
      <c r="H47" s="599">
        <f t="shared" si="40"/>
        <v>0</v>
      </c>
      <c r="I47" s="599">
        <f t="shared" si="41"/>
        <v>0</v>
      </c>
      <c r="J47" s="600">
        <f t="shared" si="42"/>
        <v>0</v>
      </c>
      <c r="K47" s="61">
        <f t="shared" si="43"/>
        <v>108.5</v>
      </c>
      <c r="L47" s="59">
        <f t="shared" si="44"/>
        <v>529.15818855401426</v>
      </c>
      <c r="M47" s="139">
        <f t="shared" si="45"/>
        <v>0.29800000000000182</v>
      </c>
      <c r="N47" s="266">
        <f t="shared" si="46"/>
        <v>57.413663458110548</v>
      </c>
      <c r="O47" s="139"/>
      <c r="P47" s="240"/>
      <c r="Q47" s="222">
        <f t="shared" si="47"/>
        <v>108</v>
      </c>
      <c r="R47" s="55">
        <f t="shared" si="48"/>
        <v>532.90707070707083</v>
      </c>
      <c r="S47" s="55">
        <f t="shared" si="49"/>
        <v>0.53290707070707555</v>
      </c>
      <c r="T47" s="267">
        <f t="shared" si="50"/>
        <v>57.553963636363655</v>
      </c>
      <c r="U47" s="295"/>
      <c r="V47" s="300"/>
      <c r="W47" s="137">
        <f t="shared" si="51"/>
        <v>108.5</v>
      </c>
      <c r="X47" s="233">
        <f t="shared" si="52"/>
        <v>52969.697572088488</v>
      </c>
      <c r="Y47" s="136">
        <f t="shared" si="53"/>
        <v>3.9587794612795157E-2</v>
      </c>
      <c r="Z47" s="53">
        <f t="shared" si="54"/>
        <v>5.747212186571601</v>
      </c>
      <c r="AA47" s="365"/>
      <c r="AB47" s="367"/>
      <c r="AC47" s="366"/>
    </row>
    <row r="48" spans="1:29" x14ac:dyDescent="0.2">
      <c r="A48" s="11">
        <f t="shared" si="38"/>
        <v>2035</v>
      </c>
      <c r="B48" s="288">
        <f>B47</f>
        <v>0</v>
      </c>
      <c r="C48" s="805">
        <v>1</v>
      </c>
      <c r="D48" s="802">
        <f t="shared" ref="D48:D54" si="55">D47+C48</f>
        <v>110</v>
      </c>
      <c r="E48" s="731">
        <f t="shared" si="30"/>
        <v>298</v>
      </c>
      <c r="F48" s="731">
        <f t="shared" si="31"/>
        <v>298</v>
      </c>
      <c r="G48" s="805">
        <f t="shared" si="32"/>
        <v>29800</v>
      </c>
      <c r="H48" s="599">
        <f t="shared" ref="H48:H54" si="56">+$B48*E48/1000</f>
        <v>0</v>
      </c>
      <c r="I48" s="599">
        <f t="shared" ref="I48:I54" si="57">+$B48*F48/1000</f>
        <v>0</v>
      </c>
      <c r="J48" s="600">
        <f t="shared" ref="J48:J54" si="58">+$B48*G48/1000000</f>
        <v>0</v>
      </c>
      <c r="K48" s="61">
        <f t="shared" ref="K48:K54" si="59">+(D48+D47)/2</f>
        <v>109.5</v>
      </c>
      <c r="L48" s="59">
        <f t="shared" ref="L48:L54" si="60">+N48/K48*1000</f>
        <v>527.04715486858959</v>
      </c>
      <c r="M48" s="139">
        <f t="shared" ref="M48:M54" si="61">+N48-N47</f>
        <v>0.29800000000000182</v>
      </c>
      <c r="N48" s="266">
        <f t="shared" ref="N48:N54" si="62">+((L47*(K48-C48))/1000)+(E48/1000*C48)</f>
        <v>57.71166345811055</v>
      </c>
      <c r="O48" s="139"/>
      <c r="P48" s="240"/>
      <c r="Q48" s="222">
        <f t="shared" ref="Q48:Q54" si="63">+D47</f>
        <v>109</v>
      </c>
      <c r="R48" s="55">
        <f t="shared" ref="R48:R54" si="64">+T48/Q48*1000</f>
        <v>532.90707070707083</v>
      </c>
      <c r="S48" s="55">
        <f t="shared" ref="S48:S54" si="65">+T48-T47</f>
        <v>0.53290707070706134</v>
      </c>
      <c r="T48" s="267">
        <f t="shared" ref="T48:T54" si="66">+((R47*(Q48-I48))/1000)+(K48/1000*I48)</f>
        <v>58.086870707070716</v>
      </c>
      <c r="U48" s="295"/>
      <c r="V48" s="300"/>
      <c r="W48" s="137">
        <f t="shared" ref="W48:W54" si="67">K48</f>
        <v>109.5</v>
      </c>
      <c r="X48" s="233">
        <f t="shared" ref="X48:X54" si="68">+(Z48*1000000)/W48</f>
        <v>52847.488412642881</v>
      </c>
      <c r="Y48" s="136">
        <f t="shared" ref="Y48:Y54" si="69">+Z48-Z47</f>
        <v>3.9587794612794269E-2</v>
      </c>
      <c r="Z48" s="53">
        <f t="shared" ref="Z48:Z54" si="70">+((((T48*5)+(N48*7))/12)*100)/1000</f>
        <v>5.7867999811843953</v>
      </c>
      <c r="AA48" s="365"/>
      <c r="AB48" s="367"/>
      <c r="AC48" s="366"/>
    </row>
    <row r="49" spans="1:29" x14ac:dyDescent="0.2">
      <c r="A49" s="11">
        <f t="shared" si="38"/>
        <v>2036</v>
      </c>
      <c r="B49" s="288">
        <f t="shared" ref="B49:B54" si="71">B48</f>
        <v>0</v>
      </c>
      <c r="C49" s="805">
        <v>1</v>
      </c>
      <c r="D49" s="802">
        <f t="shared" si="55"/>
        <v>111</v>
      </c>
      <c r="E49" s="731">
        <f t="shared" si="30"/>
        <v>298</v>
      </c>
      <c r="F49" s="731">
        <f t="shared" si="31"/>
        <v>298</v>
      </c>
      <c r="G49" s="805">
        <f t="shared" si="32"/>
        <v>29800</v>
      </c>
      <c r="H49" s="599">
        <f t="shared" si="56"/>
        <v>0</v>
      </c>
      <c r="I49" s="599">
        <f t="shared" si="57"/>
        <v>0</v>
      </c>
      <c r="J49" s="600">
        <f t="shared" si="58"/>
        <v>0</v>
      </c>
      <c r="K49" s="61">
        <f t="shared" si="59"/>
        <v>110.5</v>
      </c>
      <c r="L49" s="59">
        <f t="shared" si="60"/>
        <v>524.9743299376521</v>
      </c>
      <c r="M49" s="139">
        <f t="shared" si="61"/>
        <v>0.29800000000001603</v>
      </c>
      <c r="N49" s="266">
        <f t="shared" si="62"/>
        <v>58.009663458110566</v>
      </c>
      <c r="O49" s="139"/>
      <c r="P49" s="240"/>
      <c r="Q49" s="222">
        <f t="shared" si="63"/>
        <v>110</v>
      </c>
      <c r="R49" s="55">
        <f t="shared" si="64"/>
        <v>532.90707070707083</v>
      </c>
      <c r="S49" s="55">
        <f t="shared" si="65"/>
        <v>0.53290707070707555</v>
      </c>
      <c r="T49" s="267">
        <f t="shared" si="66"/>
        <v>58.619777777777792</v>
      </c>
      <c r="U49" s="295"/>
      <c r="V49" s="300"/>
      <c r="W49" s="137">
        <f t="shared" si="67"/>
        <v>110.5</v>
      </c>
      <c r="X49" s="233">
        <f t="shared" si="68"/>
        <v>52727.491183684979</v>
      </c>
      <c r="Y49" s="136">
        <f t="shared" si="69"/>
        <v>3.9587794612795157E-2</v>
      </c>
      <c r="Z49" s="53">
        <f t="shared" si="70"/>
        <v>5.8263877757971905</v>
      </c>
      <c r="AA49" s="365"/>
      <c r="AB49" s="367"/>
      <c r="AC49" s="366"/>
    </row>
    <row r="50" spans="1:29" x14ac:dyDescent="0.2">
      <c r="A50" s="11">
        <f t="shared" si="38"/>
        <v>2037</v>
      </c>
      <c r="B50" s="288">
        <f t="shared" si="71"/>
        <v>0</v>
      </c>
      <c r="C50" s="805">
        <v>1</v>
      </c>
      <c r="D50" s="802">
        <f t="shared" si="55"/>
        <v>112</v>
      </c>
      <c r="E50" s="731">
        <f t="shared" si="30"/>
        <v>298</v>
      </c>
      <c r="F50" s="731">
        <f t="shared" si="31"/>
        <v>298</v>
      </c>
      <c r="G50" s="805">
        <f t="shared" si="32"/>
        <v>29800</v>
      </c>
      <c r="H50" s="599">
        <f t="shared" si="56"/>
        <v>0</v>
      </c>
      <c r="I50" s="599">
        <f t="shared" si="57"/>
        <v>0</v>
      </c>
      <c r="J50" s="600">
        <f t="shared" si="58"/>
        <v>0</v>
      </c>
      <c r="K50" s="61">
        <f t="shared" si="59"/>
        <v>111.5</v>
      </c>
      <c r="L50" s="59">
        <f t="shared" si="60"/>
        <v>522.93868572296469</v>
      </c>
      <c r="M50" s="139">
        <f t="shared" si="61"/>
        <v>0.29799999999998761</v>
      </c>
      <c r="N50" s="266">
        <f t="shared" si="62"/>
        <v>58.307663458110554</v>
      </c>
      <c r="O50" s="139"/>
      <c r="P50" s="240"/>
      <c r="Q50" s="222">
        <f t="shared" si="63"/>
        <v>111</v>
      </c>
      <c r="R50" s="55">
        <f t="shared" si="64"/>
        <v>532.90707070707083</v>
      </c>
      <c r="S50" s="55">
        <f t="shared" si="65"/>
        <v>0.53290707070706844</v>
      </c>
      <c r="T50" s="267">
        <f t="shared" si="66"/>
        <v>59.15268484848486</v>
      </c>
      <c r="U50" s="295"/>
      <c r="V50" s="300"/>
      <c r="W50" s="137">
        <f t="shared" si="67"/>
        <v>111.5</v>
      </c>
      <c r="X50" s="233">
        <f t="shared" si="68"/>
        <v>52609.646371390008</v>
      </c>
      <c r="Y50" s="136">
        <f t="shared" si="69"/>
        <v>3.9587794612796046E-2</v>
      </c>
      <c r="Z50" s="53">
        <f t="shared" si="70"/>
        <v>5.8659755704099865</v>
      </c>
      <c r="AA50" s="365"/>
      <c r="AB50" s="367"/>
      <c r="AC50" s="366"/>
    </row>
    <row r="51" spans="1:29" x14ac:dyDescent="0.2">
      <c r="A51" s="11">
        <f t="shared" si="38"/>
        <v>2038</v>
      </c>
      <c r="B51" s="288">
        <f t="shared" si="71"/>
        <v>0</v>
      </c>
      <c r="C51" s="805">
        <v>1</v>
      </c>
      <c r="D51" s="802">
        <f t="shared" si="55"/>
        <v>113</v>
      </c>
      <c r="E51" s="731">
        <f t="shared" si="30"/>
        <v>298</v>
      </c>
      <c r="F51" s="731">
        <f t="shared" si="31"/>
        <v>298</v>
      </c>
      <c r="G51" s="805">
        <f t="shared" si="32"/>
        <v>29800</v>
      </c>
      <c r="H51" s="599">
        <f t="shared" si="56"/>
        <v>0</v>
      </c>
      <c r="I51" s="599">
        <f t="shared" si="57"/>
        <v>0</v>
      </c>
      <c r="J51" s="600">
        <f t="shared" si="58"/>
        <v>0</v>
      </c>
      <c r="K51" s="61">
        <f t="shared" si="59"/>
        <v>112.5</v>
      </c>
      <c r="L51" s="59">
        <f t="shared" si="60"/>
        <v>520.93923073876056</v>
      </c>
      <c r="M51" s="139">
        <f t="shared" si="61"/>
        <v>0.29800000000000892</v>
      </c>
      <c r="N51" s="266">
        <f t="shared" si="62"/>
        <v>58.605663458110563</v>
      </c>
      <c r="O51" s="139"/>
      <c r="P51" s="240"/>
      <c r="Q51" s="222">
        <f t="shared" si="63"/>
        <v>112</v>
      </c>
      <c r="R51" s="55">
        <f t="shared" si="64"/>
        <v>532.90707070707083</v>
      </c>
      <c r="S51" s="55">
        <f t="shared" si="65"/>
        <v>0.53290707070706844</v>
      </c>
      <c r="T51" s="267">
        <f t="shared" si="66"/>
        <v>59.685591919191928</v>
      </c>
      <c r="U51" s="295"/>
      <c r="V51" s="300"/>
      <c r="W51" s="137">
        <f t="shared" si="67"/>
        <v>112.5</v>
      </c>
      <c r="X51" s="233">
        <f t="shared" si="68"/>
        <v>52493.89657798026</v>
      </c>
      <c r="Y51" s="136">
        <f t="shared" si="69"/>
        <v>3.9587794612793381E-2</v>
      </c>
      <c r="Z51" s="53">
        <f t="shared" si="70"/>
        <v>5.9055633650227799</v>
      </c>
      <c r="AA51" s="365"/>
      <c r="AB51" s="367"/>
      <c r="AC51" s="366"/>
    </row>
    <row r="52" spans="1:29" x14ac:dyDescent="0.2">
      <c r="A52" s="11">
        <f t="shared" si="38"/>
        <v>2039</v>
      </c>
      <c r="B52" s="288">
        <f t="shared" si="71"/>
        <v>0</v>
      </c>
      <c r="C52" s="805">
        <v>1</v>
      </c>
      <c r="D52" s="802">
        <f t="shared" si="55"/>
        <v>114</v>
      </c>
      <c r="E52" s="731">
        <f t="shared" si="30"/>
        <v>298</v>
      </c>
      <c r="F52" s="731">
        <f t="shared" si="31"/>
        <v>298</v>
      </c>
      <c r="G52" s="805">
        <f t="shared" si="32"/>
        <v>29800</v>
      </c>
      <c r="H52" s="599">
        <f t="shared" si="56"/>
        <v>0</v>
      </c>
      <c r="I52" s="599">
        <f t="shared" si="57"/>
        <v>0</v>
      </c>
      <c r="J52" s="600">
        <f t="shared" si="58"/>
        <v>0</v>
      </c>
      <c r="K52" s="61">
        <f t="shared" si="59"/>
        <v>113.5</v>
      </c>
      <c r="L52" s="59">
        <f t="shared" si="60"/>
        <v>518.97500844150284</v>
      </c>
      <c r="M52" s="139">
        <f t="shared" si="61"/>
        <v>0.29800000000000182</v>
      </c>
      <c r="N52" s="266">
        <f t="shared" si="62"/>
        <v>58.903663458110564</v>
      </c>
      <c r="O52" s="139"/>
      <c r="P52" s="240"/>
      <c r="Q52" s="222">
        <f t="shared" si="63"/>
        <v>113</v>
      </c>
      <c r="R52" s="55">
        <f t="shared" si="64"/>
        <v>532.90707070707083</v>
      </c>
      <c r="S52" s="55">
        <f t="shared" si="65"/>
        <v>0.53290707070707555</v>
      </c>
      <c r="T52" s="267">
        <f t="shared" si="66"/>
        <v>60.218498989899004</v>
      </c>
      <c r="U52" s="295"/>
      <c r="V52" s="300"/>
      <c r="W52" s="137">
        <f t="shared" si="67"/>
        <v>113.5</v>
      </c>
      <c r="X52" s="233">
        <f t="shared" si="68"/>
        <v>52380.186428507273</v>
      </c>
      <c r="Y52" s="136">
        <f t="shared" si="69"/>
        <v>3.9587794612795157E-2</v>
      </c>
      <c r="Z52" s="53">
        <f t="shared" si="70"/>
        <v>5.9451511596355751</v>
      </c>
      <c r="AA52" s="365"/>
      <c r="AB52" s="367"/>
      <c r="AC52" s="366"/>
    </row>
    <row r="53" spans="1:29" x14ac:dyDescent="0.2">
      <c r="A53" s="11">
        <f t="shared" si="38"/>
        <v>2040</v>
      </c>
      <c r="B53" s="288">
        <f t="shared" si="71"/>
        <v>0</v>
      </c>
      <c r="C53" s="805">
        <v>1</v>
      </c>
      <c r="D53" s="802">
        <f t="shared" si="55"/>
        <v>115</v>
      </c>
      <c r="E53" s="731">
        <f t="shared" si="30"/>
        <v>298</v>
      </c>
      <c r="F53" s="731">
        <f t="shared" si="31"/>
        <v>298</v>
      </c>
      <c r="G53" s="805">
        <f t="shared" si="32"/>
        <v>29800</v>
      </c>
      <c r="H53" s="599">
        <f t="shared" si="56"/>
        <v>0</v>
      </c>
      <c r="I53" s="599">
        <f t="shared" si="57"/>
        <v>0</v>
      </c>
      <c r="J53" s="600">
        <f t="shared" si="58"/>
        <v>0</v>
      </c>
      <c r="K53" s="61">
        <f t="shared" si="59"/>
        <v>114.5</v>
      </c>
      <c r="L53" s="59">
        <f t="shared" si="60"/>
        <v>517.04509570402263</v>
      </c>
      <c r="M53" s="139">
        <f t="shared" si="61"/>
        <v>0.29800000000001603</v>
      </c>
      <c r="N53" s="266">
        <f t="shared" si="62"/>
        <v>59.201663458110581</v>
      </c>
      <c r="O53" s="139"/>
      <c r="P53" s="240"/>
      <c r="Q53" s="222">
        <f t="shared" si="63"/>
        <v>114</v>
      </c>
      <c r="R53" s="55">
        <f t="shared" si="64"/>
        <v>532.90707070707083</v>
      </c>
      <c r="S53" s="55">
        <f t="shared" si="65"/>
        <v>0.53290707070706844</v>
      </c>
      <c r="T53" s="267">
        <f t="shared" si="66"/>
        <v>60.751406060606072</v>
      </c>
      <c r="U53" s="295"/>
      <c r="V53" s="300"/>
      <c r="W53" s="137">
        <f t="shared" si="67"/>
        <v>114.5</v>
      </c>
      <c r="X53" s="233">
        <f t="shared" si="68"/>
        <v>52268.462482518524</v>
      </c>
      <c r="Y53" s="136">
        <f t="shared" si="69"/>
        <v>3.9587794612795157E-2</v>
      </c>
      <c r="Z53" s="53">
        <f t="shared" si="70"/>
        <v>5.9847389542483702</v>
      </c>
      <c r="AA53" s="365"/>
      <c r="AB53" s="367"/>
      <c r="AC53" s="366"/>
    </row>
    <row r="54" spans="1:29" x14ac:dyDescent="0.2">
      <c r="A54" s="11">
        <f t="shared" si="38"/>
        <v>2041</v>
      </c>
      <c r="B54" s="288">
        <f t="shared" si="71"/>
        <v>0</v>
      </c>
      <c r="C54" s="805">
        <v>1</v>
      </c>
      <c r="D54" s="802">
        <f t="shared" si="55"/>
        <v>116</v>
      </c>
      <c r="E54" s="731">
        <f t="shared" si="30"/>
        <v>298</v>
      </c>
      <c r="F54" s="731">
        <f t="shared" si="31"/>
        <v>298</v>
      </c>
      <c r="G54" s="805">
        <f t="shared" si="32"/>
        <v>29800</v>
      </c>
      <c r="H54" s="599">
        <f t="shared" si="56"/>
        <v>0</v>
      </c>
      <c r="I54" s="599">
        <f t="shared" si="57"/>
        <v>0</v>
      </c>
      <c r="J54" s="600">
        <f t="shared" si="58"/>
        <v>0</v>
      </c>
      <c r="K54" s="61">
        <f t="shared" si="59"/>
        <v>115.5</v>
      </c>
      <c r="L54" s="59">
        <f t="shared" si="60"/>
        <v>515.14860136892287</v>
      </c>
      <c r="M54" s="139">
        <f t="shared" si="61"/>
        <v>0.29800000000000892</v>
      </c>
      <c r="N54" s="266">
        <f t="shared" si="62"/>
        <v>59.499663458110589</v>
      </c>
      <c r="O54" s="139"/>
      <c r="P54" s="240"/>
      <c r="Q54" s="222">
        <f t="shared" si="63"/>
        <v>115</v>
      </c>
      <c r="R54" s="55">
        <f t="shared" si="64"/>
        <v>532.90707070707083</v>
      </c>
      <c r="S54" s="55">
        <f t="shared" si="65"/>
        <v>0.53290707070707555</v>
      </c>
      <c r="T54" s="267">
        <f t="shared" si="66"/>
        <v>61.284313131313148</v>
      </c>
      <c r="U54" s="295"/>
      <c r="V54" s="300"/>
      <c r="W54" s="137">
        <f t="shared" si="67"/>
        <v>115.5</v>
      </c>
      <c r="X54" s="233">
        <f t="shared" si="68"/>
        <v>52158.673150313123</v>
      </c>
      <c r="Y54" s="136">
        <f t="shared" si="69"/>
        <v>3.9587794612795157E-2</v>
      </c>
      <c r="Z54" s="53">
        <f t="shared" si="70"/>
        <v>6.0243267488611654</v>
      </c>
      <c r="AA54" s="365"/>
      <c r="AB54" s="367"/>
      <c r="AC54" s="366"/>
    </row>
    <row r="55" spans="1:29" x14ac:dyDescent="0.2">
      <c r="C55" s="460"/>
      <c r="D55" s="460"/>
      <c r="E55" s="460"/>
      <c r="F55" s="460"/>
      <c r="G55" s="460"/>
      <c r="AA55" s="365"/>
    </row>
    <row r="56" spans="1:29" x14ac:dyDescent="0.2">
      <c r="A56" s="69" t="s">
        <v>38</v>
      </c>
      <c r="B56" s="69"/>
      <c r="O56" s="501"/>
      <c r="P56" s="501"/>
      <c r="Q56" s="587"/>
      <c r="R56" s="587"/>
      <c r="S56" s="501"/>
      <c r="AA56" s="365"/>
    </row>
    <row r="57" spans="1:29" x14ac:dyDescent="0.2">
      <c r="A57" s="69" t="s">
        <v>39</v>
      </c>
      <c r="B57" s="69"/>
      <c r="AA57" s="365"/>
    </row>
    <row r="58" spans="1:29" x14ac:dyDescent="0.2">
      <c r="A58" s="69" t="s">
        <v>67</v>
      </c>
      <c r="B58" s="69"/>
      <c r="AA58" s="365"/>
    </row>
    <row r="59" spans="1:29" x14ac:dyDescent="0.2">
      <c r="A59" s="86" t="s">
        <v>57</v>
      </c>
      <c r="B59" s="86"/>
      <c r="N59"/>
      <c r="O59"/>
      <c r="P59"/>
      <c r="AA59" s="365"/>
    </row>
    <row r="60" spans="1:29" x14ac:dyDescent="0.2">
      <c r="A60" s="86" t="s">
        <v>58</v>
      </c>
      <c r="B60" s="86"/>
      <c r="N60"/>
      <c r="O60"/>
      <c r="P60"/>
      <c r="AA60" s="365"/>
    </row>
    <row r="61" spans="1:29" x14ac:dyDescent="0.2">
      <c r="A61" s="45" t="s">
        <v>92</v>
      </c>
      <c r="AA61" s="365"/>
    </row>
    <row r="62" spans="1:29" x14ac:dyDescent="0.2">
      <c r="AA62" s="365"/>
    </row>
    <row r="63" spans="1:29" x14ac:dyDescent="0.2">
      <c r="B63">
        <v>2015</v>
      </c>
      <c r="C63" s="956" t="s">
        <v>386</v>
      </c>
      <c r="E63" s="161">
        <f>3442.99/B28</f>
        <v>860.74749999999995</v>
      </c>
      <c r="F63">
        <f>E63</f>
        <v>860.74749999999995</v>
      </c>
      <c r="G63" s="161">
        <f>344299.99/B28</f>
        <v>86074.997499999998</v>
      </c>
    </row>
  </sheetData>
  <mergeCells count="5">
    <mergeCell ref="W4:Z4"/>
    <mergeCell ref="H3:J3"/>
    <mergeCell ref="B4:J4"/>
    <mergeCell ref="K4:N4"/>
    <mergeCell ref="Q4:T4"/>
  </mergeCells>
  <phoneticPr fontId="7" type="noConversion"/>
  <pageMargins left="0.2" right="0.23" top="1" bottom="1" header="0.5" footer="0.5"/>
  <pageSetup scale="4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2">
    <tabColor theme="7" tint="-0.249977111117893"/>
    <pageSetUpPr fitToPage="1"/>
  </sheetPr>
  <dimension ref="A1:X69"/>
  <sheetViews>
    <sheetView workbookViewId="0">
      <pane xSplit="1" ySplit="5" topLeftCell="B24" activePane="bottomRight" state="frozen"/>
      <selection activeCell="B31" sqref="B31"/>
      <selection pane="topRight" activeCell="B31" sqref="B31"/>
      <selection pane="bottomLeft" activeCell="B31" sqref="B31"/>
      <selection pane="bottomRight" activeCell="C29" sqref="C29"/>
    </sheetView>
  </sheetViews>
  <sheetFormatPr defaultRowHeight="12.75" x14ac:dyDescent="0.2"/>
  <cols>
    <col min="1" max="1" width="11.7109375" customWidth="1"/>
    <col min="2" max="3" width="10.28515625" customWidth="1"/>
    <col min="4" max="4" width="11.7109375" bestFit="1" customWidth="1"/>
    <col min="5" max="5" width="10.28515625" customWidth="1"/>
    <col min="6" max="6" width="11.5703125" bestFit="1"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5" customHeight="1" thickBot="1" x14ac:dyDescent="0.3">
      <c r="A2" s="5" t="s">
        <v>1</v>
      </c>
      <c r="B2" s="27" t="s">
        <v>117</v>
      </c>
      <c r="C2" s="27"/>
      <c r="D2" s="27"/>
      <c r="E2" s="27"/>
      <c r="F2" s="23"/>
      <c r="J2" s="4"/>
      <c r="K2" s="4"/>
      <c r="L2" s="4"/>
      <c r="M2" s="1477" t="s">
        <v>405</v>
      </c>
      <c r="N2" s="1477"/>
      <c r="O2" s="1477"/>
      <c r="P2" s="1477"/>
      <c r="Q2" s="1477"/>
    </row>
    <row r="3" spans="1:24" ht="16.5" thickBot="1" x14ac:dyDescent="0.3">
      <c r="A3" s="4"/>
      <c r="B3" s="4"/>
      <c r="C3" s="4"/>
      <c r="D3" s="4"/>
      <c r="E3" s="4"/>
      <c r="F3" s="4"/>
      <c r="G3" s="1463" t="s">
        <v>20</v>
      </c>
      <c r="H3" s="1464"/>
      <c r="I3" s="1465"/>
      <c r="J3" s="4"/>
      <c r="K3" s="4"/>
      <c r="L3" s="4"/>
      <c r="M3" s="1478"/>
      <c r="N3" s="1478"/>
      <c r="O3" s="1478"/>
      <c r="P3" s="1478"/>
      <c r="Q3" s="1478"/>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c r="D6" s="15"/>
      <c r="E6" s="15"/>
      <c r="F6" s="15"/>
      <c r="G6" s="15"/>
      <c r="H6" s="15"/>
      <c r="I6" s="31"/>
      <c r="J6" s="37"/>
      <c r="K6" s="59"/>
      <c r="L6" s="6"/>
      <c r="M6" s="46"/>
      <c r="N6" s="40"/>
      <c r="O6" s="55"/>
      <c r="P6" s="57"/>
      <c r="Q6" s="41"/>
      <c r="R6" s="43"/>
      <c r="S6" s="24"/>
      <c r="T6" s="21"/>
      <c r="U6" s="47"/>
      <c r="V6" s="3"/>
    </row>
    <row r="7" spans="1:24" s="1" customFormat="1" ht="15.75" customHeight="1" x14ac:dyDescent="0.2">
      <c r="A7" s="68" t="s">
        <v>63</v>
      </c>
      <c r="B7" s="30"/>
      <c r="C7" s="50">
        <f>0+C6</f>
        <v>0</v>
      </c>
      <c r="D7" s="15"/>
      <c r="E7" s="15"/>
      <c r="F7" s="15"/>
      <c r="G7" s="15"/>
      <c r="H7" s="15"/>
      <c r="I7" s="31"/>
      <c r="J7" s="37"/>
      <c r="K7" s="59"/>
      <c r="L7" s="6"/>
      <c r="M7" s="46"/>
      <c r="N7" s="40"/>
      <c r="O7" s="55"/>
      <c r="P7" s="57"/>
      <c r="Q7" s="41"/>
      <c r="R7" s="43"/>
      <c r="S7" s="24"/>
      <c r="T7" s="21"/>
      <c r="U7" s="47"/>
      <c r="V7" s="3"/>
    </row>
    <row r="8" spans="1:24" x14ac:dyDescent="0.2">
      <c r="A8" s="33">
        <v>1995</v>
      </c>
      <c r="B8" s="30">
        <v>0</v>
      </c>
      <c r="C8" s="64">
        <f t="shared" ref="C8:C39" si="0">+C7+B8</f>
        <v>0</v>
      </c>
      <c r="D8" s="63">
        <f t="shared" ref="D8:D19" si="1">IF($B8=0,0,(G8*1000)/$B8)</f>
        <v>0</v>
      </c>
      <c r="E8" s="63">
        <f t="shared" ref="E8:E19" si="2">IF($B8=0,0,(H8*1000)/$B8)</f>
        <v>0</v>
      </c>
      <c r="F8" s="63">
        <f t="shared" ref="F8:F19" si="3">IF($B8=0,0,(I8*1000000)/$B8)</f>
        <v>0</v>
      </c>
      <c r="G8" s="599">
        <f t="shared" ref="G8:G20" si="4">+$B8*D8/1000</f>
        <v>0</v>
      </c>
      <c r="H8" s="599">
        <f t="shared" ref="H8:H20" si="5">+$B8*E8/1000</f>
        <v>0</v>
      </c>
      <c r="I8" s="600">
        <f t="shared" ref="I8:I20" si="6">+$B8*F8/1000000</f>
        <v>0</v>
      </c>
      <c r="J8" s="61">
        <f>+(B8+N8)/2</f>
        <v>0</v>
      </c>
      <c r="K8" s="59">
        <f t="shared" ref="K8:K39" si="7">+D8</f>
        <v>0</v>
      </c>
      <c r="L8" s="59">
        <f t="shared" ref="L8:L39" si="8">+J8*K8/1000</f>
        <v>0</v>
      </c>
      <c r="M8" s="60">
        <f t="shared" ref="M8:M20" si="9">+M7+L8</f>
        <v>0</v>
      </c>
      <c r="N8" s="51">
        <v>0</v>
      </c>
      <c r="O8" s="55">
        <f t="shared" ref="O8:O39" si="10">+E8</f>
        <v>0</v>
      </c>
      <c r="P8" s="55">
        <f t="shared" ref="P8:P39" si="11">+N8*O8/1000</f>
        <v>0</v>
      </c>
      <c r="Q8" s="56">
        <f t="shared" ref="Q8:Q27" si="12">+Q7+P8</f>
        <v>0</v>
      </c>
      <c r="R8" s="247">
        <f>J8</f>
        <v>0</v>
      </c>
      <c r="S8" s="24">
        <f t="shared" ref="S8:S39" si="13">+F8</f>
        <v>0</v>
      </c>
      <c r="T8" s="25">
        <f t="shared" ref="T8:T39" si="14">+R8*S8/1000000</f>
        <v>0</v>
      </c>
      <c r="U8" s="53">
        <f t="shared" ref="U8:U39" si="15">+U7+T8</f>
        <v>0</v>
      </c>
      <c r="V8" s="248"/>
      <c r="X8" s="1"/>
    </row>
    <row r="9" spans="1:24" x14ac:dyDescent="0.2">
      <c r="A9" s="33">
        <v>1996</v>
      </c>
      <c r="B9" s="30">
        <v>0</v>
      </c>
      <c r="C9" s="64">
        <f t="shared" si="0"/>
        <v>0</v>
      </c>
      <c r="D9" s="63">
        <f t="shared" si="1"/>
        <v>0</v>
      </c>
      <c r="E9" s="63">
        <f t="shared" si="2"/>
        <v>0</v>
      </c>
      <c r="F9" s="63">
        <f t="shared" si="3"/>
        <v>0</v>
      </c>
      <c r="G9" s="599">
        <f t="shared" si="4"/>
        <v>0</v>
      </c>
      <c r="H9" s="599">
        <f t="shared" si="5"/>
        <v>0</v>
      </c>
      <c r="I9" s="600">
        <f t="shared" si="6"/>
        <v>0</v>
      </c>
      <c r="J9" s="61">
        <f t="shared" ref="J9:J39" si="16">+(B9+B8)/2</f>
        <v>0</v>
      </c>
      <c r="K9" s="59">
        <f t="shared" si="7"/>
        <v>0</v>
      </c>
      <c r="L9" s="59">
        <f t="shared" si="8"/>
        <v>0</v>
      </c>
      <c r="M9" s="60">
        <f t="shared" si="9"/>
        <v>0</v>
      </c>
      <c r="N9" s="54">
        <f t="shared" ref="N9:N39" si="17">+B8</f>
        <v>0</v>
      </c>
      <c r="O9" s="55">
        <f t="shared" si="10"/>
        <v>0</v>
      </c>
      <c r="P9" s="55">
        <f t="shared" si="11"/>
        <v>0</v>
      </c>
      <c r="Q9" s="56">
        <f t="shared" si="12"/>
        <v>0</v>
      </c>
      <c r="R9" s="247">
        <f t="shared" ref="R9:R38" si="18">+(B9+B8)/2</f>
        <v>0</v>
      </c>
      <c r="S9" s="24">
        <f t="shared" si="13"/>
        <v>0</v>
      </c>
      <c r="T9" s="25">
        <f t="shared" si="14"/>
        <v>0</v>
      </c>
      <c r="U9" s="53">
        <f t="shared" si="15"/>
        <v>0</v>
      </c>
      <c r="V9" s="10"/>
      <c r="X9" s="1"/>
    </row>
    <row r="10" spans="1:24" x14ac:dyDescent="0.2">
      <c r="A10" s="33">
        <v>1997</v>
      </c>
      <c r="B10" s="30">
        <v>0</v>
      </c>
      <c r="C10" s="64">
        <f t="shared" si="0"/>
        <v>0</v>
      </c>
      <c r="D10" s="63">
        <f t="shared" si="1"/>
        <v>0</v>
      </c>
      <c r="E10" s="63">
        <f t="shared" si="2"/>
        <v>0</v>
      </c>
      <c r="F10" s="63">
        <f t="shared" si="3"/>
        <v>0</v>
      </c>
      <c r="G10" s="599">
        <f t="shared" si="4"/>
        <v>0</v>
      </c>
      <c r="H10" s="599">
        <f t="shared" si="5"/>
        <v>0</v>
      </c>
      <c r="I10" s="600">
        <f t="shared" si="6"/>
        <v>0</v>
      </c>
      <c r="J10" s="61">
        <f t="shared" si="16"/>
        <v>0</v>
      </c>
      <c r="K10" s="59">
        <f t="shared" si="7"/>
        <v>0</v>
      </c>
      <c r="L10" s="59">
        <f t="shared" si="8"/>
        <v>0</v>
      </c>
      <c r="M10" s="60">
        <f t="shared" si="9"/>
        <v>0</v>
      </c>
      <c r="N10" s="54">
        <f t="shared" si="17"/>
        <v>0</v>
      </c>
      <c r="O10" s="55">
        <f t="shared" si="10"/>
        <v>0</v>
      </c>
      <c r="P10" s="55">
        <f t="shared" si="11"/>
        <v>0</v>
      </c>
      <c r="Q10" s="56">
        <f t="shared" si="12"/>
        <v>0</v>
      </c>
      <c r="R10" s="247">
        <f t="shared" si="18"/>
        <v>0</v>
      </c>
      <c r="S10" s="24">
        <f t="shared" si="13"/>
        <v>0</v>
      </c>
      <c r="T10" s="25">
        <f t="shared" si="14"/>
        <v>0</v>
      </c>
      <c r="U10" s="53">
        <f t="shared" si="15"/>
        <v>0</v>
      </c>
      <c r="V10" s="10"/>
      <c r="X10" s="1"/>
    </row>
    <row r="11" spans="1:24" x14ac:dyDescent="0.2">
      <c r="A11" s="33">
        <v>1998</v>
      </c>
      <c r="B11" s="30">
        <v>0</v>
      </c>
      <c r="C11" s="64">
        <f t="shared" si="0"/>
        <v>0</v>
      </c>
      <c r="D11" s="63">
        <f t="shared" si="1"/>
        <v>0</v>
      </c>
      <c r="E11" s="63">
        <f t="shared" si="2"/>
        <v>0</v>
      </c>
      <c r="F11" s="63">
        <f t="shared" si="3"/>
        <v>0</v>
      </c>
      <c r="G11" s="599">
        <f t="shared" si="4"/>
        <v>0</v>
      </c>
      <c r="H11" s="599">
        <f t="shared" si="5"/>
        <v>0</v>
      </c>
      <c r="I11" s="600">
        <f t="shared" si="6"/>
        <v>0</v>
      </c>
      <c r="J11" s="61">
        <f t="shared" si="16"/>
        <v>0</v>
      </c>
      <c r="K11" s="59">
        <f t="shared" si="7"/>
        <v>0</v>
      </c>
      <c r="L11" s="59">
        <f t="shared" si="8"/>
        <v>0</v>
      </c>
      <c r="M11" s="60">
        <f t="shared" si="9"/>
        <v>0</v>
      </c>
      <c r="N11" s="54">
        <f t="shared" si="17"/>
        <v>0</v>
      </c>
      <c r="O11" s="55">
        <f t="shared" si="10"/>
        <v>0</v>
      </c>
      <c r="P11" s="55">
        <f t="shared" si="11"/>
        <v>0</v>
      </c>
      <c r="Q11" s="56">
        <f t="shared" si="12"/>
        <v>0</v>
      </c>
      <c r="R11" s="247">
        <f t="shared" si="18"/>
        <v>0</v>
      </c>
      <c r="S11" s="24">
        <f t="shared" si="13"/>
        <v>0</v>
      </c>
      <c r="T11" s="25">
        <f t="shared" si="14"/>
        <v>0</v>
      </c>
      <c r="U11" s="53">
        <f t="shared" si="15"/>
        <v>0</v>
      </c>
      <c r="V11" s="10"/>
      <c r="X11" s="1"/>
    </row>
    <row r="12" spans="1:24" x14ac:dyDescent="0.2">
      <c r="A12" s="33">
        <v>1999</v>
      </c>
      <c r="B12" s="30">
        <v>0</v>
      </c>
      <c r="C12" s="64">
        <f t="shared" si="0"/>
        <v>0</v>
      </c>
      <c r="D12" s="63">
        <f t="shared" si="1"/>
        <v>0</v>
      </c>
      <c r="E12" s="63">
        <f t="shared" si="2"/>
        <v>0</v>
      </c>
      <c r="F12" s="63">
        <f t="shared" si="3"/>
        <v>0</v>
      </c>
      <c r="G12" s="599">
        <f t="shared" si="4"/>
        <v>0</v>
      </c>
      <c r="H12" s="599">
        <f t="shared" si="5"/>
        <v>0</v>
      </c>
      <c r="I12" s="600">
        <f t="shared" si="6"/>
        <v>0</v>
      </c>
      <c r="J12" s="61">
        <f t="shared" si="16"/>
        <v>0</v>
      </c>
      <c r="K12" s="59">
        <f t="shared" si="7"/>
        <v>0</v>
      </c>
      <c r="L12" s="59">
        <f t="shared" si="8"/>
        <v>0</v>
      </c>
      <c r="M12" s="60">
        <f t="shared" si="9"/>
        <v>0</v>
      </c>
      <c r="N12" s="54">
        <f t="shared" si="17"/>
        <v>0</v>
      </c>
      <c r="O12" s="55">
        <f t="shared" si="10"/>
        <v>0</v>
      </c>
      <c r="P12" s="55">
        <f t="shared" si="11"/>
        <v>0</v>
      </c>
      <c r="Q12" s="56">
        <f t="shared" si="12"/>
        <v>0</v>
      </c>
      <c r="R12" s="247">
        <f t="shared" si="18"/>
        <v>0</v>
      </c>
      <c r="S12" s="24">
        <f t="shared" si="13"/>
        <v>0</v>
      </c>
      <c r="T12" s="25">
        <f t="shared" si="14"/>
        <v>0</v>
      </c>
      <c r="U12" s="53">
        <f t="shared" si="15"/>
        <v>0</v>
      </c>
      <c r="V12" s="10"/>
      <c r="X12" s="1"/>
    </row>
    <row r="13" spans="1:24" x14ac:dyDescent="0.2">
      <c r="A13" s="33">
        <v>2000</v>
      </c>
      <c r="B13" s="30">
        <v>0</v>
      </c>
      <c r="C13" s="64">
        <f t="shared" si="0"/>
        <v>0</v>
      </c>
      <c r="D13" s="63">
        <f t="shared" si="1"/>
        <v>0</v>
      </c>
      <c r="E13" s="63">
        <f t="shared" si="2"/>
        <v>0</v>
      </c>
      <c r="F13" s="63">
        <f t="shared" si="3"/>
        <v>0</v>
      </c>
      <c r="G13" s="599">
        <f t="shared" si="4"/>
        <v>0</v>
      </c>
      <c r="H13" s="599">
        <f t="shared" si="5"/>
        <v>0</v>
      </c>
      <c r="I13" s="600">
        <f t="shared" si="6"/>
        <v>0</v>
      </c>
      <c r="J13" s="61">
        <f t="shared" si="16"/>
        <v>0</v>
      </c>
      <c r="K13" s="59">
        <f t="shared" si="7"/>
        <v>0</v>
      </c>
      <c r="L13" s="59">
        <f t="shared" si="8"/>
        <v>0</v>
      </c>
      <c r="M13" s="60">
        <f t="shared" si="9"/>
        <v>0</v>
      </c>
      <c r="N13" s="54">
        <f t="shared" si="17"/>
        <v>0</v>
      </c>
      <c r="O13" s="55">
        <f t="shared" si="10"/>
        <v>0</v>
      </c>
      <c r="P13" s="55">
        <f t="shared" si="11"/>
        <v>0</v>
      </c>
      <c r="Q13" s="56">
        <f t="shared" si="12"/>
        <v>0</v>
      </c>
      <c r="R13" s="247">
        <f t="shared" si="18"/>
        <v>0</v>
      </c>
      <c r="S13" s="24">
        <f t="shared" si="13"/>
        <v>0</v>
      </c>
      <c r="T13" s="25">
        <f t="shared" si="14"/>
        <v>0</v>
      </c>
      <c r="U13" s="53">
        <f t="shared" si="15"/>
        <v>0</v>
      </c>
      <c r="V13" s="248"/>
      <c r="X13" s="1"/>
    </row>
    <row r="14" spans="1:24" x14ac:dyDescent="0.2">
      <c r="A14" s="33">
        <v>2001</v>
      </c>
      <c r="B14" s="30">
        <v>0</v>
      </c>
      <c r="C14" s="64">
        <f t="shared" si="0"/>
        <v>0</v>
      </c>
      <c r="D14" s="63">
        <f t="shared" si="1"/>
        <v>0</v>
      </c>
      <c r="E14" s="63">
        <f t="shared" si="2"/>
        <v>0</v>
      </c>
      <c r="F14" s="63">
        <f t="shared" si="3"/>
        <v>0</v>
      </c>
      <c r="G14" s="599">
        <f t="shared" si="4"/>
        <v>0</v>
      </c>
      <c r="H14" s="599">
        <f t="shared" si="5"/>
        <v>0</v>
      </c>
      <c r="I14" s="600">
        <f t="shared" si="6"/>
        <v>0</v>
      </c>
      <c r="J14" s="61">
        <f t="shared" si="16"/>
        <v>0</v>
      </c>
      <c r="K14" s="59">
        <f t="shared" si="7"/>
        <v>0</v>
      </c>
      <c r="L14" s="59">
        <f t="shared" si="8"/>
        <v>0</v>
      </c>
      <c r="M14" s="60">
        <f t="shared" si="9"/>
        <v>0</v>
      </c>
      <c r="N14" s="54">
        <f t="shared" si="17"/>
        <v>0</v>
      </c>
      <c r="O14" s="55">
        <f t="shared" si="10"/>
        <v>0</v>
      </c>
      <c r="P14" s="55">
        <f t="shared" si="11"/>
        <v>0</v>
      </c>
      <c r="Q14" s="56">
        <f t="shared" si="12"/>
        <v>0</v>
      </c>
      <c r="R14" s="247">
        <f t="shared" si="18"/>
        <v>0</v>
      </c>
      <c r="S14" s="24">
        <f t="shared" si="13"/>
        <v>0</v>
      </c>
      <c r="T14" s="25">
        <f t="shared" si="14"/>
        <v>0</v>
      </c>
      <c r="U14" s="53">
        <f t="shared" si="15"/>
        <v>0</v>
      </c>
      <c r="V14" s="248"/>
      <c r="X14" s="1"/>
    </row>
    <row r="15" spans="1:24" x14ac:dyDescent="0.2">
      <c r="A15" s="33">
        <v>2002</v>
      </c>
      <c r="B15" s="30">
        <v>0</v>
      </c>
      <c r="C15" s="64">
        <f t="shared" si="0"/>
        <v>0</v>
      </c>
      <c r="D15" s="63">
        <f t="shared" si="1"/>
        <v>0</v>
      </c>
      <c r="E15" s="63">
        <f t="shared" si="2"/>
        <v>0</v>
      </c>
      <c r="F15" s="63">
        <f t="shared" si="3"/>
        <v>0</v>
      </c>
      <c r="G15" s="599">
        <f t="shared" si="4"/>
        <v>0</v>
      </c>
      <c r="H15" s="599">
        <f t="shared" si="5"/>
        <v>0</v>
      </c>
      <c r="I15" s="600">
        <f t="shared" si="6"/>
        <v>0</v>
      </c>
      <c r="J15" s="61">
        <f t="shared" si="16"/>
        <v>0</v>
      </c>
      <c r="K15" s="59">
        <f t="shared" si="7"/>
        <v>0</v>
      </c>
      <c r="L15" s="59">
        <f t="shared" si="8"/>
        <v>0</v>
      </c>
      <c r="M15" s="60">
        <f t="shared" si="9"/>
        <v>0</v>
      </c>
      <c r="N15" s="54">
        <f t="shared" si="17"/>
        <v>0</v>
      </c>
      <c r="O15" s="55">
        <f t="shared" si="10"/>
        <v>0</v>
      </c>
      <c r="P15" s="55">
        <f t="shared" si="11"/>
        <v>0</v>
      </c>
      <c r="Q15" s="56">
        <f t="shared" si="12"/>
        <v>0</v>
      </c>
      <c r="R15" s="247">
        <f t="shared" si="18"/>
        <v>0</v>
      </c>
      <c r="S15" s="24">
        <f t="shared" si="13"/>
        <v>0</v>
      </c>
      <c r="T15" s="25">
        <f t="shared" si="14"/>
        <v>0</v>
      </c>
      <c r="U15" s="53">
        <f t="shared" si="15"/>
        <v>0</v>
      </c>
      <c r="V15" s="248"/>
      <c r="X15" s="1"/>
    </row>
    <row r="16" spans="1:24" x14ac:dyDescent="0.2">
      <c r="A16" s="33">
        <v>2003</v>
      </c>
      <c r="B16" s="30">
        <v>0</v>
      </c>
      <c r="C16" s="64">
        <f t="shared" si="0"/>
        <v>0</v>
      </c>
      <c r="D16" s="63">
        <f t="shared" si="1"/>
        <v>0</v>
      </c>
      <c r="E16" s="63">
        <f t="shared" si="2"/>
        <v>0</v>
      </c>
      <c r="F16" s="63">
        <f t="shared" si="3"/>
        <v>0</v>
      </c>
      <c r="G16" s="599">
        <f t="shared" si="4"/>
        <v>0</v>
      </c>
      <c r="H16" s="599">
        <f t="shared" si="5"/>
        <v>0</v>
      </c>
      <c r="I16" s="600">
        <f t="shared" si="6"/>
        <v>0</v>
      </c>
      <c r="J16" s="61">
        <f t="shared" si="16"/>
        <v>0</v>
      </c>
      <c r="K16" s="59">
        <f t="shared" si="7"/>
        <v>0</v>
      </c>
      <c r="L16" s="59">
        <f t="shared" si="8"/>
        <v>0</v>
      </c>
      <c r="M16" s="60">
        <f t="shared" si="9"/>
        <v>0</v>
      </c>
      <c r="N16" s="54">
        <f t="shared" si="17"/>
        <v>0</v>
      </c>
      <c r="O16" s="55">
        <f t="shared" si="10"/>
        <v>0</v>
      </c>
      <c r="P16" s="55">
        <f t="shared" si="11"/>
        <v>0</v>
      </c>
      <c r="Q16" s="56">
        <f t="shared" si="12"/>
        <v>0</v>
      </c>
      <c r="R16" s="247">
        <f t="shared" si="18"/>
        <v>0</v>
      </c>
      <c r="S16" s="24">
        <f t="shared" si="13"/>
        <v>0</v>
      </c>
      <c r="T16" s="25">
        <f t="shared" si="14"/>
        <v>0</v>
      </c>
      <c r="U16" s="53">
        <f t="shared" si="15"/>
        <v>0</v>
      </c>
      <c r="V16" s="248"/>
      <c r="X16" s="1"/>
    </row>
    <row r="17" spans="1:24" x14ac:dyDescent="0.2">
      <c r="A17" s="33">
        <f t="shared" ref="A17:A54" si="19">+A16+1</f>
        <v>2004</v>
      </c>
      <c r="B17" s="30">
        <v>0</v>
      </c>
      <c r="C17" s="64">
        <f t="shared" si="0"/>
        <v>0</v>
      </c>
      <c r="D17" s="63">
        <f t="shared" si="1"/>
        <v>0</v>
      </c>
      <c r="E17" s="63">
        <f t="shared" si="2"/>
        <v>0</v>
      </c>
      <c r="F17" s="63">
        <f t="shared" si="3"/>
        <v>0</v>
      </c>
      <c r="G17" s="599">
        <f t="shared" si="4"/>
        <v>0</v>
      </c>
      <c r="H17" s="599">
        <f t="shared" si="5"/>
        <v>0</v>
      </c>
      <c r="I17" s="600">
        <f t="shared" si="6"/>
        <v>0</v>
      </c>
      <c r="J17" s="61">
        <f t="shared" si="16"/>
        <v>0</v>
      </c>
      <c r="K17" s="59">
        <f t="shared" si="7"/>
        <v>0</v>
      </c>
      <c r="L17" s="59">
        <f t="shared" si="8"/>
        <v>0</v>
      </c>
      <c r="M17" s="60">
        <f t="shared" si="9"/>
        <v>0</v>
      </c>
      <c r="N17" s="54">
        <f t="shared" si="17"/>
        <v>0</v>
      </c>
      <c r="O17" s="55">
        <f t="shared" si="10"/>
        <v>0</v>
      </c>
      <c r="P17" s="55">
        <f t="shared" si="11"/>
        <v>0</v>
      </c>
      <c r="Q17" s="56">
        <f t="shared" si="12"/>
        <v>0</v>
      </c>
      <c r="R17" s="247">
        <f t="shared" si="18"/>
        <v>0</v>
      </c>
      <c r="S17" s="24">
        <f t="shared" si="13"/>
        <v>0</v>
      </c>
      <c r="T17" s="25">
        <f t="shared" si="14"/>
        <v>0</v>
      </c>
      <c r="U17" s="53">
        <f t="shared" si="15"/>
        <v>0</v>
      </c>
      <c r="V17" s="248"/>
      <c r="X17" s="1"/>
    </row>
    <row r="18" spans="1:24" x14ac:dyDescent="0.2">
      <c r="A18" s="33">
        <f t="shared" si="19"/>
        <v>2005</v>
      </c>
      <c r="B18" s="30">
        <v>0</v>
      </c>
      <c r="C18" s="64">
        <f t="shared" si="0"/>
        <v>0</v>
      </c>
      <c r="D18" s="63">
        <f t="shared" si="1"/>
        <v>0</v>
      </c>
      <c r="E18" s="63">
        <f t="shared" si="2"/>
        <v>0</v>
      </c>
      <c r="F18" s="63">
        <f t="shared" si="3"/>
        <v>0</v>
      </c>
      <c r="G18" s="599">
        <f t="shared" si="4"/>
        <v>0</v>
      </c>
      <c r="H18" s="599">
        <f t="shared" si="5"/>
        <v>0</v>
      </c>
      <c r="I18" s="600">
        <f t="shared" si="6"/>
        <v>0</v>
      </c>
      <c r="J18" s="61">
        <f t="shared" si="16"/>
        <v>0</v>
      </c>
      <c r="K18" s="59">
        <f t="shared" si="7"/>
        <v>0</v>
      </c>
      <c r="L18" s="59">
        <f t="shared" si="8"/>
        <v>0</v>
      </c>
      <c r="M18" s="60">
        <f t="shared" si="9"/>
        <v>0</v>
      </c>
      <c r="N18" s="54">
        <f t="shared" si="17"/>
        <v>0</v>
      </c>
      <c r="O18" s="55">
        <f t="shared" si="10"/>
        <v>0</v>
      </c>
      <c r="P18" s="55">
        <f t="shared" si="11"/>
        <v>0</v>
      </c>
      <c r="Q18" s="56">
        <f t="shared" si="12"/>
        <v>0</v>
      </c>
      <c r="R18" s="247">
        <f t="shared" si="18"/>
        <v>0</v>
      </c>
      <c r="S18" s="24">
        <f t="shared" si="13"/>
        <v>0</v>
      </c>
      <c r="T18" s="25">
        <f t="shared" si="14"/>
        <v>0</v>
      </c>
      <c r="U18" s="53">
        <f t="shared" si="15"/>
        <v>0</v>
      </c>
      <c r="V18" s="248"/>
      <c r="X18" s="1"/>
    </row>
    <row r="19" spans="1:24" x14ac:dyDescent="0.2">
      <c r="A19" s="33">
        <f t="shared" si="19"/>
        <v>2006</v>
      </c>
      <c r="B19" s="30">
        <v>0</v>
      </c>
      <c r="C19" s="64">
        <f t="shared" si="0"/>
        <v>0</v>
      </c>
      <c r="D19" s="63">
        <f t="shared" si="1"/>
        <v>0</v>
      </c>
      <c r="E19" s="63">
        <f t="shared" si="2"/>
        <v>0</v>
      </c>
      <c r="F19" s="63">
        <f t="shared" si="3"/>
        <v>0</v>
      </c>
      <c r="G19" s="599">
        <f t="shared" si="4"/>
        <v>0</v>
      </c>
      <c r="H19" s="599">
        <f t="shared" si="5"/>
        <v>0</v>
      </c>
      <c r="I19" s="600">
        <f t="shared" si="6"/>
        <v>0</v>
      </c>
      <c r="J19" s="61">
        <f t="shared" si="16"/>
        <v>0</v>
      </c>
      <c r="K19" s="59">
        <f t="shared" si="7"/>
        <v>0</v>
      </c>
      <c r="L19" s="59">
        <f t="shared" si="8"/>
        <v>0</v>
      </c>
      <c r="M19" s="60">
        <f t="shared" si="9"/>
        <v>0</v>
      </c>
      <c r="N19" s="54">
        <f t="shared" si="17"/>
        <v>0</v>
      </c>
      <c r="O19" s="55">
        <f t="shared" si="10"/>
        <v>0</v>
      </c>
      <c r="P19" s="55">
        <f t="shared" si="11"/>
        <v>0</v>
      </c>
      <c r="Q19" s="56">
        <f t="shared" si="12"/>
        <v>0</v>
      </c>
      <c r="R19" s="247">
        <f t="shared" si="18"/>
        <v>0</v>
      </c>
      <c r="S19" s="24">
        <f t="shared" si="13"/>
        <v>0</v>
      </c>
      <c r="T19" s="25">
        <f t="shared" si="14"/>
        <v>0</v>
      </c>
      <c r="U19" s="53">
        <f t="shared" si="15"/>
        <v>0</v>
      </c>
      <c r="V19" s="8"/>
      <c r="X19" s="1"/>
    </row>
    <row r="20" spans="1:24" x14ac:dyDescent="0.2">
      <c r="A20" s="33">
        <f t="shared" si="19"/>
        <v>2007</v>
      </c>
      <c r="B20" s="30">
        <v>0</v>
      </c>
      <c r="C20" s="64">
        <f t="shared" si="0"/>
        <v>0</v>
      </c>
      <c r="D20" s="63">
        <f>IF($B20=0,0,(G20*1000)/$B20)</f>
        <v>0</v>
      </c>
      <c r="E20" s="63">
        <f>IF($B20=0,0,(H20*1000)/$B20)</f>
        <v>0</v>
      </c>
      <c r="F20" s="63">
        <f>IF($B20=0,0,(I20*1000000)/$B20)</f>
        <v>0</v>
      </c>
      <c r="G20" s="599">
        <f t="shared" si="4"/>
        <v>0</v>
      </c>
      <c r="H20" s="599">
        <f t="shared" si="5"/>
        <v>0</v>
      </c>
      <c r="I20" s="600">
        <f t="shared" si="6"/>
        <v>0</v>
      </c>
      <c r="J20" s="61">
        <f t="shared" si="16"/>
        <v>0</v>
      </c>
      <c r="K20" s="59">
        <f t="shared" si="7"/>
        <v>0</v>
      </c>
      <c r="L20" s="59">
        <f t="shared" si="8"/>
        <v>0</v>
      </c>
      <c r="M20" s="60">
        <f t="shared" si="9"/>
        <v>0</v>
      </c>
      <c r="N20" s="54">
        <f t="shared" si="17"/>
        <v>0</v>
      </c>
      <c r="O20" s="55">
        <f t="shared" si="10"/>
        <v>0</v>
      </c>
      <c r="P20" s="55">
        <f t="shared" si="11"/>
        <v>0</v>
      </c>
      <c r="Q20" s="56">
        <f t="shared" si="12"/>
        <v>0</v>
      </c>
      <c r="R20" s="247">
        <f t="shared" si="18"/>
        <v>0</v>
      </c>
      <c r="S20" s="24">
        <f t="shared" si="13"/>
        <v>0</v>
      </c>
      <c r="T20" s="25">
        <f t="shared" si="14"/>
        <v>0</v>
      </c>
      <c r="U20" s="53">
        <f t="shared" si="15"/>
        <v>0</v>
      </c>
    </row>
    <row r="21" spans="1:24" x14ac:dyDescent="0.2">
      <c r="A21" s="33">
        <f t="shared" si="19"/>
        <v>2008</v>
      </c>
      <c r="B21" s="30">
        <v>82</v>
      </c>
      <c r="C21" s="187">
        <f t="shared" si="0"/>
        <v>82</v>
      </c>
      <c r="D21" s="62">
        <v>304.88</v>
      </c>
      <c r="E21" s="62">
        <v>304.88</v>
      </c>
      <c r="F21" s="676">
        <v>26829</v>
      </c>
      <c r="G21" s="599">
        <f>+$B21*D21/1000</f>
        <v>25.000160000000001</v>
      </c>
      <c r="H21" s="599">
        <f>+$B21*E21/1000</f>
        <v>25.000160000000001</v>
      </c>
      <c r="I21" s="600">
        <f t="shared" ref="I21:I27" si="20">+$B21*F21/1000000</f>
        <v>2.1999780000000002</v>
      </c>
      <c r="J21" s="61">
        <f t="shared" si="16"/>
        <v>41</v>
      </c>
      <c r="K21" s="59">
        <f t="shared" si="7"/>
        <v>304.88</v>
      </c>
      <c r="L21" s="59">
        <f t="shared" si="8"/>
        <v>12.500080000000001</v>
      </c>
      <c r="M21" s="60">
        <v>34.852125000000001</v>
      </c>
      <c r="N21" s="54">
        <f t="shared" si="17"/>
        <v>0</v>
      </c>
      <c r="O21" s="55">
        <f t="shared" si="10"/>
        <v>304.88</v>
      </c>
      <c r="P21" s="55">
        <f t="shared" si="11"/>
        <v>0</v>
      </c>
      <c r="Q21" s="55">
        <v>34.852125000000001</v>
      </c>
      <c r="R21" s="247">
        <f t="shared" si="18"/>
        <v>41</v>
      </c>
      <c r="S21" s="24">
        <f t="shared" si="13"/>
        <v>26829</v>
      </c>
      <c r="T21" s="25">
        <f t="shared" si="14"/>
        <v>1.0999890000000001</v>
      </c>
      <c r="U21" s="53">
        <f t="shared" si="15"/>
        <v>1.0999890000000001</v>
      </c>
      <c r="W21">
        <v>34.852125000000001</v>
      </c>
    </row>
    <row r="22" spans="1:24" x14ac:dyDescent="0.2">
      <c r="A22" s="33">
        <f t="shared" si="19"/>
        <v>2009</v>
      </c>
      <c r="B22" s="30">
        <v>4</v>
      </c>
      <c r="C22" s="187">
        <v>86</v>
      </c>
      <c r="D22" s="62">
        <v>304.88</v>
      </c>
      <c r="E22" s="62">
        <v>304.88</v>
      </c>
      <c r="F22" s="676">
        <v>26829</v>
      </c>
      <c r="G22" s="599">
        <f>+$B22*D22/1000</f>
        <v>1.2195199999999999</v>
      </c>
      <c r="H22" s="599">
        <f>+$B22*E22/1000</f>
        <v>1.2195199999999999</v>
      </c>
      <c r="I22" s="600">
        <f t="shared" si="20"/>
        <v>0.10731599999999999</v>
      </c>
      <c r="J22" s="61">
        <f t="shared" si="16"/>
        <v>43</v>
      </c>
      <c r="K22" s="59">
        <f t="shared" si="7"/>
        <v>304.88</v>
      </c>
      <c r="L22" s="59">
        <f t="shared" si="8"/>
        <v>13.10984</v>
      </c>
      <c r="M22" s="60">
        <v>34.852125000000001</v>
      </c>
      <c r="N22" s="54">
        <f t="shared" si="17"/>
        <v>82</v>
      </c>
      <c r="O22" s="55">
        <f t="shared" si="10"/>
        <v>304.88</v>
      </c>
      <c r="P22" s="55">
        <f t="shared" si="11"/>
        <v>25.000160000000001</v>
      </c>
      <c r="Q22" s="55">
        <v>34.852125000000001</v>
      </c>
      <c r="R22" s="247">
        <f t="shared" si="18"/>
        <v>43</v>
      </c>
      <c r="S22" s="24">
        <f t="shared" si="13"/>
        <v>26829</v>
      </c>
      <c r="T22" s="25">
        <f t="shared" si="14"/>
        <v>1.1536470000000001</v>
      </c>
      <c r="U22" s="53">
        <f t="shared" si="15"/>
        <v>2.2536360000000002</v>
      </c>
      <c r="W22">
        <v>34.852125000000001</v>
      </c>
    </row>
    <row r="23" spans="1:24" x14ac:dyDescent="0.2">
      <c r="A23" s="194">
        <f t="shared" si="19"/>
        <v>2010</v>
      </c>
      <c r="B23" s="30">
        <v>17</v>
      </c>
      <c r="C23" s="187">
        <f>C22+B23</f>
        <v>103</v>
      </c>
      <c r="D23" s="62">
        <v>500</v>
      </c>
      <c r="E23" s="62">
        <v>500</v>
      </c>
      <c r="F23" s="677">
        <v>37500</v>
      </c>
      <c r="G23" s="599">
        <f t="shared" ref="G23:H27" si="21">+$B23*D23/1000</f>
        <v>8.5</v>
      </c>
      <c r="H23" s="599">
        <f t="shared" si="21"/>
        <v>8.5</v>
      </c>
      <c r="I23" s="600">
        <f t="shared" si="20"/>
        <v>0.63749999999999996</v>
      </c>
      <c r="J23" s="195">
        <f t="shared" si="16"/>
        <v>10.5</v>
      </c>
      <c r="K23" s="196">
        <f t="shared" si="7"/>
        <v>500</v>
      </c>
      <c r="L23" s="196">
        <f t="shared" si="8"/>
        <v>5.25</v>
      </c>
      <c r="M23" s="60">
        <v>34.852125000000001</v>
      </c>
      <c r="N23" s="609">
        <f t="shared" si="17"/>
        <v>4</v>
      </c>
      <c r="O23" s="197">
        <f t="shared" si="10"/>
        <v>500</v>
      </c>
      <c r="P23" s="197">
        <f t="shared" si="11"/>
        <v>2</v>
      </c>
      <c r="Q23" s="197">
        <v>34.852125000000001</v>
      </c>
      <c r="R23" s="610">
        <f t="shared" si="18"/>
        <v>10.5</v>
      </c>
      <c r="S23" s="611">
        <f t="shared" si="13"/>
        <v>37500</v>
      </c>
      <c r="T23" s="612">
        <f t="shared" si="14"/>
        <v>0.39374999999999999</v>
      </c>
      <c r="U23" s="613">
        <f t="shared" si="15"/>
        <v>2.647386</v>
      </c>
      <c r="W23">
        <v>34.852125000000001</v>
      </c>
    </row>
    <row r="24" spans="1:24" x14ac:dyDescent="0.2">
      <c r="A24" s="33">
        <f t="shared" si="19"/>
        <v>2011</v>
      </c>
      <c r="B24" s="30">
        <v>18</v>
      </c>
      <c r="C24" s="187">
        <v>100</v>
      </c>
      <c r="D24" s="62">
        <v>104.23</v>
      </c>
      <c r="E24" s="62">
        <v>104.23</v>
      </c>
      <c r="F24" s="676">
        <v>7817</v>
      </c>
      <c r="G24" s="606">
        <f t="shared" si="21"/>
        <v>1.8761400000000001</v>
      </c>
      <c r="H24" s="607">
        <f t="shared" si="21"/>
        <v>1.8761400000000001</v>
      </c>
      <c r="I24" s="608">
        <f t="shared" si="20"/>
        <v>0.140706</v>
      </c>
      <c r="J24" s="61">
        <f t="shared" si="16"/>
        <v>17.5</v>
      </c>
      <c r="K24" s="59">
        <f t="shared" si="7"/>
        <v>104.23</v>
      </c>
      <c r="L24" s="59">
        <f t="shared" si="8"/>
        <v>1.824025</v>
      </c>
      <c r="M24" s="60">
        <v>36.843675000000005</v>
      </c>
      <c r="N24" s="54">
        <f t="shared" si="17"/>
        <v>17</v>
      </c>
      <c r="O24" s="55">
        <f t="shared" si="10"/>
        <v>104.23</v>
      </c>
      <c r="P24" s="55">
        <f t="shared" si="11"/>
        <v>1.7719100000000001</v>
      </c>
      <c r="Q24" s="55">
        <v>36.843675000000005</v>
      </c>
      <c r="R24" s="247">
        <f t="shared" si="18"/>
        <v>17.5</v>
      </c>
      <c r="S24" s="24">
        <f t="shared" si="13"/>
        <v>7817</v>
      </c>
      <c r="T24" s="25">
        <f t="shared" si="14"/>
        <v>0.13679749999999999</v>
      </c>
      <c r="U24" s="53">
        <f t="shared" si="15"/>
        <v>2.7841835000000001</v>
      </c>
      <c r="W24">
        <v>36.843675000000005</v>
      </c>
    </row>
    <row r="25" spans="1:24" x14ac:dyDescent="0.2">
      <c r="A25" s="33">
        <f t="shared" si="19"/>
        <v>2012</v>
      </c>
      <c r="B25" s="30">
        <v>7</v>
      </c>
      <c r="C25" s="187">
        <v>97</v>
      </c>
      <c r="D25" s="62">
        <v>500</v>
      </c>
      <c r="E25" s="62">
        <v>500</v>
      </c>
      <c r="F25" s="676">
        <v>10714</v>
      </c>
      <c r="G25" s="606">
        <f t="shared" si="21"/>
        <v>3.5</v>
      </c>
      <c r="H25" s="607">
        <f t="shared" si="21"/>
        <v>3.5</v>
      </c>
      <c r="I25" s="608">
        <f t="shared" si="20"/>
        <v>7.4997999999999995E-2</v>
      </c>
      <c r="J25" s="61">
        <f t="shared" si="16"/>
        <v>12.5</v>
      </c>
      <c r="K25" s="59">
        <f t="shared" si="7"/>
        <v>500</v>
      </c>
      <c r="L25" s="59">
        <f t="shared" si="8"/>
        <v>6.25</v>
      </c>
      <c r="M25" s="60">
        <v>37.839449999999999</v>
      </c>
      <c r="N25" s="54">
        <f t="shared" si="17"/>
        <v>18</v>
      </c>
      <c r="O25" s="55">
        <f t="shared" si="10"/>
        <v>500</v>
      </c>
      <c r="P25" s="55">
        <f t="shared" si="11"/>
        <v>9</v>
      </c>
      <c r="Q25" s="55">
        <v>37.839449999999999</v>
      </c>
      <c r="R25" s="247">
        <f t="shared" si="18"/>
        <v>12.5</v>
      </c>
      <c r="S25" s="24">
        <f t="shared" si="13"/>
        <v>10714</v>
      </c>
      <c r="T25" s="25">
        <f t="shared" si="14"/>
        <v>0.13392499999999999</v>
      </c>
      <c r="U25" s="53">
        <f t="shared" si="15"/>
        <v>2.9181085000000002</v>
      </c>
      <c r="W25">
        <v>37.839449999999999</v>
      </c>
    </row>
    <row r="26" spans="1:24" s="831" customFormat="1" x14ac:dyDescent="0.2">
      <c r="A26" s="33">
        <f t="shared" si="19"/>
        <v>2013</v>
      </c>
      <c r="B26" s="30">
        <v>7</v>
      </c>
      <c r="C26" s="187">
        <v>98</v>
      </c>
      <c r="D26" s="62">
        <v>142.86000000000001</v>
      </c>
      <c r="E26" s="62">
        <v>142.86000000000001</v>
      </c>
      <c r="F26" s="676">
        <f t="shared" ref="F26:F47" si="22">F25</f>
        <v>10714</v>
      </c>
      <c r="G26" s="606">
        <f t="shared" si="21"/>
        <v>1.0000200000000001</v>
      </c>
      <c r="H26" s="607">
        <f t="shared" si="21"/>
        <v>1.0000200000000001</v>
      </c>
      <c r="I26" s="608">
        <f t="shared" si="20"/>
        <v>7.4997999999999995E-2</v>
      </c>
      <c r="J26" s="61">
        <f t="shared" si="16"/>
        <v>7</v>
      </c>
      <c r="K26" s="59">
        <f t="shared" si="7"/>
        <v>142.86000000000001</v>
      </c>
      <c r="L26" s="59">
        <f t="shared" si="8"/>
        <v>1.0000200000000001</v>
      </c>
      <c r="M26" s="60">
        <v>38.835225000000001</v>
      </c>
      <c r="N26" s="54">
        <f t="shared" si="17"/>
        <v>7</v>
      </c>
      <c r="O26" s="55">
        <f t="shared" si="10"/>
        <v>142.86000000000001</v>
      </c>
      <c r="P26" s="55">
        <f t="shared" si="11"/>
        <v>1.0000200000000001</v>
      </c>
      <c r="Q26" s="55">
        <v>38.835225000000001</v>
      </c>
      <c r="R26" s="247">
        <f t="shared" si="18"/>
        <v>7</v>
      </c>
      <c r="S26" s="24">
        <f t="shared" si="13"/>
        <v>10714</v>
      </c>
      <c r="T26" s="25">
        <f t="shared" si="14"/>
        <v>7.4997999999999995E-2</v>
      </c>
      <c r="U26" s="53">
        <f t="shared" si="15"/>
        <v>2.9931065000000001</v>
      </c>
      <c r="V26" s="830"/>
      <c r="W26" s="831">
        <v>38.835225000000001</v>
      </c>
    </row>
    <row r="27" spans="1:24" s="831" customFormat="1" x14ac:dyDescent="0.2">
      <c r="A27" s="33">
        <f t="shared" si="19"/>
        <v>2014</v>
      </c>
      <c r="B27" s="30">
        <v>19</v>
      </c>
      <c r="C27" s="187">
        <f t="shared" si="0"/>
        <v>117</v>
      </c>
      <c r="D27" s="62">
        <f t="shared" ref="D27:D47" si="23">D26</f>
        <v>142.86000000000001</v>
      </c>
      <c r="E27" s="62">
        <f t="shared" ref="E27:E47" si="24">E26</f>
        <v>142.86000000000001</v>
      </c>
      <c r="F27" s="676">
        <f t="shared" si="22"/>
        <v>10714</v>
      </c>
      <c r="G27" s="606">
        <f t="shared" si="21"/>
        <v>2.71434</v>
      </c>
      <c r="H27" s="607">
        <f t="shared" si="21"/>
        <v>2.71434</v>
      </c>
      <c r="I27" s="608">
        <f t="shared" si="20"/>
        <v>0.203566</v>
      </c>
      <c r="J27" s="61">
        <f>+(B27+B26)/2</f>
        <v>13</v>
      </c>
      <c r="K27" s="59">
        <f>+D27</f>
        <v>142.86000000000001</v>
      </c>
      <c r="L27" s="59">
        <f>+J27*K27/1000</f>
        <v>1.8571800000000003</v>
      </c>
      <c r="M27" s="60">
        <f>+M26+L27</f>
        <v>40.692405000000001</v>
      </c>
      <c r="N27" s="54">
        <f t="shared" si="17"/>
        <v>7</v>
      </c>
      <c r="O27" s="55">
        <f t="shared" si="10"/>
        <v>142.86000000000001</v>
      </c>
      <c r="P27" s="55">
        <f t="shared" si="11"/>
        <v>1.0000200000000001</v>
      </c>
      <c r="Q27" s="55">
        <f t="shared" si="12"/>
        <v>39.835245</v>
      </c>
      <c r="R27" s="247">
        <f t="shared" si="18"/>
        <v>13</v>
      </c>
      <c r="S27" s="24">
        <f t="shared" si="13"/>
        <v>10714</v>
      </c>
      <c r="T27" s="25">
        <f t="shared" si="14"/>
        <v>0.13928199999999999</v>
      </c>
      <c r="U27" s="53">
        <f t="shared" si="15"/>
        <v>3.1323885000000002</v>
      </c>
      <c r="V27" s="830"/>
      <c r="W27" s="831">
        <v>39.302725000000002</v>
      </c>
    </row>
    <row r="28" spans="1:24" s="831" customFormat="1" x14ac:dyDescent="0.2">
      <c r="A28" s="33">
        <f t="shared" si="19"/>
        <v>2015</v>
      </c>
      <c r="B28" s="30">
        <v>4</v>
      </c>
      <c r="C28" s="187">
        <v>96</v>
      </c>
      <c r="D28" s="62">
        <f>D61</f>
        <v>261.25</v>
      </c>
      <c r="E28" s="62">
        <f t="shared" ref="E28:F28" si="25">E61</f>
        <v>261.25</v>
      </c>
      <c r="F28" s="676">
        <f t="shared" si="25"/>
        <v>19593.75</v>
      </c>
      <c r="G28" s="606">
        <f t="shared" ref="G28:G40" si="26">+$B28*D28/1000</f>
        <v>1.0449999999999999</v>
      </c>
      <c r="H28" s="607">
        <f t="shared" ref="H28:H40" si="27">+$B28*E28/1000</f>
        <v>1.0449999999999999</v>
      </c>
      <c r="I28" s="608">
        <f t="shared" ref="I28:I40" si="28">+$B28*F28/1000000</f>
        <v>7.8375E-2</v>
      </c>
      <c r="J28" s="61">
        <f t="shared" si="16"/>
        <v>11.5</v>
      </c>
      <c r="K28" s="59">
        <f t="shared" si="7"/>
        <v>261.25</v>
      </c>
      <c r="L28" s="59">
        <f t="shared" si="8"/>
        <v>3.004375</v>
      </c>
      <c r="M28" s="60">
        <v>40</v>
      </c>
      <c r="N28" s="54">
        <f t="shared" si="17"/>
        <v>19</v>
      </c>
      <c r="O28" s="55">
        <f t="shared" si="10"/>
        <v>261.25</v>
      </c>
      <c r="P28" s="55">
        <f t="shared" si="11"/>
        <v>4.9637500000000001</v>
      </c>
      <c r="Q28" s="55">
        <v>40</v>
      </c>
      <c r="R28" s="247">
        <f t="shared" si="18"/>
        <v>11.5</v>
      </c>
      <c r="S28" s="24">
        <f t="shared" si="13"/>
        <v>19593.75</v>
      </c>
      <c r="T28" s="25">
        <f t="shared" si="14"/>
        <v>0.22532812499999999</v>
      </c>
      <c r="U28" s="53">
        <f t="shared" si="15"/>
        <v>3.3577166250000001</v>
      </c>
      <c r="V28" s="830"/>
      <c r="W28" s="831">
        <v>39.770224999999996</v>
      </c>
    </row>
    <row r="29" spans="1:24" ht="13.5" thickBot="1" x14ac:dyDescent="0.25">
      <c r="A29" s="701">
        <f t="shared" si="19"/>
        <v>2016</v>
      </c>
      <c r="B29" s="702">
        <v>0</v>
      </c>
      <c r="C29" s="895">
        <f t="shared" si="0"/>
        <v>96</v>
      </c>
      <c r="D29" s="936">
        <v>470.59</v>
      </c>
      <c r="E29" s="936">
        <v>470.59</v>
      </c>
      <c r="F29" s="937">
        <v>35294</v>
      </c>
      <c r="G29" s="938">
        <f t="shared" si="26"/>
        <v>0</v>
      </c>
      <c r="H29" s="939">
        <f t="shared" si="27"/>
        <v>0</v>
      </c>
      <c r="I29" s="940">
        <f t="shared" si="28"/>
        <v>0</v>
      </c>
      <c r="J29" s="708">
        <f t="shared" si="16"/>
        <v>2</v>
      </c>
      <c r="K29" s="896">
        <f t="shared" si="7"/>
        <v>470.59</v>
      </c>
      <c r="L29" s="896">
        <f t="shared" si="8"/>
        <v>0.94117999999999991</v>
      </c>
      <c r="M29" s="1149">
        <f>M28</f>
        <v>40</v>
      </c>
      <c r="N29" s="711">
        <f t="shared" si="17"/>
        <v>4</v>
      </c>
      <c r="O29" s="898">
        <f t="shared" si="10"/>
        <v>470.59</v>
      </c>
      <c r="P29" s="898">
        <f t="shared" si="11"/>
        <v>1.8823599999999998</v>
      </c>
      <c r="Q29" s="1149">
        <f>Q28</f>
        <v>40</v>
      </c>
      <c r="R29" s="714">
        <f t="shared" si="18"/>
        <v>2</v>
      </c>
      <c r="S29" s="715">
        <f t="shared" si="13"/>
        <v>35294</v>
      </c>
      <c r="T29" s="716">
        <f t="shared" si="14"/>
        <v>7.0587999999999998E-2</v>
      </c>
      <c r="U29" s="900">
        <f t="shared" si="15"/>
        <v>3.428304625</v>
      </c>
      <c r="W29">
        <v>40.237724999999998</v>
      </c>
    </row>
    <row r="30" spans="1:24" x14ac:dyDescent="0.2">
      <c r="A30" s="762">
        <f t="shared" si="19"/>
        <v>2017</v>
      </c>
      <c r="B30" s="803">
        <v>1</v>
      </c>
      <c r="C30" s="64">
        <f t="shared" si="0"/>
        <v>97</v>
      </c>
      <c r="D30" s="375">
        <f t="shared" si="23"/>
        <v>470.59</v>
      </c>
      <c r="E30" s="375">
        <f t="shared" si="24"/>
        <v>470.59</v>
      </c>
      <c r="F30" s="470">
        <f t="shared" si="22"/>
        <v>35294</v>
      </c>
      <c r="G30" s="473">
        <f t="shared" si="26"/>
        <v>0.47058999999999995</v>
      </c>
      <c r="H30" s="474">
        <f t="shared" si="27"/>
        <v>0.47058999999999995</v>
      </c>
      <c r="I30" s="474">
        <f t="shared" si="28"/>
        <v>3.5293999999999999E-2</v>
      </c>
      <c r="J30" s="61">
        <f t="shared" si="16"/>
        <v>0.5</v>
      </c>
      <c r="K30" s="59">
        <f t="shared" si="7"/>
        <v>470.59</v>
      </c>
      <c r="L30" s="59">
        <f t="shared" si="8"/>
        <v>0.23529499999999998</v>
      </c>
      <c r="M30" s="1150">
        <f t="shared" ref="M30:M54" si="29">M29</f>
        <v>40</v>
      </c>
      <c r="N30" s="54">
        <f t="shared" si="17"/>
        <v>0</v>
      </c>
      <c r="O30" s="55">
        <f t="shared" si="10"/>
        <v>470.59</v>
      </c>
      <c r="P30" s="55">
        <f t="shared" si="11"/>
        <v>0</v>
      </c>
      <c r="Q30" s="1150">
        <f>Q29</f>
        <v>40</v>
      </c>
      <c r="R30" s="247">
        <f t="shared" si="18"/>
        <v>0.5</v>
      </c>
      <c r="S30" s="24">
        <f t="shared" si="13"/>
        <v>35294</v>
      </c>
      <c r="T30" s="25">
        <f t="shared" si="14"/>
        <v>1.7646999999999999E-2</v>
      </c>
      <c r="U30" s="53">
        <f t="shared" si="15"/>
        <v>3.4459516250000002</v>
      </c>
      <c r="W30">
        <v>40.705224999999999</v>
      </c>
    </row>
    <row r="31" spans="1:24" x14ac:dyDescent="0.2">
      <c r="A31" s="762">
        <f t="shared" si="19"/>
        <v>2018</v>
      </c>
      <c r="B31" s="803">
        <v>1</v>
      </c>
      <c r="C31" s="64">
        <f t="shared" si="0"/>
        <v>98</v>
      </c>
      <c r="D31" s="375">
        <f t="shared" si="23"/>
        <v>470.59</v>
      </c>
      <c r="E31" s="375">
        <f t="shared" si="24"/>
        <v>470.59</v>
      </c>
      <c r="F31" s="470">
        <f t="shared" si="22"/>
        <v>35294</v>
      </c>
      <c r="G31" s="473">
        <f t="shared" si="26"/>
        <v>0.47058999999999995</v>
      </c>
      <c r="H31" s="474">
        <f t="shared" si="27"/>
        <v>0.47058999999999995</v>
      </c>
      <c r="I31" s="474">
        <f t="shared" si="28"/>
        <v>3.5293999999999999E-2</v>
      </c>
      <c r="J31" s="61">
        <f t="shared" si="16"/>
        <v>1</v>
      </c>
      <c r="K31" s="59">
        <f t="shared" si="7"/>
        <v>470.59</v>
      </c>
      <c r="L31" s="59">
        <f t="shared" si="8"/>
        <v>0.47058999999999995</v>
      </c>
      <c r="M31" s="1150">
        <f t="shared" si="29"/>
        <v>40</v>
      </c>
      <c r="N31" s="54">
        <f t="shared" si="17"/>
        <v>1</v>
      </c>
      <c r="O31" s="55">
        <f t="shared" si="10"/>
        <v>470.59</v>
      </c>
      <c r="P31" s="55">
        <f t="shared" si="11"/>
        <v>0.47058999999999995</v>
      </c>
      <c r="Q31" s="1150">
        <f t="shared" ref="Q31:Q54" si="30">Q30</f>
        <v>40</v>
      </c>
      <c r="R31" s="247">
        <f t="shared" si="18"/>
        <v>1</v>
      </c>
      <c r="S31" s="24">
        <f t="shared" si="13"/>
        <v>35294</v>
      </c>
      <c r="T31" s="25">
        <f t="shared" si="14"/>
        <v>3.5293999999999999E-2</v>
      </c>
      <c r="U31" s="53">
        <f t="shared" si="15"/>
        <v>3.4812456250000001</v>
      </c>
      <c r="W31">
        <v>41.172725</v>
      </c>
    </row>
    <row r="32" spans="1:24" x14ac:dyDescent="0.2">
      <c r="A32" s="762">
        <f t="shared" si="19"/>
        <v>2019</v>
      </c>
      <c r="B32" s="803">
        <v>1</v>
      </c>
      <c r="C32" s="64">
        <f t="shared" si="0"/>
        <v>99</v>
      </c>
      <c r="D32" s="375">
        <f t="shared" si="23"/>
        <v>470.59</v>
      </c>
      <c r="E32" s="375">
        <f t="shared" si="24"/>
        <v>470.59</v>
      </c>
      <c r="F32" s="470">
        <f t="shared" si="22"/>
        <v>35294</v>
      </c>
      <c r="G32" s="473">
        <f>+$B32*D32/1000</f>
        <v>0.47058999999999995</v>
      </c>
      <c r="H32" s="474">
        <f t="shared" si="27"/>
        <v>0.47058999999999995</v>
      </c>
      <c r="I32" s="474">
        <f t="shared" si="28"/>
        <v>3.5293999999999999E-2</v>
      </c>
      <c r="J32" s="61">
        <f t="shared" si="16"/>
        <v>1</v>
      </c>
      <c r="K32" s="59">
        <f t="shared" si="7"/>
        <v>470.59</v>
      </c>
      <c r="L32" s="59">
        <f t="shared" si="8"/>
        <v>0.47058999999999995</v>
      </c>
      <c r="M32" s="1150">
        <f t="shared" si="29"/>
        <v>40</v>
      </c>
      <c r="N32" s="54">
        <f t="shared" si="17"/>
        <v>1</v>
      </c>
      <c r="O32" s="55">
        <f t="shared" si="10"/>
        <v>470.59</v>
      </c>
      <c r="P32" s="55">
        <f t="shared" si="11"/>
        <v>0.47058999999999995</v>
      </c>
      <c r="Q32" s="1150">
        <f t="shared" si="30"/>
        <v>40</v>
      </c>
      <c r="R32" s="247">
        <f t="shared" si="18"/>
        <v>1</v>
      </c>
      <c r="S32" s="24">
        <f t="shared" si="13"/>
        <v>35294</v>
      </c>
      <c r="T32" s="25">
        <f t="shared" si="14"/>
        <v>3.5293999999999999E-2</v>
      </c>
      <c r="U32" s="53">
        <f t="shared" si="15"/>
        <v>3.5165396250000001</v>
      </c>
    </row>
    <row r="33" spans="1:21" x14ac:dyDescent="0.2">
      <c r="A33" s="762">
        <f t="shared" si="19"/>
        <v>2020</v>
      </c>
      <c r="B33" s="803">
        <v>1</v>
      </c>
      <c r="C33" s="64">
        <f t="shared" si="0"/>
        <v>100</v>
      </c>
      <c r="D33" s="375">
        <f t="shared" si="23"/>
        <v>470.59</v>
      </c>
      <c r="E33" s="375">
        <f t="shared" si="24"/>
        <v>470.59</v>
      </c>
      <c r="F33" s="470">
        <f t="shared" si="22"/>
        <v>35294</v>
      </c>
      <c r="G33" s="452">
        <f>+$B33*D33/1000</f>
        <v>0.47058999999999995</v>
      </c>
      <c r="H33" s="72">
        <f t="shared" si="27"/>
        <v>0.47058999999999995</v>
      </c>
      <c r="I33" s="72">
        <f t="shared" si="28"/>
        <v>3.5293999999999999E-2</v>
      </c>
      <c r="J33" s="61">
        <f t="shared" si="16"/>
        <v>1</v>
      </c>
      <c r="K33" s="59">
        <f t="shared" si="7"/>
        <v>470.59</v>
      </c>
      <c r="L33" s="59">
        <f t="shared" si="8"/>
        <v>0.47058999999999995</v>
      </c>
      <c r="M33" s="1150">
        <f t="shared" si="29"/>
        <v>40</v>
      </c>
      <c r="N33" s="54">
        <f t="shared" si="17"/>
        <v>1</v>
      </c>
      <c r="O33" s="55">
        <f t="shared" si="10"/>
        <v>470.59</v>
      </c>
      <c r="P33" s="55">
        <f t="shared" si="11"/>
        <v>0.47058999999999995</v>
      </c>
      <c r="Q33" s="1150">
        <f t="shared" si="30"/>
        <v>40</v>
      </c>
      <c r="R33" s="247">
        <f t="shared" si="18"/>
        <v>1</v>
      </c>
      <c r="S33" s="24">
        <f t="shared" si="13"/>
        <v>35294</v>
      </c>
      <c r="T33" s="25">
        <f t="shared" si="14"/>
        <v>3.5293999999999999E-2</v>
      </c>
      <c r="U33" s="53">
        <f t="shared" si="15"/>
        <v>3.551833625</v>
      </c>
    </row>
    <row r="34" spans="1:21" x14ac:dyDescent="0.2">
      <c r="A34" s="762">
        <f t="shared" si="19"/>
        <v>2021</v>
      </c>
      <c r="B34" s="803">
        <v>1</v>
      </c>
      <c r="C34" s="64">
        <f t="shared" si="0"/>
        <v>101</v>
      </c>
      <c r="D34" s="375">
        <f t="shared" si="23"/>
        <v>470.59</v>
      </c>
      <c r="E34" s="375">
        <f t="shared" si="24"/>
        <v>470.59</v>
      </c>
      <c r="F34" s="470">
        <f t="shared" si="22"/>
        <v>35294</v>
      </c>
      <c r="G34" s="452">
        <f t="shared" si="26"/>
        <v>0.47058999999999995</v>
      </c>
      <c r="H34" s="72">
        <f t="shared" si="27"/>
        <v>0.47058999999999995</v>
      </c>
      <c r="I34" s="72">
        <f t="shared" si="28"/>
        <v>3.5293999999999999E-2</v>
      </c>
      <c r="J34" s="61">
        <f t="shared" si="16"/>
        <v>1</v>
      </c>
      <c r="K34" s="59">
        <f t="shared" si="7"/>
        <v>470.59</v>
      </c>
      <c r="L34" s="59">
        <f t="shared" si="8"/>
        <v>0.47058999999999995</v>
      </c>
      <c r="M34" s="1150">
        <f t="shared" si="29"/>
        <v>40</v>
      </c>
      <c r="N34" s="54">
        <f t="shared" si="17"/>
        <v>1</v>
      </c>
      <c r="O34" s="55">
        <f t="shared" si="10"/>
        <v>470.59</v>
      </c>
      <c r="P34" s="55">
        <f t="shared" si="11"/>
        <v>0.47058999999999995</v>
      </c>
      <c r="Q34" s="1150">
        <f t="shared" si="30"/>
        <v>40</v>
      </c>
      <c r="R34" s="247">
        <f t="shared" si="18"/>
        <v>1</v>
      </c>
      <c r="S34" s="24">
        <f t="shared" si="13"/>
        <v>35294</v>
      </c>
      <c r="T34" s="25">
        <f t="shared" si="14"/>
        <v>3.5293999999999999E-2</v>
      </c>
      <c r="U34" s="53">
        <f t="shared" si="15"/>
        <v>3.5871276249999999</v>
      </c>
    </row>
    <row r="35" spans="1:21" x14ac:dyDescent="0.2">
      <c r="A35" s="762">
        <f t="shared" si="19"/>
        <v>2022</v>
      </c>
      <c r="B35" s="803">
        <v>1</v>
      </c>
      <c r="C35" s="64">
        <f t="shared" si="0"/>
        <v>102</v>
      </c>
      <c r="D35" s="375">
        <f t="shared" si="23"/>
        <v>470.59</v>
      </c>
      <c r="E35" s="375">
        <f t="shared" si="24"/>
        <v>470.59</v>
      </c>
      <c r="F35" s="470">
        <f t="shared" si="22"/>
        <v>35294</v>
      </c>
      <c r="G35" s="452">
        <f t="shared" si="26"/>
        <v>0.47058999999999995</v>
      </c>
      <c r="H35" s="72">
        <f t="shared" si="27"/>
        <v>0.47058999999999995</v>
      </c>
      <c r="I35" s="72">
        <f t="shared" si="28"/>
        <v>3.5293999999999999E-2</v>
      </c>
      <c r="J35" s="61">
        <f t="shared" si="16"/>
        <v>1</v>
      </c>
      <c r="K35" s="59">
        <f t="shared" si="7"/>
        <v>470.59</v>
      </c>
      <c r="L35" s="59">
        <f t="shared" si="8"/>
        <v>0.47058999999999995</v>
      </c>
      <c r="M35" s="1150">
        <f t="shared" si="29"/>
        <v>40</v>
      </c>
      <c r="N35" s="54">
        <f t="shared" si="17"/>
        <v>1</v>
      </c>
      <c r="O35" s="55">
        <f t="shared" si="10"/>
        <v>470.59</v>
      </c>
      <c r="P35" s="55">
        <f t="shared" si="11"/>
        <v>0.47058999999999995</v>
      </c>
      <c r="Q35" s="1150">
        <f t="shared" si="30"/>
        <v>40</v>
      </c>
      <c r="R35" s="247">
        <f t="shared" si="18"/>
        <v>1</v>
      </c>
      <c r="S35" s="24">
        <f t="shared" si="13"/>
        <v>35294</v>
      </c>
      <c r="T35" s="25">
        <f t="shared" si="14"/>
        <v>3.5293999999999999E-2</v>
      </c>
      <c r="U35" s="53">
        <f t="shared" si="15"/>
        <v>3.6224216249999999</v>
      </c>
    </row>
    <row r="36" spans="1:21" x14ac:dyDescent="0.2">
      <c r="A36" s="762">
        <f t="shared" si="19"/>
        <v>2023</v>
      </c>
      <c r="B36" s="803">
        <v>1</v>
      </c>
      <c r="C36" s="64">
        <f t="shared" si="0"/>
        <v>103</v>
      </c>
      <c r="D36" s="375">
        <f t="shared" si="23"/>
        <v>470.59</v>
      </c>
      <c r="E36" s="375">
        <f t="shared" si="24"/>
        <v>470.59</v>
      </c>
      <c r="F36" s="470">
        <f t="shared" si="22"/>
        <v>35294</v>
      </c>
      <c r="G36" s="452">
        <f t="shared" si="26"/>
        <v>0.47058999999999995</v>
      </c>
      <c r="H36" s="72">
        <f t="shared" si="27"/>
        <v>0.47058999999999995</v>
      </c>
      <c r="I36" s="72">
        <f t="shared" si="28"/>
        <v>3.5293999999999999E-2</v>
      </c>
      <c r="J36" s="61">
        <f t="shared" si="16"/>
        <v>1</v>
      </c>
      <c r="K36" s="59">
        <f t="shared" si="7"/>
        <v>470.59</v>
      </c>
      <c r="L36" s="59">
        <f t="shared" si="8"/>
        <v>0.47058999999999995</v>
      </c>
      <c r="M36" s="1150">
        <f t="shared" si="29"/>
        <v>40</v>
      </c>
      <c r="N36" s="54">
        <f t="shared" si="17"/>
        <v>1</v>
      </c>
      <c r="O36" s="55">
        <f t="shared" si="10"/>
        <v>470.59</v>
      </c>
      <c r="P36" s="55">
        <f t="shared" si="11"/>
        <v>0.47058999999999995</v>
      </c>
      <c r="Q36" s="1150">
        <f t="shared" si="30"/>
        <v>40</v>
      </c>
      <c r="R36" s="247">
        <f t="shared" si="18"/>
        <v>1</v>
      </c>
      <c r="S36" s="24">
        <f t="shared" si="13"/>
        <v>35294</v>
      </c>
      <c r="T36" s="25">
        <f t="shared" si="14"/>
        <v>3.5293999999999999E-2</v>
      </c>
      <c r="U36" s="53">
        <f t="shared" si="15"/>
        <v>3.6577156249999998</v>
      </c>
    </row>
    <row r="37" spans="1:21" x14ac:dyDescent="0.2">
      <c r="A37" s="762">
        <f t="shared" si="19"/>
        <v>2024</v>
      </c>
      <c r="B37" s="803">
        <v>1</v>
      </c>
      <c r="C37" s="64">
        <f t="shared" si="0"/>
        <v>104</v>
      </c>
      <c r="D37" s="375">
        <f t="shared" si="23"/>
        <v>470.59</v>
      </c>
      <c r="E37" s="375">
        <f t="shared" si="24"/>
        <v>470.59</v>
      </c>
      <c r="F37" s="470">
        <f t="shared" si="22"/>
        <v>35294</v>
      </c>
      <c r="G37" s="452">
        <f t="shared" si="26"/>
        <v>0.47058999999999995</v>
      </c>
      <c r="H37" s="72">
        <f t="shared" si="27"/>
        <v>0.47058999999999995</v>
      </c>
      <c r="I37" s="72">
        <f t="shared" si="28"/>
        <v>3.5293999999999999E-2</v>
      </c>
      <c r="J37" s="61">
        <f t="shared" si="16"/>
        <v>1</v>
      </c>
      <c r="K37" s="59">
        <f t="shared" si="7"/>
        <v>470.59</v>
      </c>
      <c r="L37" s="59">
        <f t="shared" si="8"/>
        <v>0.47058999999999995</v>
      </c>
      <c r="M37" s="1150">
        <f t="shared" si="29"/>
        <v>40</v>
      </c>
      <c r="N37" s="54">
        <f t="shared" si="17"/>
        <v>1</v>
      </c>
      <c r="O37" s="55">
        <f t="shared" si="10"/>
        <v>470.59</v>
      </c>
      <c r="P37" s="55">
        <f t="shared" si="11"/>
        <v>0.47058999999999995</v>
      </c>
      <c r="Q37" s="1150">
        <f t="shared" si="30"/>
        <v>40</v>
      </c>
      <c r="R37" s="247">
        <f t="shared" si="18"/>
        <v>1</v>
      </c>
      <c r="S37" s="24">
        <f t="shared" si="13"/>
        <v>35294</v>
      </c>
      <c r="T37" s="25">
        <f t="shared" si="14"/>
        <v>3.5293999999999999E-2</v>
      </c>
      <c r="U37" s="53">
        <f t="shared" si="15"/>
        <v>3.6930096249999997</v>
      </c>
    </row>
    <row r="38" spans="1:21" x14ac:dyDescent="0.2">
      <c r="A38" s="762">
        <f t="shared" si="19"/>
        <v>2025</v>
      </c>
      <c r="B38" s="803">
        <v>1</v>
      </c>
      <c r="C38" s="64">
        <f t="shared" si="0"/>
        <v>105</v>
      </c>
      <c r="D38" s="375">
        <f t="shared" si="23"/>
        <v>470.59</v>
      </c>
      <c r="E38" s="375">
        <f t="shared" si="24"/>
        <v>470.59</v>
      </c>
      <c r="F38" s="470">
        <f t="shared" si="22"/>
        <v>35294</v>
      </c>
      <c r="G38" s="452">
        <f t="shared" si="26"/>
        <v>0.47058999999999995</v>
      </c>
      <c r="H38" s="72">
        <f t="shared" si="27"/>
        <v>0.47058999999999995</v>
      </c>
      <c r="I38" s="72">
        <f t="shared" si="28"/>
        <v>3.5293999999999999E-2</v>
      </c>
      <c r="J38" s="61">
        <f t="shared" si="16"/>
        <v>1</v>
      </c>
      <c r="K38" s="59">
        <f t="shared" si="7"/>
        <v>470.59</v>
      </c>
      <c r="L38" s="59">
        <f t="shared" si="8"/>
        <v>0.47058999999999995</v>
      </c>
      <c r="M38" s="1150">
        <f t="shared" si="29"/>
        <v>40</v>
      </c>
      <c r="N38" s="54">
        <f t="shared" si="17"/>
        <v>1</v>
      </c>
      <c r="O38" s="55">
        <f t="shared" si="10"/>
        <v>470.59</v>
      </c>
      <c r="P38" s="55">
        <f t="shared" si="11"/>
        <v>0.47058999999999995</v>
      </c>
      <c r="Q38" s="1150">
        <f t="shared" si="30"/>
        <v>40</v>
      </c>
      <c r="R38" s="247">
        <f t="shared" si="18"/>
        <v>1</v>
      </c>
      <c r="S38" s="24">
        <f t="shared" si="13"/>
        <v>35294</v>
      </c>
      <c r="T38" s="25">
        <f t="shared" si="14"/>
        <v>3.5293999999999999E-2</v>
      </c>
      <c r="U38" s="53">
        <f t="shared" si="15"/>
        <v>3.7283036249999997</v>
      </c>
    </row>
    <row r="39" spans="1:21" x14ac:dyDescent="0.2">
      <c r="A39" s="762">
        <f t="shared" si="19"/>
        <v>2026</v>
      </c>
      <c r="B39" s="803">
        <v>1</v>
      </c>
      <c r="C39" s="64">
        <f t="shared" si="0"/>
        <v>106</v>
      </c>
      <c r="D39" s="375">
        <f t="shared" si="23"/>
        <v>470.59</v>
      </c>
      <c r="E39" s="375">
        <f t="shared" si="24"/>
        <v>470.59</v>
      </c>
      <c r="F39" s="470">
        <f t="shared" si="22"/>
        <v>35294</v>
      </c>
      <c r="G39" s="452">
        <f t="shared" si="26"/>
        <v>0.47058999999999995</v>
      </c>
      <c r="H39" s="72">
        <f t="shared" si="27"/>
        <v>0.47058999999999995</v>
      </c>
      <c r="I39" s="72">
        <f t="shared" si="28"/>
        <v>3.5293999999999999E-2</v>
      </c>
      <c r="J39" s="61">
        <f t="shared" si="16"/>
        <v>1</v>
      </c>
      <c r="K39" s="59">
        <f t="shared" si="7"/>
        <v>470.59</v>
      </c>
      <c r="L39" s="59">
        <f t="shared" si="8"/>
        <v>0.47058999999999995</v>
      </c>
      <c r="M39" s="1150">
        <f t="shared" si="29"/>
        <v>40</v>
      </c>
      <c r="N39" s="54">
        <f t="shared" si="17"/>
        <v>1</v>
      </c>
      <c r="O39" s="55">
        <f t="shared" si="10"/>
        <v>470.59</v>
      </c>
      <c r="P39" s="55">
        <f t="shared" si="11"/>
        <v>0.47058999999999995</v>
      </c>
      <c r="Q39" s="1150">
        <f t="shared" si="30"/>
        <v>40</v>
      </c>
      <c r="R39" s="247">
        <v>0</v>
      </c>
      <c r="S39" s="24">
        <f t="shared" si="13"/>
        <v>35294</v>
      </c>
      <c r="T39" s="25">
        <f t="shared" si="14"/>
        <v>0</v>
      </c>
      <c r="U39" s="53">
        <f t="shared" si="15"/>
        <v>3.7283036249999997</v>
      </c>
    </row>
    <row r="40" spans="1:21" x14ac:dyDescent="0.2">
      <c r="A40" s="762">
        <f>+A39+1</f>
        <v>2027</v>
      </c>
      <c r="B40" s="803">
        <v>1</v>
      </c>
      <c r="C40" s="64">
        <f>+C39+B40</f>
        <v>107</v>
      </c>
      <c r="D40" s="375">
        <f t="shared" si="23"/>
        <v>470.59</v>
      </c>
      <c r="E40" s="375">
        <f t="shared" si="24"/>
        <v>470.59</v>
      </c>
      <c r="F40" s="470">
        <f t="shared" si="22"/>
        <v>35294</v>
      </c>
      <c r="G40" s="452">
        <f t="shared" si="26"/>
        <v>0.47058999999999995</v>
      </c>
      <c r="H40" s="72">
        <f t="shared" si="27"/>
        <v>0.47058999999999995</v>
      </c>
      <c r="I40" s="72">
        <f t="shared" si="28"/>
        <v>3.5293999999999999E-2</v>
      </c>
      <c r="J40" s="61">
        <f>+(B40+B39)/2</f>
        <v>1</v>
      </c>
      <c r="K40" s="59">
        <f>+D40</f>
        <v>470.59</v>
      </c>
      <c r="L40" s="59">
        <f>+J40*K40/1000</f>
        <v>0.47058999999999995</v>
      </c>
      <c r="M40" s="1150">
        <f t="shared" si="29"/>
        <v>40</v>
      </c>
      <c r="N40" s="54">
        <f>+B39</f>
        <v>1</v>
      </c>
      <c r="O40" s="55">
        <f>+E40</f>
        <v>470.59</v>
      </c>
      <c r="P40" s="55">
        <f>+N40*O40/1000</f>
        <v>0.47058999999999995</v>
      </c>
      <c r="Q40" s="1150">
        <f t="shared" si="30"/>
        <v>40</v>
      </c>
      <c r="R40" s="247">
        <f>+(B40+B39)/2</f>
        <v>1</v>
      </c>
      <c r="S40" s="24">
        <f>+F40</f>
        <v>35294</v>
      </c>
      <c r="T40" s="25">
        <f>+R40*S40/1000000</f>
        <v>3.5293999999999999E-2</v>
      </c>
      <c r="U40" s="53">
        <f>+U39+T40</f>
        <v>3.7635976249999996</v>
      </c>
    </row>
    <row r="41" spans="1:21" x14ac:dyDescent="0.2">
      <c r="A41" s="762">
        <f t="shared" si="19"/>
        <v>2028</v>
      </c>
      <c r="B41" s="803">
        <v>1</v>
      </c>
      <c r="C41" s="64">
        <f>+C40+B41</f>
        <v>108</v>
      </c>
      <c r="D41" s="375">
        <f t="shared" si="23"/>
        <v>470.59</v>
      </c>
      <c r="E41" s="375">
        <f t="shared" si="24"/>
        <v>470.59</v>
      </c>
      <c r="F41" s="470">
        <f t="shared" si="22"/>
        <v>35294</v>
      </c>
      <c r="G41" s="452">
        <f t="shared" ref="G41:H42" si="31">+$B41*D41/1000</f>
        <v>0.47058999999999995</v>
      </c>
      <c r="H41" s="72">
        <f t="shared" si="31"/>
        <v>0.47058999999999995</v>
      </c>
      <c r="I41" s="72">
        <f>+$B41*F41/1000000</f>
        <v>3.5293999999999999E-2</v>
      </c>
      <c r="J41" s="61">
        <f>+(B41+B40)/2</f>
        <v>1</v>
      </c>
      <c r="K41" s="59">
        <f>+D41</f>
        <v>470.59</v>
      </c>
      <c r="L41" s="59">
        <f>+J41*K41/1000</f>
        <v>0.47058999999999995</v>
      </c>
      <c r="M41" s="1150">
        <f t="shared" si="29"/>
        <v>40</v>
      </c>
      <c r="N41" s="54">
        <f>+B40</f>
        <v>1</v>
      </c>
      <c r="O41" s="55">
        <f>+E41</f>
        <v>470.59</v>
      </c>
      <c r="P41" s="55">
        <f>+N41*O41/1000</f>
        <v>0.47058999999999995</v>
      </c>
      <c r="Q41" s="1150">
        <f t="shared" si="30"/>
        <v>40</v>
      </c>
      <c r="R41" s="247">
        <f>+(B41+B40)/2</f>
        <v>1</v>
      </c>
      <c r="S41" s="24">
        <f>+F41</f>
        <v>35294</v>
      </c>
      <c r="T41" s="25">
        <f>+R41*S41/1000000</f>
        <v>3.5293999999999999E-2</v>
      </c>
      <c r="U41" s="53">
        <f>+U40+T41</f>
        <v>3.7988916249999996</v>
      </c>
    </row>
    <row r="42" spans="1:21" x14ac:dyDescent="0.2">
      <c r="A42" s="762">
        <f t="shared" si="19"/>
        <v>2029</v>
      </c>
      <c r="B42" s="803">
        <v>1</v>
      </c>
      <c r="C42" s="64">
        <f>+C41+B42</f>
        <v>109</v>
      </c>
      <c r="D42" s="375">
        <f t="shared" si="23"/>
        <v>470.59</v>
      </c>
      <c r="E42" s="375">
        <f t="shared" si="24"/>
        <v>470.59</v>
      </c>
      <c r="F42" s="470">
        <f t="shared" si="22"/>
        <v>35294</v>
      </c>
      <c r="G42" s="452">
        <f t="shared" si="31"/>
        <v>0.47058999999999995</v>
      </c>
      <c r="H42" s="72">
        <f t="shared" si="31"/>
        <v>0.47058999999999995</v>
      </c>
      <c r="I42" s="72">
        <f>+$B42*F42/1000000</f>
        <v>3.5293999999999999E-2</v>
      </c>
      <c r="J42" s="61">
        <f>+(B42+B41)/2</f>
        <v>1</v>
      </c>
      <c r="K42" s="59">
        <f>+D42</f>
        <v>470.59</v>
      </c>
      <c r="L42" s="59">
        <f>+J42*K42/1000</f>
        <v>0.47058999999999995</v>
      </c>
      <c r="M42" s="1150">
        <f t="shared" si="29"/>
        <v>40</v>
      </c>
      <c r="N42" s="54">
        <f>+B41</f>
        <v>1</v>
      </c>
      <c r="O42" s="55">
        <f>+E42</f>
        <v>470.59</v>
      </c>
      <c r="P42" s="55">
        <f>+N42*O42/1000</f>
        <v>0.47058999999999995</v>
      </c>
      <c r="Q42" s="1150">
        <f t="shared" si="30"/>
        <v>40</v>
      </c>
      <c r="R42" s="247">
        <f>+(B42+B41)/2</f>
        <v>1</v>
      </c>
      <c r="S42" s="24">
        <f>+F42</f>
        <v>35294</v>
      </c>
      <c r="T42" s="25">
        <f>+R42*S42/1000000</f>
        <v>3.5293999999999999E-2</v>
      </c>
      <c r="U42" s="53">
        <f>+U41+T42</f>
        <v>3.8341856249999995</v>
      </c>
    </row>
    <row r="43" spans="1:21" x14ac:dyDescent="0.2">
      <c r="A43" s="762">
        <f t="shared" si="19"/>
        <v>2030</v>
      </c>
      <c r="B43" s="803">
        <v>1</v>
      </c>
      <c r="C43" s="64">
        <f t="shared" ref="C43:C47" si="32">+C42+B43</f>
        <v>110</v>
      </c>
      <c r="D43" s="375">
        <f t="shared" si="23"/>
        <v>470.59</v>
      </c>
      <c r="E43" s="375">
        <f t="shared" si="24"/>
        <v>470.59</v>
      </c>
      <c r="F43" s="470">
        <f t="shared" si="22"/>
        <v>35294</v>
      </c>
      <c r="G43" s="452">
        <f t="shared" ref="G43:G47" si="33">+$B43*D43/1000</f>
        <v>0.47058999999999995</v>
      </c>
      <c r="H43" s="72">
        <f t="shared" ref="H43:H47" si="34">+$B43*E43/1000</f>
        <v>0.47058999999999995</v>
      </c>
      <c r="I43" s="72">
        <f t="shared" ref="I43:I47" si="35">+$B43*F43/1000000</f>
        <v>3.5293999999999999E-2</v>
      </c>
      <c r="J43" s="61">
        <f t="shared" ref="J43:J47" si="36">+(B43+B42)/2</f>
        <v>1</v>
      </c>
      <c r="K43" s="59">
        <f t="shared" ref="K43:K47" si="37">+D43</f>
        <v>470.59</v>
      </c>
      <c r="L43" s="59">
        <f t="shared" ref="L43:L47" si="38">+J43*K43/1000</f>
        <v>0.47058999999999995</v>
      </c>
      <c r="M43" s="1150">
        <f t="shared" si="29"/>
        <v>40</v>
      </c>
      <c r="N43" s="54">
        <f t="shared" ref="N43:N47" si="39">+B42</f>
        <v>1</v>
      </c>
      <c r="O43" s="55">
        <f t="shared" ref="O43:O47" si="40">+E43</f>
        <v>470.59</v>
      </c>
      <c r="P43" s="55">
        <f t="shared" ref="P43:P47" si="41">+N43*O43/1000</f>
        <v>0.47058999999999995</v>
      </c>
      <c r="Q43" s="1150">
        <f t="shared" si="30"/>
        <v>40</v>
      </c>
      <c r="R43" s="247">
        <f t="shared" ref="R43:R47" si="42">+(B43+B42)/2</f>
        <v>1</v>
      </c>
      <c r="S43" s="24">
        <f t="shared" ref="S43:S47" si="43">+F43</f>
        <v>35294</v>
      </c>
      <c r="T43" s="25">
        <f t="shared" ref="T43:T47" si="44">+R43*S43/1000000</f>
        <v>3.5293999999999999E-2</v>
      </c>
      <c r="U43" s="53">
        <f t="shared" ref="U43:U47" si="45">+U42+T43</f>
        <v>3.8694796249999994</v>
      </c>
    </row>
    <row r="44" spans="1:21" x14ac:dyDescent="0.2">
      <c r="A44" s="762">
        <f t="shared" si="19"/>
        <v>2031</v>
      </c>
      <c r="B44" s="803">
        <v>1</v>
      </c>
      <c r="C44" s="64">
        <f t="shared" si="32"/>
        <v>111</v>
      </c>
      <c r="D44" s="375">
        <f t="shared" si="23"/>
        <v>470.59</v>
      </c>
      <c r="E44" s="375">
        <f t="shared" si="24"/>
        <v>470.59</v>
      </c>
      <c r="F44" s="470">
        <f t="shared" si="22"/>
        <v>35294</v>
      </c>
      <c r="G44" s="452">
        <f t="shared" si="33"/>
        <v>0.47058999999999995</v>
      </c>
      <c r="H44" s="72">
        <f t="shared" si="34"/>
        <v>0.47058999999999995</v>
      </c>
      <c r="I44" s="72">
        <f t="shared" si="35"/>
        <v>3.5293999999999999E-2</v>
      </c>
      <c r="J44" s="61">
        <f t="shared" si="36"/>
        <v>1</v>
      </c>
      <c r="K44" s="59">
        <f t="shared" si="37"/>
        <v>470.59</v>
      </c>
      <c r="L44" s="59">
        <f t="shared" si="38"/>
        <v>0.47058999999999995</v>
      </c>
      <c r="M44" s="1150">
        <f t="shared" si="29"/>
        <v>40</v>
      </c>
      <c r="N44" s="54">
        <f t="shared" si="39"/>
        <v>1</v>
      </c>
      <c r="O44" s="55">
        <f t="shared" si="40"/>
        <v>470.59</v>
      </c>
      <c r="P44" s="55">
        <f t="shared" si="41"/>
        <v>0.47058999999999995</v>
      </c>
      <c r="Q44" s="1150">
        <f t="shared" si="30"/>
        <v>40</v>
      </c>
      <c r="R44" s="247">
        <f t="shared" si="42"/>
        <v>1</v>
      </c>
      <c r="S44" s="24">
        <f t="shared" si="43"/>
        <v>35294</v>
      </c>
      <c r="T44" s="25">
        <f t="shared" si="44"/>
        <v>3.5293999999999999E-2</v>
      </c>
      <c r="U44" s="53">
        <f t="shared" si="45"/>
        <v>3.9047736249999994</v>
      </c>
    </row>
    <row r="45" spans="1:21" x14ac:dyDescent="0.2">
      <c r="A45" s="762">
        <f t="shared" si="19"/>
        <v>2032</v>
      </c>
      <c r="B45" s="803">
        <v>1</v>
      </c>
      <c r="C45" s="64">
        <f t="shared" si="32"/>
        <v>112</v>
      </c>
      <c r="D45" s="375">
        <f t="shared" si="23"/>
        <v>470.59</v>
      </c>
      <c r="E45" s="375">
        <f t="shared" si="24"/>
        <v>470.59</v>
      </c>
      <c r="F45" s="470">
        <f t="shared" si="22"/>
        <v>35294</v>
      </c>
      <c r="G45" s="452">
        <f t="shared" si="33"/>
        <v>0.47058999999999995</v>
      </c>
      <c r="H45" s="72">
        <f t="shared" si="34"/>
        <v>0.47058999999999995</v>
      </c>
      <c r="I45" s="72">
        <f t="shared" si="35"/>
        <v>3.5293999999999999E-2</v>
      </c>
      <c r="J45" s="61">
        <f t="shared" si="36"/>
        <v>1</v>
      </c>
      <c r="K45" s="59">
        <f t="shared" si="37"/>
        <v>470.59</v>
      </c>
      <c r="L45" s="59">
        <f t="shared" si="38"/>
        <v>0.47058999999999995</v>
      </c>
      <c r="M45" s="1150">
        <f t="shared" si="29"/>
        <v>40</v>
      </c>
      <c r="N45" s="54">
        <f t="shared" si="39"/>
        <v>1</v>
      </c>
      <c r="O45" s="55">
        <f t="shared" si="40"/>
        <v>470.59</v>
      </c>
      <c r="P45" s="55">
        <f t="shared" si="41"/>
        <v>0.47058999999999995</v>
      </c>
      <c r="Q45" s="1150">
        <f t="shared" si="30"/>
        <v>40</v>
      </c>
      <c r="R45" s="247">
        <f t="shared" si="42"/>
        <v>1</v>
      </c>
      <c r="S45" s="24">
        <f t="shared" si="43"/>
        <v>35294</v>
      </c>
      <c r="T45" s="25">
        <f t="shared" si="44"/>
        <v>3.5293999999999999E-2</v>
      </c>
      <c r="U45" s="53">
        <f t="shared" si="45"/>
        <v>3.9400676249999993</v>
      </c>
    </row>
    <row r="46" spans="1:21" x14ac:dyDescent="0.2">
      <c r="A46" s="762">
        <f t="shared" si="19"/>
        <v>2033</v>
      </c>
      <c r="B46" s="803">
        <v>1</v>
      </c>
      <c r="C46" s="64">
        <f t="shared" si="32"/>
        <v>113</v>
      </c>
      <c r="D46" s="375">
        <f t="shared" si="23"/>
        <v>470.59</v>
      </c>
      <c r="E46" s="375">
        <f t="shared" si="24"/>
        <v>470.59</v>
      </c>
      <c r="F46" s="470">
        <f t="shared" si="22"/>
        <v>35294</v>
      </c>
      <c r="G46" s="452">
        <f t="shared" si="33"/>
        <v>0.47058999999999995</v>
      </c>
      <c r="H46" s="72">
        <f t="shared" si="34"/>
        <v>0.47058999999999995</v>
      </c>
      <c r="I46" s="72">
        <f t="shared" si="35"/>
        <v>3.5293999999999999E-2</v>
      </c>
      <c r="J46" s="61">
        <f t="shared" si="36"/>
        <v>1</v>
      </c>
      <c r="K46" s="59">
        <f t="shared" si="37"/>
        <v>470.59</v>
      </c>
      <c r="L46" s="59">
        <f t="shared" si="38"/>
        <v>0.47058999999999995</v>
      </c>
      <c r="M46" s="1150">
        <f t="shared" si="29"/>
        <v>40</v>
      </c>
      <c r="N46" s="54">
        <f t="shared" si="39"/>
        <v>1</v>
      </c>
      <c r="O46" s="55">
        <f t="shared" si="40"/>
        <v>470.59</v>
      </c>
      <c r="P46" s="55">
        <f t="shared" si="41"/>
        <v>0.47058999999999995</v>
      </c>
      <c r="Q46" s="1150">
        <f t="shared" si="30"/>
        <v>40</v>
      </c>
      <c r="R46" s="247">
        <f t="shared" si="42"/>
        <v>1</v>
      </c>
      <c r="S46" s="24">
        <f t="shared" si="43"/>
        <v>35294</v>
      </c>
      <c r="T46" s="25">
        <f t="shared" si="44"/>
        <v>3.5293999999999999E-2</v>
      </c>
      <c r="U46" s="53">
        <f t="shared" si="45"/>
        <v>3.9753616249999992</v>
      </c>
    </row>
    <row r="47" spans="1:21" x14ac:dyDescent="0.2">
      <c r="A47" s="762">
        <f t="shared" si="19"/>
        <v>2034</v>
      </c>
      <c r="B47" s="803">
        <v>1</v>
      </c>
      <c r="C47" s="64">
        <f t="shared" si="32"/>
        <v>114</v>
      </c>
      <c r="D47" s="375">
        <f t="shared" si="23"/>
        <v>470.59</v>
      </c>
      <c r="E47" s="375">
        <f t="shared" si="24"/>
        <v>470.59</v>
      </c>
      <c r="F47" s="470">
        <f t="shared" si="22"/>
        <v>35294</v>
      </c>
      <c r="G47" s="452">
        <f t="shared" si="33"/>
        <v>0.47058999999999995</v>
      </c>
      <c r="H47" s="72">
        <f t="shared" si="34"/>
        <v>0.47058999999999995</v>
      </c>
      <c r="I47" s="72">
        <f t="shared" si="35"/>
        <v>3.5293999999999999E-2</v>
      </c>
      <c r="J47" s="61">
        <f t="shared" si="36"/>
        <v>1</v>
      </c>
      <c r="K47" s="59">
        <f t="shared" si="37"/>
        <v>470.59</v>
      </c>
      <c r="L47" s="59">
        <f t="shared" si="38"/>
        <v>0.47058999999999995</v>
      </c>
      <c r="M47" s="1150">
        <f t="shared" si="29"/>
        <v>40</v>
      </c>
      <c r="N47" s="54">
        <f t="shared" si="39"/>
        <v>1</v>
      </c>
      <c r="O47" s="55">
        <f t="shared" si="40"/>
        <v>470.59</v>
      </c>
      <c r="P47" s="55">
        <f t="shared" si="41"/>
        <v>0.47058999999999995</v>
      </c>
      <c r="Q47" s="1150">
        <f t="shared" si="30"/>
        <v>40</v>
      </c>
      <c r="R47" s="247">
        <f t="shared" si="42"/>
        <v>1</v>
      </c>
      <c r="S47" s="24">
        <f t="shared" si="43"/>
        <v>35294</v>
      </c>
      <c r="T47" s="25">
        <f t="shared" si="44"/>
        <v>3.5293999999999999E-2</v>
      </c>
      <c r="U47" s="53">
        <f t="shared" si="45"/>
        <v>4.0106556249999992</v>
      </c>
    </row>
    <row r="48" spans="1:21" x14ac:dyDescent="0.2">
      <c r="A48" s="762">
        <f t="shared" si="19"/>
        <v>2035</v>
      </c>
      <c r="B48" s="803">
        <f>B47</f>
        <v>1</v>
      </c>
      <c r="C48" s="64">
        <f t="shared" ref="C48:C54" si="46">+C47+B48</f>
        <v>115</v>
      </c>
      <c r="D48" s="375">
        <f t="shared" ref="D48:F48" si="47">D47</f>
        <v>470.59</v>
      </c>
      <c r="E48" s="375">
        <f t="shared" si="47"/>
        <v>470.59</v>
      </c>
      <c r="F48" s="470">
        <f t="shared" si="47"/>
        <v>35294</v>
      </c>
      <c r="G48" s="452">
        <f t="shared" ref="G48:G54" si="48">+$B48*D48/1000</f>
        <v>0.47058999999999995</v>
      </c>
      <c r="H48" s="72">
        <f t="shared" ref="H48:H54" si="49">+$B48*E48/1000</f>
        <v>0.47058999999999995</v>
      </c>
      <c r="I48" s="72">
        <f t="shared" ref="I48:I54" si="50">+$B48*F48/1000000</f>
        <v>3.5293999999999999E-2</v>
      </c>
      <c r="J48" s="61">
        <f t="shared" ref="J48:J54" si="51">+(B48+B47)/2</f>
        <v>1</v>
      </c>
      <c r="K48" s="59">
        <f t="shared" ref="K48:K54" si="52">+D48</f>
        <v>470.59</v>
      </c>
      <c r="L48" s="59">
        <f t="shared" ref="L48:L54" si="53">+J48*K48/1000</f>
        <v>0.47058999999999995</v>
      </c>
      <c r="M48" s="1150">
        <f t="shared" si="29"/>
        <v>40</v>
      </c>
      <c r="N48" s="54">
        <f t="shared" ref="N48:N54" si="54">+B47</f>
        <v>1</v>
      </c>
      <c r="O48" s="55">
        <f t="shared" ref="O48:O54" si="55">+E48</f>
        <v>470.59</v>
      </c>
      <c r="P48" s="55">
        <f t="shared" ref="P48:P54" si="56">+N48*O48/1000</f>
        <v>0.47058999999999995</v>
      </c>
      <c r="Q48" s="1150">
        <f t="shared" si="30"/>
        <v>40</v>
      </c>
      <c r="R48" s="247">
        <f t="shared" ref="R48:R54" si="57">+(B48+B47)/2</f>
        <v>1</v>
      </c>
      <c r="S48" s="24">
        <f t="shared" ref="S48:S54" si="58">+F48</f>
        <v>35294</v>
      </c>
      <c r="T48" s="25">
        <f t="shared" ref="T48:T54" si="59">+R48*S48/1000000</f>
        <v>3.5293999999999999E-2</v>
      </c>
      <c r="U48" s="53">
        <f t="shared" ref="U48:U54" si="60">+U47+T48</f>
        <v>4.0459496249999995</v>
      </c>
    </row>
    <row r="49" spans="1:21" x14ac:dyDescent="0.2">
      <c r="A49" s="762">
        <f t="shared" si="19"/>
        <v>2036</v>
      </c>
      <c r="B49" s="803">
        <f t="shared" ref="B49:B54" si="61">B48</f>
        <v>1</v>
      </c>
      <c r="C49" s="64">
        <f t="shared" si="46"/>
        <v>116</v>
      </c>
      <c r="D49" s="375">
        <f t="shared" ref="D49:F49" si="62">D48</f>
        <v>470.59</v>
      </c>
      <c r="E49" s="375">
        <f t="shared" si="62"/>
        <v>470.59</v>
      </c>
      <c r="F49" s="470">
        <f t="shared" si="62"/>
        <v>35294</v>
      </c>
      <c r="G49" s="452">
        <f t="shared" si="48"/>
        <v>0.47058999999999995</v>
      </c>
      <c r="H49" s="72">
        <f t="shared" si="49"/>
        <v>0.47058999999999995</v>
      </c>
      <c r="I49" s="72">
        <f t="shared" si="50"/>
        <v>3.5293999999999999E-2</v>
      </c>
      <c r="J49" s="61">
        <f t="shared" si="51"/>
        <v>1</v>
      </c>
      <c r="K49" s="59">
        <f t="shared" si="52"/>
        <v>470.59</v>
      </c>
      <c r="L49" s="59">
        <f t="shared" si="53"/>
        <v>0.47058999999999995</v>
      </c>
      <c r="M49" s="1150">
        <f t="shared" si="29"/>
        <v>40</v>
      </c>
      <c r="N49" s="54">
        <f t="shared" si="54"/>
        <v>1</v>
      </c>
      <c r="O49" s="55">
        <f t="shared" si="55"/>
        <v>470.59</v>
      </c>
      <c r="P49" s="55">
        <f t="shared" si="56"/>
        <v>0.47058999999999995</v>
      </c>
      <c r="Q49" s="1150">
        <f t="shared" si="30"/>
        <v>40</v>
      </c>
      <c r="R49" s="247">
        <f t="shared" si="57"/>
        <v>1</v>
      </c>
      <c r="S49" s="24">
        <f t="shared" si="58"/>
        <v>35294</v>
      </c>
      <c r="T49" s="25">
        <f t="shared" si="59"/>
        <v>3.5293999999999999E-2</v>
      </c>
      <c r="U49" s="53">
        <f t="shared" si="60"/>
        <v>4.0812436249999999</v>
      </c>
    </row>
    <row r="50" spans="1:21" x14ac:dyDescent="0.2">
      <c r="A50" s="762">
        <f t="shared" si="19"/>
        <v>2037</v>
      </c>
      <c r="B50" s="803">
        <f t="shared" si="61"/>
        <v>1</v>
      </c>
      <c r="C50" s="64">
        <f t="shared" si="46"/>
        <v>117</v>
      </c>
      <c r="D50" s="375">
        <f t="shared" ref="D50:F50" si="63">D49</f>
        <v>470.59</v>
      </c>
      <c r="E50" s="375">
        <f t="shared" si="63"/>
        <v>470.59</v>
      </c>
      <c r="F50" s="470">
        <f t="shared" si="63"/>
        <v>35294</v>
      </c>
      <c r="G50" s="452">
        <f t="shared" si="48"/>
        <v>0.47058999999999995</v>
      </c>
      <c r="H50" s="72">
        <f t="shared" si="49"/>
        <v>0.47058999999999995</v>
      </c>
      <c r="I50" s="72">
        <f t="shared" si="50"/>
        <v>3.5293999999999999E-2</v>
      </c>
      <c r="J50" s="61">
        <f t="shared" si="51"/>
        <v>1</v>
      </c>
      <c r="K50" s="59">
        <f t="shared" si="52"/>
        <v>470.59</v>
      </c>
      <c r="L50" s="59">
        <f t="shared" si="53"/>
        <v>0.47058999999999995</v>
      </c>
      <c r="M50" s="1150">
        <f t="shared" si="29"/>
        <v>40</v>
      </c>
      <c r="N50" s="54">
        <f t="shared" si="54"/>
        <v>1</v>
      </c>
      <c r="O50" s="55">
        <f t="shared" si="55"/>
        <v>470.59</v>
      </c>
      <c r="P50" s="55">
        <f t="shared" si="56"/>
        <v>0.47058999999999995</v>
      </c>
      <c r="Q50" s="1150">
        <f t="shared" si="30"/>
        <v>40</v>
      </c>
      <c r="R50" s="247">
        <f t="shared" si="57"/>
        <v>1</v>
      </c>
      <c r="S50" s="24">
        <f t="shared" si="58"/>
        <v>35294</v>
      </c>
      <c r="T50" s="25">
        <f t="shared" si="59"/>
        <v>3.5293999999999999E-2</v>
      </c>
      <c r="U50" s="53">
        <f t="shared" si="60"/>
        <v>4.1165376250000003</v>
      </c>
    </row>
    <row r="51" spans="1:21" x14ac:dyDescent="0.2">
      <c r="A51" s="762">
        <f t="shared" si="19"/>
        <v>2038</v>
      </c>
      <c r="B51" s="803">
        <f t="shared" si="61"/>
        <v>1</v>
      </c>
      <c r="C51" s="64">
        <f t="shared" si="46"/>
        <v>118</v>
      </c>
      <c r="D51" s="375">
        <f t="shared" ref="D51:F51" si="64">D50</f>
        <v>470.59</v>
      </c>
      <c r="E51" s="375">
        <f t="shared" si="64"/>
        <v>470.59</v>
      </c>
      <c r="F51" s="470">
        <f t="shared" si="64"/>
        <v>35294</v>
      </c>
      <c r="G51" s="452">
        <f t="shared" si="48"/>
        <v>0.47058999999999995</v>
      </c>
      <c r="H51" s="72">
        <f t="shared" si="49"/>
        <v>0.47058999999999995</v>
      </c>
      <c r="I51" s="72">
        <f t="shared" si="50"/>
        <v>3.5293999999999999E-2</v>
      </c>
      <c r="J51" s="61">
        <f t="shared" si="51"/>
        <v>1</v>
      </c>
      <c r="K51" s="59">
        <f t="shared" si="52"/>
        <v>470.59</v>
      </c>
      <c r="L51" s="59">
        <f t="shared" si="53"/>
        <v>0.47058999999999995</v>
      </c>
      <c r="M51" s="1150">
        <f t="shared" si="29"/>
        <v>40</v>
      </c>
      <c r="N51" s="54">
        <f t="shared" si="54"/>
        <v>1</v>
      </c>
      <c r="O51" s="55">
        <f t="shared" si="55"/>
        <v>470.59</v>
      </c>
      <c r="P51" s="55">
        <f t="shared" si="56"/>
        <v>0.47058999999999995</v>
      </c>
      <c r="Q51" s="1150">
        <f t="shared" si="30"/>
        <v>40</v>
      </c>
      <c r="R51" s="247">
        <f t="shared" si="57"/>
        <v>1</v>
      </c>
      <c r="S51" s="24">
        <f t="shared" si="58"/>
        <v>35294</v>
      </c>
      <c r="T51" s="25">
        <f t="shared" si="59"/>
        <v>3.5293999999999999E-2</v>
      </c>
      <c r="U51" s="53">
        <f t="shared" si="60"/>
        <v>4.1518316250000007</v>
      </c>
    </row>
    <row r="52" spans="1:21" x14ac:dyDescent="0.2">
      <c r="A52" s="762">
        <f t="shared" si="19"/>
        <v>2039</v>
      </c>
      <c r="B52" s="803">
        <f t="shared" si="61"/>
        <v>1</v>
      </c>
      <c r="C52" s="64">
        <f t="shared" si="46"/>
        <v>119</v>
      </c>
      <c r="D52" s="375">
        <f t="shared" ref="D52:F52" si="65">D51</f>
        <v>470.59</v>
      </c>
      <c r="E52" s="375">
        <f t="shared" si="65"/>
        <v>470.59</v>
      </c>
      <c r="F52" s="470">
        <f t="shared" si="65"/>
        <v>35294</v>
      </c>
      <c r="G52" s="452">
        <f t="shared" si="48"/>
        <v>0.47058999999999995</v>
      </c>
      <c r="H52" s="72">
        <f t="shared" si="49"/>
        <v>0.47058999999999995</v>
      </c>
      <c r="I52" s="72">
        <f t="shared" si="50"/>
        <v>3.5293999999999999E-2</v>
      </c>
      <c r="J52" s="61">
        <f t="shared" si="51"/>
        <v>1</v>
      </c>
      <c r="K52" s="59">
        <f t="shared" si="52"/>
        <v>470.59</v>
      </c>
      <c r="L52" s="59">
        <f t="shared" si="53"/>
        <v>0.47058999999999995</v>
      </c>
      <c r="M52" s="1150">
        <f t="shared" si="29"/>
        <v>40</v>
      </c>
      <c r="N52" s="54">
        <f t="shared" si="54"/>
        <v>1</v>
      </c>
      <c r="O52" s="55">
        <f t="shared" si="55"/>
        <v>470.59</v>
      </c>
      <c r="P52" s="55">
        <f t="shared" si="56"/>
        <v>0.47058999999999995</v>
      </c>
      <c r="Q52" s="1150">
        <f t="shared" si="30"/>
        <v>40</v>
      </c>
      <c r="R52" s="247">
        <f t="shared" si="57"/>
        <v>1</v>
      </c>
      <c r="S52" s="24">
        <f t="shared" si="58"/>
        <v>35294</v>
      </c>
      <c r="T52" s="25">
        <f t="shared" si="59"/>
        <v>3.5293999999999999E-2</v>
      </c>
      <c r="U52" s="53">
        <f t="shared" si="60"/>
        <v>4.1871256250000011</v>
      </c>
    </row>
    <row r="53" spans="1:21" x14ac:dyDescent="0.2">
      <c r="A53" s="762">
        <f t="shared" si="19"/>
        <v>2040</v>
      </c>
      <c r="B53" s="803">
        <f t="shared" si="61"/>
        <v>1</v>
      </c>
      <c r="C53" s="64">
        <f t="shared" si="46"/>
        <v>120</v>
      </c>
      <c r="D53" s="375">
        <f t="shared" ref="D53:F53" si="66">D52</f>
        <v>470.59</v>
      </c>
      <c r="E53" s="375">
        <f t="shared" si="66"/>
        <v>470.59</v>
      </c>
      <c r="F53" s="470">
        <f t="shared" si="66"/>
        <v>35294</v>
      </c>
      <c r="G53" s="452">
        <f t="shared" si="48"/>
        <v>0.47058999999999995</v>
      </c>
      <c r="H53" s="72">
        <f t="shared" si="49"/>
        <v>0.47058999999999995</v>
      </c>
      <c r="I53" s="72">
        <f t="shared" si="50"/>
        <v>3.5293999999999999E-2</v>
      </c>
      <c r="J53" s="61">
        <f t="shared" si="51"/>
        <v>1</v>
      </c>
      <c r="K53" s="59">
        <f t="shared" si="52"/>
        <v>470.59</v>
      </c>
      <c r="L53" s="59">
        <f t="shared" si="53"/>
        <v>0.47058999999999995</v>
      </c>
      <c r="M53" s="1150">
        <f t="shared" si="29"/>
        <v>40</v>
      </c>
      <c r="N53" s="54">
        <f t="shared" si="54"/>
        <v>1</v>
      </c>
      <c r="O53" s="55">
        <f t="shared" si="55"/>
        <v>470.59</v>
      </c>
      <c r="P53" s="55">
        <f t="shared" si="56"/>
        <v>0.47058999999999995</v>
      </c>
      <c r="Q53" s="1150">
        <f t="shared" si="30"/>
        <v>40</v>
      </c>
      <c r="R53" s="247">
        <f t="shared" si="57"/>
        <v>1</v>
      </c>
      <c r="S53" s="24">
        <f t="shared" si="58"/>
        <v>35294</v>
      </c>
      <c r="T53" s="25">
        <f t="shared" si="59"/>
        <v>3.5293999999999999E-2</v>
      </c>
      <c r="U53" s="53">
        <f t="shared" si="60"/>
        <v>4.2224196250000015</v>
      </c>
    </row>
    <row r="54" spans="1:21" x14ac:dyDescent="0.2">
      <c r="A54" s="762">
        <f t="shared" si="19"/>
        <v>2041</v>
      </c>
      <c r="B54" s="803">
        <f t="shared" si="61"/>
        <v>1</v>
      </c>
      <c r="C54" s="64">
        <f t="shared" si="46"/>
        <v>121</v>
      </c>
      <c r="D54" s="375">
        <f t="shared" ref="D54:F54" si="67">D53</f>
        <v>470.59</v>
      </c>
      <c r="E54" s="375">
        <f t="shared" si="67"/>
        <v>470.59</v>
      </c>
      <c r="F54" s="470">
        <f t="shared" si="67"/>
        <v>35294</v>
      </c>
      <c r="G54" s="452">
        <f t="shared" si="48"/>
        <v>0.47058999999999995</v>
      </c>
      <c r="H54" s="72">
        <f t="shared" si="49"/>
        <v>0.47058999999999995</v>
      </c>
      <c r="I54" s="72">
        <f t="shared" si="50"/>
        <v>3.5293999999999999E-2</v>
      </c>
      <c r="J54" s="61">
        <f t="shared" si="51"/>
        <v>1</v>
      </c>
      <c r="K54" s="59">
        <f t="shared" si="52"/>
        <v>470.59</v>
      </c>
      <c r="L54" s="59">
        <f t="shared" si="53"/>
        <v>0.47058999999999995</v>
      </c>
      <c r="M54" s="1150">
        <f t="shared" si="29"/>
        <v>40</v>
      </c>
      <c r="N54" s="54">
        <f t="shared" si="54"/>
        <v>1</v>
      </c>
      <c r="O54" s="55">
        <f t="shared" si="55"/>
        <v>470.59</v>
      </c>
      <c r="P54" s="55">
        <f t="shared" si="56"/>
        <v>0.47058999999999995</v>
      </c>
      <c r="Q54" s="1150">
        <f t="shared" si="30"/>
        <v>40</v>
      </c>
      <c r="R54" s="247">
        <f t="shared" si="57"/>
        <v>1</v>
      </c>
      <c r="S54" s="24">
        <f t="shared" si="58"/>
        <v>35294</v>
      </c>
      <c r="T54" s="25">
        <f t="shared" si="59"/>
        <v>3.5293999999999999E-2</v>
      </c>
      <c r="U54" s="53">
        <f t="shared" si="60"/>
        <v>4.2577136250000018</v>
      </c>
    </row>
    <row r="56" spans="1:21" x14ac:dyDescent="0.2">
      <c r="A56" s="69" t="s">
        <v>38</v>
      </c>
    </row>
    <row r="57" spans="1:21" x14ac:dyDescent="0.2">
      <c r="A57" s="69" t="s">
        <v>39</v>
      </c>
    </row>
    <row r="58" spans="1:21" x14ac:dyDescent="0.2">
      <c r="A58" s="86" t="s">
        <v>57</v>
      </c>
    </row>
    <row r="59" spans="1:21" x14ac:dyDescent="0.2">
      <c r="A59" s="86" t="s">
        <v>58</v>
      </c>
    </row>
    <row r="60" spans="1:21" x14ac:dyDescent="0.2">
      <c r="B60" s="956" t="s">
        <v>386</v>
      </c>
    </row>
    <row r="61" spans="1:21" x14ac:dyDescent="0.2">
      <c r="B61">
        <v>2015</v>
      </c>
      <c r="D61" s="359">
        <f>1045/B28</f>
        <v>261.25</v>
      </c>
      <c r="E61" s="359">
        <f>1045/B28</f>
        <v>261.25</v>
      </c>
      <c r="F61" s="359">
        <f>78375/B28</f>
        <v>19593.75</v>
      </c>
    </row>
    <row r="62" spans="1:21" ht="15" x14ac:dyDescent="0.2">
      <c r="B62" s="261"/>
    </row>
    <row r="63" spans="1:21" ht="15" x14ac:dyDescent="0.2">
      <c r="B63" s="261"/>
    </row>
    <row r="64" spans="1:21" ht="15" x14ac:dyDescent="0.2">
      <c r="B64" s="261"/>
    </row>
    <row r="65" spans="2:2" ht="15" x14ac:dyDescent="0.2">
      <c r="B65" s="261"/>
    </row>
    <row r="66" spans="2:2" ht="15" x14ac:dyDescent="0.2">
      <c r="B66" s="261"/>
    </row>
    <row r="67" spans="2:2" ht="15" x14ac:dyDescent="0.2">
      <c r="B67" s="261"/>
    </row>
    <row r="68" spans="2:2" ht="15" x14ac:dyDescent="0.2">
      <c r="B68" s="261"/>
    </row>
    <row r="69" spans="2:2" ht="15" x14ac:dyDescent="0.2">
      <c r="B69" s="261"/>
    </row>
  </sheetData>
  <mergeCells count="6">
    <mergeCell ref="M2:Q3"/>
    <mergeCell ref="R4:U4"/>
    <mergeCell ref="G3:I3"/>
    <mergeCell ref="B4:I4"/>
    <mergeCell ref="J4:M4"/>
    <mergeCell ref="N4:Q4"/>
  </mergeCells>
  <phoneticPr fontId="7" type="noConversion"/>
  <pageMargins left="0.75" right="0.75" top="1" bottom="1" header="0.5" footer="0.5"/>
  <pageSetup scale="4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2">
    <tabColor rgb="FFFF0000"/>
    <pageSetUpPr fitToPage="1"/>
  </sheetPr>
  <dimension ref="A1:BA61"/>
  <sheetViews>
    <sheetView zoomScale="95" zoomScaleNormal="95" workbookViewId="0">
      <pane xSplit="1" ySplit="5" topLeftCell="B9" activePane="bottomRight" state="frozen"/>
      <selection activeCell="A3" sqref="A3:M4"/>
      <selection pane="topRight" activeCell="A3" sqref="A3:M4"/>
      <selection pane="bottomLeft" activeCell="A3" sqref="A3:M4"/>
      <selection pane="bottomRight" activeCell="D2" sqref="D2"/>
    </sheetView>
  </sheetViews>
  <sheetFormatPr defaultRowHeight="12.75" x14ac:dyDescent="0.2"/>
  <cols>
    <col min="1" max="1" width="12.28515625" customWidth="1"/>
    <col min="2" max="2" width="13" customWidth="1"/>
    <col min="3" max="4" width="12.28515625" bestFit="1" customWidth="1"/>
    <col min="5" max="5" width="12.28515625" customWidth="1"/>
    <col min="6" max="6" width="11.28515625" customWidth="1"/>
    <col min="7" max="8" width="10.5703125" customWidth="1"/>
    <col min="9" max="9" width="11.28515625" customWidth="1"/>
    <col min="10" max="10" width="10.28515625" customWidth="1"/>
    <col min="11" max="11" width="11.7109375" customWidth="1"/>
    <col min="12" max="12" width="8.7109375" customWidth="1"/>
    <col min="13" max="13" width="12.7109375" customWidth="1"/>
    <col min="14" max="15" width="11" style="2" customWidth="1"/>
    <col min="16" max="16" width="10.28515625" style="2" customWidth="1"/>
    <col min="17" max="17" width="11.7109375" customWidth="1"/>
    <col min="18" max="18" width="9.5703125" customWidth="1"/>
    <col min="19" max="19" width="10.28515625" customWidth="1"/>
    <col min="20" max="20" width="11.42578125" customWidth="1"/>
    <col min="21" max="21" width="11.7109375" customWidth="1"/>
    <col min="22" max="22" width="11.42578125" customWidth="1"/>
    <col min="23" max="23" width="11" customWidth="1"/>
    <col min="24" max="24" width="10" customWidth="1"/>
    <col min="25" max="26" width="10.28515625" customWidth="1"/>
    <col min="27" max="27" width="16.7109375" bestFit="1" customWidth="1"/>
    <col min="28" max="28" width="9.28515625" bestFit="1" customWidth="1"/>
    <col min="29" max="29" width="10.28515625" bestFit="1" customWidth="1"/>
    <col min="30" max="30" width="10.7109375" bestFit="1" customWidth="1"/>
    <col min="31" max="31" width="10.28515625" bestFit="1" customWidth="1"/>
  </cols>
  <sheetData>
    <row r="1" spans="1:33" ht="15.75" x14ac:dyDescent="0.25">
      <c r="A1" s="4" t="str">
        <f>'RES Audit Alt'!A1</f>
        <v>Conservation Savings @ Meter</v>
      </c>
      <c r="B1" s="4"/>
      <c r="C1" s="4"/>
      <c r="D1" s="958" t="s">
        <v>484</v>
      </c>
      <c r="E1" s="249"/>
      <c r="F1" s="249"/>
      <c r="G1" s="249"/>
      <c r="H1" s="249"/>
      <c r="I1" s="4"/>
      <c r="J1" s="4"/>
      <c r="K1" s="4"/>
      <c r="L1" s="4"/>
      <c r="M1" s="4"/>
      <c r="N1" s="4"/>
      <c r="O1" s="4"/>
      <c r="P1" s="4"/>
      <c r="Q1" s="4"/>
      <c r="AA1" s="2"/>
    </row>
    <row r="2" spans="1:33" ht="16.5" thickBot="1" x14ac:dyDescent="0.3">
      <c r="A2" s="5" t="str">
        <f>'RES Audit Alt'!A2</f>
        <v>PROGRAM:</v>
      </c>
      <c r="B2" s="27" t="s">
        <v>65</v>
      </c>
      <c r="C2" s="23"/>
      <c r="D2" s="27"/>
      <c r="E2" s="562"/>
      <c r="F2" s="563"/>
      <c r="G2" s="2"/>
      <c r="K2" s="4"/>
      <c r="L2" s="4"/>
      <c r="M2" s="4"/>
      <c r="N2" s="178"/>
      <c r="O2" s="4"/>
      <c r="P2" s="4"/>
      <c r="Q2" s="4"/>
      <c r="T2" s="178"/>
      <c r="AA2" s="2"/>
    </row>
    <row r="3" spans="1:33" ht="16.5" thickBot="1" x14ac:dyDescent="0.3">
      <c r="A3" s="4"/>
      <c r="B3" s="128" t="s">
        <v>69</v>
      </c>
      <c r="C3" s="4"/>
      <c r="D3" s="1045">
        <v>13580</v>
      </c>
      <c r="E3" s="512"/>
      <c r="F3" s="249"/>
      <c r="G3" s="249"/>
      <c r="H3" s="1463" t="s">
        <v>20</v>
      </c>
      <c r="I3" s="1464"/>
      <c r="J3" s="1465"/>
      <c r="K3" s="4"/>
      <c r="L3" s="4"/>
      <c r="M3" s="4"/>
      <c r="N3" s="4"/>
      <c r="O3" s="4"/>
      <c r="P3" s="4"/>
      <c r="Q3" s="4"/>
      <c r="AA3" s="2"/>
    </row>
    <row r="4" spans="1:33" ht="16.5" thickBot="1" x14ac:dyDescent="0.3">
      <c r="A4" s="26"/>
      <c r="B4" s="1472" t="s">
        <v>26</v>
      </c>
      <c r="C4" s="1472"/>
      <c r="D4" s="1472"/>
      <c r="E4" s="1472"/>
      <c r="F4" s="1472"/>
      <c r="G4" s="1472"/>
      <c r="H4" s="1472"/>
      <c r="I4" s="1472"/>
      <c r="J4" s="1473"/>
      <c r="K4" s="1466" t="s">
        <v>27</v>
      </c>
      <c r="L4" s="1467"/>
      <c r="M4" s="1467"/>
      <c r="N4" s="1467"/>
      <c r="O4" s="225"/>
      <c r="P4" s="212"/>
      <c r="Q4" s="1466" t="s">
        <v>29</v>
      </c>
      <c r="R4" s="1467"/>
      <c r="S4" s="1467"/>
      <c r="T4" s="1467"/>
      <c r="U4" s="225"/>
      <c r="V4" s="204"/>
      <c r="W4" s="1466" t="s">
        <v>28</v>
      </c>
      <c r="X4" s="1467"/>
      <c r="Y4" s="1467"/>
      <c r="Z4" s="1468"/>
      <c r="AA4" s="2"/>
    </row>
    <row r="5" spans="1:33" s="19" customFormat="1" ht="69.75" customHeight="1" thickBot="1" x14ac:dyDescent="0.25">
      <c r="A5" s="32" t="s">
        <v>0</v>
      </c>
      <c r="B5" s="125" t="s">
        <v>70</v>
      </c>
      <c r="C5" s="123" t="s">
        <v>66</v>
      </c>
      <c r="D5" s="631" t="s">
        <v>68</v>
      </c>
      <c r="E5" s="627" t="s">
        <v>21</v>
      </c>
      <c r="F5" s="17" t="s">
        <v>23</v>
      </c>
      <c r="G5" s="29" t="s">
        <v>24</v>
      </c>
      <c r="H5" s="646" t="s">
        <v>17</v>
      </c>
      <c r="I5" s="17" t="s">
        <v>18</v>
      </c>
      <c r="J5" s="29" t="s">
        <v>19</v>
      </c>
      <c r="K5" s="163" t="s">
        <v>162</v>
      </c>
      <c r="L5" s="16" t="s">
        <v>10</v>
      </c>
      <c r="M5" s="16" t="s">
        <v>12</v>
      </c>
      <c r="N5" s="215" t="s">
        <v>97</v>
      </c>
      <c r="O5" s="206" t="s">
        <v>96</v>
      </c>
      <c r="P5" s="218" t="s">
        <v>95</v>
      </c>
      <c r="Q5" s="164" t="s">
        <v>161</v>
      </c>
      <c r="R5" s="17" t="s">
        <v>11</v>
      </c>
      <c r="S5" s="17" t="s">
        <v>14</v>
      </c>
      <c r="T5" s="203" t="s">
        <v>98</v>
      </c>
      <c r="U5" s="423" t="s">
        <v>96</v>
      </c>
      <c r="V5" s="231" t="s">
        <v>94</v>
      </c>
      <c r="W5" s="42" t="s">
        <v>77</v>
      </c>
      <c r="X5" s="18" t="s">
        <v>25</v>
      </c>
      <c r="Y5" s="18" t="s">
        <v>16</v>
      </c>
      <c r="Z5" s="29" t="s">
        <v>15</v>
      </c>
      <c r="AA5" s="20"/>
    </row>
    <row r="6" spans="1:33" s="19" customFormat="1" ht="15" customHeight="1" x14ac:dyDescent="0.2">
      <c r="A6" s="68" t="s">
        <v>37</v>
      </c>
      <c r="B6" s="126"/>
      <c r="C6" s="48"/>
      <c r="D6" s="632">
        <v>57826</v>
      </c>
      <c r="E6" s="628"/>
      <c r="F6" s="15"/>
      <c r="G6" s="31"/>
      <c r="H6" s="208"/>
      <c r="I6" s="15"/>
      <c r="J6" s="31"/>
      <c r="K6" s="37"/>
      <c r="L6" s="59">
        <f>+N6/D6*1000</f>
        <v>1.350084736969529</v>
      </c>
      <c r="M6" s="6"/>
      <c r="N6" s="216">
        <v>78.069999999999993</v>
      </c>
      <c r="O6" s="243" t="s">
        <v>74</v>
      </c>
      <c r="P6" s="244" t="s">
        <v>74</v>
      </c>
      <c r="Q6" s="40"/>
      <c r="R6" s="55">
        <f>+T6/D6*1000</f>
        <v>2.8200117594161798</v>
      </c>
      <c r="S6" s="57"/>
      <c r="T6" s="229">
        <v>163.07</v>
      </c>
      <c r="U6" s="234"/>
      <c r="V6" s="205"/>
      <c r="W6" s="43"/>
      <c r="X6" s="24">
        <f>+Z6/D6*1000</f>
        <v>0</v>
      </c>
      <c r="Y6" s="21"/>
      <c r="Z6" s="47">
        <v>0</v>
      </c>
      <c r="AA6" s="3"/>
    </row>
    <row r="7" spans="1:33" s="1" customFormat="1" ht="15.75" customHeight="1" x14ac:dyDescent="0.2">
      <c r="A7" s="68" t="s">
        <v>63</v>
      </c>
      <c r="B7" s="127"/>
      <c r="C7" s="30"/>
      <c r="D7" s="632">
        <f>D6+15296</f>
        <v>73122</v>
      </c>
      <c r="E7" s="628"/>
      <c r="F7" s="15"/>
      <c r="G7" s="31"/>
      <c r="H7" s="208"/>
      <c r="I7" s="15"/>
      <c r="J7" s="31"/>
      <c r="K7" s="52">
        <v>72024</v>
      </c>
      <c r="L7" s="59">
        <f t="shared" ref="L7:L22" si="0">(N7*1000)/K7</f>
        <v>1.3356658891480617</v>
      </c>
      <c r="M7" s="59">
        <f>+N7-N6</f>
        <v>18.13000000000001</v>
      </c>
      <c r="N7" s="216">
        <v>96.2</v>
      </c>
      <c r="O7" s="245" t="s">
        <v>74</v>
      </c>
      <c r="P7" s="246" t="s">
        <v>74</v>
      </c>
      <c r="Q7" s="51">
        <v>70974</v>
      </c>
      <c r="R7" s="55">
        <f>(T7*1000)/Q7</f>
        <v>2.5615013948769971</v>
      </c>
      <c r="S7" s="55">
        <f>+T7-T6</f>
        <v>18.730000000000018</v>
      </c>
      <c r="T7" s="229">
        <v>181.8</v>
      </c>
      <c r="U7" s="235"/>
      <c r="V7" s="193"/>
      <c r="W7" s="43"/>
      <c r="X7" s="24">
        <f>+(Z7-Z6)/($D7-$D6)*1000</f>
        <v>0</v>
      </c>
      <c r="Y7" s="21"/>
      <c r="Z7" s="47">
        <v>0</v>
      </c>
      <c r="AA7" s="3"/>
    </row>
    <row r="8" spans="1:33" x14ac:dyDescent="0.2">
      <c r="A8" s="33">
        <v>1995</v>
      </c>
      <c r="B8" s="127">
        <v>571</v>
      </c>
      <c r="C8" s="30">
        <v>571</v>
      </c>
      <c r="D8" s="565">
        <f>D7+C8</f>
        <v>73693</v>
      </c>
      <c r="E8" s="635">
        <v>1.2259194395796849</v>
      </c>
      <c r="F8" s="209">
        <v>2.9947460595446587</v>
      </c>
      <c r="G8" s="618">
        <v>0</v>
      </c>
      <c r="H8" s="452">
        <f t="shared" ref="H8:H18" si="1">+$C8*E8/1000</f>
        <v>0.7</v>
      </c>
      <c r="I8" s="72">
        <f t="shared" ref="I8:I47" si="2">+$B8*F8/1000</f>
        <v>1.71</v>
      </c>
      <c r="J8" s="72">
        <f t="shared" ref="J8:J24" si="3">+$B8*G8/1000000</f>
        <v>0</v>
      </c>
      <c r="K8" s="52">
        <v>73791</v>
      </c>
      <c r="L8" s="59">
        <f t="shared" si="0"/>
        <v>1.3199441666327871</v>
      </c>
      <c r="M8" s="59">
        <f>+N8-N7</f>
        <v>1.2000000000000028</v>
      </c>
      <c r="N8" s="216">
        <v>97.4</v>
      </c>
      <c r="O8" s="226">
        <v>0</v>
      </c>
      <c r="P8" s="192">
        <v>97</v>
      </c>
      <c r="Q8" s="51">
        <v>73262</v>
      </c>
      <c r="R8" s="55">
        <f t="shared" ref="R8:R19" si="4">(T8*1000)/Q8</f>
        <v>3.101198438481068</v>
      </c>
      <c r="S8" s="55">
        <f>+T8-T7</f>
        <v>45.399999999999977</v>
      </c>
      <c r="T8" s="229">
        <v>227.2</v>
      </c>
      <c r="U8" s="235">
        <v>0</v>
      </c>
      <c r="V8" s="193">
        <v>29</v>
      </c>
      <c r="W8" s="165">
        <f>K8</f>
        <v>73791</v>
      </c>
      <c r="X8" s="24">
        <f>+G8</f>
        <v>0</v>
      </c>
      <c r="Y8" s="25">
        <f>+Z8-Z7</f>
        <v>0</v>
      </c>
      <c r="Z8" s="53">
        <f>+W8*X8/1000000</f>
        <v>0</v>
      </c>
      <c r="AA8" s="9"/>
      <c r="AC8" s="159"/>
      <c r="AD8" s="160"/>
      <c r="AE8" s="161"/>
      <c r="AG8" s="162"/>
    </row>
    <row r="9" spans="1:33" x14ac:dyDescent="0.2">
      <c r="A9" s="33">
        <v>1996</v>
      </c>
      <c r="B9" s="127">
        <v>3890</v>
      </c>
      <c r="C9" s="30">
        <v>3280</v>
      </c>
      <c r="D9" s="565">
        <f>D8+C9</f>
        <v>76973</v>
      </c>
      <c r="E9" s="635">
        <v>1.22</v>
      </c>
      <c r="F9" s="209">
        <v>2.99</v>
      </c>
      <c r="G9" s="618">
        <v>0</v>
      </c>
      <c r="H9" s="452">
        <f t="shared" si="1"/>
        <v>4.0015999999999998</v>
      </c>
      <c r="I9" s="72">
        <f t="shared" si="2"/>
        <v>11.6311</v>
      </c>
      <c r="J9" s="72">
        <f t="shared" si="3"/>
        <v>0</v>
      </c>
      <c r="K9" s="52">
        <v>75119</v>
      </c>
      <c r="L9" s="59">
        <f t="shared" si="0"/>
        <v>1.3032654854297847</v>
      </c>
      <c r="M9" s="59">
        <f t="shared" ref="M9:M37" si="5">+N9-N8</f>
        <v>0.5</v>
      </c>
      <c r="N9" s="216">
        <v>97.9</v>
      </c>
      <c r="O9" s="226">
        <v>0</v>
      </c>
      <c r="P9" s="192">
        <v>93</v>
      </c>
      <c r="Q9" s="51">
        <v>73748</v>
      </c>
      <c r="R9" s="55">
        <f t="shared" si="4"/>
        <v>3.3167001139013941</v>
      </c>
      <c r="S9" s="55">
        <f t="shared" ref="S9:S17" si="6">+T9-T8</f>
        <v>17.400000000000006</v>
      </c>
      <c r="T9" s="229">
        <v>244.6</v>
      </c>
      <c r="U9" s="235">
        <f>42/(1+'Conversion Factors'!C7)</f>
        <v>39.548022598870055</v>
      </c>
      <c r="V9" s="193">
        <v>26</v>
      </c>
      <c r="W9" s="165">
        <f>K9</f>
        <v>75119</v>
      </c>
      <c r="X9" s="24">
        <f t="shared" ref="X9:X37" si="7">+G9</f>
        <v>0</v>
      </c>
      <c r="Y9" s="25">
        <f t="shared" ref="Y9:Y37" si="8">+Z9-Z8</f>
        <v>0</v>
      </c>
      <c r="Z9" s="53">
        <f t="shared" ref="Z9:Z37" si="9">+W9*X9/1000000</f>
        <v>0</v>
      </c>
      <c r="AA9" s="10"/>
      <c r="AC9" s="159"/>
      <c r="AD9" s="160"/>
      <c r="AE9" s="161"/>
      <c r="AG9" s="162"/>
    </row>
    <row r="10" spans="1:33" x14ac:dyDescent="0.2">
      <c r="A10" s="33">
        <v>1997</v>
      </c>
      <c r="B10" s="127">
        <v>2782</v>
      </c>
      <c r="C10" s="30">
        <v>819</v>
      </c>
      <c r="D10" s="565">
        <f t="shared" ref="D10:D47" si="10">D9+C10</f>
        <v>77792</v>
      </c>
      <c r="E10" s="635">
        <v>1.1500000000000001</v>
      </c>
      <c r="F10" s="209">
        <v>2.81</v>
      </c>
      <c r="G10" s="618">
        <v>0</v>
      </c>
      <c r="H10" s="452">
        <f t="shared" si="1"/>
        <v>0.94185000000000019</v>
      </c>
      <c r="I10" s="72">
        <f t="shared" si="2"/>
        <v>7.8174200000000003</v>
      </c>
      <c r="J10" s="72">
        <f t="shared" si="3"/>
        <v>0</v>
      </c>
      <c r="K10" s="52">
        <v>77875</v>
      </c>
      <c r="L10" s="59">
        <f t="shared" si="0"/>
        <v>1.1479935794542535</v>
      </c>
      <c r="M10" s="59">
        <f t="shared" si="5"/>
        <v>-8.5</v>
      </c>
      <c r="N10" s="216">
        <v>89.4</v>
      </c>
      <c r="O10" s="226">
        <f>59-(59*'Conversion Factors'!B8)</f>
        <v>55.341999999999999</v>
      </c>
      <c r="P10" s="192">
        <v>88</v>
      </c>
      <c r="Q10" s="51">
        <v>76973</v>
      </c>
      <c r="R10" s="55">
        <f t="shared" si="4"/>
        <v>2.0032998583919035</v>
      </c>
      <c r="S10" s="55">
        <f t="shared" si="6"/>
        <v>-90.4</v>
      </c>
      <c r="T10" s="229">
        <v>154.19999999999999</v>
      </c>
      <c r="U10" s="235">
        <v>0</v>
      </c>
      <c r="V10" s="193">
        <v>44</v>
      </c>
      <c r="W10" s="165">
        <f t="shared" ref="W10:W37" si="11">K10</f>
        <v>77875</v>
      </c>
      <c r="X10" s="24">
        <f t="shared" si="7"/>
        <v>0</v>
      </c>
      <c r="Y10" s="25">
        <f t="shared" si="8"/>
        <v>0</v>
      </c>
      <c r="Z10" s="53">
        <f t="shared" si="9"/>
        <v>0</v>
      </c>
      <c r="AA10" s="10"/>
      <c r="AC10" s="159"/>
      <c r="AD10" s="160"/>
      <c r="AE10" s="161"/>
      <c r="AG10" s="162"/>
    </row>
    <row r="11" spans="1:33" x14ac:dyDescent="0.2">
      <c r="A11" s="33">
        <v>1998</v>
      </c>
      <c r="B11" s="127">
        <v>2433</v>
      </c>
      <c r="C11" s="30">
        <v>111</v>
      </c>
      <c r="D11" s="565">
        <f t="shared" si="10"/>
        <v>77903</v>
      </c>
      <c r="E11" s="635">
        <v>1.1500000000000001</v>
      </c>
      <c r="F11" s="209">
        <v>2.81</v>
      </c>
      <c r="G11" s="618">
        <v>0</v>
      </c>
      <c r="H11" s="452">
        <f t="shared" si="1"/>
        <v>0.12765000000000001</v>
      </c>
      <c r="I11" s="72">
        <f t="shared" si="2"/>
        <v>6.8367300000000002</v>
      </c>
      <c r="J11" s="72">
        <f t="shared" si="3"/>
        <v>0</v>
      </c>
      <c r="K11" s="52">
        <v>78087</v>
      </c>
      <c r="L11" s="59">
        <f t="shared" si="0"/>
        <v>1.2883066323459731</v>
      </c>
      <c r="M11" s="59">
        <f t="shared" si="5"/>
        <v>11.199999999999989</v>
      </c>
      <c r="N11" s="216">
        <v>100.6</v>
      </c>
      <c r="O11" s="226">
        <f>96-(96*'Conversion Factors'!B9)</f>
        <v>90.048000000000002</v>
      </c>
      <c r="P11" s="192">
        <v>91</v>
      </c>
      <c r="Q11" s="51">
        <v>78160</v>
      </c>
      <c r="R11" s="55">
        <f t="shared" si="4"/>
        <v>1.9229785056294779</v>
      </c>
      <c r="S11" s="55">
        <f t="shared" si="6"/>
        <v>-3.8999999999999773</v>
      </c>
      <c r="T11" s="229">
        <v>150.30000000000001</v>
      </c>
      <c r="U11" s="235">
        <f>50/(1+'Conversion Factors'!C9)</f>
        <v>47.080979284369114</v>
      </c>
      <c r="V11" s="193">
        <v>44</v>
      </c>
      <c r="W11" s="165">
        <f t="shared" si="11"/>
        <v>78087</v>
      </c>
      <c r="X11" s="24">
        <f t="shared" si="7"/>
        <v>0</v>
      </c>
      <c r="Y11" s="25">
        <f t="shared" si="8"/>
        <v>0</v>
      </c>
      <c r="Z11" s="53">
        <f t="shared" si="9"/>
        <v>0</v>
      </c>
      <c r="AA11" s="10"/>
      <c r="AC11" s="159"/>
      <c r="AD11" s="160"/>
      <c r="AE11" s="161"/>
      <c r="AG11" s="162"/>
    </row>
    <row r="12" spans="1:33" x14ac:dyDescent="0.2">
      <c r="A12" s="33">
        <v>1999</v>
      </c>
      <c r="B12" s="127">
        <v>999</v>
      </c>
      <c r="C12" s="30">
        <v>-878</v>
      </c>
      <c r="D12" s="565">
        <f t="shared" si="10"/>
        <v>77025</v>
      </c>
      <c r="E12" s="635">
        <v>1.1499999999999999</v>
      </c>
      <c r="F12" s="209">
        <v>2.81</v>
      </c>
      <c r="G12" s="618">
        <v>0</v>
      </c>
      <c r="H12" s="452">
        <f t="shared" si="1"/>
        <v>-1.0097</v>
      </c>
      <c r="I12" s="72">
        <f t="shared" si="2"/>
        <v>2.8071899999999999</v>
      </c>
      <c r="J12" s="72">
        <f t="shared" si="3"/>
        <v>0</v>
      </c>
      <c r="K12" s="52">
        <v>77472</v>
      </c>
      <c r="L12" s="59">
        <f t="shared" si="0"/>
        <v>1.1875258157786039</v>
      </c>
      <c r="M12" s="59">
        <f t="shared" si="5"/>
        <v>-8.5999999999999943</v>
      </c>
      <c r="N12" s="216">
        <v>92</v>
      </c>
      <c r="O12" s="226">
        <f>44-(44*'Conversion Factors'!B10)</f>
        <v>41.271999999999998</v>
      </c>
      <c r="P12" s="192">
        <v>92</v>
      </c>
      <c r="Q12" s="51">
        <v>77796</v>
      </c>
      <c r="R12" s="55">
        <f t="shared" si="4"/>
        <v>3.2148182425831662</v>
      </c>
      <c r="S12" s="55">
        <f t="shared" si="6"/>
        <v>99.799999999999983</v>
      </c>
      <c r="T12" s="229">
        <v>250.1</v>
      </c>
      <c r="U12" s="235">
        <f>23/(1+'Conversion Factors'!C10)</f>
        <v>21.657250470809792</v>
      </c>
      <c r="V12" s="193">
        <v>32</v>
      </c>
      <c r="W12" s="165">
        <f t="shared" si="11"/>
        <v>77472</v>
      </c>
      <c r="X12" s="24">
        <f t="shared" si="7"/>
        <v>0</v>
      </c>
      <c r="Y12" s="25">
        <f t="shared" si="8"/>
        <v>0</v>
      </c>
      <c r="Z12" s="53">
        <f t="shared" si="9"/>
        <v>0</v>
      </c>
      <c r="AA12" s="10"/>
      <c r="AC12" s="159"/>
      <c r="AD12" s="160"/>
      <c r="AE12" s="161"/>
      <c r="AG12" s="162"/>
    </row>
    <row r="13" spans="1:33" x14ac:dyDescent="0.2">
      <c r="A13" s="33">
        <v>2000</v>
      </c>
      <c r="B13" s="127">
        <v>1303</v>
      </c>
      <c r="C13" s="30">
        <v>-1174</v>
      </c>
      <c r="D13" s="565">
        <f t="shared" si="10"/>
        <v>75851</v>
      </c>
      <c r="E13" s="635">
        <v>1.29</v>
      </c>
      <c r="F13" s="209">
        <v>2.98</v>
      </c>
      <c r="G13" s="618">
        <v>0</v>
      </c>
      <c r="H13" s="452">
        <f t="shared" si="1"/>
        <v>-1.5144600000000001</v>
      </c>
      <c r="I13" s="72">
        <f t="shared" si="2"/>
        <v>3.8829400000000001</v>
      </c>
      <c r="J13" s="72">
        <f t="shared" si="3"/>
        <v>0</v>
      </c>
      <c r="K13" s="52">
        <v>76415</v>
      </c>
      <c r="L13" s="59">
        <f t="shared" si="0"/>
        <v>0.96185303932473987</v>
      </c>
      <c r="M13" s="59">
        <f t="shared" si="5"/>
        <v>-18.5</v>
      </c>
      <c r="N13" s="216">
        <v>73.5</v>
      </c>
      <c r="O13" s="226">
        <v>0</v>
      </c>
      <c r="P13" s="192">
        <v>91</v>
      </c>
      <c r="Q13" s="51">
        <v>77088</v>
      </c>
      <c r="R13" s="55">
        <f t="shared" si="4"/>
        <v>2.5490348692403488</v>
      </c>
      <c r="S13" s="55">
        <f t="shared" si="6"/>
        <v>-53.599999999999994</v>
      </c>
      <c r="T13" s="229">
        <v>196.5</v>
      </c>
      <c r="U13" s="235">
        <f>26/(1+'Conversion Factors'!C11)</f>
        <v>24.390243902439025</v>
      </c>
      <c r="V13" s="193">
        <v>34</v>
      </c>
      <c r="W13" s="165">
        <f t="shared" si="11"/>
        <v>76415</v>
      </c>
      <c r="X13" s="24">
        <f t="shared" si="7"/>
        <v>0</v>
      </c>
      <c r="Y13" s="25">
        <f t="shared" si="8"/>
        <v>0</v>
      </c>
      <c r="Z13" s="53">
        <f t="shared" si="9"/>
        <v>0</v>
      </c>
      <c r="AA13" s="9"/>
      <c r="AC13" s="159"/>
      <c r="AD13" s="160"/>
      <c r="AE13" s="161"/>
      <c r="AG13" s="162"/>
    </row>
    <row r="14" spans="1:33" x14ac:dyDescent="0.2">
      <c r="A14" s="33">
        <v>2001</v>
      </c>
      <c r="B14" s="127">
        <v>1110</v>
      </c>
      <c r="C14" s="30">
        <v>-670</v>
      </c>
      <c r="D14" s="565">
        <f t="shared" si="10"/>
        <v>75181</v>
      </c>
      <c r="E14" s="635">
        <v>1.1700000000000002</v>
      </c>
      <c r="F14" s="209">
        <v>2.76</v>
      </c>
      <c r="G14" s="618">
        <v>0</v>
      </c>
      <c r="H14" s="452">
        <f t="shared" si="1"/>
        <v>-0.78390000000000004</v>
      </c>
      <c r="I14" s="72">
        <f t="shared" si="2"/>
        <v>3.0636000000000001</v>
      </c>
      <c r="J14" s="72">
        <f t="shared" si="3"/>
        <v>0</v>
      </c>
      <c r="K14" s="52">
        <v>75286</v>
      </c>
      <c r="L14" s="59">
        <f t="shared" si="0"/>
        <v>1.1237149005127116</v>
      </c>
      <c r="M14" s="59">
        <f t="shared" si="5"/>
        <v>11.099999999999994</v>
      </c>
      <c r="N14" s="216">
        <v>84.6</v>
      </c>
      <c r="O14" s="226">
        <v>0</v>
      </c>
      <c r="P14" s="192">
        <v>92</v>
      </c>
      <c r="Q14" s="51">
        <v>75861</v>
      </c>
      <c r="R14" s="55">
        <f t="shared" si="4"/>
        <v>2.4294433239741107</v>
      </c>
      <c r="S14" s="55">
        <f t="shared" si="6"/>
        <v>-12.199999999999989</v>
      </c>
      <c r="T14" s="229">
        <v>184.3</v>
      </c>
      <c r="U14" s="235">
        <f>101/(1+'Conversion Factors'!C12)</f>
        <v>94.746716697936208</v>
      </c>
      <c r="V14" s="193">
        <v>35</v>
      </c>
      <c r="W14" s="165">
        <f t="shared" si="11"/>
        <v>75286</v>
      </c>
      <c r="X14" s="24">
        <f t="shared" si="7"/>
        <v>0</v>
      </c>
      <c r="Y14" s="25">
        <f t="shared" si="8"/>
        <v>0</v>
      </c>
      <c r="Z14" s="53">
        <f t="shared" si="9"/>
        <v>0</v>
      </c>
      <c r="AA14" s="9"/>
      <c r="AC14" s="159"/>
      <c r="AD14" s="160"/>
      <c r="AE14" s="161"/>
      <c r="AG14" s="162"/>
    </row>
    <row r="15" spans="1:33" x14ac:dyDescent="0.2">
      <c r="A15" s="33">
        <v>2002</v>
      </c>
      <c r="B15" s="127">
        <v>1654</v>
      </c>
      <c r="C15" s="30">
        <v>-270</v>
      </c>
      <c r="D15" s="565">
        <f t="shared" si="10"/>
        <v>74911</v>
      </c>
      <c r="E15" s="635">
        <v>1.28</v>
      </c>
      <c r="F15" s="209">
        <v>2.9399999999999995</v>
      </c>
      <c r="G15" s="618">
        <v>0</v>
      </c>
      <c r="H15" s="452">
        <f t="shared" si="1"/>
        <v>-0.34560000000000002</v>
      </c>
      <c r="I15" s="72">
        <f t="shared" si="2"/>
        <v>4.8627599999999997</v>
      </c>
      <c r="J15" s="72">
        <f t="shared" si="3"/>
        <v>0</v>
      </c>
      <c r="K15" s="52">
        <v>75035</v>
      </c>
      <c r="L15" s="59">
        <f t="shared" si="0"/>
        <v>1.2380888918504698</v>
      </c>
      <c r="M15" s="59">
        <f t="shared" si="5"/>
        <v>8.3000000000000114</v>
      </c>
      <c r="N15" s="216">
        <v>92.9</v>
      </c>
      <c r="O15" s="226">
        <v>0</v>
      </c>
      <c r="P15" s="192">
        <v>94</v>
      </c>
      <c r="Q15" s="51">
        <v>75181</v>
      </c>
      <c r="R15" s="55">
        <f t="shared" si="4"/>
        <v>2.1973636956145834</v>
      </c>
      <c r="S15" s="55">
        <f t="shared" si="6"/>
        <v>-19.100000000000023</v>
      </c>
      <c r="T15" s="229">
        <v>165.2</v>
      </c>
      <c r="U15" s="235">
        <v>0</v>
      </c>
      <c r="V15" s="193">
        <v>38</v>
      </c>
      <c r="W15" s="165">
        <f t="shared" si="11"/>
        <v>75035</v>
      </c>
      <c r="X15" s="24">
        <f t="shared" si="7"/>
        <v>0</v>
      </c>
      <c r="Y15" s="25">
        <f t="shared" si="8"/>
        <v>0</v>
      </c>
      <c r="Z15" s="53">
        <f t="shared" si="9"/>
        <v>0</v>
      </c>
      <c r="AA15" s="9"/>
      <c r="AC15" s="159"/>
      <c r="AD15" s="160"/>
      <c r="AE15" s="161"/>
      <c r="AG15" s="162"/>
    </row>
    <row r="16" spans="1:33" x14ac:dyDescent="0.2">
      <c r="A16" s="33">
        <v>2003</v>
      </c>
      <c r="B16" s="127">
        <v>1489</v>
      </c>
      <c r="C16" s="30">
        <v>-1608</v>
      </c>
      <c r="D16" s="565">
        <f t="shared" si="10"/>
        <v>73303</v>
      </c>
      <c r="E16" s="635">
        <v>1.2279986568166554</v>
      </c>
      <c r="F16" s="209">
        <v>2.8</v>
      </c>
      <c r="G16" s="618">
        <v>0</v>
      </c>
      <c r="H16" s="452">
        <f t="shared" si="1"/>
        <v>-1.9746218401611821</v>
      </c>
      <c r="I16" s="72">
        <f t="shared" si="2"/>
        <v>4.1692</v>
      </c>
      <c r="J16" s="72">
        <f t="shared" si="3"/>
        <v>0</v>
      </c>
      <c r="K16" s="52">
        <v>74470</v>
      </c>
      <c r="L16" s="59">
        <f t="shared" si="0"/>
        <v>0.79897945481401911</v>
      </c>
      <c r="M16" s="59">
        <f t="shared" si="5"/>
        <v>-33.400000000000006</v>
      </c>
      <c r="N16" s="216">
        <v>59.5</v>
      </c>
      <c r="O16" s="226">
        <v>0</v>
      </c>
      <c r="P16" s="192">
        <v>94</v>
      </c>
      <c r="Q16" s="51">
        <v>74822</v>
      </c>
      <c r="R16" s="55">
        <f>(T16*1000)/Q16</f>
        <v>2.6342519579802732</v>
      </c>
      <c r="S16" s="55">
        <f t="shared" si="6"/>
        <v>31.900000000000006</v>
      </c>
      <c r="T16" s="229">
        <v>197.1</v>
      </c>
      <c r="U16" s="235">
        <v>0</v>
      </c>
      <c r="V16" s="193">
        <v>28</v>
      </c>
      <c r="W16" s="165">
        <f t="shared" si="11"/>
        <v>74470</v>
      </c>
      <c r="X16" s="24">
        <f t="shared" si="7"/>
        <v>0</v>
      </c>
      <c r="Y16" s="25">
        <f t="shared" si="8"/>
        <v>0</v>
      </c>
      <c r="Z16" s="53">
        <f t="shared" si="9"/>
        <v>0</v>
      </c>
      <c r="AA16" s="9"/>
      <c r="AC16" s="159"/>
      <c r="AD16" s="160"/>
      <c r="AE16" s="161"/>
      <c r="AG16" s="162"/>
    </row>
    <row r="17" spans="1:53" x14ac:dyDescent="0.2">
      <c r="A17" s="33">
        <v>2004</v>
      </c>
      <c r="B17" s="127">
        <v>1447</v>
      </c>
      <c r="C17" s="30">
        <v>-2170</v>
      </c>
      <c r="D17" s="565">
        <f t="shared" si="10"/>
        <v>71133</v>
      </c>
      <c r="E17" s="635">
        <v>0.85694540428472699</v>
      </c>
      <c r="F17" s="209">
        <v>1.9004837595024189</v>
      </c>
      <c r="G17" s="618">
        <v>0</v>
      </c>
      <c r="H17" s="452">
        <f t="shared" si="1"/>
        <v>-1.8595715272978575</v>
      </c>
      <c r="I17" s="72">
        <f t="shared" si="2"/>
        <v>2.75</v>
      </c>
      <c r="J17" s="72">
        <f t="shared" si="3"/>
        <v>0</v>
      </c>
      <c r="K17" s="52">
        <v>72645</v>
      </c>
      <c r="L17" s="59">
        <f t="shared" si="0"/>
        <v>1.223759377796132</v>
      </c>
      <c r="M17" s="59">
        <f t="shared" si="5"/>
        <v>29.400000000000006</v>
      </c>
      <c r="N17" s="216">
        <v>88.9</v>
      </c>
      <c r="O17" s="226">
        <v>0</v>
      </c>
      <c r="P17" s="192">
        <v>94</v>
      </c>
      <c r="Q17" s="51">
        <v>73308</v>
      </c>
      <c r="R17" s="55">
        <f t="shared" si="4"/>
        <v>1.743329513832051</v>
      </c>
      <c r="S17" s="55">
        <f t="shared" si="6"/>
        <v>-69.3</v>
      </c>
      <c r="T17" s="229">
        <v>127.8</v>
      </c>
      <c r="U17" s="235">
        <v>0</v>
      </c>
      <c r="V17" s="193">
        <v>41</v>
      </c>
      <c r="W17" s="165">
        <f t="shared" si="11"/>
        <v>72645</v>
      </c>
      <c r="X17" s="24">
        <f t="shared" si="7"/>
        <v>0</v>
      </c>
      <c r="Y17" s="25">
        <f t="shared" si="8"/>
        <v>0</v>
      </c>
      <c r="Z17" s="53">
        <f t="shared" si="9"/>
        <v>0</v>
      </c>
      <c r="AA17" s="9"/>
      <c r="AC17" s="159"/>
      <c r="AD17" s="160"/>
      <c r="AE17" s="161"/>
      <c r="AG17" s="162"/>
    </row>
    <row r="18" spans="1:53" x14ac:dyDescent="0.2">
      <c r="A18" s="33">
        <f>+A17+1</f>
        <v>2005</v>
      </c>
      <c r="B18" s="127">
        <v>0</v>
      </c>
      <c r="C18" s="30">
        <v>-8623</v>
      </c>
      <c r="D18" s="565">
        <f t="shared" si="10"/>
        <v>62510</v>
      </c>
      <c r="E18" s="635">
        <v>0</v>
      </c>
      <c r="F18" s="209">
        <v>0</v>
      </c>
      <c r="G18" s="618">
        <v>0</v>
      </c>
      <c r="H18" s="452">
        <f t="shared" si="1"/>
        <v>0</v>
      </c>
      <c r="I18" s="72">
        <f t="shared" si="2"/>
        <v>0</v>
      </c>
      <c r="J18" s="72">
        <f t="shared" si="3"/>
        <v>0</v>
      </c>
      <c r="K18" s="52">
        <v>67164</v>
      </c>
      <c r="L18" s="59">
        <f t="shared" si="0"/>
        <v>1.075466699472591</v>
      </c>
      <c r="M18" s="59">
        <f t="shared" si="5"/>
        <v>-16.6673545966229</v>
      </c>
      <c r="N18" s="216">
        <f>77/(1+'Conversion Factors'!B16)</f>
        <v>72.232645403377106</v>
      </c>
      <c r="O18" s="226">
        <f>77/(1+'Conversion Factors'!B16)</f>
        <v>72.232645403377106</v>
      </c>
      <c r="P18" s="192">
        <v>93</v>
      </c>
      <c r="Q18" s="51">
        <v>71199</v>
      </c>
      <c r="R18" s="55">
        <f t="shared" si="4"/>
        <v>2.4916080282026432</v>
      </c>
      <c r="S18" s="55">
        <f t="shared" ref="S18:S37" si="12">+T18-T17</f>
        <v>49.600000000000009</v>
      </c>
      <c r="T18" s="229">
        <v>177.4</v>
      </c>
      <c r="U18" s="235">
        <v>0</v>
      </c>
      <c r="V18" s="193">
        <v>33</v>
      </c>
      <c r="W18" s="165">
        <f t="shared" si="11"/>
        <v>67164</v>
      </c>
      <c r="X18" s="24">
        <f>+G18</f>
        <v>0</v>
      </c>
      <c r="Y18" s="25">
        <f>+Z18-Z17</f>
        <v>0</v>
      </c>
      <c r="Z18" s="53">
        <f>+W18*X18/1000000</f>
        <v>0</v>
      </c>
      <c r="AC18" s="159"/>
      <c r="AD18" s="160"/>
      <c r="AE18" s="161"/>
      <c r="AG18" s="162"/>
    </row>
    <row r="19" spans="1:53" x14ac:dyDescent="0.2">
      <c r="A19" s="33">
        <f t="shared" ref="A19:A38" si="13">+A18+1</f>
        <v>2006</v>
      </c>
      <c r="B19" s="127">
        <v>0</v>
      </c>
      <c r="C19" s="30">
        <v>-5481</v>
      </c>
      <c r="D19" s="565">
        <f>D18+C19</f>
        <v>57029</v>
      </c>
      <c r="E19" s="635">
        <v>0</v>
      </c>
      <c r="F19" s="209">
        <v>0</v>
      </c>
      <c r="G19" s="618">
        <v>0</v>
      </c>
      <c r="H19" s="452">
        <f t="shared" ref="H19:H42" si="14">+$C19*E19/1000</f>
        <v>0</v>
      </c>
      <c r="I19" s="72">
        <f t="shared" si="2"/>
        <v>0</v>
      </c>
      <c r="J19" s="72">
        <f t="shared" si="3"/>
        <v>0</v>
      </c>
      <c r="K19" s="52">
        <v>58974</v>
      </c>
      <c r="L19" s="59">
        <f t="shared" si="0"/>
        <v>1.2191813341472513</v>
      </c>
      <c r="M19" s="59">
        <f t="shared" si="5"/>
        <v>-0.33264540337710002</v>
      </c>
      <c r="N19" s="216">
        <v>71.900000000000006</v>
      </c>
      <c r="O19" s="226">
        <v>0</v>
      </c>
      <c r="P19" s="285">
        <v>92</v>
      </c>
      <c r="Q19" s="51">
        <v>62067</v>
      </c>
      <c r="R19" s="55">
        <f t="shared" si="4"/>
        <v>1.9495061788067733</v>
      </c>
      <c r="S19" s="55">
        <f t="shared" si="12"/>
        <v>-56.400000000000006</v>
      </c>
      <c r="T19" s="229">
        <v>121</v>
      </c>
      <c r="U19" s="235">
        <v>0</v>
      </c>
      <c r="V19" s="193">
        <v>40</v>
      </c>
      <c r="W19" s="286">
        <f t="shared" si="11"/>
        <v>58974</v>
      </c>
      <c r="X19" s="24">
        <f t="shared" si="7"/>
        <v>0</v>
      </c>
      <c r="Y19" s="25">
        <f t="shared" si="8"/>
        <v>0</v>
      </c>
      <c r="Z19" s="53">
        <f t="shared" si="9"/>
        <v>0</v>
      </c>
      <c r="AC19" s="159"/>
      <c r="AD19" s="160"/>
      <c r="AE19" s="161"/>
      <c r="AG19" s="162"/>
    </row>
    <row r="20" spans="1:53" x14ac:dyDescent="0.2">
      <c r="A20" s="283">
        <f t="shared" si="13"/>
        <v>2007</v>
      </c>
      <c r="B20" s="126">
        <v>0</v>
      </c>
      <c r="C20" s="30">
        <v>-3474</v>
      </c>
      <c r="D20" s="565">
        <f t="shared" si="10"/>
        <v>53555</v>
      </c>
      <c r="E20" s="635">
        <v>0</v>
      </c>
      <c r="F20" s="209">
        <v>0</v>
      </c>
      <c r="G20" s="618">
        <v>0</v>
      </c>
      <c r="H20" s="452">
        <f t="shared" si="14"/>
        <v>0</v>
      </c>
      <c r="I20" s="72">
        <f t="shared" si="2"/>
        <v>0</v>
      </c>
      <c r="J20" s="72">
        <f t="shared" si="3"/>
        <v>0</v>
      </c>
      <c r="K20" s="52">
        <v>54846</v>
      </c>
      <c r="L20" s="190">
        <f t="shared" si="0"/>
        <v>1.1833132771760932</v>
      </c>
      <c r="M20" s="188">
        <f t="shared" si="5"/>
        <v>-7</v>
      </c>
      <c r="N20" s="216">
        <v>64.900000000000006</v>
      </c>
      <c r="O20" s="226">
        <f>21/(1+'Conversion Factors'!B18)</f>
        <v>19.699812382739211</v>
      </c>
      <c r="P20" s="372">
        <v>94</v>
      </c>
      <c r="Q20" s="51">
        <v>56797</v>
      </c>
      <c r="R20" s="55">
        <f t="shared" ref="R20:R24" si="15">(T20*1000)/Q20</f>
        <v>1.5881120481715583</v>
      </c>
      <c r="S20" s="55">
        <f t="shared" ref="S20:S24" si="16">+T20-T19</f>
        <v>-30.799999999999997</v>
      </c>
      <c r="T20" s="235">
        <v>90.2</v>
      </c>
      <c r="U20" s="235">
        <v>0</v>
      </c>
      <c r="V20" s="373">
        <v>41</v>
      </c>
      <c r="W20" s="165">
        <f t="shared" si="11"/>
        <v>54846</v>
      </c>
      <c r="X20" s="24">
        <f t="shared" si="7"/>
        <v>0</v>
      </c>
      <c r="Y20" s="25">
        <f t="shared" si="8"/>
        <v>0</v>
      </c>
      <c r="Z20" s="53">
        <f t="shared" si="9"/>
        <v>0</v>
      </c>
    </row>
    <row r="21" spans="1:53" x14ac:dyDescent="0.2">
      <c r="A21" s="283">
        <f t="shared" si="13"/>
        <v>2008</v>
      </c>
      <c r="B21" s="650">
        <v>0</v>
      </c>
      <c r="C21" s="30">
        <v>-2872</v>
      </c>
      <c r="D21" s="565">
        <f t="shared" si="10"/>
        <v>50683</v>
      </c>
      <c r="E21" s="635">
        <v>0</v>
      </c>
      <c r="F21" s="209">
        <v>0</v>
      </c>
      <c r="G21" s="618">
        <v>0</v>
      </c>
      <c r="H21" s="452">
        <f t="shared" si="14"/>
        <v>0</v>
      </c>
      <c r="I21" s="72">
        <f t="shared" si="2"/>
        <v>0</v>
      </c>
      <c r="J21" s="72">
        <f t="shared" si="3"/>
        <v>0</v>
      </c>
      <c r="K21" s="52">
        <v>52363</v>
      </c>
      <c r="L21" s="190">
        <f t="shared" si="0"/>
        <v>1.2283839859742711</v>
      </c>
      <c r="M21" s="188">
        <f t="shared" si="5"/>
        <v>-0.57812934242924996</v>
      </c>
      <c r="N21" s="216">
        <v>64.321870657570756</v>
      </c>
      <c r="O21" s="226">
        <v>0</v>
      </c>
      <c r="P21" s="372">
        <v>96</v>
      </c>
      <c r="Q21" s="51">
        <v>53447</v>
      </c>
      <c r="R21" s="55">
        <f t="shared" si="15"/>
        <v>2.263925009822815</v>
      </c>
      <c r="S21" s="55">
        <f t="shared" si="16"/>
        <v>30.799999999999997</v>
      </c>
      <c r="T21" s="235">
        <v>121</v>
      </c>
      <c r="U21" s="235">
        <v>0</v>
      </c>
      <c r="V21" s="373">
        <v>30</v>
      </c>
      <c r="W21" s="165">
        <f t="shared" si="11"/>
        <v>52363</v>
      </c>
      <c r="X21" s="24">
        <f t="shared" si="7"/>
        <v>0</v>
      </c>
      <c r="Y21" s="25">
        <f t="shared" si="8"/>
        <v>0</v>
      </c>
      <c r="Z21" s="53">
        <f t="shared" si="9"/>
        <v>0</v>
      </c>
    </row>
    <row r="22" spans="1:53" x14ac:dyDescent="0.2">
      <c r="A22" s="33">
        <f t="shared" si="13"/>
        <v>2009</v>
      </c>
      <c r="B22" s="650">
        <v>0</v>
      </c>
      <c r="C22" s="30">
        <v>-2603</v>
      </c>
      <c r="D22" s="565">
        <f t="shared" si="10"/>
        <v>48080</v>
      </c>
      <c r="E22" s="635">
        <v>0</v>
      </c>
      <c r="F22" s="209">
        <v>0</v>
      </c>
      <c r="G22" s="618">
        <v>0</v>
      </c>
      <c r="H22" s="452">
        <f t="shared" si="14"/>
        <v>0</v>
      </c>
      <c r="I22" s="72">
        <f t="shared" si="2"/>
        <v>0</v>
      </c>
      <c r="J22" s="72">
        <f t="shared" si="3"/>
        <v>0</v>
      </c>
      <c r="K22" s="52">
        <v>49722</v>
      </c>
      <c r="L22" s="190">
        <f t="shared" si="0"/>
        <v>1.0521389503587606</v>
      </c>
      <c r="M22" s="592">
        <f t="shared" si="5"/>
        <v>-12.007417767832457</v>
      </c>
      <c r="N22" s="216">
        <v>52.314452889738298</v>
      </c>
      <c r="O22" s="216">
        <v>52.704999999999998</v>
      </c>
      <c r="P22" s="571">
        <v>93</v>
      </c>
      <c r="Q22" s="51">
        <f>D21</f>
        <v>50683</v>
      </c>
      <c r="R22" s="55">
        <f t="shared" si="15"/>
        <v>1.945127130824968</v>
      </c>
      <c r="S22" s="55">
        <f t="shared" si="16"/>
        <v>-22.415121628398154</v>
      </c>
      <c r="T22" s="235">
        <v>98.584878371601846</v>
      </c>
      <c r="U22" s="235">
        <v>0</v>
      </c>
      <c r="V22" s="373">
        <v>35</v>
      </c>
      <c r="W22" s="165">
        <f t="shared" si="11"/>
        <v>49722</v>
      </c>
      <c r="X22" s="24">
        <f t="shared" si="7"/>
        <v>0</v>
      </c>
      <c r="Y22" s="25">
        <f t="shared" si="8"/>
        <v>0</v>
      </c>
      <c r="Z22" s="53">
        <f t="shared" si="9"/>
        <v>0</v>
      </c>
    </row>
    <row r="23" spans="1:53" x14ac:dyDescent="0.2">
      <c r="A23" s="33">
        <f t="shared" si="13"/>
        <v>2010</v>
      </c>
      <c r="B23" s="650">
        <v>0</v>
      </c>
      <c r="C23" s="30">
        <v>-2651</v>
      </c>
      <c r="D23" s="633">
        <f>D22+C23</f>
        <v>45429</v>
      </c>
      <c r="E23" s="635">
        <v>1.024</v>
      </c>
      <c r="F23" s="209">
        <v>2.1869999999999998</v>
      </c>
      <c r="G23" s="618">
        <f t="shared" ref="G23:G29" si="17">+G22</f>
        <v>0</v>
      </c>
      <c r="H23" s="452">
        <f t="shared" si="14"/>
        <v>-2.7146240000000001</v>
      </c>
      <c r="I23" s="72">
        <f t="shared" si="2"/>
        <v>0</v>
      </c>
      <c r="J23" s="72">
        <f t="shared" si="3"/>
        <v>0</v>
      </c>
      <c r="K23" s="52">
        <v>46933</v>
      </c>
      <c r="L23" s="590">
        <f>(N23*1000)/K23</f>
        <v>0.99305476001700643</v>
      </c>
      <c r="M23" s="188">
        <f t="shared" si="5"/>
        <v>-5.7074138378601376</v>
      </c>
      <c r="N23" s="591">
        <v>46.607039051878161</v>
      </c>
      <c r="O23" s="226">
        <v>0</v>
      </c>
      <c r="P23" s="372">
        <v>93</v>
      </c>
      <c r="Q23" s="51">
        <f t="shared" ref="Q23:Q28" si="18">D22</f>
        <v>48080</v>
      </c>
      <c r="R23" s="55">
        <f t="shared" si="15"/>
        <v>2.1335836098711236</v>
      </c>
      <c r="S23" s="55">
        <f t="shared" si="16"/>
        <v>3.9978215910017809</v>
      </c>
      <c r="T23" s="235">
        <v>102.58269996260363</v>
      </c>
      <c r="U23" s="235">
        <v>0</v>
      </c>
      <c r="V23" s="373">
        <v>32</v>
      </c>
      <c r="W23" s="166">
        <f t="shared" si="11"/>
        <v>46933</v>
      </c>
      <c r="X23" s="145">
        <f t="shared" si="7"/>
        <v>0</v>
      </c>
      <c r="Y23" s="146">
        <f t="shared" si="8"/>
        <v>0</v>
      </c>
      <c r="Z23" s="147">
        <f t="shared" si="9"/>
        <v>0</v>
      </c>
      <c r="AA23" s="357"/>
      <c r="AB23" s="357"/>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row>
    <row r="24" spans="1:53" x14ac:dyDescent="0.2">
      <c r="A24" s="283">
        <f t="shared" si="13"/>
        <v>2011</v>
      </c>
      <c r="B24" s="650">
        <v>0</v>
      </c>
      <c r="C24" s="30">
        <v>-2537</v>
      </c>
      <c r="D24" s="633">
        <f t="shared" si="10"/>
        <v>42892</v>
      </c>
      <c r="E24" s="635">
        <f t="shared" ref="E24:E25" si="19">(N24*1000)/K24</f>
        <v>1.029313783735283</v>
      </c>
      <c r="F24" s="209">
        <v>2.181</v>
      </c>
      <c r="G24" s="618">
        <f t="shared" si="17"/>
        <v>0</v>
      </c>
      <c r="H24" s="452">
        <f t="shared" si="14"/>
        <v>-2.6113690693364129</v>
      </c>
      <c r="I24" s="72">
        <f t="shared" si="2"/>
        <v>0</v>
      </c>
      <c r="J24" s="72">
        <f t="shared" si="3"/>
        <v>0</v>
      </c>
      <c r="K24" s="52">
        <v>43956</v>
      </c>
      <c r="L24" s="190">
        <f>(N24*1000)/K24</f>
        <v>1.029313783735283</v>
      </c>
      <c r="M24" s="566">
        <f t="shared" si="5"/>
        <v>-1.3625223740100623</v>
      </c>
      <c r="N24" s="216">
        <v>45.244516677868098</v>
      </c>
      <c r="O24" s="226">
        <v>0</v>
      </c>
      <c r="P24" s="372">
        <v>92</v>
      </c>
      <c r="Q24" s="51">
        <f t="shared" si="18"/>
        <v>45429</v>
      </c>
      <c r="R24" s="55">
        <f t="shared" si="15"/>
        <v>1.8186471287110173</v>
      </c>
      <c r="S24" s="55">
        <f t="shared" si="16"/>
        <v>-19.963379552390819</v>
      </c>
      <c r="T24" s="235">
        <v>82.619320410212808</v>
      </c>
      <c r="U24" s="235">
        <v>0</v>
      </c>
      <c r="V24" s="373">
        <v>36</v>
      </c>
      <c r="W24" s="166">
        <f t="shared" si="11"/>
        <v>43956</v>
      </c>
      <c r="X24" s="24">
        <f t="shared" si="7"/>
        <v>0</v>
      </c>
      <c r="Y24" s="25">
        <f t="shared" si="8"/>
        <v>0</v>
      </c>
      <c r="Z24" s="53">
        <f t="shared" si="9"/>
        <v>0</v>
      </c>
      <c r="AA24" s="358"/>
      <c r="AB24" s="9"/>
    </row>
    <row r="25" spans="1:53" x14ac:dyDescent="0.2">
      <c r="A25" s="283">
        <f t="shared" si="13"/>
        <v>2012</v>
      </c>
      <c r="B25" s="650">
        <v>0</v>
      </c>
      <c r="C25" s="30">
        <v>-2515</v>
      </c>
      <c r="D25" s="633">
        <f t="shared" si="10"/>
        <v>40377</v>
      </c>
      <c r="E25" s="635">
        <f t="shared" si="19"/>
        <v>1.0267299691906433</v>
      </c>
      <c r="F25" s="209">
        <v>2.181</v>
      </c>
      <c r="G25" s="618">
        <v>0</v>
      </c>
      <c r="H25" s="452">
        <f t="shared" si="14"/>
        <v>-2.582225872514468</v>
      </c>
      <c r="I25" s="72">
        <f>+$B25*F25/1000</f>
        <v>0</v>
      </c>
      <c r="J25" s="72">
        <f>+$B25*G25/1000000</f>
        <v>0</v>
      </c>
      <c r="K25" s="52">
        <v>41382</v>
      </c>
      <c r="L25" s="190">
        <f>(N25*1000)/K25</f>
        <v>1.0267299691906433</v>
      </c>
      <c r="M25" s="566">
        <f>+N25-N24</f>
        <v>-2.7563770928208982</v>
      </c>
      <c r="N25" s="216">
        <v>42.4881395850472</v>
      </c>
      <c r="O25" s="226">
        <v>0</v>
      </c>
      <c r="P25" s="372">
        <v>92</v>
      </c>
      <c r="Q25" s="51">
        <f t="shared" si="18"/>
        <v>42892</v>
      </c>
      <c r="R25" s="55">
        <f>(T25*1000)/Q25</f>
        <v>1.8472940529867083</v>
      </c>
      <c r="S25" s="55">
        <f>+T25-T24</f>
        <v>-3.3851838895069051</v>
      </c>
      <c r="T25" s="235">
        <v>79.234136520705903</v>
      </c>
      <c r="U25" s="235">
        <v>0</v>
      </c>
      <c r="V25" s="373">
        <v>36</v>
      </c>
      <c r="W25" s="166">
        <f>K25</f>
        <v>41382</v>
      </c>
      <c r="X25" s="24">
        <f t="shared" si="7"/>
        <v>0</v>
      </c>
      <c r="Y25" s="25">
        <f t="shared" si="8"/>
        <v>0</v>
      </c>
      <c r="Z25" s="53">
        <f t="shared" si="9"/>
        <v>0</v>
      </c>
      <c r="AA25" s="358"/>
      <c r="AB25" s="9"/>
    </row>
    <row r="26" spans="1:53" s="831" customFormat="1" x14ac:dyDescent="0.2">
      <c r="A26" s="33">
        <f t="shared" si="13"/>
        <v>2013</v>
      </c>
      <c r="B26" s="650">
        <v>0</v>
      </c>
      <c r="C26" s="30">
        <v>-2958</v>
      </c>
      <c r="D26" s="633">
        <f t="shared" si="10"/>
        <v>37419</v>
      </c>
      <c r="E26" s="635">
        <f>(N26*1000)/K26</f>
        <v>0.93258331453680388</v>
      </c>
      <c r="F26" s="209">
        <f>(T26*1000)/Q26</f>
        <v>1.5915874192365795</v>
      </c>
      <c r="G26" s="618">
        <f t="shared" si="17"/>
        <v>0</v>
      </c>
      <c r="H26" s="452">
        <f t="shared" si="14"/>
        <v>-2.7585814443998662</v>
      </c>
      <c r="I26" s="72">
        <f t="shared" si="2"/>
        <v>0</v>
      </c>
      <c r="J26" s="630">
        <f t="shared" ref="J26:J42" si="20">+$B26*G26/1000000</f>
        <v>0</v>
      </c>
      <c r="K26" s="52">
        <v>38822</v>
      </c>
      <c r="L26" s="190">
        <f t="shared" ref="L26:L37" si="21">+E26</f>
        <v>0.93258331453680388</v>
      </c>
      <c r="M26" s="188">
        <f>+N26-N25</f>
        <v>-6.2833901480994001</v>
      </c>
      <c r="N26" s="226">
        <v>36.2047494369478</v>
      </c>
      <c r="O26" s="226">
        <v>0</v>
      </c>
      <c r="P26" s="372">
        <v>90</v>
      </c>
      <c r="Q26" s="51">
        <f t="shared" si="18"/>
        <v>40377</v>
      </c>
      <c r="R26" s="55">
        <f t="shared" ref="R26:R37" si="22">+F26</f>
        <v>1.5915874192365795</v>
      </c>
      <c r="S26" s="55">
        <f t="shared" si="12"/>
        <v>-14.970611294190533</v>
      </c>
      <c r="T26" s="235">
        <v>64.26352522651537</v>
      </c>
      <c r="U26" s="235">
        <v>0</v>
      </c>
      <c r="V26" s="373">
        <v>40</v>
      </c>
      <c r="W26" s="165">
        <f t="shared" si="11"/>
        <v>38822</v>
      </c>
      <c r="X26" s="24">
        <f t="shared" si="7"/>
        <v>0</v>
      </c>
      <c r="Y26" s="25">
        <f t="shared" si="8"/>
        <v>0</v>
      </c>
      <c r="Z26" s="53">
        <f t="shared" si="9"/>
        <v>0</v>
      </c>
      <c r="AA26" s="118"/>
      <c r="AB26" s="910"/>
    </row>
    <row r="27" spans="1:53" s="831" customFormat="1" x14ac:dyDescent="0.2">
      <c r="A27" s="33">
        <f t="shared" si="13"/>
        <v>2014</v>
      </c>
      <c r="B27" s="650">
        <v>0</v>
      </c>
      <c r="C27" s="30">
        <v>-11202</v>
      </c>
      <c r="D27" s="633">
        <f t="shared" si="10"/>
        <v>26217</v>
      </c>
      <c r="E27" s="635">
        <f t="shared" ref="E27:E29" si="23">+E26</f>
        <v>0.93258331453680388</v>
      </c>
      <c r="F27" s="209">
        <f t="shared" ref="F27:F29" si="24">+F26</f>
        <v>1.5915874192365795</v>
      </c>
      <c r="G27" s="618">
        <f t="shared" si="17"/>
        <v>0</v>
      </c>
      <c r="H27" s="452">
        <f t="shared" si="14"/>
        <v>-10.446798289441276</v>
      </c>
      <c r="I27" s="72">
        <f t="shared" si="2"/>
        <v>0</v>
      </c>
      <c r="J27" s="630">
        <f t="shared" si="20"/>
        <v>0</v>
      </c>
      <c r="K27" s="52">
        <v>33489</v>
      </c>
      <c r="L27" s="190">
        <f t="shared" si="21"/>
        <v>0.93258331453680388</v>
      </c>
      <c r="M27" s="188">
        <f t="shared" si="5"/>
        <v>-2.4823097441394992</v>
      </c>
      <c r="N27" s="226">
        <v>33.722439692808301</v>
      </c>
      <c r="O27" s="226">
        <v>0</v>
      </c>
      <c r="P27" s="372">
        <v>92</v>
      </c>
      <c r="Q27" s="51">
        <f t="shared" si="18"/>
        <v>37419</v>
      </c>
      <c r="R27" s="55">
        <f t="shared" si="22"/>
        <v>1.5915874192365795</v>
      </c>
      <c r="S27" s="55">
        <f t="shared" si="12"/>
        <v>-4.9458539138061539</v>
      </c>
      <c r="T27" s="235">
        <v>59.317671312709216</v>
      </c>
      <c r="U27" s="235">
        <v>0</v>
      </c>
      <c r="V27" s="373">
        <v>40</v>
      </c>
      <c r="W27" s="165">
        <f t="shared" si="11"/>
        <v>33489</v>
      </c>
      <c r="X27" s="24">
        <f t="shared" si="7"/>
        <v>0</v>
      </c>
      <c r="Y27" s="25">
        <f t="shared" si="8"/>
        <v>0</v>
      </c>
      <c r="Z27" s="53">
        <f t="shared" si="9"/>
        <v>0</v>
      </c>
      <c r="AA27" s="118"/>
      <c r="AB27" s="910"/>
    </row>
    <row r="28" spans="1:53" ht="13.5" thickBot="1" x14ac:dyDescent="0.25">
      <c r="A28" s="701">
        <f t="shared" si="13"/>
        <v>2015</v>
      </c>
      <c r="B28" s="901">
        <v>0</v>
      </c>
      <c r="C28" s="400">
        <f>-(D27-D28)</f>
        <v>-12637</v>
      </c>
      <c r="D28" s="893">
        <v>13580</v>
      </c>
      <c r="E28" s="902">
        <f t="shared" si="23"/>
        <v>0.93258331453680388</v>
      </c>
      <c r="F28" s="903">
        <f t="shared" si="24"/>
        <v>1.5915874192365795</v>
      </c>
      <c r="G28" s="904">
        <f t="shared" si="17"/>
        <v>0</v>
      </c>
      <c r="H28" s="706">
        <f t="shared" si="14"/>
        <v>-11.785055345801592</v>
      </c>
      <c r="I28" s="707">
        <f t="shared" si="2"/>
        <v>0</v>
      </c>
      <c r="J28" s="824">
        <f t="shared" si="20"/>
        <v>0</v>
      </c>
      <c r="K28" s="942">
        <v>19421</v>
      </c>
      <c r="L28" s="905">
        <f t="shared" si="21"/>
        <v>0.93258331453680388</v>
      </c>
      <c r="M28" s="825">
        <f t="shared" si="5"/>
        <v>-13.7615579299564</v>
      </c>
      <c r="N28" s="941">
        <v>19.960881762851901</v>
      </c>
      <c r="O28" s="226">
        <v>0</v>
      </c>
      <c r="P28" s="372">
        <v>92</v>
      </c>
      <c r="Q28" s="51">
        <f t="shared" si="18"/>
        <v>26217</v>
      </c>
      <c r="R28" s="153">
        <f t="shared" si="22"/>
        <v>1.5915874192365795</v>
      </c>
      <c r="S28" s="153">
        <f t="shared" si="12"/>
        <v>-15.317671312709216</v>
      </c>
      <c r="T28" s="944">
        <v>44</v>
      </c>
      <c r="U28" s="907">
        <v>0</v>
      </c>
      <c r="V28" s="908">
        <v>36</v>
      </c>
      <c r="W28" s="909">
        <f t="shared" si="11"/>
        <v>19421</v>
      </c>
      <c r="X28" s="715">
        <f t="shared" si="7"/>
        <v>0</v>
      </c>
      <c r="Y28" s="716">
        <f t="shared" si="8"/>
        <v>0</v>
      </c>
      <c r="Z28" s="900">
        <f t="shared" si="9"/>
        <v>0</v>
      </c>
      <c r="AA28" s="358"/>
      <c r="AB28" s="359"/>
    </row>
    <row r="29" spans="1:53" x14ac:dyDescent="0.2">
      <c r="A29" s="33">
        <f t="shared" si="13"/>
        <v>2016</v>
      </c>
      <c r="B29" s="126">
        <v>0</v>
      </c>
      <c r="C29" s="259">
        <f>-D28</f>
        <v>-13580</v>
      </c>
      <c r="D29" s="565">
        <f>D28+C29</f>
        <v>0</v>
      </c>
      <c r="E29" s="799">
        <f t="shared" si="23"/>
        <v>0.93258331453680388</v>
      </c>
      <c r="F29" s="800">
        <f t="shared" si="24"/>
        <v>1.5915874192365795</v>
      </c>
      <c r="G29" s="801">
        <f t="shared" si="17"/>
        <v>0</v>
      </c>
      <c r="H29" s="452">
        <f t="shared" si="14"/>
        <v>-12.664481411409797</v>
      </c>
      <c r="I29" s="72">
        <f t="shared" si="2"/>
        <v>0</v>
      </c>
      <c r="J29" s="72">
        <f t="shared" si="20"/>
        <v>0</v>
      </c>
      <c r="K29" s="138">
        <f>+D28:D29+(((D29-D29)/12)*7)</f>
        <v>0</v>
      </c>
      <c r="L29" s="139">
        <f t="shared" si="21"/>
        <v>0.93258331453680388</v>
      </c>
      <c r="M29" s="188">
        <f t="shared" si="5"/>
        <v>-19.960881762851901</v>
      </c>
      <c r="N29" s="185">
        <f t="shared" ref="N29:N40" si="25">+K29*L29/1000</f>
        <v>0</v>
      </c>
      <c r="O29" s="297"/>
      <c r="P29" s="298"/>
      <c r="Q29" s="141">
        <f>+D28+(((D29-D28)/12)*1)</f>
        <v>12448.333333333334</v>
      </c>
      <c r="R29" s="142">
        <f t="shared" si="22"/>
        <v>1.5915874192365795</v>
      </c>
      <c r="S29" s="189">
        <f t="shared" si="12"/>
        <v>-24.187389276203309</v>
      </c>
      <c r="T29" s="186">
        <f t="shared" ref="T29:T37" si="26">+Q29*R29/1000</f>
        <v>19.812610723796691</v>
      </c>
      <c r="U29" s="297"/>
      <c r="V29" s="298"/>
      <c r="W29" s="166">
        <f t="shared" si="11"/>
        <v>0</v>
      </c>
      <c r="X29" s="24">
        <f t="shared" si="7"/>
        <v>0</v>
      </c>
      <c r="Y29" s="25">
        <f t="shared" si="8"/>
        <v>0</v>
      </c>
      <c r="Z29" s="53">
        <f t="shared" si="9"/>
        <v>0</v>
      </c>
      <c r="AA29" s="274"/>
      <c r="AB29" s="274"/>
    </row>
    <row r="30" spans="1:53" x14ac:dyDescent="0.2">
      <c r="A30" s="33">
        <f t="shared" si="13"/>
        <v>2017</v>
      </c>
      <c r="B30" s="126">
        <v>0</v>
      </c>
      <c r="C30" s="252"/>
      <c r="D30" s="565">
        <f t="shared" si="10"/>
        <v>0</v>
      </c>
      <c r="E30" s="799"/>
      <c r="F30" s="800"/>
      <c r="G30" s="801"/>
      <c r="H30" s="452">
        <f t="shared" si="14"/>
        <v>0</v>
      </c>
      <c r="I30" s="72">
        <f t="shared" si="2"/>
        <v>0</v>
      </c>
      <c r="J30" s="72">
        <f t="shared" si="20"/>
        <v>0</v>
      </c>
      <c r="K30" s="138">
        <f t="shared" ref="K30:K39" si="27">+D29+(((D30-D29)/12)*7)</f>
        <v>0</v>
      </c>
      <c r="L30" s="139">
        <f t="shared" si="21"/>
        <v>0</v>
      </c>
      <c r="M30" s="188">
        <f t="shared" si="5"/>
        <v>0</v>
      </c>
      <c r="N30" s="185">
        <f t="shared" si="25"/>
        <v>0</v>
      </c>
      <c r="O30" s="297"/>
      <c r="P30" s="298"/>
      <c r="Q30" s="141">
        <f t="shared" ref="Q30:Q39" si="28">+D29+(((D30-D29)/12)*1)</f>
        <v>0</v>
      </c>
      <c r="R30" s="142">
        <f t="shared" si="22"/>
        <v>0</v>
      </c>
      <c r="S30" s="189">
        <f t="shared" si="12"/>
        <v>-19.812610723796691</v>
      </c>
      <c r="T30" s="186">
        <f t="shared" si="26"/>
        <v>0</v>
      </c>
      <c r="U30" s="297"/>
      <c r="V30" s="298"/>
      <c r="W30" s="166">
        <f t="shared" si="11"/>
        <v>0</v>
      </c>
      <c r="X30" s="24">
        <f t="shared" si="7"/>
        <v>0</v>
      </c>
      <c r="Y30" s="25">
        <f t="shared" si="8"/>
        <v>0</v>
      </c>
      <c r="Z30" s="53">
        <f t="shared" si="9"/>
        <v>0</v>
      </c>
      <c r="AB30" s="2"/>
    </row>
    <row r="31" spans="1:53" x14ac:dyDescent="0.2">
      <c r="A31" s="33">
        <f t="shared" si="13"/>
        <v>2018</v>
      </c>
      <c r="B31" s="126">
        <v>0</v>
      </c>
      <c r="C31" s="252"/>
      <c r="D31" s="565">
        <f t="shared" si="10"/>
        <v>0</v>
      </c>
      <c r="E31" s="799"/>
      <c r="F31" s="800"/>
      <c r="G31" s="801"/>
      <c r="H31" s="452">
        <f t="shared" si="14"/>
        <v>0</v>
      </c>
      <c r="I31" s="72">
        <f t="shared" si="2"/>
        <v>0</v>
      </c>
      <c r="J31" s="72">
        <f t="shared" si="20"/>
        <v>0</v>
      </c>
      <c r="K31" s="138">
        <f t="shared" si="27"/>
        <v>0</v>
      </c>
      <c r="L31" s="139">
        <f t="shared" si="21"/>
        <v>0</v>
      </c>
      <c r="M31" s="188">
        <f t="shared" si="5"/>
        <v>0</v>
      </c>
      <c r="N31" s="185">
        <f t="shared" si="25"/>
        <v>0</v>
      </c>
      <c r="O31" s="297"/>
      <c r="P31" s="298"/>
      <c r="Q31" s="141">
        <f t="shared" si="28"/>
        <v>0</v>
      </c>
      <c r="R31" s="142">
        <f t="shared" si="22"/>
        <v>0</v>
      </c>
      <c r="S31" s="189">
        <f t="shared" si="12"/>
        <v>0</v>
      </c>
      <c r="T31" s="186">
        <f t="shared" si="26"/>
        <v>0</v>
      </c>
      <c r="U31" s="297"/>
      <c r="V31" s="298"/>
      <c r="W31" s="166">
        <f t="shared" si="11"/>
        <v>0</v>
      </c>
      <c r="X31" s="24">
        <f t="shared" si="7"/>
        <v>0</v>
      </c>
      <c r="Y31" s="25">
        <f t="shared" si="8"/>
        <v>0</v>
      </c>
      <c r="Z31" s="53">
        <f t="shared" si="9"/>
        <v>0</v>
      </c>
      <c r="AB31" s="2"/>
    </row>
    <row r="32" spans="1:53" x14ac:dyDescent="0.2">
      <c r="A32" s="33">
        <f t="shared" si="13"/>
        <v>2019</v>
      </c>
      <c r="B32" s="126">
        <v>0</v>
      </c>
      <c r="C32" s="259"/>
      <c r="D32" s="565">
        <f t="shared" si="10"/>
        <v>0</v>
      </c>
      <c r="E32" s="799"/>
      <c r="F32" s="800"/>
      <c r="G32" s="801"/>
      <c r="H32" s="452">
        <f t="shared" si="14"/>
        <v>0</v>
      </c>
      <c r="I32" s="72">
        <f t="shared" si="2"/>
        <v>0</v>
      </c>
      <c r="J32" s="72">
        <f t="shared" si="20"/>
        <v>0</v>
      </c>
      <c r="K32" s="138">
        <f t="shared" si="27"/>
        <v>0</v>
      </c>
      <c r="L32" s="139">
        <f t="shared" si="21"/>
        <v>0</v>
      </c>
      <c r="M32" s="188">
        <f t="shared" si="5"/>
        <v>0</v>
      </c>
      <c r="N32" s="185">
        <f t="shared" si="25"/>
        <v>0</v>
      </c>
      <c r="O32" s="297"/>
      <c r="P32" s="298"/>
      <c r="Q32" s="141">
        <f t="shared" si="28"/>
        <v>0</v>
      </c>
      <c r="R32" s="142">
        <f t="shared" si="22"/>
        <v>0</v>
      </c>
      <c r="S32" s="189">
        <f t="shared" si="12"/>
        <v>0</v>
      </c>
      <c r="T32" s="186">
        <f t="shared" si="26"/>
        <v>0</v>
      </c>
      <c r="U32" s="297"/>
      <c r="V32" s="298"/>
      <c r="W32" s="166">
        <f t="shared" si="11"/>
        <v>0</v>
      </c>
      <c r="X32" s="24">
        <f t="shared" si="7"/>
        <v>0</v>
      </c>
      <c r="Y32" s="25">
        <f t="shared" si="8"/>
        <v>0</v>
      </c>
      <c r="Z32" s="53">
        <f t="shared" si="9"/>
        <v>0</v>
      </c>
      <c r="AB32" s="2"/>
    </row>
    <row r="33" spans="1:27" x14ac:dyDescent="0.2">
      <c r="A33" s="33">
        <f t="shared" si="13"/>
        <v>2020</v>
      </c>
      <c r="B33" s="126">
        <v>0</v>
      </c>
      <c r="C33" s="259"/>
      <c r="D33" s="565">
        <f t="shared" si="10"/>
        <v>0</v>
      </c>
      <c r="E33" s="799"/>
      <c r="F33" s="800"/>
      <c r="G33" s="801"/>
      <c r="H33" s="452">
        <f t="shared" si="14"/>
        <v>0</v>
      </c>
      <c r="I33" s="72">
        <f t="shared" si="2"/>
        <v>0</v>
      </c>
      <c r="J33" s="72">
        <f t="shared" si="20"/>
        <v>0</v>
      </c>
      <c r="K33" s="138">
        <f t="shared" si="27"/>
        <v>0</v>
      </c>
      <c r="L33" s="139">
        <f t="shared" si="21"/>
        <v>0</v>
      </c>
      <c r="M33" s="188">
        <f t="shared" si="5"/>
        <v>0</v>
      </c>
      <c r="N33" s="185">
        <f t="shared" si="25"/>
        <v>0</v>
      </c>
      <c r="O33" s="297"/>
      <c r="P33" s="298"/>
      <c r="Q33" s="141">
        <f t="shared" si="28"/>
        <v>0</v>
      </c>
      <c r="R33" s="142">
        <f t="shared" si="22"/>
        <v>0</v>
      </c>
      <c r="S33" s="189">
        <f t="shared" si="12"/>
        <v>0</v>
      </c>
      <c r="T33" s="186">
        <f t="shared" si="26"/>
        <v>0</v>
      </c>
      <c r="U33" s="297"/>
      <c r="V33" s="298"/>
      <c r="W33" s="166">
        <f t="shared" si="11"/>
        <v>0</v>
      </c>
      <c r="X33" s="24">
        <f t="shared" si="7"/>
        <v>0</v>
      </c>
      <c r="Y33" s="25">
        <f t="shared" si="8"/>
        <v>0</v>
      </c>
      <c r="Z33" s="53">
        <f t="shared" si="9"/>
        <v>0</v>
      </c>
      <c r="AA33" s="2"/>
    </row>
    <row r="34" spans="1:27" x14ac:dyDescent="0.2">
      <c r="A34" s="33">
        <f t="shared" si="13"/>
        <v>2021</v>
      </c>
      <c r="B34" s="126">
        <v>0</v>
      </c>
      <c r="C34" s="259"/>
      <c r="D34" s="565">
        <f t="shared" si="10"/>
        <v>0</v>
      </c>
      <c r="E34" s="799"/>
      <c r="F34" s="800"/>
      <c r="G34" s="801"/>
      <c r="H34" s="452">
        <f t="shared" si="14"/>
        <v>0</v>
      </c>
      <c r="I34" s="72">
        <f t="shared" si="2"/>
        <v>0</v>
      </c>
      <c r="J34" s="72">
        <f t="shared" si="20"/>
        <v>0</v>
      </c>
      <c r="K34" s="138">
        <f t="shared" si="27"/>
        <v>0</v>
      </c>
      <c r="L34" s="139">
        <f t="shared" si="21"/>
        <v>0</v>
      </c>
      <c r="M34" s="188">
        <f t="shared" si="5"/>
        <v>0</v>
      </c>
      <c r="N34" s="185">
        <f t="shared" si="25"/>
        <v>0</v>
      </c>
      <c r="O34" s="297"/>
      <c r="P34" s="298"/>
      <c r="Q34" s="141">
        <f t="shared" si="28"/>
        <v>0</v>
      </c>
      <c r="R34" s="142">
        <f t="shared" si="22"/>
        <v>0</v>
      </c>
      <c r="S34" s="189">
        <f t="shared" si="12"/>
        <v>0</v>
      </c>
      <c r="T34" s="186">
        <f t="shared" si="26"/>
        <v>0</v>
      </c>
      <c r="U34" s="297"/>
      <c r="V34" s="298"/>
      <c r="W34" s="166">
        <f t="shared" si="11"/>
        <v>0</v>
      </c>
      <c r="X34" s="24">
        <f t="shared" si="7"/>
        <v>0</v>
      </c>
      <c r="Y34" s="25">
        <f t="shared" si="8"/>
        <v>0</v>
      </c>
      <c r="Z34" s="53">
        <f t="shared" si="9"/>
        <v>0</v>
      </c>
      <c r="AA34" s="2"/>
    </row>
    <row r="35" spans="1:27" x14ac:dyDescent="0.2">
      <c r="A35" s="33">
        <f t="shared" si="13"/>
        <v>2022</v>
      </c>
      <c r="B35" s="126">
        <v>0</v>
      </c>
      <c r="C35" s="259"/>
      <c r="D35" s="565">
        <f t="shared" si="10"/>
        <v>0</v>
      </c>
      <c r="E35" s="799"/>
      <c r="F35" s="800"/>
      <c r="G35" s="801"/>
      <c r="H35" s="452">
        <f t="shared" si="14"/>
        <v>0</v>
      </c>
      <c r="I35" s="72">
        <f t="shared" si="2"/>
        <v>0</v>
      </c>
      <c r="J35" s="72">
        <f t="shared" si="20"/>
        <v>0</v>
      </c>
      <c r="K35" s="138">
        <f t="shared" si="27"/>
        <v>0</v>
      </c>
      <c r="L35" s="139">
        <f t="shared" si="21"/>
        <v>0</v>
      </c>
      <c r="M35" s="188">
        <f t="shared" si="5"/>
        <v>0</v>
      </c>
      <c r="N35" s="185">
        <f t="shared" si="25"/>
        <v>0</v>
      </c>
      <c r="O35" s="297"/>
      <c r="P35" s="298"/>
      <c r="Q35" s="141">
        <f t="shared" si="28"/>
        <v>0</v>
      </c>
      <c r="R35" s="142">
        <f t="shared" si="22"/>
        <v>0</v>
      </c>
      <c r="S35" s="189">
        <f t="shared" si="12"/>
        <v>0</v>
      </c>
      <c r="T35" s="186">
        <f t="shared" si="26"/>
        <v>0</v>
      </c>
      <c r="U35" s="297"/>
      <c r="V35" s="298"/>
      <c r="W35" s="166">
        <f t="shared" si="11"/>
        <v>0</v>
      </c>
      <c r="X35" s="24">
        <f t="shared" si="7"/>
        <v>0</v>
      </c>
      <c r="Y35" s="25">
        <f t="shared" si="8"/>
        <v>0</v>
      </c>
      <c r="Z35" s="53">
        <f t="shared" si="9"/>
        <v>0</v>
      </c>
      <c r="AA35" s="2"/>
    </row>
    <row r="36" spans="1:27" x14ac:dyDescent="0.2">
      <c r="A36" s="33">
        <f t="shared" si="13"/>
        <v>2023</v>
      </c>
      <c r="B36" s="126">
        <v>0</v>
      </c>
      <c r="C36" s="259"/>
      <c r="D36" s="565">
        <f t="shared" si="10"/>
        <v>0</v>
      </c>
      <c r="E36" s="799"/>
      <c r="F36" s="800"/>
      <c r="G36" s="801"/>
      <c r="H36" s="452">
        <f t="shared" si="14"/>
        <v>0</v>
      </c>
      <c r="I36" s="72">
        <f t="shared" si="2"/>
        <v>0</v>
      </c>
      <c r="J36" s="72">
        <f t="shared" si="20"/>
        <v>0</v>
      </c>
      <c r="K36" s="138">
        <f t="shared" si="27"/>
        <v>0</v>
      </c>
      <c r="L36" s="139">
        <f t="shared" si="21"/>
        <v>0</v>
      </c>
      <c r="M36" s="188">
        <f t="shared" si="5"/>
        <v>0</v>
      </c>
      <c r="N36" s="185">
        <f t="shared" si="25"/>
        <v>0</v>
      </c>
      <c r="O36" s="297"/>
      <c r="P36" s="298"/>
      <c r="Q36" s="141">
        <f t="shared" si="28"/>
        <v>0</v>
      </c>
      <c r="R36" s="142">
        <f t="shared" si="22"/>
        <v>0</v>
      </c>
      <c r="S36" s="189">
        <f t="shared" si="12"/>
        <v>0</v>
      </c>
      <c r="T36" s="186">
        <f t="shared" si="26"/>
        <v>0</v>
      </c>
      <c r="U36" s="297"/>
      <c r="V36" s="298"/>
      <c r="W36" s="166">
        <f t="shared" si="11"/>
        <v>0</v>
      </c>
      <c r="X36" s="24">
        <f t="shared" si="7"/>
        <v>0</v>
      </c>
      <c r="Y36" s="25">
        <f t="shared" si="8"/>
        <v>0</v>
      </c>
      <c r="Z36" s="53">
        <f t="shared" si="9"/>
        <v>0</v>
      </c>
      <c r="AA36" s="2"/>
    </row>
    <row r="37" spans="1:27" x14ac:dyDescent="0.2">
      <c r="A37" s="11">
        <f t="shared" si="13"/>
        <v>2024</v>
      </c>
      <c r="B37" s="126">
        <v>0</v>
      </c>
      <c r="C37" s="259"/>
      <c r="D37" s="565">
        <f t="shared" si="10"/>
        <v>0</v>
      </c>
      <c r="E37" s="799"/>
      <c r="F37" s="800"/>
      <c r="G37" s="801"/>
      <c r="H37" s="452">
        <f t="shared" si="14"/>
        <v>0</v>
      </c>
      <c r="I37" s="72">
        <f t="shared" si="2"/>
        <v>0</v>
      </c>
      <c r="J37" s="72">
        <f t="shared" si="20"/>
        <v>0</v>
      </c>
      <c r="K37" s="138">
        <f t="shared" si="27"/>
        <v>0</v>
      </c>
      <c r="L37" s="139">
        <f t="shared" si="21"/>
        <v>0</v>
      </c>
      <c r="M37" s="188">
        <f t="shared" si="5"/>
        <v>0</v>
      </c>
      <c r="N37" s="185">
        <f t="shared" si="25"/>
        <v>0</v>
      </c>
      <c r="O37" s="297"/>
      <c r="P37" s="298"/>
      <c r="Q37" s="141">
        <f t="shared" si="28"/>
        <v>0</v>
      </c>
      <c r="R37" s="142">
        <f t="shared" si="22"/>
        <v>0</v>
      </c>
      <c r="S37" s="189">
        <f t="shared" si="12"/>
        <v>0</v>
      </c>
      <c r="T37" s="186">
        <f t="shared" si="26"/>
        <v>0</v>
      </c>
      <c r="U37" s="297"/>
      <c r="V37" s="298"/>
      <c r="W37" s="166">
        <f t="shared" si="11"/>
        <v>0</v>
      </c>
      <c r="X37" s="24">
        <f t="shared" si="7"/>
        <v>0</v>
      </c>
      <c r="Y37" s="25">
        <f t="shared" si="8"/>
        <v>0</v>
      </c>
      <c r="Z37" s="53">
        <f t="shared" si="9"/>
        <v>0</v>
      </c>
      <c r="AA37" s="2"/>
    </row>
    <row r="38" spans="1:27" x14ac:dyDescent="0.2">
      <c r="A38" s="11">
        <f t="shared" si="13"/>
        <v>2025</v>
      </c>
      <c r="B38" s="126">
        <v>0</v>
      </c>
      <c r="C38" s="259"/>
      <c r="D38" s="565">
        <f t="shared" si="10"/>
        <v>0</v>
      </c>
      <c r="E38" s="799"/>
      <c r="F38" s="800"/>
      <c r="G38" s="801"/>
      <c r="H38" s="452">
        <f t="shared" si="14"/>
        <v>0</v>
      </c>
      <c r="I38" s="72">
        <f t="shared" si="2"/>
        <v>0</v>
      </c>
      <c r="J38" s="72">
        <f t="shared" si="20"/>
        <v>0</v>
      </c>
      <c r="K38" s="138">
        <f t="shared" si="27"/>
        <v>0</v>
      </c>
      <c r="L38" s="139">
        <f t="shared" ref="L38:L42" si="29">+E38</f>
        <v>0</v>
      </c>
      <c r="M38" s="188">
        <f t="shared" ref="M38:M42" si="30">+N38-N37</f>
        <v>0</v>
      </c>
      <c r="N38" s="185">
        <f t="shared" si="25"/>
        <v>0</v>
      </c>
      <c r="O38" s="297"/>
      <c r="P38" s="298"/>
      <c r="Q38" s="141">
        <f t="shared" si="28"/>
        <v>0</v>
      </c>
      <c r="R38" s="142">
        <f t="shared" ref="R38:R42" si="31">+F38</f>
        <v>0</v>
      </c>
      <c r="S38" s="189">
        <f t="shared" ref="S38:S42" si="32">+T38-T37</f>
        <v>0</v>
      </c>
      <c r="T38" s="186">
        <f t="shared" ref="T38:T42" si="33">+Q38*R38/1000</f>
        <v>0</v>
      </c>
      <c r="U38" s="297"/>
      <c r="V38" s="298"/>
      <c r="W38" s="166">
        <f t="shared" ref="W38:W42" si="34">K38</f>
        <v>0</v>
      </c>
      <c r="X38" s="24">
        <f t="shared" ref="X38:X42" si="35">+G38</f>
        <v>0</v>
      </c>
      <c r="Y38" s="25">
        <f t="shared" ref="Y38:Y42" si="36">+Z38-Z37</f>
        <v>0</v>
      </c>
      <c r="Z38" s="53">
        <f t="shared" ref="Z38:Z42" si="37">+W38*X38/1000000</f>
        <v>0</v>
      </c>
      <c r="AA38" s="2"/>
    </row>
    <row r="39" spans="1:27" x14ac:dyDescent="0.2">
      <c r="A39" s="11">
        <f>+A38+1</f>
        <v>2026</v>
      </c>
      <c r="B39" s="126">
        <v>0</v>
      </c>
      <c r="C39" s="259"/>
      <c r="D39" s="565">
        <f t="shared" si="10"/>
        <v>0</v>
      </c>
      <c r="E39" s="799"/>
      <c r="F39" s="800"/>
      <c r="G39" s="801"/>
      <c r="H39" s="452">
        <f t="shared" si="14"/>
        <v>0</v>
      </c>
      <c r="I39" s="72">
        <f t="shared" si="2"/>
        <v>0</v>
      </c>
      <c r="J39" s="72">
        <f t="shared" si="20"/>
        <v>0</v>
      </c>
      <c r="K39" s="138">
        <f t="shared" si="27"/>
        <v>0</v>
      </c>
      <c r="L39" s="139">
        <f t="shared" si="29"/>
        <v>0</v>
      </c>
      <c r="M39" s="188">
        <f t="shared" si="30"/>
        <v>0</v>
      </c>
      <c r="N39" s="185">
        <f t="shared" si="25"/>
        <v>0</v>
      </c>
      <c r="O39" s="297"/>
      <c r="P39" s="298"/>
      <c r="Q39" s="141">
        <f t="shared" si="28"/>
        <v>0</v>
      </c>
      <c r="R39" s="142">
        <f t="shared" si="31"/>
        <v>0</v>
      </c>
      <c r="S39" s="189">
        <f t="shared" si="32"/>
        <v>0</v>
      </c>
      <c r="T39" s="186">
        <f t="shared" si="33"/>
        <v>0</v>
      </c>
      <c r="U39" s="297"/>
      <c r="V39" s="298"/>
      <c r="W39" s="166">
        <f t="shared" si="34"/>
        <v>0</v>
      </c>
      <c r="X39" s="24">
        <f t="shared" si="35"/>
        <v>0</v>
      </c>
      <c r="Y39" s="25">
        <f t="shared" si="36"/>
        <v>0</v>
      </c>
      <c r="Z39" s="53">
        <f t="shared" si="37"/>
        <v>0</v>
      </c>
      <c r="AA39" s="2"/>
    </row>
    <row r="40" spans="1:27" x14ac:dyDescent="0.2">
      <c r="A40" s="11">
        <f>+A39+1</f>
        <v>2027</v>
      </c>
      <c r="B40" s="126">
        <v>0</v>
      </c>
      <c r="C40" s="259"/>
      <c r="D40" s="565">
        <f t="shared" si="10"/>
        <v>0</v>
      </c>
      <c r="E40" s="799"/>
      <c r="F40" s="800"/>
      <c r="G40" s="801"/>
      <c r="H40" s="452">
        <f t="shared" si="14"/>
        <v>0</v>
      </c>
      <c r="I40" s="72">
        <f t="shared" si="2"/>
        <v>0</v>
      </c>
      <c r="J40" s="72">
        <f t="shared" si="20"/>
        <v>0</v>
      </c>
      <c r="K40" s="138">
        <f>+D39+(((D40-D39)/12)*7)</f>
        <v>0</v>
      </c>
      <c r="L40" s="139">
        <f t="shared" si="29"/>
        <v>0</v>
      </c>
      <c r="M40" s="188">
        <f t="shared" si="30"/>
        <v>0</v>
      </c>
      <c r="N40" s="185">
        <f t="shared" si="25"/>
        <v>0</v>
      </c>
      <c r="O40" s="297"/>
      <c r="P40" s="298"/>
      <c r="Q40" s="141">
        <f>+D39+(((D40-D39)/12)*1)</f>
        <v>0</v>
      </c>
      <c r="R40" s="142">
        <f t="shared" si="31"/>
        <v>0</v>
      </c>
      <c r="S40" s="189">
        <f t="shared" si="32"/>
        <v>0</v>
      </c>
      <c r="T40" s="186">
        <f t="shared" si="33"/>
        <v>0</v>
      </c>
      <c r="U40" s="297"/>
      <c r="V40" s="298"/>
      <c r="W40" s="166">
        <f t="shared" si="34"/>
        <v>0</v>
      </c>
      <c r="X40" s="24">
        <f t="shared" si="35"/>
        <v>0</v>
      </c>
      <c r="Y40" s="25">
        <f t="shared" si="36"/>
        <v>0</v>
      </c>
      <c r="Z40" s="53">
        <f t="shared" si="37"/>
        <v>0</v>
      </c>
      <c r="AA40" s="2"/>
    </row>
    <row r="41" spans="1:27" x14ac:dyDescent="0.2">
      <c r="A41" s="11">
        <f t="shared" ref="A41:A54" si="38">+A40+1</f>
        <v>2028</v>
      </c>
      <c r="B41" s="126">
        <v>0</v>
      </c>
      <c r="C41" s="259"/>
      <c r="D41" s="565">
        <f t="shared" si="10"/>
        <v>0</v>
      </c>
      <c r="E41" s="799"/>
      <c r="F41" s="800"/>
      <c r="G41" s="801"/>
      <c r="H41" s="452">
        <f t="shared" si="14"/>
        <v>0</v>
      </c>
      <c r="I41" s="72">
        <f t="shared" si="2"/>
        <v>0</v>
      </c>
      <c r="J41" s="72">
        <f t="shared" si="20"/>
        <v>0</v>
      </c>
      <c r="K41" s="138">
        <f>+D40+(((D41-D40)/12)*7)</f>
        <v>0</v>
      </c>
      <c r="L41" s="139">
        <f t="shared" si="29"/>
        <v>0</v>
      </c>
      <c r="M41" s="188">
        <f t="shared" si="30"/>
        <v>0</v>
      </c>
      <c r="N41" s="185">
        <f>+K41*L41/1000</f>
        <v>0</v>
      </c>
      <c r="O41" s="297"/>
      <c r="P41" s="298"/>
      <c r="Q41" s="141">
        <f>+D40+(((D41-D40)/12)*1)</f>
        <v>0</v>
      </c>
      <c r="R41" s="142">
        <f t="shared" si="31"/>
        <v>0</v>
      </c>
      <c r="S41" s="189">
        <f t="shared" si="32"/>
        <v>0</v>
      </c>
      <c r="T41" s="186">
        <f t="shared" si="33"/>
        <v>0</v>
      </c>
      <c r="U41" s="297"/>
      <c r="V41" s="298"/>
      <c r="W41" s="166">
        <f t="shared" si="34"/>
        <v>0</v>
      </c>
      <c r="X41" s="24">
        <f t="shared" si="35"/>
        <v>0</v>
      </c>
      <c r="Y41" s="25">
        <f t="shared" si="36"/>
        <v>0</v>
      </c>
      <c r="Z41" s="53">
        <f t="shared" si="37"/>
        <v>0</v>
      </c>
      <c r="AA41" s="2"/>
    </row>
    <row r="42" spans="1:27" x14ac:dyDescent="0.2">
      <c r="A42" s="11">
        <f t="shared" si="38"/>
        <v>2029</v>
      </c>
      <c r="B42" s="126">
        <v>0</v>
      </c>
      <c r="C42" s="259"/>
      <c r="D42" s="565">
        <f t="shared" si="10"/>
        <v>0</v>
      </c>
      <c r="E42" s="799"/>
      <c r="F42" s="800"/>
      <c r="G42" s="801"/>
      <c r="H42" s="452">
        <f t="shared" si="14"/>
        <v>0</v>
      </c>
      <c r="I42" s="72">
        <f t="shared" si="2"/>
        <v>0</v>
      </c>
      <c r="J42" s="72">
        <f t="shared" si="20"/>
        <v>0</v>
      </c>
      <c r="K42" s="138">
        <f>+D41+(((D42-D41)/12)*7)</f>
        <v>0</v>
      </c>
      <c r="L42" s="139">
        <f t="shared" si="29"/>
        <v>0</v>
      </c>
      <c r="M42" s="188">
        <f t="shared" si="30"/>
        <v>0</v>
      </c>
      <c r="N42" s="185">
        <f>+K42*L42/1000</f>
        <v>0</v>
      </c>
      <c r="O42" s="297"/>
      <c r="P42" s="298"/>
      <c r="Q42" s="141">
        <f>+D41+(((D42-D41)/12)*1)</f>
        <v>0</v>
      </c>
      <c r="R42" s="142">
        <f t="shared" si="31"/>
        <v>0</v>
      </c>
      <c r="S42" s="189">
        <f t="shared" si="32"/>
        <v>0</v>
      </c>
      <c r="T42" s="186">
        <f t="shared" si="33"/>
        <v>0</v>
      </c>
      <c r="U42" s="297"/>
      <c r="V42" s="298"/>
      <c r="W42" s="166">
        <f t="shared" si="34"/>
        <v>0</v>
      </c>
      <c r="X42" s="24">
        <f t="shared" si="35"/>
        <v>0</v>
      </c>
      <c r="Y42" s="25">
        <f t="shared" si="36"/>
        <v>0</v>
      </c>
      <c r="Z42" s="53">
        <f t="shared" si="37"/>
        <v>0</v>
      </c>
      <c r="AA42" s="2"/>
    </row>
    <row r="43" spans="1:27" x14ac:dyDescent="0.2">
      <c r="A43" s="11">
        <f t="shared" si="38"/>
        <v>2030</v>
      </c>
      <c r="B43" s="126">
        <v>0</v>
      </c>
      <c r="C43" s="259"/>
      <c r="D43" s="565">
        <f t="shared" si="10"/>
        <v>0</v>
      </c>
      <c r="E43" s="799"/>
      <c r="F43" s="800"/>
      <c r="G43" s="801"/>
      <c r="H43" s="452">
        <f t="shared" ref="H43:H47" si="39">+$C43*E43/1000</f>
        <v>0</v>
      </c>
      <c r="I43" s="72">
        <f t="shared" si="2"/>
        <v>0</v>
      </c>
      <c r="J43" s="72">
        <f t="shared" ref="J43:J47" si="40">+$B43*G43/1000000</f>
        <v>0</v>
      </c>
      <c r="K43" s="138">
        <f t="shared" ref="K43:K47" si="41">+D42+(((D43-D42)/12)*7)</f>
        <v>0</v>
      </c>
      <c r="L43" s="139">
        <f t="shared" ref="L43:L47" si="42">+E43</f>
        <v>0</v>
      </c>
      <c r="M43" s="188">
        <f t="shared" ref="M43:M47" si="43">+N43-N42</f>
        <v>0</v>
      </c>
      <c r="N43" s="185">
        <f t="shared" ref="N43:N47" si="44">+K43*L43/1000</f>
        <v>0</v>
      </c>
      <c r="O43" s="297"/>
      <c r="P43" s="298"/>
      <c r="Q43" s="141">
        <f t="shared" ref="Q43:Q47" si="45">+D42+(((D43-D42)/12)*1)</f>
        <v>0</v>
      </c>
      <c r="R43" s="142">
        <f t="shared" ref="R43:R47" si="46">+F43</f>
        <v>0</v>
      </c>
      <c r="S43" s="189">
        <f t="shared" ref="S43:S47" si="47">+T43-T42</f>
        <v>0</v>
      </c>
      <c r="T43" s="186">
        <f t="shared" ref="T43:T47" si="48">+Q43*R43/1000</f>
        <v>0</v>
      </c>
      <c r="U43" s="297"/>
      <c r="V43" s="298"/>
      <c r="W43" s="166">
        <f t="shared" ref="W43:W47" si="49">K43</f>
        <v>0</v>
      </c>
      <c r="X43" s="24">
        <f t="shared" ref="X43:X47" si="50">+G43</f>
        <v>0</v>
      </c>
      <c r="Y43" s="25">
        <f t="shared" ref="Y43:Y47" si="51">+Z43-Z42</f>
        <v>0</v>
      </c>
      <c r="Z43" s="53">
        <f t="shared" ref="Z43:Z47" si="52">+W43*X43/1000000</f>
        <v>0</v>
      </c>
      <c r="AA43" s="2"/>
    </row>
    <row r="44" spans="1:27" x14ac:dyDescent="0.2">
      <c r="A44" s="11">
        <f t="shared" si="38"/>
        <v>2031</v>
      </c>
      <c r="B44" s="126">
        <v>0</v>
      </c>
      <c r="C44" s="259"/>
      <c r="D44" s="565">
        <f t="shared" si="10"/>
        <v>0</v>
      </c>
      <c r="E44" s="799"/>
      <c r="F44" s="800"/>
      <c r="G44" s="801"/>
      <c r="H44" s="452">
        <f t="shared" si="39"/>
        <v>0</v>
      </c>
      <c r="I44" s="72">
        <f t="shared" si="2"/>
        <v>0</v>
      </c>
      <c r="J44" s="72">
        <f t="shared" si="40"/>
        <v>0</v>
      </c>
      <c r="K44" s="138">
        <f t="shared" si="41"/>
        <v>0</v>
      </c>
      <c r="L44" s="139">
        <f t="shared" si="42"/>
        <v>0</v>
      </c>
      <c r="M44" s="188">
        <f t="shared" si="43"/>
        <v>0</v>
      </c>
      <c r="N44" s="185">
        <f t="shared" si="44"/>
        <v>0</v>
      </c>
      <c r="O44" s="297"/>
      <c r="P44" s="298"/>
      <c r="Q44" s="141">
        <f t="shared" si="45"/>
        <v>0</v>
      </c>
      <c r="R44" s="142">
        <f t="shared" si="46"/>
        <v>0</v>
      </c>
      <c r="S44" s="189">
        <f t="shared" si="47"/>
        <v>0</v>
      </c>
      <c r="T44" s="186">
        <f t="shared" si="48"/>
        <v>0</v>
      </c>
      <c r="U44" s="297"/>
      <c r="V44" s="298"/>
      <c r="W44" s="166">
        <f t="shared" si="49"/>
        <v>0</v>
      </c>
      <c r="X44" s="24">
        <f t="shared" si="50"/>
        <v>0</v>
      </c>
      <c r="Y44" s="25">
        <f t="shared" si="51"/>
        <v>0</v>
      </c>
      <c r="Z44" s="53">
        <f t="shared" si="52"/>
        <v>0</v>
      </c>
      <c r="AA44" s="2"/>
    </row>
    <row r="45" spans="1:27" x14ac:dyDescent="0.2">
      <c r="A45" s="11">
        <f t="shared" si="38"/>
        <v>2032</v>
      </c>
      <c r="B45" s="126">
        <v>0</v>
      </c>
      <c r="C45" s="259"/>
      <c r="D45" s="565">
        <f t="shared" si="10"/>
        <v>0</v>
      </c>
      <c r="E45" s="799"/>
      <c r="F45" s="800"/>
      <c r="G45" s="801"/>
      <c r="H45" s="452">
        <f t="shared" si="39"/>
        <v>0</v>
      </c>
      <c r="I45" s="72">
        <f t="shared" si="2"/>
        <v>0</v>
      </c>
      <c r="J45" s="72">
        <f t="shared" si="40"/>
        <v>0</v>
      </c>
      <c r="K45" s="138">
        <f t="shared" si="41"/>
        <v>0</v>
      </c>
      <c r="L45" s="139">
        <f t="shared" si="42"/>
        <v>0</v>
      </c>
      <c r="M45" s="188">
        <f t="shared" si="43"/>
        <v>0</v>
      </c>
      <c r="N45" s="185">
        <f t="shared" si="44"/>
        <v>0</v>
      </c>
      <c r="O45" s="297"/>
      <c r="P45" s="298"/>
      <c r="Q45" s="141">
        <f t="shared" si="45"/>
        <v>0</v>
      </c>
      <c r="R45" s="142">
        <f t="shared" si="46"/>
        <v>0</v>
      </c>
      <c r="S45" s="189">
        <f t="shared" si="47"/>
        <v>0</v>
      </c>
      <c r="T45" s="186">
        <f t="shared" si="48"/>
        <v>0</v>
      </c>
      <c r="U45" s="297"/>
      <c r="V45" s="298"/>
      <c r="W45" s="166">
        <f t="shared" si="49"/>
        <v>0</v>
      </c>
      <c r="X45" s="24">
        <f t="shared" si="50"/>
        <v>0</v>
      </c>
      <c r="Y45" s="25">
        <f t="shared" si="51"/>
        <v>0</v>
      </c>
      <c r="Z45" s="53">
        <f t="shared" si="52"/>
        <v>0</v>
      </c>
      <c r="AA45" s="2"/>
    </row>
    <row r="46" spans="1:27" x14ac:dyDescent="0.2">
      <c r="A46" s="11">
        <f t="shared" si="38"/>
        <v>2033</v>
      </c>
      <c r="B46" s="126">
        <v>0</v>
      </c>
      <c r="C46" s="259"/>
      <c r="D46" s="565">
        <f t="shared" si="10"/>
        <v>0</v>
      </c>
      <c r="E46" s="799"/>
      <c r="F46" s="800"/>
      <c r="G46" s="801"/>
      <c r="H46" s="452">
        <f t="shared" si="39"/>
        <v>0</v>
      </c>
      <c r="I46" s="72">
        <f t="shared" si="2"/>
        <v>0</v>
      </c>
      <c r="J46" s="72">
        <f t="shared" si="40"/>
        <v>0</v>
      </c>
      <c r="K46" s="138">
        <f t="shared" si="41"/>
        <v>0</v>
      </c>
      <c r="L46" s="139">
        <f t="shared" si="42"/>
        <v>0</v>
      </c>
      <c r="M46" s="188">
        <f t="shared" si="43"/>
        <v>0</v>
      </c>
      <c r="N46" s="185">
        <f t="shared" si="44"/>
        <v>0</v>
      </c>
      <c r="O46" s="297"/>
      <c r="P46" s="298"/>
      <c r="Q46" s="141">
        <f t="shared" si="45"/>
        <v>0</v>
      </c>
      <c r="R46" s="142">
        <f t="shared" si="46"/>
        <v>0</v>
      </c>
      <c r="S46" s="189">
        <f t="shared" si="47"/>
        <v>0</v>
      </c>
      <c r="T46" s="186">
        <f t="shared" si="48"/>
        <v>0</v>
      </c>
      <c r="U46" s="297"/>
      <c r="V46" s="298"/>
      <c r="W46" s="166">
        <f t="shared" si="49"/>
        <v>0</v>
      </c>
      <c r="X46" s="24">
        <f t="shared" si="50"/>
        <v>0</v>
      </c>
      <c r="Y46" s="25">
        <f t="shared" si="51"/>
        <v>0</v>
      </c>
      <c r="Z46" s="53">
        <f t="shared" si="52"/>
        <v>0</v>
      </c>
      <c r="AA46" s="2"/>
    </row>
    <row r="47" spans="1:27" x14ac:dyDescent="0.2">
      <c r="A47" s="11">
        <f t="shared" si="38"/>
        <v>2034</v>
      </c>
      <c r="B47" s="126">
        <v>0</v>
      </c>
      <c r="C47" s="259"/>
      <c r="D47" s="565">
        <f t="shared" si="10"/>
        <v>0</v>
      </c>
      <c r="E47" s="799"/>
      <c r="F47" s="800"/>
      <c r="G47" s="801"/>
      <c r="H47" s="452">
        <f t="shared" si="39"/>
        <v>0</v>
      </c>
      <c r="I47" s="72">
        <f t="shared" si="2"/>
        <v>0</v>
      </c>
      <c r="J47" s="72">
        <f t="shared" si="40"/>
        <v>0</v>
      </c>
      <c r="K47" s="138">
        <f t="shared" si="41"/>
        <v>0</v>
      </c>
      <c r="L47" s="139">
        <f t="shared" si="42"/>
        <v>0</v>
      </c>
      <c r="M47" s="188">
        <f t="shared" si="43"/>
        <v>0</v>
      </c>
      <c r="N47" s="185">
        <f t="shared" si="44"/>
        <v>0</v>
      </c>
      <c r="O47" s="297"/>
      <c r="P47" s="298"/>
      <c r="Q47" s="141">
        <f t="shared" si="45"/>
        <v>0</v>
      </c>
      <c r="R47" s="142">
        <f t="shared" si="46"/>
        <v>0</v>
      </c>
      <c r="S47" s="189">
        <f t="shared" si="47"/>
        <v>0</v>
      </c>
      <c r="T47" s="186">
        <f t="shared" si="48"/>
        <v>0</v>
      </c>
      <c r="U47" s="297"/>
      <c r="V47" s="298"/>
      <c r="W47" s="166">
        <f t="shared" si="49"/>
        <v>0</v>
      </c>
      <c r="X47" s="24">
        <f t="shared" si="50"/>
        <v>0</v>
      </c>
      <c r="Y47" s="25">
        <f t="shared" si="51"/>
        <v>0</v>
      </c>
      <c r="Z47" s="53">
        <f t="shared" si="52"/>
        <v>0</v>
      </c>
      <c r="AA47" s="2"/>
    </row>
    <row r="48" spans="1:27" x14ac:dyDescent="0.2">
      <c r="A48" s="11">
        <f t="shared" si="38"/>
        <v>2035</v>
      </c>
      <c r="B48" s="126">
        <f>B47</f>
        <v>0</v>
      </c>
      <c r="C48" s="259"/>
      <c r="D48" s="565">
        <f t="shared" ref="D48:D54" si="53">D47+C48</f>
        <v>0</v>
      </c>
      <c r="E48" s="799"/>
      <c r="F48" s="800"/>
      <c r="G48" s="801"/>
      <c r="H48" s="452">
        <f t="shared" ref="H48:H54" si="54">+$C48*E48/1000</f>
        <v>0</v>
      </c>
      <c r="I48" s="72">
        <f t="shared" ref="I48:I54" si="55">+$B48*F48/1000</f>
        <v>0</v>
      </c>
      <c r="J48" s="72">
        <f t="shared" ref="J48:J54" si="56">+$B48*G48/1000000</f>
        <v>0</v>
      </c>
      <c r="K48" s="138">
        <f t="shared" ref="K48:K54" si="57">+D47+(((D48-D47)/12)*7)</f>
        <v>0</v>
      </c>
      <c r="L48" s="139">
        <f t="shared" ref="L48:L54" si="58">+E48</f>
        <v>0</v>
      </c>
      <c r="M48" s="188">
        <f t="shared" ref="M48:M54" si="59">+N48-N47</f>
        <v>0</v>
      </c>
      <c r="N48" s="185">
        <f t="shared" ref="N48:N54" si="60">+K48*L48/1000</f>
        <v>0</v>
      </c>
      <c r="O48" s="297"/>
      <c r="P48" s="298"/>
      <c r="Q48" s="141">
        <f t="shared" ref="Q48:Q54" si="61">+D47+(((D48-D47)/12)*1)</f>
        <v>0</v>
      </c>
      <c r="R48" s="142">
        <f t="shared" ref="R48:R54" si="62">+F48</f>
        <v>0</v>
      </c>
      <c r="S48" s="189">
        <f t="shared" ref="S48:S54" si="63">+T48-T47</f>
        <v>0</v>
      </c>
      <c r="T48" s="186">
        <f t="shared" ref="T48:T54" si="64">+Q48*R48/1000</f>
        <v>0</v>
      </c>
      <c r="U48" s="297"/>
      <c r="V48" s="298"/>
      <c r="W48" s="166"/>
      <c r="X48" s="24"/>
      <c r="Y48" s="25"/>
      <c r="Z48" s="53"/>
      <c r="AA48" s="2"/>
    </row>
    <row r="49" spans="1:27" x14ac:dyDescent="0.2">
      <c r="A49" s="11">
        <f t="shared" si="38"/>
        <v>2036</v>
      </c>
      <c r="B49" s="126">
        <f t="shared" ref="B49:B54" si="65">B48</f>
        <v>0</v>
      </c>
      <c r="C49" s="259"/>
      <c r="D49" s="565">
        <f t="shared" si="53"/>
        <v>0</v>
      </c>
      <c r="E49" s="799"/>
      <c r="F49" s="800"/>
      <c r="G49" s="801"/>
      <c r="H49" s="452">
        <f t="shared" si="54"/>
        <v>0</v>
      </c>
      <c r="I49" s="72">
        <f t="shared" si="55"/>
        <v>0</v>
      </c>
      <c r="J49" s="72">
        <f t="shared" si="56"/>
        <v>0</v>
      </c>
      <c r="K49" s="138">
        <f t="shared" si="57"/>
        <v>0</v>
      </c>
      <c r="L49" s="139">
        <f t="shared" si="58"/>
        <v>0</v>
      </c>
      <c r="M49" s="188">
        <f t="shared" si="59"/>
        <v>0</v>
      </c>
      <c r="N49" s="185">
        <f t="shared" si="60"/>
        <v>0</v>
      </c>
      <c r="O49" s="297"/>
      <c r="P49" s="298"/>
      <c r="Q49" s="141">
        <f t="shared" si="61"/>
        <v>0</v>
      </c>
      <c r="R49" s="142">
        <f t="shared" si="62"/>
        <v>0</v>
      </c>
      <c r="S49" s="189">
        <f t="shared" si="63"/>
        <v>0</v>
      </c>
      <c r="T49" s="186">
        <f t="shared" si="64"/>
        <v>0</v>
      </c>
      <c r="U49" s="297"/>
      <c r="V49" s="1063"/>
      <c r="W49" s="1064"/>
      <c r="X49" s="964"/>
      <c r="Y49" s="1061"/>
      <c r="Z49" s="1062"/>
      <c r="AA49" s="2"/>
    </row>
    <row r="50" spans="1:27" x14ac:dyDescent="0.2">
      <c r="A50" s="11">
        <f t="shared" si="38"/>
        <v>2037</v>
      </c>
      <c r="B50" s="126">
        <f t="shared" si="65"/>
        <v>0</v>
      </c>
      <c r="C50" s="259"/>
      <c r="D50" s="565">
        <f t="shared" si="53"/>
        <v>0</v>
      </c>
      <c r="E50" s="799"/>
      <c r="F50" s="800"/>
      <c r="G50" s="801"/>
      <c r="H50" s="452">
        <f t="shared" si="54"/>
        <v>0</v>
      </c>
      <c r="I50" s="72">
        <f t="shared" si="55"/>
        <v>0</v>
      </c>
      <c r="J50" s="72">
        <f t="shared" si="56"/>
        <v>0</v>
      </c>
      <c r="K50" s="138">
        <f t="shared" si="57"/>
        <v>0</v>
      </c>
      <c r="L50" s="139">
        <f t="shared" si="58"/>
        <v>0</v>
      </c>
      <c r="M50" s="188">
        <f t="shared" si="59"/>
        <v>0</v>
      </c>
      <c r="N50" s="185">
        <f t="shared" si="60"/>
        <v>0</v>
      </c>
      <c r="O50" s="297"/>
      <c r="P50" s="298"/>
      <c r="Q50" s="141">
        <f t="shared" si="61"/>
        <v>0</v>
      </c>
      <c r="R50" s="142">
        <f t="shared" si="62"/>
        <v>0</v>
      </c>
      <c r="S50" s="189">
        <f t="shared" si="63"/>
        <v>0</v>
      </c>
      <c r="T50" s="186">
        <f t="shared" si="64"/>
        <v>0</v>
      </c>
      <c r="U50" s="297"/>
      <c r="V50" s="1063"/>
      <c r="W50" s="1064"/>
      <c r="X50" s="964"/>
      <c r="Y50" s="1061"/>
      <c r="Z50" s="1062"/>
      <c r="AA50" s="2"/>
    </row>
    <row r="51" spans="1:27" x14ac:dyDescent="0.2">
      <c r="A51" s="11">
        <f t="shared" si="38"/>
        <v>2038</v>
      </c>
      <c r="B51" s="126">
        <f t="shared" si="65"/>
        <v>0</v>
      </c>
      <c r="C51" s="259"/>
      <c r="D51" s="565">
        <f t="shared" si="53"/>
        <v>0</v>
      </c>
      <c r="E51" s="799"/>
      <c r="F51" s="800"/>
      <c r="G51" s="801"/>
      <c r="H51" s="452">
        <f t="shared" si="54"/>
        <v>0</v>
      </c>
      <c r="I51" s="72">
        <f t="shared" si="55"/>
        <v>0</v>
      </c>
      <c r="J51" s="72">
        <f t="shared" si="56"/>
        <v>0</v>
      </c>
      <c r="K51" s="138">
        <f t="shared" si="57"/>
        <v>0</v>
      </c>
      <c r="L51" s="139">
        <f t="shared" si="58"/>
        <v>0</v>
      </c>
      <c r="M51" s="188">
        <f t="shared" si="59"/>
        <v>0</v>
      </c>
      <c r="N51" s="185">
        <f t="shared" si="60"/>
        <v>0</v>
      </c>
      <c r="O51" s="297"/>
      <c r="P51" s="298"/>
      <c r="Q51" s="141">
        <f t="shared" si="61"/>
        <v>0</v>
      </c>
      <c r="R51" s="142">
        <f t="shared" si="62"/>
        <v>0</v>
      </c>
      <c r="S51" s="189">
        <f t="shared" si="63"/>
        <v>0</v>
      </c>
      <c r="T51" s="186">
        <f t="shared" si="64"/>
        <v>0</v>
      </c>
      <c r="U51" s="297"/>
      <c r="V51" s="1063"/>
      <c r="W51" s="1064"/>
      <c r="X51" s="964"/>
      <c r="Y51" s="1061"/>
      <c r="Z51" s="1062"/>
      <c r="AA51" s="2"/>
    </row>
    <row r="52" spans="1:27" x14ac:dyDescent="0.2">
      <c r="A52" s="11">
        <f t="shared" si="38"/>
        <v>2039</v>
      </c>
      <c r="B52" s="126">
        <f t="shared" si="65"/>
        <v>0</v>
      </c>
      <c r="C52" s="259"/>
      <c r="D52" s="565">
        <f t="shared" si="53"/>
        <v>0</v>
      </c>
      <c r="E52" s="799"/>
      <c r="F52" s="800"/>
      <c r="G52" s="801"/>
      <c r="H52" s="452">
        <f t="shared" si="54"/>
        <v>0</v>
      </c>
      <c r="I52" s="72">
        <f t="shared" si="55"/>
        <v>0</v>
      </c>
      <c r="J52" s="72">
        <f t="shared" si="56"/>
        <v>0</v>
      </c>
      <c r="K52" s="138">
        <f t="shared" si="57"/>
        <v>0</v>
      </c>
      <c r="L52" s="139">
        <f t="shared" si="58"/>
        <v>0</v>
      </c>
      <c r="M52" s="188">
        <f t="shared" si="59"/>
        <v>0</v>
      </c>
      <c r="N52" s="185">
        <f t="shared" si="60"/>
        <v>0</v>
      </c>
      <c r="O52" s="297"/>
      <c r="P52" s="298"/>
      <c r="Q52" s="141">
        <f t="shared" si="61"/>
        <v>0</v>
      </c>
      <c r="R52" s="142">
        <f t="shared" si="62"/>
        <v>0</v>
      </c>
      <c r="S52" s="189">
        <f t="shared" si="63"/>
        <v>0</v>
      </c>
      <c r="T52" s="186">
        <f t="shared" si="64"/>
        <v>0</v>
      </c>
      <c r="U52" s="297"/>
      <c r="V52" s="1063"/>
      <c r="W52" s="1064"/>
      <c r="X52" s="964"/>
      <c r="Y52" s="1061"/>
      <c r="Z52" s="1062"/>
      <c r="AA52" s="2"/>
    </row>
    <row r="53" spans="1:27" x14ac:dyDescent="0.2">
      <c r="A53" s="11">
        <f t="shared" si="38"/>
        <v>2040</v>
      </c>
      <c r="B53" s="126">
        <f t="shared" si="65"/>
        <v>0</v>
      </c>
      <c r="C53" s="259"/>
      <c r="D53" s="565">
        <f t="shared" si="53"/>
        <v>0</v>
      </c>
      <c r="E53" s="799"/>
      <c r="F53" s="800"/>
      <c r="G53" s="801"/>
      <c r="H53" s="452">
        <f t="shared" si="54"/>
        <v>0</v>
      </c>
      <c r="I53" s="72">
        <f t="shared" si="55"/>
        <v>0</v>
      </c>
      <c r="J53" s="72">
        <f t="shared" si="56"/>
        <v>0</v>
      </c>
      <c r="K53" s="138">
        <f t="shared" si="57"/>
        <v>0</v>
      </c>
      <c r="L53" s="139">
        <f t="shared" si="58"/>
        <v>0</v>
      </c>
      <c r="M53" s="188">
        <f t="shared" si="59"/>
        <v>0</v>
      </c>
      <c r="N53" s="185">
        <f t="shared" si="60"/>
        <v>0</v>
      </c>
      <c r="O53" s="297"/>
      <c r="P53" s="298"/>
      <c r="Q53" s="141">
        <f t="shared" si="61"/>
        <v>0</v>
      </c>
      <c r="R53" s="142">
        <f t="shared" si="62"/>
        <v>0</v>
      </c>
      <c r="S53" s="189">
        <f t="shared" si="63"/>
        <v>0</v>
      </c>
      <c r="T53" s="186">
        <f t="shared" si="64"/>
        <v>0</v>
      </c>
      <c r="U53" s="297"/>
      <c r="V53" s="1063"/>
      <c r="W53" s="1064"/>
      <c r="X53" s="964"/>
      <c r="Y53" s="1061"/>
      <c r="Z53" s="1062"/>
      <c r="AA53" s="2"/>
    </row>
    <row r="54" spans="1:27" x14ac:dyDescent="0.2">
      <c r="A54" s="11">
        <f t="shared" si="38"/>
        <v>2041</v>
      </c>
      <c r="B54" s="126">
        <f t="shared" si="65"/>
        <v>0</v>
      </c>
      <c r="C54" s="259"/>
      <c r="D54" s="565">
        <f t="shared" si="53"/>
        <v>0</v>
      </c>
      <c r="E54" s="799"/>
      <c r="F54" s="800"/>
      <c r="G54" s="801"/>
      <c r="H54" s="452">
        <f t="shared" si="54"/>
        <v>0</v>
      </c>
      <c r="I54" s="72">
        <f t="shared" si="55"/>
        <v>0</v>
      </c>
      <c r="J54" s="72">
        <f t="shared" si="56"/>
        <v>0</v>
      </c>
      <c r="K54" s="138">
        <f t="shared" si="57"/>
        <v>0</v>
      </c>
      <c r="L54" s="139">
        <f t="shared" si="58"/>
        <v>0</v>
      </c>
      <c r="M54" s="188">
        <f t="shared" si="59"/>
        <v>0</v>
      </c>
      <c r="N54" s="185">
        <f t="shared" si="60"/>
        <v>0</v>
      </c>
      <c r="O54" s="297"/>
      <c r="P54" s="298"/>
      <c r="Q54" s="141">
        <f t="shared" si="61"/>
        <v>0</v>
      </c>
      <c r="R54" s="142">
        <f t="shared" si="62"/>
        <v>0</v>
      </c>
      <c r="S54" s="189">
        <f t="shared" si="63"/>
        <v>0</v>
      </c>
      <c r="T54" s="186">
        <f t="shared" si="64"/>
        <v>0</v>
      </c>
      <c r="U54" s="297"/>
      <c r="V54" s="1063"/>
      <c r="W54" s="1064"/>
      <c r="X54" s="964"/>
      <c r="Y54" s="1061"/>
      <c r="Z54" s="1062"/>
      <c r="AA54" s="2"/>
    </row>
    <row r="55" spans="1:27" x14ac:dyDescent="0.2">
      <c r="C55" s="260"/>
    </row>
    <row r="56" spans="1:27" x14ac:dyDescent="0.2">
      <c r="A56" s="69" t="s">
        <v>38</v>
      </c>
      <c r="B56" s="69"/>
    </row>
    <row r="57" spans="1:27" x14ac:dyDescent="0.2">
      <c r="A57" s="69" t="s">
        <v>39</v>
      </c>
      <c r="B57" s="69"/>
    </row>
    <row r="58" spans="1:27" x14ac:dyDescent="0.2">
      <c r="A58" s="69" t="s">
        <v>67</v>
      </c>
      <c r="B58" s="69"/>
    </row>
    <row r="59" spans="1:27" x14ac:dyDescent="0.2">
      <c r="A59" s="86" t="s">
        <v>57</v>
      </c>
      <c r="B59" s="86"/>
      <c r="N59"/>
      <c r="O59"/>
      <c r="P59"/>
      <c r="AA59" s="2"/>
    </row>
    <row r="60" spans="1:27" x14ac:dyDescent="0.2">
      <c r="A60" s="86" t="s">
        <v>58</v>
      </c>
      <c r="B60" s="86"/>
      <c r="N60"/>
      <c r="O60"/>
      <c r="P60"/>
      <c r="AA60" s="2"/>
    </row>
    <row r="61" spans="1:27" x14ac:dyDescent="0.2">
      <c r="A61" s="45" t="s">
        <v>92</v>
      </c>
    </row>
  </sheetData>
  <mergeCells count="5">
    <mergeCell ref="W4:Z4"/>
    <mergeCell ref="B4:J4"/>
    <mergeCell ref="H3:J3"/>
    <mergeCell ref="K4:N4"/>
    <mergeCell ref="Q4:T4"/>
  </mergeCells>
  <phoneticPr fontId="7" type="noConversion"/>
  <pageMargins left="0.22" right="0.19" top="0.8" bottom="1" header="0.5" footer="0.5"/>
  <pageSetup scale="90" orientation="portrait" cellComments="asDisplayed" r:id="rId1"/>
  <headerFooter alignWithMargins="0"/>
  <ignoredErrors>
    <ignoredError sqref="X18" evalError="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X59"/>
  <sheetViews>
    <sheetView topLeftCell="A13" zoomScale="91" zoomScaleNormal="91" workbookViewId="0">
      <selection activeCell="E1" sqref="E1"/>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8" t="s">
        <v>388</v>
      </c>
      <c r="F1" s="4"/>
      <c r="G1" s="249"/>
      <c r="H1" s="249"/>
      <c r="I1" s="249"/>
      <c r="J1" s="4"/>
      <c r="K1" s="4"/>
      <c r="L1" s="4"/>
      <c r="M1" s="4"/>
      <c r="N1" s="4"/>
    </row>
    <row r="2" spans="1:24" ht="16.5" thickBot="1" x14ac:dyDescent="0.3">
      <c r="A2" s="5" t="s">
        <v>1</v>
      </c>
      <c r="B2" s="27" t="s">
        <v>211</v>
      </c>
      <c r="C2" s="27" t="s">
        <v>214</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62"/>
      <c r="E8" s="663"/>
      <c r="F8" s="617"/>
      <c r="G8" s="626"/>
      <c r="H8" s="72"/>
      <c r="I8" s="630"/>
      <c r="J8" s="61"/>
      <c r="K8" s="188"/>
      <c r="L8" s="188"/>
      <c r="M8" s="188"/>
      <c r="N8" s="51"/>
      <c r="O8" s="670"/>
      <c r="P8" s="670"/>
      <c r="Q8" s="670"/>
      <c r="R8" s="247"/>
      <c r="S8" s="24"/>
      <c r="T8" s="25"/>
      <c r="U8" s="654"/>
      <c r="V8" s="248"/>
      <c r="X8" s="1"/>
    </row>
    <row r="9" spans="1:24" x14ac:dyDescent="0.2">
      <c r="A9" s="33">
        <v>1996</v>
      </c>
      <c r="B9" s="30"/>
      <c r="C9" s="660"/>
      <c r="D9" s="662"/>
      <c r="E9" s="663"/>
      <c r="F9" s="617"/>
      <c r="G9" s="626"/>
      <c r="H9" s="72"/>
      <c r="I9" s="630"/>
      <c r="J9" s="61"/>
      <c r="K9" s="188"/>
      <c r="L9" s="188"/>
      <c r="M9" s="188"/>
      <c r="N9" s="54"/>
      <c r="O9" s="670"/>
      <c r="P9" s="670"/>
      <c r="Q9" s="670"/>
      <c r="R9" s="247"/>
      <c r="S9" s="24"/>
      <c r="T9" s="25"/>
      <c r="U9" s="654"/>
      <c r="V9" s="10"/>
      <c r="X9" s="1"/>
    </row>
    <row r="10" spans="1:24" x14ac:dyDescent="0.2">
      <c r="A10" s="33">
        <v>1997</v>
      </c>
      <c r="B10" s="30"/>
      <c r="C10" s="660"/>
      <c r="D10" s="662"/>
      <c r="E10" s="663"/>
      <c r="F10" s="617"/>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662"/>
      <c r="E11" s="663"/>
      <c r="F11" s="617"/>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662"/>
      <c r="E12" s="663"/>
      <c r="F12" s="617"/>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662"/>
      <c r="E13" s="663"/>
      <c r="F13" s="617"/>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662"/>
      <c r="E14" s="663"/>
      <c r="F14" s="617"/>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662"/>
      <c r="E15" s="663"/>
      <c r="F15" s="617"/>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662"/>
      <c r="E16" s="663"/>
      <c r="F16" s="617"/>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662"/>
      <c r="E17" s="663"/>
      <c r="F17" s="617"/>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662"/>
      <c r="E18" s="663"/>
      <c r="F18" s="617"/>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662"/>
      <c r="E19" s="663"/>
      <c r="F19" s="617"/>
      <c r="G19" s="626"/>
      <c r="H19" s="72"/>
      <c r="I19" s="630"/>
      <c r="J19" s="61"/>
      <c r="K19" s="188"/>
      <c r="L19" s="188"/>
      <c r="M19" s="188"/>
      <c r="N19" s="54"/>
      <c r="O19" s="670"/>
      <c r="P19" s="670"/>
      <c r="Q19" s="670"/>
      <c r="R19" s="247"/>
      <c r="S19" s="24"/>
      <c r="T19" s="25"/>
      <c r="U19" s="654"/>
      <c r="V19" s="8"/>
      <c r="X19" s="1"/>
    </row>
    <row r="20" spans="1:24" x14ac:dyDescent="0.2">
      <c r="A20" s="33">
        <f t="shared" si="0"/>
        <v>2007</v>
      </c>
      <c r="B20" s="30"/>
      <c r="C20" s="660"/>
      <c r="D20" s="662"/>
      <c r="E20" s="663"/>
      <c r="F20" s="617"/>
      <c r="G20" s="626"/>
      <c r="H20" s="72"/>
      <c r="I20" s="630"/>
      <c r="J20" s="61"/>
      <c r="K20" s="188"/>
      <c r="L20" s="188"/>
      <c r="M20" s="188"/>
      <c r="N20" s="54"/>
      <c r="O20" s="670"/>
      <c r="P20" s="670"/>
      <c r="Q20" s="670"/>
      <c r="R20" s="247"/>
      <c r="S20" s="24"/>
      <c r="T20" s="25"/>
      <c r="U20" s="654"/>
    </row>
    <row r="21" spans="1:24" x14ac:dyDescent="0.2">
      <c r="A21" s="33">
        <f t="shared" si="0"/>
        <v>2008</v>
      </c>
      <c r="B21" s="30"/>
      <c r="C21" s="660"/>
      <c r="D21" s="662"/>
      <c r="E21" s="663"/>
      <c r="F21" s="617"/>
      <c r="G21" s="626"/>
      <c r="H21" s="72"/>
      <c r="I21" s="630"/>
      <c r="J21" s="61"/>
      <c r="K21" s="188"/>
      <c r="L21" s="188"/>
      <c r="M21" s="188"/>
      <c r="N21" s="54"/>
      <c r="O21" s="670"/>
      <c r="P21" s="670"/>
      <c r="Q21" s="670"/>
      <c r="R21" s="247"/>
      <c r="S21" s="24"/>
      <c r="T21" s="25"/>
      <c r="U21" s="654"/>
    </row>
    <row r="22" spans="1:24" x14ac:dyDescent="0.2">
      <c r="A22" s="33">
        <f t="shared" si="0"/>
        <v>2009</v>
      </c>
      <c r="B22" s="30"/>
      <c r="C22" s="660"/>
      <c r="D22" s="662">
        <v>0</v>
      </c>
      <c r="E22" s="663">
        <v>0</v>
      </c>
      <c r="F22" s="617">
        <v>0</v>
      </c>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41" si="1">+C22+B23</f>
        <v>0</v>
      </c>
      <c r="D23" s="662">
        <v>0.14000000000000001</v>
      </c>
      <c r="E23" s="663">
        <v>0.13</v>
      </c>
      <c r="F23" s="617">
        <v>355</v>
      </c>
      <c r="G23" s="626">
        <f t="shared" ref="G23:H39" si="2">+$B23*D23/1000</f>
        <v>0</v>
      </c>
      <c r="H23" s="72">
        <f t="shared" si="2"/>
        <v>0</v>
      </c>
      <c r="I23" s="630">
        <f t="shared" ref="I23:I39" si="3">+$B23*F23/1000000</f>
        <v>0</v>
      </c>
      <c r="J23" s="61">
        <f t="shared" ref="J23:J39" si="4">+(B23+B22)/2</f>
        <v>0</v>
      </c>
      <c r="K23" s="188">
        <f t="shared" ref="K23:K39" si="5">+D23</f>
        <v>0.14000000000000001</v>
      </c>
      <c r="L23" s="188">
        <f t="shared" ref="L23:L39" si="6">+J23*K23/1000</f>
        <v>0</v>
      </c>
      <c r="M23" s="188">
        <f t="shared" ref="M23:M39" si="7">+M22+L23</f>
        <v>0</v>
      </c>
      <c r="N23" s="54">
        <f t="shared" ref="N23:N39" si="8">+B22</f>
        <v>0</v>
      </c>
      <c r="O23" s="670">
        <f t="shared" ref="O23:O39" si="9">+E23</f>
        <v>0.13</v>
      </c>
      <c r="P23" s="670">
        <f t="shared" ref="P23:P39" si="10">+N23*O23/1000</f>
        <v>0</v>
      </c>
      <c r="Q23" s="670">
        <f t="shared" ref="Q23:Q39" si="11">+Q22+P23</f>
        <v>0</v>
      </c>
      <c r="R23" s="247">
        <f t="shared" ref="R23:R38" si="12">+(B23+B22)/2</f>
        <v>0</v>
      </c>
      <c r="S23" s="24">
        <f t="shared" ref="S23:S38" si="13">+F23</f>
        <v>355</v>
      </c>
      <c r="T23" s="25">
        <f t="shared" ref="T23:T38" si="14">+R23*S23/1000000</f>
        <v>0</v>
      </c>
      <c r="U23" s="654">
        <f t="shared" ref="U23:U39" si="15">+U22+T23</f>
        <v>0</v>
      </c>
    </row>
    <row r="24" spans="1:24" x14ac:dyDescent="0.2">
      <c r="A24" s="33">
        <f t="shared" si="0"/>
        <v>2011</v>
      </c>
      <c r="B24" s="30">
        <v>0</v>
      </c>
      <c r="C24" s="661">
        <f t="shared" si="1"/>
        <v>0</v>
      </c>
      <c r="D24" s="662">
        <v>0.14000000000000001</v>
      </c>
      <c r="E24" s="663">
        <v>0.13</v>
      </c>
      <c r="F24" s="617">
        <v>355</v>
      </c>
      <c r="G24" s="626">
        <f t="shared" si="2"/>
        <v>0</v>
      </c>
      <c r="H24" s="72">
        <f t="shared" si="2"/>
        <v>0</v>
      </c>
      <c r="I24" s="630">
        <f t="shared" si="3"/>
        <v>0</v>
      </c>
      <c r="J24" s="61">
        <f t="shared" si="4"/>
        <v>0</v>
      </c>
      <c r="K24" s="188">
        <f t="shared" si="5"/>
        <v>0.14000000000000001</v>
      </c>
      <c r="L24" s="188">
        <f t="shared" si="6"/>
        <v>0</v>
      </c>
      <c r="M24" s="188">
        <f t="shared" si="7"/>
        <v>0</v>
      </c>
      <c r="N24" s="54">
        <f t="shared" si="8"/>
        <v>0</v>
      </c>
      <c r="O24" s="670">
        <f t="shared" si="9"/>
        <v>0.13</v>
      </c>
      <c r="P24" s="670">
        <f t="shared" si="10"/>
        <v>0</v>
      </c>
      <c r="Q24" s="670">
        <f t="shared" si="11"/>
        <v>0</v>
      </c>
      <c r="R24" s="247">
        <f t="shared" si="12"/>
        <v>0</v>
      </c>
      <c r="S24" s="24">
        <f t="shared" si="13"/>
        <v>355</v>
      </c>
      <c r="T24" s="25">
        <f t="shared" si="14"/>
        <v>0</v>
      </c>
      <c r="U24" s="654">
        <f t="shared" si="15"/>
        <v>0</v>
      </c>
    </row>
    <row r="25" spans="1:24" x14ac:dyDescent="0.2">
      <c r="A25" s="33">
        <f t="shared" si="0"/>
        <v>2012</v>
      </c>
      <c r="B25" s="30">
        <v>671</v>
      </c>
      <c r="C25" s="661">
        <f t="shared" si="1"/>
        <v>671</v>
      </c>
      <c r="D25" s="662">
        <v>0.14000000000000001</v>
      </c>
      <c r="E25" s="663">
        <v>0.13</v>
      </c>
      <c r="F25" s="617">
        <v>355</v>
      </c>
      <c r="G25" s="626">
        <f t="shared" si="2"/>
        <v>9.394000000000001E-2</v>
      </c>
      <c r="H25" s="72">
        <f t="shared" si="2"/>
        <v>8.7230000000000002E-2</v>
      </c>
      <c r="I25" s="630">
        <f t="shared" si="3"/>
        <v>0.238205</v>
      </c>
      <c r="J25" s="61">
        <f t="shared" si="4"/>
        <v>335.5</v>
      </c>
      <c r="K25" s="188">
        <f t="shared" si="5"/>
        <v>0.14000000000000001</v>
      </c>
      <c r="L25" s="188">
        <f t="shared" si="6"/>
        <v>4.6970000000000005E-2</v>
      </c>
      <c r="M25" s="188">
        <f t="shared" si="7"/>
        <v>4.6970000000000005E-2</v>
      </c>
      <c r="N25" s="54">
        <f t="shared" si="8"/>
        <v>0</v>
      </c>
      <c r="O25" s="670">
        <f t="shared" si="9"/>
        <v>0.13</v>
      </c>
      <c r="P25" s="670">
        <f t="shared" si="10"/>
        <v>0</v>
      </c>
      <c r="Q25" s="670">
        <f t="shared" si="11"/>
        <v>0</v>
      </c>
      <c r="R25" s="247">
        <f t="shared" si="12"/>
        <v>335.5</v>
      </c>
      <c r="S25" s="24">
        <f t="shared" si="13"/>
        <v>355</v>
      </c>
      <c r="T25" s="25">
        <f t="shared" si="14"/>
        <v>0.1191025</v>
      </c>
      <c r="U25" s="654">
        <f t="shared" si="15"/>
        <v>0.1191025</v>
      </c>
    </row>
    <row r="26" spans="1:24" s="831" customFormat="1" x14ac:dyDescent="0.2">
      <c r="A26" s="33">
        <f t="shared" si="0"/>
        <v>2013</v>
      </c>
      <c r="B26" s="30">
        <v>206</v>
      </c>
      <c r="C26" s="619">
        <f t="shared" si="1"/>
        <v>877</v>
      </c>
      <c r="D26" s="807">
        <v>0.14000000000000001</v>
      </c>
      <c r="E26" s="808">
        <f t="shared" ref="E26:F28" si="16">+E25</f>
        <v>0.13</v>
      </c>
      <c r="F26" s="806">
        <f t="shared" si="16"/>
        <v>355</v>
      </c>
      <c r="G26" s="626">
        <f t="shared" si="2"/>
        <v>2.8840000000000005E-2</v>
      </c>
      <c r="H26" s="72">
        <f t="shared" si="2"/>
        <v>2.6780000000000002E-2</v>
      </c>
      <c r="I26" s="630">
        <f t="shared" si="3"/>
        <v>7.3130000000000001E-2</v>
      </c>
      <c r="J26" s="61">
        <f t="shared" si="4"/>
        <v>438.5</v>
      </c>
      <c r="K26" s="188">
        <f t="shared" si="5"/>
        <v>0.14000000000000001</v>
      </c>
      <c r="L26" s="188">
        <f t="shared" si="6"/>
        <v>6.1390000000000007E-2</v>
      </c>
      <c r="M26" s="829">
        <f t="shared" si="7"/>
        <v>0.10836000000000001</v>
      </c>
      <c r="N26" s="54">
        <f t="shared" si="8"/>
        <v>671</v>
      </c>
      <c r="O26" s="670">
        <f t="shared" si="9"/>
        <v>0.13</v>
      </c>
      <c r="P26" s="670">
        <f t="shared" si="10"/>
        <v>8.7230000000000002E-2</v>
      </c>
      <c r="Q26" s="671">
        <f t="shared" si="11"/>
        <v>8.7230000000000002E-2</v>
      </c>
      <c r="R26" s="247">
        <f t="shared" si="12"/>
        <v>438.5</v>
      </c>
      <c r="S26" s="24">
        <f t="shared" si="13"/>
        <v>355</v>
      </c>
      <c r="T26" s="25">
        <f t="shared" si="14"/>
        <v>0.15566749999999999</v>
      </c>
      <c r="U26" s="654">
        <f t="shared" si="15"/>
        <v>0.27476999999999996</v>
      </c>
      <c r="V26" s="830"/>
    </row>
    <row r="27" spans="1:24" s="831" customFormat="1" x14ac:dyDescent="0.2">
      <c r="A27" s="33">
        <f t="shared" si="0"/>
        <v>2014</v>
      </c>
      <c r="B27" s="30">
        <v>78</v>
      </c>
      <c r="C27" s="619">
        <f t="shared" si="1"/>
        <v>955</v>
      </c>
      <c r="D27" s="807">
        <v>0.14000000000000001</v>
      </c>
      <c r="E27" s="808">
        <f t="shared" si="16"/>
        <v>0.13</v>
      </c>
      <c r="F27" s="806">
        <f t="shared" si="16"/>
        <v>355</v>
      </c>
      <c r="G27" s="626">
        <f t="shared" si="2"/>
        <v>1.0920000000000001E-2</v>
      </c>
      <c r="H27" s="72">
        <f t="shared" si="2"/>
        <v>1.014E-2</v>
      </c>
      <c r="I27" s="630">
        <f t="shared" si="3"/>
        <v>2.7689999999999999E-2</v>
      </c>
      <c r="J27" s="61">
        <f t="shared" si="4"/>
        <v>142</v>
      </c>
      <c r="K27" s="188">
        <f t="shared" si="5"/>
        <v>0.14000000000000001</v>
      </c>
      <c r="L27" s="188">
        <f t="shared" si="6"/>
        <v>1.9880000000000002E-2</v>
      </c>
      <c r="M27" s="829">
        <f t="shared" si="7"/>
        <v>0.12824000000000002</v>
      </c>
      <c r="N27" s="54">
        <f t="shared" si="8"/>
        <v>206</v>
      </c>
      <c r="O27" s="670">
        <f t="shared" si="9"/>
        <v>0.13</v>
      </c>
      <c r="P27" s="670">
        <f t="shared" si="10"/>
        <v>2.6780000000000002E-2</v>
      </c>
      <c r="Q27" s="671">
        <f t="shared" si="11"/>
        <v>0.11401</v>
      </c>
      <c r="R27" s="247">
        <f t="shared" si="12"/>
        <v>142</v>
      </c>
      <c r="S27" s="24">
        <f t="shared" si="13"/>
        <v>355</v>
      </c>
      <c r="T27" s="25">
        <f t="shared" si="14"/>
        <v>5.0410000000000003E-2</v>
      </c>
      <c r="U27" s="654">
        <f t="shared" si="15"/>
        <v>0.32517999999999997</v>
      </c>
      <c r="V27" s="830"/>
    </row>
    <row r="28" spans="1:24" ht="13.5" thickBot="1" x14ac:dyDescent="0.25">
      <c r="A28" s="701">
        <f t="shared" si="0"/>
        <v>2015</v>
      </c>
      <c r="B28" s="702">
        <v>138</v>
      </c>
      <c r="C28" s="703">
        <f t="shared" si="1"/>
        <v>1093</v>
      </c>
      <c r="D28" s="664">
        <v>1.1399999999999999</v>
      </c>
      <c r="E28" s="665">
        <f t="shared" si="16"/>
        <v>0.13</v>
      </c>
      <c r="F28" s="640">
        <f t="shared" si="16"/>
        <v>355</v>
      </c>
      <c r="G28" s="823">
        <f t="shared" si="2"/>
        <v>0.15731999999999999</v>
      </c>
      <c r="H28" s="707">
        <f t="shared" si="2"/>
        <v>1.7940000000000001E-2</v>
      </c>
      <c r="I28" s="824">
        <f t="shared" si="3"/>
        <v>4.8989999999999999E-2</v>
      </c>
      <c r="J28" s="708">
        <f t="shared" si="4"/>
        <v>108</v>
      </c>
      <c r="K28" s="825">
        <f t="shared" si="5"/>
        <v>1.1399999999999999</v>
      </c>
      <c r="L28" s="825">
        <f t="shared" si="6"/>
        <v>0.12311999999999999</v>
      </c>
      <c r="M28" s="826">
        <f t="shared" si="7"/>
        <v>0.25136000000000003</v>
      </c>
      <c r="N28" s="711">
        <f t="shared" si="8"/>
        <v>78</v>
      </c>
      <c r="O28" s="827">
        <f t="shared" si="9"/>
        <v>0.13</v>
      </c>
      <c r="P28" s="827">
        <f t="shared" si="10"/>
        <v>1.014E-2</v>
      </c>
      <c r="Q28" s="828">
        <f t="shared" si="11"/>
        <v>0.12415</v>
      </c>
      <c r="R28" s="714">
        <f t="shared" si="12"/>
        <v>108</v>
      </c>
      <c r="S28" s="715">
        <f t="shared" si="13"/>
        <v>355</v>
      </c>
      <c r="T28" s="716">
        <f t="shared" si="14"/>
        <v>3.8339999999999999E-2</v>
      </c>
      <c r="U28" s="717">
        <f t="shared" si="15"/>
        <v>0.36351999999999995</v>
      </c>
    </row>
    <row r="29" spans="1:24" x14ac:dyDescent="0.2">
      <c r="A29" s="33">
        <f t="shared" si="0"/>
        <v>2016</v>
      </c>
      <c r="B29" s="787"/>
      <c r="C29" s="565">
        <f t="shared" si="1"/>
        <v>1093</v>
      </c>
      <c r="D29" s="1014"/>
      <c r="E29" s="1015"/>
      <c r="F29" s="1016"/>
      <c r="G29" s="473">
        <f t="shared" si="2"/>
        <v>0</v>
      </c>
      <c r="H29" s="474">
        <f t="shared" si="2"/>
        <v>0</v>
      </c>
      <c r="I29" s="474">
        <f t="shared" si="3"/>
        <v>0</v>
      </c>
      <c r="J29" s="61">
        <f t="shared" si="4"/>
        <v>69</v>
      </c>
      <c r="K29" s="967">
        <f t="shared" si="5"/>
        <v>0</v>
      </c>
      <c r="L29" s="967">
        <f t="shared" si="6"/>
        <v>0</v>
      </c>
      <c r="M29" s="967">
        <f t="shared" si="7"/>
        <v>0.25136000000000003</v>
      </c>
      <c r="N29" s="54">
        <f t="shared" si="8"/>
        <v>138</v>
      </c>
      <c r="O29" s="968">
        <f t="shared" si="9"/>
        <v>0</v>
      </c>
      <c r="P29" s="968">
        <f t="shared" si="10"/>
        <v>0</v>
      </c>
      <c r="Q29" s="969">
        <f t="shared" si="11"/>
        <v>0.12415</v>
      </c>
      <c r="R29" s="247">
        <f t="shared" si="12"/>
        <v>69</v>
      </c>
      <c r="S29" s="24">
        <f t="shared" si="13"/>
        <v>0</v>
      </c>
      <c r="T29" s="970">
        <f t="shared" si="14"/>
        <v>0</v>
      </c>
      <c r="U29" s="971">
        <f t="shared" si="15"/>
        <v>0.36351999999999995</v>
      </c>
    </row>
    <row r="30" spans="1:24" x14ac:dyDescent="0.2">
      <c r="A30" s="33">
        <f t="shared" si="0"/>
        <v>2017</v>
      </c>
      <c r="B30" s="787"/>
      <c r="C30" s="565">
        <f t="shared" si="1"/>
        <v>1093</v>
      </c>
      <c r="D30" s="965"/>
      <c r="E30" s="966"/>
      <c r="F30" s="790"/>
      <c r="G30" s="473">
        <f t="shared" si="2"/>
        <v>0</v>
      </c>
      <c r="H30" s="474">
        <f t="shared" si="2"/>
        <v>0</v>
      </c>
      <c r="I30" s="474">
        <f t="shared" si="3"/>
        <v>0</v>
      </c>
      <c r="J30" s="61">
        <f t="shared" si="4"/>
        <v>0</v>
      </c>
      <c r="K30" s="967">
        <f t="shared" si="5"/>
        <v>0</v>
      </c>
      <c r="L30" s="967">
        <f t="shared" si="6"/>
        <v>0</v>
      </c>
      <c r="M30" s="967">
        <f t="shared" si="7"/>
        <v>0.25136000000000003</v>
      </c>
      <c r="N30" s="54">
        <f t="shared" si="8"/>
        <v>0</v>
      </c>
      <c r="O30" s="968">
        <f t="shared" si="9"/>
        <v>0</v>
      </c>
      <c r="P30" s="968">
        <f t="shared" si="10"/>
        <v>0</v>
      </c>
      <c r="Q30" s="969">
        <f t="shared" si="11"/>
        <v>0.12415</v>
      </c>
      <c r="R30" s="247">
        <f t="shared" si="12"/>
        <v>0</v>
      </c>
      <c r="S30" s="24">
        <f t="shared" si="13"/>
        <v>0</v>
      </c>
      <c r="T30" s="970">
        <f t="shared" si="14"/>
        <v>0</v>
      </c>
      <c r="U30" s="971">
        <f t="shared" si="15"/>
        <v>0.36351999999999995</v>
      </c>
    </row>
    <row r="31" spans="1:24" x14ac:dyDescent="0.2">
      <c r="A31" s="33">
        <f t="shared" si="0"/>
        <v>2018</v>
      </c>
      <c r="B31" s="787"/>
      <c r="C31" s="565">
        <f t="shared" si="1"/>
        <v>1093</v>
      </c>
      <c r="D31" s="965"/>
      <c r="E31" s="966"/>
      <c r="F31" s="790"/>
      <c r="G31" s="473">
        <f t="shared" si="2"/>
        <v>0</v>
      </c>
      <c r="H31" s="474">
        <f t="shared" si="2"/>
        <v>0</v>
      </c>
      <c r="I31" s="474">
        <f t="shared" si="3"/>
        <v>0</v>
      </c>
      <c r="J31" s="61">
        <f t="shared" si="4"/>
        <v>0</v>
      </c>
      <c r="K31" s="967">
        <f t="shared" si="5"/>
        <v>0</v>
      </c>
      <c r="L31" s="967">
        <f t="shared" si="6"/>
        <v>0</v>
      </c>
      <c r="M31" s="967">
        <f t="shared" si="7"/>
        <v>0.25136000000000003</v>
      </c>
      <c r="N31" s="54">
        <f t="shared" si="8"/>
        <v>0</v>
      </c>
      <c r="O31" s="968">
        <f t="shared" si="9"/>
        <v>0</v>
      </c>
      <c r="P31" s="968">
        <f t="shared" si="10"/>
        <v>0</v>
      </c>
      <c r="Q31" s="969">
        <f t="shared" si="11"/>
        <v>0.12415</v>
      </c>
      <c r="R31" s="247">
        <f t="shared" si="12"/>
        <v>0</v>
      </c>
      <c r="S31" s="24">
        <f t="shared" si="13"/>
        <v>0</v>
      </c>
      <c r="T31" s="970">
        <f t="shared" si="14"/>
        <v>0</v>
      </c>
      <c r="U31" s="971">
        <f t="shared" si="15"/>
        <v>0.36351999999999995</v>
      </c>
    </row>
    <row r="32" spans="1:24" x14ac:dyDescent="0.2">
      <c r="A32" s="33">
        <f t="shared" si="0"/>
        <v>2019</v>
      </c>
      <c r="B32" s="787"/>
      <c r="C32" s="565">
        <f t="shared" si="1"/>
        <v>1093</v>
      </c>
      <c r="D32" s="965"/>
      <c r="E32" s="966"/>
      <c r="F32" s="790"/>
      <c r="G32" s="473">
        <f t="shared" si="2"/>
        <v>0</v>
      </c>
      <c r="H32" s="474">
        <f t="shared" si="2"/>
        <v>0</v>
      </c>
      <c r="I32" s="474">
        <f t="shared" si="3"/>
        <v>0</v>
      </c>
      <c r="J32" s="61">
        <f t="shared" si="4"/>
        <v>0</v>
      </c>
      <c r="K32" s="967">
        <f t="shared" si="5"/>
        <v>0</v>
      </c>
      <c r="L32" s="967">
        <f t="shared" si="6"/>
        <v>0</v>
      </c>
      <c r="M32" s="967">
        <f t="shared" si="7"/>
        <v>0.25136000000000003</v>
      </c>
      <c r="N32" s="54">
        <f t="shared" si="8"/>
        <v>0</v>
      </c>
      <c r="O32" s="968">
        <f t="shared" si="9"/>
        <v>0</v>
      </c>
      <c r="P32" s="968">
        <f t="shared" si="10"/>
        <v>0</v>
      </c>
      <c r="Q32" s="969">
        <f t="shared" si="11"/>
        <v>0.12415</v>
      </c>
      <c r="R32" s="247">
        <f t="shared" si="12"/>
        <v>0</v>
      </c>
      <c r="S32" s="24">
        <f t="shared" si="13"/>
        <v>0</v>
      </c>
      <c r="T32" s="970">
        <f t="shared" si="14"/>
        <v>0</v>
      </c>
      <c r="U32" s="971">
        <f t="shared" si="15"/>
        <v>0.36351999999999995</v>
      </c>
    </row>
    <row r="33" spans="1:21" x14ac:dyDescent="0.2">
      <c r="A33" s="33">
        <f t="shared" si="0"/>
        <v>2020</v>
      </c>
      <c r="B33" s="791"/>
      <c r="C33" s="565">
        <f t="shared" si="1"/>
        <v>1093</v>
      </c>
      <c r="D33" s="965"/>
      <c r="E33" s="966"/>
      <c r="F33" s="790"/>
      <c r="G33" s="473">
        <f t="shared" si="2"/>
        <v>0</v>
      </c>
      <c r="H33" s="474">
        <f t="shared" si="2"/>
        <v>0</v>
      </c>
      <c r="I33" s="474">
        <f t="shared" si="3"/>
        <v>0</v>
      </c>
      <c r="J33" s="61">
        <f t="shared" si="4"/>
        <v>0</v>
      </c>
      <c r="K33" s="967">
        <f t="shared" si="5"/>
        <v>0</v>
      </c>
      <c r="L33" s="967">
        <f t="shared" si="6"/>
        <v>0</v>
      </c>
      <c r="M33" s="967">
        <f t="shared" si="7"/>
        <v>0.25136000000000003</v>
      </c>
      <c r="N33" s="54">
        <f t="shared" si="8"/>
        <v>0</v>
      </c>
      <c r="O33" s="968">
        <f t="shared" si="9"/>
        <v>0</v>
      </c>
      <c r="P33" s="968">
        <f t="shared" si="10"/>
        <v>0</v>
      </c>
      <c r="Q33" s="969">
        <f t="shared" si="11"/>
        <v>0.12415</v>
      </c>
      <c r="R33" s="247">
        <f t="shared" si="12"/>
        <v>0</v>
      </c>
      <c r="S33" s="24">
        <f t="shared" si="13"/>
        <v>0</v>
      </c>
      <c r="T33" s="970">
        <f t="shared" si="14"/>
        <v>0</v>
      </c>
      <c r="U33" s="971">
        <f t="shared" si="15"/>
        <v>0.36351999999999995</v>
      </c>
    </row>
    <row r="34" spans="1:21" x14ac:dyDescent="0.2">
      <c r="A34" s="33">
        <f t="shared" si="0"/>
        <v>2021</v>
      </c>
      <c r="B34" s="791"/>
      <c r="C34" s="565">
        <f t="shared" si="1"/>
        <v>1093</v>
      </c>
      <c r="D34" s="965"/>
      <c r="E34" s="966"/>
      <c r="F34" s="790"/>
      <c r="G34" s="473">
        <f t="shared" si="2"/>
        <v>0</v>
      </c>
      <c r="H34" s="474">
        <f t="shared" si="2"/>
        <v>0</v>
      </c>
      <c r="I34" s="474">
        <f t="shared" si="3"/>
        <v>0</v>
      </c>
      <c r="J34" s="61">
        <f t="shared" si="4"/>
        <v>0</v>
      </c>
      <c r="K34" s="967">
        <f t="shared" si="5"/>
        <v>0</v>
      </c>
      <c r="L34" s="967">
        <f t="shared" si="6"/>
        <v>0</v>
      </c>
      <c r="M34" s="967">
        <f t="shared" si="7"/>
        <v>0.25136000000000003</v>
      </c>
      <c r="N34" s="54">
        <f t="shared" si="8"/>
        <v>0</v>
      </c>
      <c r="O34" s="968">
        <f t="shared" si="9"/>
        <v>0</v>
      </c>
      <c r="P34" s="968">
        <f t="shared" si="10"/>
        <v>0</v>
      </c>
      <c r="Q34" s="969">
        <f t="shared" si="11"/>
        <v>0.12415</v>
      </c>
      <c r="R34" s="247">
        <f t="shared" si="12"/>
        <v>0</v>
      </c>
      <c r="S34" s="24">
        <f t="shared" si="13"/>
        <v>0</v>
      </c>
      <c r="T34" s="970">
        <f t="shared" si="14"/>
        <v>0</v>
      </c>
      <c r="U34" s="971">
        <f t="shared" si="15"/>
        <v>0.36351999999999995</v>
      </c>
    </row>
    <row r="35" spans="1:21" x14ac:dyDescent="0.2">
      <c r="A35" s="33">
        <f t="shared" si="0"/>
        <v>2022</v>
      </c>
      <c r="B35" s="791"/>
      <c r="C35" s="565">
        <f t="shared" si="1"/>
        <v>1093</v>
      </c>
      <c r="D35" s="965"/>
      <c r="E35" s="966"/>
      <c r="F35" s="790"/>
      <c r="G35" s="473">
        <f t="shared" si="2"/>
        <v>0</v>
      </c>
      <c r="H35" s="474">
        <f t="shared" si="2"/>
        <v>0</v>
      </c>
      <c r="I35" s="474">
        <f t="shared" si="3"/>
        <v>0</v>
      </c>
      <c r="J35" s="61">
        <f t="shared" si="4"/>
        <v>0</v>
      </c>
      <c r="K35" s="967">
        <f t="shared" si="5"/>
        <v>0</v>
      </c>
      <c r="L35" s="967">
        <f t="shared" si="6"/>
        <v>0</v>
      </c>
      <c r="M35" s="967">
        <f t="shared" si="7"/>
        <v>0.25136000000000003</v>
      </c>
      <c r="N35" s="54">
        <f t="shared" si="8"/>
        <v>0</v>
      </c>
      <c r="O35" s="968">
        <f t="shared" si="9"/>
        <v>0</v>
      </c>
      <c r="P35" s="968">
        <f t="shared" si="10"/>
        <v>0</v>
      </c>
      <c r="Q35" s="969">
        <f t="shared" si="11"/>
        <v>0.12415</v>
      </c>
      <c r="R35" s="247">
        <f t="shared" si="12"/>
        <v>0</v>
      </c>
      <c r="S35" s="24">
        <f t="shared" si="13"/>
        <v>0</v>
      </c>
      <c r="T35" s="970">
        <f t="shared" si="14"/>
        <v>0</v>
      </c>
      <c r="U35" s="971">
        <f t="shared" si="15"/>
        <v>0.36351999999999995</v>
      </c>
    </row>
    <row r="36" spans="1:21" x14ac:dyDescent="0.2">
      <c r="A36" s="33">
        <f t="shared" si="0"/>
        <v>2023</v>
      </c>
      <c r="B36" s="791"/>
      <c r="C36" s="565">
        <f t="shared" si="1"/>
        <v>1093</v>
      </c>
      <c r="D36" s="965"/>
      <c r="E36" s="966"/>
      <c r="F36" s="790"/>
      <c r="G36" s="473">
        <f t="shared" si="2"/>
        <v>0</v>
      </c>
      <c r="H36" s="474">
        <f t="shared" si="2"/>
        <v>0</v>
      </c>
      <c r="I36" s="474">
        <f t="shared" si="3"/>
        <v>0</v>
      </c>
      <c r="J36" s="61">
        <f t="shared" si="4"/>
        <v>0</v>
      </c>
      <c r="K36" s="967">
        <f t="shared" si="5"/>
        <v>0</v>
      </c>
      <c r="L36" s="967">
        <f t="shared" si="6"/>
        <v>0</v>
      </c>
      <c r="M36" s="967">
        <f t="shared" si="7"/>
        <v>0.25136000000000003</v>
      </c>
      <c r="N36" s="54">
        <f t="shared" si="8"/>
        <v>0</v>
      </c>
      <c r="O36" s="968">
        <f t="shared" si="9"/>
        <v>0</v>
      </c>
      <c r="P36" s="968">
        <f t="shared" si="10"/>
        <v>0</v>
      </c>
      <c r="Q36" s="969">
        <f t="shared" si="11"/>
        <v>0.12415</v>
      </c>
      <c r="R36" s="247">
        <f t="shared" si="12"/>
        <v>0</v>
      </c>
      <c r="S36" s="24">
        <f t="shared" si="13"/>
        <v>0</v>
      </c>
      <c r="T36" s="970">
        <f t="shared" si="14"/>
        <v>0</v>
      </c>
      <c r="U36" s="971">
        <f t="shared" si="15"/>
        <v>0.36351999999999995</v>
      </c>
    </row>
    <row r="37" spans="1:21" x14ac:dyDescent="0.2">
      <c r="A37" s="33">
        <f t="shared" si="0"/>
        <v>2024</v>
      </c>
      <c r="B37" s="791"/>
      <c r="C37" s="565">
        <f t="shared" si="1"/>
        <v>1093</v>
      </c>
      <c r="D37" s="965"/>
      <c r="E37" s="966"/>
      <c r="F37" s="790"/>
      <c r="G37" s="473">
        <f t="shared" si="2"/>
        <v>0</v>
      </c>
      <c r="H37" s="474">
        <f t="shared" si="2"/>
        <v>0</v>
      </c>
      <c r="I37" s="474">
        <f t="shared" si="3"/>
        <v>0</v>
      </c>
      <c r="J37" s="61">
        <f t="shared" si="4"/>
        <v>0</v>
      </c>
      <c r="K37" s="967">
        <f t="shared" si="5"/>
        <v>0</v>
      </c>
      <c r="L37" s="967">
        <f t="shared" si="6"/>
        <v>0</v>
      </c>
      <c r="M37" s="967">
        <f t="shared" si="7"/>
        <v>0.25136000000000003</v>
      </c>
      <c r="N37" s="54">
        <f t="shared" si="8"/>
        <v>0</v>
      </c>
      <c r="O37" s="968">
        <f t="shared" si="9"/>
        <v>0</v>
      </c>
      <c r="P37" s="968">
        <f t="shared" si="10"/>
        <v>0</v>
      </c>
      <c r="Q37" s="969">
        <f t="shared" si="11"/>
        <v>0.12415</v>
      </c>
      <c r="R37" s="247">
        <f t="shared" si="12"/>
        <v>0</v>
      </c>
      <c r="S37" s="24">
        <f t="shared" si="13"/>
        <v>0</v>
      </c>
      <c r="T37" s="970">
        <f t="shared" si="14"/>
        <v>0</v>
      </c>
      <c r="U37" s="971">
        <f t="shared" si="15"/>
        <v>0.36351999999999995</v>
      </c>
    </row>
    <row r="38" spans="1:21" x14ac:dyDescent="0.2">
      <c r="A38" s="33">
        <f t="shared" si="0"/>
        <v>2025</v>
      </c>
      <c r="B38" s="791"/>
      <c r="C38" s="565">
        <f t="shared" si="1"/>
        <v>1093</v>
      </c>
      <c r="D38" s="965"/>
      <c r="E38" s="966"/>
      <c r="F38" s="790"/>
      <c r="G38" s="473">
        <f t="shared" si="2"/>
        <v>0</v>
      </c>
      <c r="H38" s="474">
        <f t="shared" si="2"/>
        <v>0</v>
      </c>
      <c r="I38" s="474">
        <f t="shared" si="3"/>
        <v>0</v>
      </c>
      <c r="J38" s="61">
        <f t="shared" si="4"/>
        <v>0</v>
      </c>
      <c r="K38" s="967">
        <f t="shared" si="5"/>
        <v>0</v>
      </c>
      <c r="L38" s="967">
        <f t="shared" si="6"/>
        <v>0</v>
      </c>
      <c r="M38" s="967">
        <f t="shared" si="7"/>
        <v>0.25136000000000003</v>
      </c>
      <c r="N38" s="54">
        <f t="shared" si="8"/>
        <v>0</v>
      </c>
      <c r="O38" s="968">
        <f t="shared" si="9"/>
        <v>0</v>
      </c>
      <c r="P38" s="968">
        <f t="shared" si="10"/>
        <v>0</v>
      </c>
      <c r="Q38" s="969">
        <f t="shared" si="11"/>
        <v>0.12415</v>
      </c>
      <c r="R38" s="247">
        <f t="shared" si="12"/>
        <v>0</v>
      </c>
      <c r="S38" s="24">
        <f t="shared" si="13"/>
        <v>0</v>
      </c>
      <c r="T38" s="970">
        <f t="shared" si="14"/>
        <v>0</v>
      </c>
      <c r="U38" s="971">
        <f t="shared" si="15"/>
        <v>0.36351999999999995</v>
      </c>
    </row>
    <row r="39" spans="1:21" x14ac:dyDescent="0.2">
      <c r="A39" s="33">
        <f t="shared" si="0"/>
        <v>2026</v>
      </c>
      <c r="B39" s="791"/>
      <c r="C39" s="565">
        <f t="shared" si="1"/>
        <v>1093</v>
      </c>
      <c r="D39" s="965"/>
      <c r="E39" s="966"/>
      <c r="F39" s="790"/>
      <c r="G39" s="473">
        <f t="shared" si="2"/>
        <v>0</v>
      </c>
      <c r="H39" s="474">
        <f t="shared" si="2"/>
        <v>0</v>
      </c>
      <c r="I39" s="474">
        <f t="shared" si="3"/>
        <v>0</v>
      </c>
      <c r="J39" s="61">
        <f t="shared" si="4"/>
        <v>0</v>
      </c>
      <c r="K39" s="967">
        <f t="shared" si="5"/>
        <v>0</v>
      </c>
      <c r="L39" s="967">
        <f t="shared" si="6"/>
        <v>0</v>
      </c>
      <c r="M39" s="967">
        <f t="shared" si="7"/>
        <v>0.25136000000000003</v>
      </c>
      <c r="N39" s="54">
        <f t="shared" si="8"/>
        <v>0</v>
      </c>
      <c r="O39" s="968">
        <f t="shared" si="9"/>
        <v>0</v>
      </c>
      <c r="P39" s="968">
        <f t="shared" si="10"/>
        <v>0</v>
      </c>
      <c r="Q39" s="969">
        <f t="shared" si="11"/>
        <v>0.12415</v>
      </c>
      <c r="R39" s="247">
        <f>+(B39+B38)/2</f>
        <v>0</v>
      </c>
      <c r="S39" s="24">
        <f>+F39</f>
        <v>0</v>
      </c>
      <c r="T39" s="970">
        <f>+R39*S39/1000000</f>
        <v>0</v>
      </c>
      <c r="U39" s="971">
        <f t="shared" si="15"/>
        <v>0.36351999999999995</v>
      </c>
    </row>
    <row r="40" spans="1:21" x14ac:dyDescent="0.2">
      <c r="A40" s="33">
        <f>+A39+1</f>
        <v>2027</v>
      </c>
      <c r="B40" s="791"/>
      <c r="C40" s="565">
        <f t="shared" si="1"/>
        <v>1093</v>
      </c>
      <c r="D40" s="965"/>
      <c r="E40" s="966"/>
      <c r="F40" s="790"/>
      <c r="G40" s="473">
        <f t="shared" ref="G40:H42" si="17">+$B40*D40/1000</f>
        <v>0</v>
      </c>
      <c r="H40" s="474">
        <f t="shared" si="17"/>
        <v>0</v>
      </c>
      <c r="I40" s="474">
        <f>+$B40*F40/1000000</f>
        <v>0</v>
      </c>
      <c r="J40" s="61">
        <f>+(B40+B39)/2</f>
        <v>0</v>
      </c>
      <c r="K40" s="967">
        <f>+D40</f>
        <v>0</v>
      </c>
      <c r="L40" s="967">
        <f>+J40*K40/1000</f>
        <v>0</v>
      </c>
      <c r="M40" s="967">
        <f>+M39+L40</f>
        <v>0.25136000000000003</v>
      </c>
      <c r="N40" s="54">
        <f>+B39</f>
        <v>0</v>
      </c>
      <c r="O40" s="968">
        <f>+E40</f>
        <v>0</v>
      </c>
      <c r="P40" s="968">
        <f>+N40*O40/1000</f>
        <v>0</v>
      </c>
      <c r="Q40" s="969">
        <f>+Q39+P40</f>
        <v>0.12415</v>
      </c>
      <c r="R40" s="247">
        <f>+(B40+B39)/2</f>
        <v>0</v>
      </c>
      <c r="S40" s="24">
        <f>+F40</f>
        <v>0</v>
      </c>
      <c r="T40" s="970">
        <f>+R40*S40/1000000</f>
        <v>0</v>
      </c>
      <c r="U40" s="971">
        <f>+U39+T40</f>
        <v>0.36351999999999995</v>
      </c>
    </row>
    <row r="41" spans="1:21" x14ac:dyDescent="0.2">
      <c r="A41" s="33">
        <f t="shared" si="0"/>
        <v>2028</v>
      </c>
      <c r="B41" s="791"/>
      <c r="C41" s="565">
        <f t="shared" si="1"/>
        <v>1093</v>
      </c>
      <c r="D41" s="965"/>
      <c r="E41" s="966"/>
      <c r="F41" s="790"/>
      <c r="G41" s="473">
        <f t="shared" si="17"/>
        <v>0</v>
      </c>
      <c r="H41" s="474">
        <f t="shared" si="17"/>
        <v>0</v>
      </c>
      <c r="I41" s="474">
        <f>+$B41*F41/1000000</f>
        <v>0</v>
      </c>
      <c r="J41" s="61">
        <f>+(B41+B40)/2</f>
        <v>0</v>
      </c>
      <c r="K41" s="967">
        <f>+D41</f>
        <v>0</v>
      </c>
      <c r="L41" s="967">
        <f>+J41*K41/1000</f>
        <v>0</v>
      </c>
      <c r="M41" s="967">
        <f>+M40+L41</f>
        <v>0.25136000000000003</v>
      </c>
      <c r="N41" s="54">
        <f>+B40</f>
        <v>0</v>
      </c>
      <c r="O41" s="968">
        <f>+E41</f>
        <v>0</v>
      </c>
      <c r="P41" s="968">
        <f>+N41*O41/1000</f>
        <v>0</v>
      </c>
      <c r="Q41" s="969">
        <f>+Q40+P41</f>
        <v>0.12415</v>
      </c>
      <c r="R41" s="247">
        <f>+(B41+B40)/2</f>
        <v>0</v>
      </c>
      <c r="S41" s="24">
        <f>+F41</f>
        <v>0</v>
      </c>
      <c r="T41" s="970">
        <f>+R41*S41/1000000</f>
        <v>0</v>
      </c>
      <c r="U41" s="971">
        <f>+U40+T41</f>
        <v>0.36351999999999995</v>
      </c>
    </row>
    <row r="42" spans="1:21" x14ac:dyDescent="0.2">
      <c r="A42" s="33">
        <f t="shared" si="0"/>
        <v>2029</v>
      </c>
      <c r="B42" s="791"/>
      <c r="C42" s="565">
        <f>+C41+B42</f>
        <v>1093</v>
      </c>
      <c r="D42" s="965"/>
      <c r="E42" s="966"/>
      <c r="F42" s="790"/>
      <c r="G42" s="473">
        <f t="shared" si="17"/>
        <v>0</v>
      </c>
      <c r="H42" s="474">
        <f t="shared" si="17"/>
        <v>0</v>
      </c>
      <c r="I42" s="474">
        <f>+$B42*F42/1000000</f>
        <v>0</v>
      </c>
      <c r="J42" s="61">
        <f>+(B42+B41)/2</f>
        <v>0</v>
      </c>
      <c r="K42" s="967">
        <f>+D42</f>
        <v>0</v>
      </c>
      <c r="L42" s="967">
        <f>+J42*K42/1000</f>
        <v>0</v>
      </c>
      <c r="M42" s="967">
        <f>+M41+L42</f>
        <v>0.25136000000000003</v>
      </c>
      <c r="N42" s="54">
        <f>+B41</f>
        <v>0</v>
      </c>
      <c r="O42" s="968">
        <f>+E42</f>
        <v>0</v>
      </c>
      <c r="P42" s="968">
        <f>+N42*O42/1000</f>
        <v>0</v>
      </c>
      <c r="Q42" s="969">
        <f>+Q41+P42</f>
        <v>0.12415</v>
      </c>
      <c r="R42" s="247">
        <f>+(B42+B41)/2</f>
        <v>0</v>
      </c>
      <c r="S42" s="24">
        <f>+F42</f>
        <v>0</v>
      </c>
      <c r="T42" s="970">
        <f>+R42*S42/1000000</f>
        <v>0</v>
      </c>
      <c r="U42" s="971">
        <f>+U41+T42</f>
        <v>0.36351999999999995</v>
      </c>
    </row>
    <row r="43" spans="1:21" x14ac:dyDescent="0.2">
      <c r="A43" s="33">
        <f t="shared" si="0"/>
        <v>2030</v>
      </c>
      <c r="B43" s="791"/>
      <c r="C43" s="565">
        <f t="shared" ref="C43:C47" si="18">+C42+B43</f>
        <v>1093</v>
      </c>
      <c r="D43" s="965"/>
      <c r="E43" s="966"/>
      <c r="F43" s="790"/>
      <c r="G43" s="473">
        <f t="shared" ref="G43:G47" si="19">+$B43*D43/1000</f>
        <v>0</v>
      </c>
      <c r="H43" s="474">
        <f t="shared" ref="H43:H47" si="20">+$B43*E43/1000</f>
        <v>0</v>
      </c>
      <c r="I43" s="474">
        <f t="shared" ref="I43:I47" si="21">+$B43*F43/1000000</f>
        <v>0</v>
      </c>
      <c r="J43" s="61">
        <f t="shared" ref="J43:J47" si="22">+(B43+B42)/2</f>
        <v>0</v>
      </c>
      <c r="K43" s="967">
        <f t="shared" ref="K43:K47" si="23">+D43</f>
        <v>0</v>
      </c>
      <c r="L43" s="967">
        <f t="shared" ref="L43:L47" si="24">+J43*K43/1000</f>
        <v>0</v>
      </c>
      <c r="M43" s="967">
        <f t="shared" ref="M43:M47" si="25">+M42+L43</f>
        <v>0.25136000000000003</v>
      </c>
      <c r="N43" s="54">
        <f t="shared" ref="N43:N47" si="26">+B42</f>
        <v>0</v>
      </c>
      <c r="O43" s="968">
        <f t="shared" ref="O43:O47" si="27">+E43</f>
        <v>0</v>
      </c>
      <c r="P43" s="968">
        <f t="shared" ref="P43:P47" si="28">+N43*O43/1000</f>
        <v>0</v>
      </c>
      <c r="Q43" s="969">
        <f t="shared" ref="Q43:Q47" si="29">+Q42+P43</f>
        <v>0.12415</v>
      </c>
      <c r="R43" s="247">
        <f t="shared" ref="R43:R47" si="30">+(B43+B42)/2</f>
        <v>0</v>
      </c>
      <c r="S43" s="24">
        <f t="shared" ref="S43:S47" si="31">+F43</f>
        <v>0</v>
      </c>
      <c r="T43" s="970">
        <f t="shared" ref="T43:T47" si="32">+R43*S43/1000000</f>
        <v>0</v>
      </c>
      <c r="U43" s="971">
        <f t="shared" ref="U43:U47" si="33">+U42+T43</f>
        <v>0.36351999999999995</v>
      </c>
    </row>
    <row r="44" spans="1:21" x14ac:dyDescent="0.2">
      <c r="A44" s="33">
        <f t="shared" si="0"/>
        <v>2031</v>
      </c>
      <c r="B44" s="791"/>
      <c r="C44" s="565">
        <f t="shared" si="18"/>
        <v>1093</v>
      </c>
      <c r="D44" s="965"/>
      <c r="E44" s="966"/>
      <c r="F44" s="790"/>
      <c r="G44" s="473">
        <f t="shared" si="19"/>
        <v>0</v>
      </c>
      <c r="H44" s="474">
        <f t="shared" si="20"/>
        <v>0</v>
      </c>
      <c r="I44" s="474">
        <f t="shared" si="21"/>
        <v>0</v>
      </c>
      <c r="J44" s="61">
        <f t="shared" si="22"/>
        <v>0</v>
      </c>
      <c r="K44" s="967">
        <f t="shared" si="23"/>
        <v>0</v>
      </c>
      <c r="L44" s="967">
        <f t="shared" si="24"/>
        <v>0</v>
      </c>
      <c r="M44" s="967">
        <f t="shared" si="25"/>
        <v>0.25136000000000003</v>
      </c>
      <c r="N44" s="54">
        <f t="shared" si="26"/>
        <v>0</v>
      </c>
      <c r="O44" s="968">
        <f t="shared" si="27"/>
        <v>0</v>
      </c>
      <c r="P44" s="968">
        <f t="shared" si="28"/>
        <v>0</v>
      </c>
      <c r="Q44" s="969">
        <f t="shared" si="29"/>
        <v>0.12415</v>
      </c>
      <c r="R44" s="247">
        <f t="shared" si="30"/>
        <v>0</v>
      </c>
      <c r="S44" s="24">
        <f t="shared" si="31"/>
        <v>0</v>
      </c>
      <c r="T44" s="970">
        <f t="shared" si="32"/>
        <v>0</v>
      </c>
      <c r="U44" s="971">
        <f t="shared" si="33"/>
        <v>0.36351999999999995</v>
      </c>
    </row>
    <row r="45" spans="1:21" x14ac:dyDescent="0.2">
      <c r="A45" s="33">
        <f t="shared" si="0"/>
        <v>2032</v>
      </c>
      <c r="B45" s="791"/>
      <c r="C45" s="565">
        <f t="shared" si="18"/>
        <v>1093</v>
      </c>
      <c r="D45" s="965"/>
      <c r="E45" s="966"/>
      <c r="F45" s="790"/>
      <c r="G45" s="473">
        <f t="shared" si="19"/>
        <v>0</v>
      </c>
      <c r="H45" s="474">
        <f t="shared" si="20"/>
        <v>0</v>
      </c>
      <c r="I45" s="474">
        <f t="shared" si="21"/>
        <v>0</v>
      </c>
      <c r="J45" s="61">
        <f t="shared" si="22"/>
        <v>0</v>
      </c>
      <c r="K45" s="967">
        <f t="shared" si="23"/>
        <v>0</v>
      </c>
      <c r="L45" s="967">
        <f t="shared" si="24"/>
        <v>0</v>
      </c>
      <c r="M45" s="967">
        <f t="shared" si="25"/>
        <v>0.25136000000000003</v>
      </c>
      <c r="N45" s="54">
        <f t="shared" si="26"/>
        <v>0</v>
      </c>
      <c r="O45" s="968">
        <f t="shared" si="27"/>
        <v>0</v>
      </c>
      <c r="P45" s="968">
        <f t="shared" si="28"/>
        <v>0</v>
      </c>
      <c r="Q45" s="969">
        <f t="shared" si="29"/>
        <v>0.12415</v>
      </c>
      <c r="R45" s="247">
        <f t="shared" si="30"/>
        <v>0</v>
      </c>
      <c r="S45" s="24">
        <f t="shared" si="31"/>
        <v>0</v>
      </c>
      <c r="T45" s="970">
        <f t="shared" si="32"/>
        <v>0</v>
      </c>
      <c r="U45" s="971">
        <f t="shared" si="33"/>
        <v>0.36351999999999995</v>
      </c>
    </row>
    <row r="46" spans="1:21" x14ac:dyDescent="0.2">
      <c r="A46" s="33">
        <f t="shared" si="0"/>
        <v>2033</v>
      </c>
      <c r="B46" s="791"/>
      <c r="C46" s="565">
        <f t="shared" si="18"/>
        <v>1093</v>
      </c>
      <c r="D46" s="965"/>
      <c r="E46" s="966"/>
      <c r="F46" s="790"/>
      <c r="G46" s="473">
        <f t="shared" si="19"/>
        <v>0</v>
      </c>
      <c r="H46" s="474">
        <f t="shared" si="20"/>
        <v>0</v>
      </c>
      <c r="I46" s="474">
        <f t="shared" si="21"/>
        <v>0</v>
      </c>
      <c r="J46" s="61">
        <f t="shared" si="22"/>
        <v>0</v>
      </c>
      <c r="K46" s="967">
        <f t="shared" si="23"/>
        <v>0</v>
      </c>
      <c r="L46" s="967">
        <f t="shared" si="24"/>
        <v>0</v>
      </c>
      <c r="M46" s="967">
        <f t="shared" si="25"/>
        <v>0.25136000000000003</v>
      </c>
      <c r="N46" s="54">
        <f t="shared" si="26"/>
        <v>0</v>
      </c>
      <c r="O46" s="968">
        <f t="shared" si="27"/>
        <v>0</v>
      </c>
      <c r="P46" s="968">
        <f t="shared" si="28"/>
        <v>0</v>
      </c>
      <c r="Q46" s="969">
        <f t="shared" si="29"/>
        <v>0.12415</v>
      </c>
      <c r="R46" s="247">
        <f t="shared" si="30"/>
        <v>0</v>
      </c>
      <c r="S46" s="24">
        <f t="shared" si="31"/>
        <v>0</v>
      </c>
      <c r="T46" s="970">
        <f t="shared" si="32"/>
        <v>0</v>
      </c>
      <c r="U46" s="971">
        <f t="shared" si="33"/>
        <v>0.36351999999999995</v>
      </c>
    </row>
    <row r="47" spans="1:21" x14ac:dyDescent="0.2">
      <c r="A47" s="33">
        <f t="shared" si="0"/>
        <v>2034</v>
      </c>
      <c r="B47" s="791"/>
      <c r="C47" s="565">
        <f t="shared" si="18"/>
        <v>1093</v>
      </c>
      <c r="D47" s="965"/>
      <c r="E47" s="966"/>
      <c r="F47" s="790"/>
      <c r="G47" s="473">
        <f t="shared" si="19"/>
        <v>0</v>
      </c>
      <c r="H47" s="474">
        <f t="shared" si="20"/>
        <v>0</v>
      </c>
      <c r="I47" s="474">
        <f t="shared" si="21"/>
        <v>0</v>
      </c>
      <c r="J47" s="61">
        <f t="shared" si="22"/>
        <v>0</v>
      </c>
      <c r="K47" s="967">
        <f t="shared" si="23"/>
        <v>0</v>
      </c>
      <c r="L47" s="967">
        <f t="shared" si="24"/>
        <v>0</v>
      </c>
      <c r="M47" s="967">
        <f t="shared" si="25"/>
        <v>0.25136000000000003</v>
      </c>
      <c r="N47" s="54">
        <f t="shared" si="26"/>
        <v>0</v>
      </c>
      <c r="O47" s="968">
        <f t="shared" si="27"/>
        <v>0</v>
      </c>
      <c r="P47" s="968">
        <f t="shared" si="28"/>
        <v>0</v>
      </c>
      <c r="Q47" s="969">
        <f t="shared" si="29"/>
        <v>0.12415</v>
      </c>
      <c r="R47" s="247">
        <f t="shared" si="30"/>
        <v>0</v>
      </c>
      <c r="S47" s="24">
        <f t="shared" si="31"/>
        <v>0</v>
      </c>
      <c r="T47" s="970">
        <f t="shared" si="32"/>
        <v>0</v>
      </c>
      <c r="U47" s="971">
        <f t="shared" si="33"/>
        <v>0.36351999999999995</v>
      </c>
    </row>
    <row r="48" spans="1:21" x14ac:dyDescent="0.2">
      <c r="A48" s="33">
        <f t="shared" si="0"/>
        <v>2035</v>
      </c>
      <c r="B48" s="791">
        <f>B47</f>
        <v>0</v>
      </c>
      <c r="C48" s="565">
        <f t="shared" ref="C48:C54" si="34">+C47+B48</f>
        <v>1093</v>
      </c>
      <c r="D48" s="965"/>
      <c r="E48" s="966"/>
      <c r="F48" s="790"/>
      <c r="G48" s="473">
        <f t="shared" ref="G48:G54" si="35">+$B48*D48/1000</f>
        <v>0</v>
      </c>
      <c r="H48" s="474">
        <f t="shared" ref="H48:H54" si="36">+$B48*E48/1000</f>
        <v>0</v>
      </c>
      <c r="I48" s="474">
        <f t="shared" ref="I48:I54" si="37">+$B48*F48/1000000</f>
        <v>0</v>
      </c>
      <c r="J48" s="61">
        <f t="shared" ref="J48:J54" si="38">+(B48+B47)/2</f>
        <v>0</v>
      </c>
      <c r="K48" s="967">
        <f t="shared" ref="K48:K54" si="39">+D48</f>
        <v>0</v>
      </c>
      <c r="L48" s="967">
        <f t="shared" ref="L48:L54" si="40">+J48*K48/1000</f>
        <v>0</v>
      </c>
      <c r="M48" s="967">
        <f t="shared" ref="M48:M54" si="41">+M47+L48</f>
        <v>0.25136000000000003</v>
      </c>
      <c r="N48" s="54">
        <f t="shared" ref="N48:N54" si="42">+B47</f>
        <v>0</v>
      </c>
      <c r="O48" s="968">
        <f t="shared" ref="O48:O54" si="43">+E48</f>
        <v>0</v>
      </c>
      <c r="P48" s="968">
        <f t="shared" ref="P48:P54" si="44">+N48*O48/1000</f>
        <v>0</v>
      </c>
      <c r="Q48" s="969">
        <f t="shared" ref="Q48:Q54" si="45">+Q47+P48</f>
        <v>0.12415</v>
      </c>
      <c r="R48" s="247">
        <f t="shared" ref="R48:R54" si="46">+(B48+B47)/2</f>
        <v>0</v>
      </c>
      <c r="S48" s="24">
        <f t="shared" ref="S48:S54" si="47">+F48</f>
        <v>0</v>
      </c>
      <c r="T48" s="970">
        <f t="shared" ref="T48:T54" si="48">+R48*S48/1000000</f>
        <v>0</v>
      </c>
      <c r="U48" s="971">
        <f t="shared" ref="U48:U54" si="49">+U47+T48</f>
        <v>0.36351999999999995</v>
      </c>
    </row>
    <row r="49" spans="1:21" x14ac:dyDescent="0.2">
      <c r="A49" s="33">
        <f t="shared" si="0"/>
        <v>2036</v>
      </c>
      <c r="B49" s="791">
        <f t="shared" ref="B49:B54" si="50">B48</f>
        <v>0</v>
      </c>
      <c r="C49" s="565">
        <f t="shared" si="34"/>
        <v>1093</v>
      </c>
      <c r="D49" s="965"/>
      <c r="E49" s="966"/>
      <c r="F49" s="790"/>
      <c r="G49" s="473">
        <f t="shared" si="35"/>
        <v>0</v>
      </c>
      <c r="H49" s="474">
        <f t="shared" si="36"/>
        <v>0</v>
      </c>
      <c r="I49" s="474">
        <f t="shared" si="37"/>
        <v>0</v>
      </c>
      <c r="J49" s="61">
        <f t="shared" si="38"/>
        <v>0</v>
      </c>
      <c r="K49" s="967">
        <f t="shared" si="39"/>
        <v>0</v>
      </c>
      <c r="L49" s="967">
        <f t="shared" si="40"/>
        <v>0</v>
      </c>
      <c r="M49" s="967">
        <f t="shared" si="41"/>
        <v>0.25136000000000003</v>
      </c>
      <c r="N49" s="54">
        <f t="shared" si="42"/>
        <v>0</v>
      </c>
      <c r="O49" s="968">
        <f t="shared" si="43"/>
        <v>0</v>
      </c>
      <c r="P49" s="968">
        <f t="shared" si="44"/>
        <v>0</v>
      </c>
      <c r="Q49" s="969">
        <f t="shared" si="45"/>
        <v>0.12415</v>
      </c>
      <c r="R49" s="247">
        <f t="shared" si="46"/>
        <v>0</v>
      </c>
      <c r="S49" s="24">
        <f t="shared" si="47"/>
        <v>0</v>
      </c>
      <c r="T49" s="970">
        <f t="shared" si="48"/>
        <v>0</v>
      </c>
      <c r="U49" s="971">
        <f t="shared" si="49"/>
        <v>0.36351999999999995</v>
      </c>
    </row>
    <row r="50" spans="1:21" x14ac:dyDescent="0.2">
      <c r="A50" s="33">
        <f t="shared" si="0"/>
        <v>2037</v>
      </c>
      <c r="B50" s="791">
        <f t="shared" si="50"/>
        <v>0</v>
      </c>
      <c r="C50" s="565">
        <f t="shared" si="34"/>
        <v>1093</v>
      </c>
      <c r="D50" s="965"/>
      <c r="E50" s="966"/>
      <c r="F50" s="790"/>
      <c r="G50" s="473">
        <f t="shared" si="35"/>
        <v>0</v>
      </c>
      <c r="H50" s="474">
        <f t="shared" si="36"/>
        <v>0</v>
      </c>
      <c r="I50" s="474">
        <f t="shared" si="37"/>
        <v>0</v>
      </c>
      <c r="J50" s="61">
        <f t="shared" si="38"/>
        <v>0</v>
      </c>
      <c r="K50" s="967">
        <f t="shared" si="39"/>
        <v>0</v>
      </c>
      <c r="L50" s="967">
        <f t="shared" si="40"/>
        <v>0</v>
      </c>
      <c r="M50" s="967">
        <f t="shared" si="41"/>
        <v>0.25136000000000003</v>
      </c>
      <c r="N50" s="54">
        <f t="shared" si="42"/>
        <v>0</v>
      </c>
      <c r="O50" s="968">
        <f t="shared" si="43"/>
        <v>0</v>
      </c>
      <c r="P50" s="968">
        <f t="shared" si="44"/>
        <v>0</v>
      </c>
      <c r="Q50" s="969">
        <f t="shared" si="45"/>
        <v>0.12415</v>
      </c>
      <c r="R50" s="247">
        <f t="shared" si="46"/>
        <v>0</v>
      </c>
      <c r="S50" s="24">
        <f t="shared" si="47"/>
        <v>0</v>
      </c>
      <c r="T50" s="970">
        <f t="shared" si="48"/>
        <v>0</v>
      </c>
      <c r="U50" s="971">
        <f t="shared" si="49"/>
        <v>0.36351999999999995</v>
      </c>
    </row>
    <row r="51" spans="1:21" x14ac:dyDescent="0.2">
      <c r="A51" s="33">
        <f t="shared" si="0"/>
        <v>2038</v>
      </c>
      <c r="B51" s="791">
        <f t="shared" si="50"/>
        <v>0</v>
      </c>
      <c r="C51" s="565">
        <f t="shared" si="34"/>
        <v>1093</v>
      </c>
      <c r="D51" s="965"/>
      <c r="E51" s="966"/>
      <c r="F51" s="790"/>
      <c r="G51" s="473">
        <f t="shared" si="35"/>
        <v>0</v>
      </c>
      <c r="H51" s="474">
        <f t="shared" si="36"/>
        <v>0</v>
      </c>
      <c r="I51" s="474">
        <f t="shared" si="37"/>
        <v>0</v>
      </c>
      <c r="J51" s="61">
        <f t="shared" si="38"/>
        <v>0</v>
      </c>
      <c r="K51" s="967">
        <f t="shared" si="39"/>
        <v>0</v>
      </c>
      <c r="L51" s="967">
        <f t="shared" si="40"/>
        <v>0</v>
      </c>
      <c r="M51" s="967">
        <f t="shared" si="41"/>
        <v>0.25136000000000003</v>
      </c>
      <c r="N51" s="54">
        <f t="shared" si="42"/>
        <v>0</v>
      </c>
      <c r="O51" s="968">
        <f t="shared" si="43"/>
        <v>0</v>
      </c>
      <c r="P51" s="968">
        <f t="shared" si="44"/>
        <v>0</v>
      </c>
      <c r="Q51" s="969">
        <f t="shared" si="45"/>
        <v>0.12415</v>
      </c>
      <c r="R51" s="247">
        <f t="shared" si="46"/>
        <v>0</v>
      </c>
      <c r="S51" s="24">
        <f t="shared" si="47"/>
        <v>0</v>
      </c>
      <c r="T51" s="970">
        <f t="shared" si="48"/>
        <v>0</v>
      </c>
      <c r="U51" s="971">
        <f t="shared" si="49"/>
        <v>0.36351999999999995</v>
      </c>
    </row>
    <row r="52" spans="1:21" x14ac:dyDescent="0.2">
      <c r="A52" s="33">
        <f t="shared" si="0"/>
        <v>2039</v>
      </c>
      <c r="B52" s="791">
        <f t="shared" si="50"/>
        <v>0</v>
      </c>
      <c r="C52" s="565">
        <f t="shared" si="34"/>
        <v>1093</v>
      </c>
      <c r="D52" s="965"/>
      <c r="E52" s="966"/>
      <c r="F52" s="790"/>
      <c r="G52" s="473">
        <f t="shared" si="35"/>
        <v>0</v>
      </c>
      <c r="H52" s="474">
        <f t="shared" si="36"/>
        <v>0</v>
      </c>
      <c r="I52" s="474">
        <f t="shared" si="37"/>
        <v>0</v>
      </c>
      <c r="J52" s="61">
        <f t="shared" si="38"/>
        <v>0</v>
      </c>
      <c r="K52" s="967">
        <f t="shared" si="39"/>
        <v>0</v>
      </c>
      <c r="L52" s="967">
        <f t="shared" si="40"/>
        <v>0</v>
      </c>
      <c r="M52" s="967">
        <f t="shared" si="41"/>
        <v>0.25136000000000003</v>
      </c>
      <c r="N52" s="54">
        <f t="shared" si="42"/>
        <v>0</v>
      </c>
      <c r="O52" s="968">
        <f t="shared" si="43"/>
        <v>0</v>
      </c>
      <c r="P52" s="968">
        <f t="shared" si="44"/>
        <v>0</v>
      </c>
      <c r="Q52" s="969">
        <f t="shared" si="45"/>
        <v>0.12415</v>
      </c>
      <c r="R52" s="247">
        <f t="shared" si="46"/>
        <v>0</v>
      </c>
      <c r="S52" s="24">
        <f t="shared" si="47"/>
        <v>0</v>
      </c>
      <c r="T52" s="970">
        <f t="shared" si="48"/>
        <v>0</v>
      </c>
      <c r="U52" s="971">
        <f t="shared" si="49"/>
        <v>0.36351999999999995</v>
      </c>
    </row>
    <row r="53" spans="1:21" x14ac:dyDescent="0.2">
      <c r="A53" s="33">
        <f t="shared" si="0"/>
        <v>2040</v>
      </c>
      <c r="B53" s="791">
        <f t="shared" si="50"/>
        <v>0</v>
      </c>
      <c r="C53" s="565">
        <f t="shared" si="34"/>
        <v>1093</v>
      </c>
      <c r="D53" s="965"/>
      <c r="E53" s="966"/>
      <c r="F53" s="790"/>
      <c r="G53" s="473">
        <f t="shared" si="35"/>
        <v>0</v>
      </c>
      <c r="H53" s="474">
        <f t="shared" si="36"/>
        <v>0</v>
      </c>
      <c r="I53" s="474">
        <f t="shared" si="37"/>
        <v>0</v>
      </c>
      <c r="J53" s="61">
        <f t="shared" si="38"/>
        <v>0</v>
      </c>
      <c r="K53" s="967">
        <f t="shared" si="39"/>
        <v>0</v>
      </c>
      <c r="L53" s="967">
        <f t="shared" si="40"/>
        <v>0</v>
      </c>
      <c r="M53" s="967">
        <f t="shared" si="41"/>
        <v>0.25136000000000003</v>
      </c>
      <c r="N53" s="54">
        <f t="shared" si="42"/>
        <v>0</v>
      </c>
      <c r="O53" s="968">
        <f t="shared" si="43"/>
        <v>0</v>
      </c>
      <c r="P53" s="968">
        <f t="shared" si="44"/>
        <v>0</v>
      </c>
      <c r="Q53" s="969">
        <f t="shared" si="45"/>
        <v>0.12415</v>
      </c>
      <c r="R53" s="247">
        <f t="shared" si="46"/>
        <v>0</v>
      </c>
      <c r="S53" s="24">
        <f t="shared" si="47"/>
        <v>0</v>
      </c>
      <c r="T53" s="970">
        <f t="shared" si="48"/>
        <v>0</v>
      </c>
      <c r="U53" s="971">
        <f t="shared" si="49"/>
        <v>0.36351999999999995</v>
      </c>
    </row>
    <row r="54" spans="1:21" x14ac:dyDescent="0.2">
      <c r="A54" s="33">
        <f t="shared" si="0"/>
        <v>2041</v>
      </c>
      <c r="B54" s="791">
        <f t="shared" si="50"/>
        <v>0</v>
      </c>
      <c r="C54" s="565">
        <f t="shared" si="34"/>
        <v>1093</v>
      </c>
      <c r="D54" s="965"/>
      <c r="E54" s="966"/>
      <c r="F54" s="790"/>
      <c r="G54" s="473">
        <f t="shared" si="35"/>
        <v>0</v>
      </c>
      <c r="H54" s="474">
        <f t="shared" si="36"/>
        <v>0</v>
      </c>
      <c r="I54" s="474">
        <f t="shared" si="37"/>
        <v>0</v>
      </c>
      <c r="J54" s="61">
        <f t="shared" si="38"/>
        <v>0</v>
      </c>
      <c r="K54" s="967">
        <f t="shared" si="39"/>
        <v>0</v>
      </c>
      <c r="L54" s="967">
        <f t="shared" si="40"/>
        <v>0</v>
      </c>
      <c r="M54" s="967">
        <f t="shared" si="41"/>
        <v>0.25136000000000003</v>
      </c>
      <c r="N54" s="54">
        <f t="shared" si="42"/>
        <v>0</v>
      </c>
      <c r="O54" s="968">
        <f t="shared" si="43"/>
        <v>0</v>
      </c>
      <c r="P54" s="968">
        <f t="shared" si="44"/>
        <v>0</v>
      </c>
      <c r="Q54" s="969">
        <f t="shared" si="45"/>
        <v>0.12415</v>
      </c>
      <c r="R54" s="247">
        <f t="shared" si="46"/>
        <v>0</v>
      </c>
      <c r="S54" s="24">
        <f t="shared" si="47"/>
        <v>0</v>
      </c>
      <c r="T54" s="970">
        <f t="shared" si="48"/>
        <v>0</v>
      </c>
      <c r="U54" s="971">
        <f t="shared" si="49"/>
        <v>0.36351999999999995</v>
      </c>
    </row>
    <row r="55" spans="1:21" s="2" customFormat="1" x14ac:dyDescent="0.2">
      <c r="A55" s="491"/>
      <c r="B55" s="1065"/>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
    <tabColor rgb="FFFF0000"/>
    <pageSetUpPr fitToPage="1"/>
  </sheetPr>
  <dimension ref="A1:X83"/>
  <sheetViews>
    <sheetView workbookViewId="0">
      <pane xSplit="1" ySplit="5" topLeftCell="B18" activePane="bottomRight" state="frozen"/>
      <selection activeCell="A3" sqref="A3:M4"/>
      <selection pane="topRight" activeCell="A3" sqref="A3:M4"/>
      <selection pane="bottomLeft" activeCell="A3" sqref="A3:M4"/>
      <selection pane="bottomRight" activeCell="B3" sqref="B3"/>
    </sheetView>
  </sheetViews>
  <sheetFormatPr defaultRowHeight="12.75" x14ac:dyDescent="0.2"/>
  <cols>
    <col min="1" max="1" width="11.7109375" customWidth="1"/>
    <col min="2" max="3" width="10.28515625" customWidth="1"/>
    <col min="4" max="4" width="10" customWidth="1"/>
    <col min="5" max="5" width="10.425781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6" t="s">
        <v>229</v>
      </c>
      <c r="F1" s="4"/>
      <c r="G1" s="4"/>
      <c r="H1" s="4"/>
      <c r="I1" s="249"/>
      <c r="J1" s="249"/>
      <c r="K1" s="4"/>
      <c r="L1" s="4"/>
      <c r="M1" s="4"/>
      <c r="N1" s="4"/>
    </row>
    <row r="2" spans="1:24" ht="16.5" thickBot="1" x14ac:dyDescent="0.3">
      <c r="A2" s="5" t="s">
        <v>1</v>
      </c>
      <c r="B2" s="27" t="s">
        <v>389</v>
      </c>
      <c r="C2" s="27"/>
      <c r="D2" s="27"/>
      <c r="E2" s="1034" t="s">
        <v>388</v>
      </c>
      <c r="F2" s="27"/>
      <c r="G2" s="27"/>
      <c r="H2" s="27"/>
      <c r="I2" s="27"/>
      <c r="J2" s="27"/>
      <c r="K2" s="27"/>
      <c r="L2" s="4"/>
      <c r="M2" s="4"/>
      <c r="N2" s="4"/>
    </row>
    <row r="3" spans="1:24" ht="16.5" thickBot="1" x14ac:dyDescent="0.3">
      <c r="A3" s="4"/>
      <c r="B3" s="464" t="s">
        <v>416</v>
      </c>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430" t="s">
        <v>29</v>
      </c>
      <c r="O4" s="213"/>
      <c r="P4" s="213"/>
      <c r="Q4" s="431"/>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10096</v>
      </c>
      <c r="D6" s="628"/>
      <c r="E6" s="15"/>
      <c r="F6" s="31"/>
      <c r="G6" s="208"/>
      <c r="H6" s="15"/>
      <c r="I6" s="31"/>
      <c r="J6" s="37"/>
      <c r="K6" s="59">
        <f>+M6/C6*1000</f>
        <v>0.25752773375594296</v>
      </c>
      <c r="L6" s="6"/>
      <c r="M6" s="46">
        <v>2.6</v>
      </c>
      <c r="N6" s="40"/>
      <c r="O6" s="55">
        <f>+Q6/C6*1000</f>
        <v>0.35558637083993661</v>
      </c>
      <c r="P6" s="57"/>
      <c r="Q6" s="41">
        <v>3.59</v>
      </c>
      <c r="R6" s="43"/>
      <c r="S6" s="24">
        <f>+U6/C6*1000000</f>
        <v>610.1426307448495</v>
      </c>
      <c r="T6" s="21"/>
      <c r="U6" s="47">
        <v>6.16</v>
      </c>
      <c r="V6" s="3"/>
    </row>
    <row r="7" spans="1:24" s="1" customFormat="1" ht="15.75" customHeight="1" x14ac:dyDescent="0.2">
      <c r="A7" s="68" t="s">
        <v>63</v>
      </c>
      <c r="B7" s="30"/>
      <c r="C7" s="659">
        <f>6359+C6</f>
        <v>16455</v>
      </c>
      <c r="D7" s="628"/>
      <c r="E7" s="15"/>
      <c r="F7" s="31"/>
      <c r="G7" s="208"/>
      <c r="H7" s="15"/>
      <c r="I7" s="31"/>
      <c r="J7" s="37"/>
      <c r="K7" s="59">
        <f>+(M7-M6)/($C7-$C6)*1000</f>
        <v>0.2390312942286523</v>
      </c>
      <c r="L7" s="6"/>
      <c r="M7" s="46">
        <f>+M6+1.52</f>
        <v>4.12</v>
      </c>
      <c r="N7" s="40"/>
      <c r="O7" s="55">
        <f>+(Q7-Q6)/($C7-$C6)*1000</f>
        <v>0.38056298160088065</v>
      </c>
      <c r="P7" s="57"/>
      <c r="Q7" s="41">
        <f>+Q6+2.42</f>
        <v>6.01</v>
      </c>
      <c r="R7" s="43"/>
      <c r="S7" s="24">
        <f>+(U7-U6)/($C7-$C6)*1000000</f>
        <v>421.44991350841326</v>
      </c>
      <c r="T7" s="21"/>
      <c r="U7" s="47">
        <f>+U6+2.68</f>
        <v>8.84</v>
      </c>
      <c r="V7" s="3"/>
    </row>
    <row r="8" spans="1:24" x14ac:dyDescent="0.2">
      <c r="A8" s="33">
        <v>1995</v>
      </c>
      <c r="B8" s="30">
        <v>1318</v>
      </c>
      <c r="C8" s="660">
        <f>+C7+B8</f>
        <v>17773</v>
      </c>
      <c r="D8" s="662">
        <v>0.24279210925644917</v>
      </c>
      <c r="E8" s="663">
        <v>0.37936267071320184</v>
      </c>
      <c r="F8" s="617">
        <v>455.2352048558422</v>
      </c>
      <c r="G8" s="626">
        <v>0.32</v>
      </c>
      <c r="H8" s="72">
        <v>0.5</v>
      </c>
      <c r="I8" s="630">
        <v>0.6</v>
      </c>
      <c r="J8" s="61">
        <f>+(B8+N8)/2</f>
        <v>1220</v>
      </c>
      <c r="K8" s="188">
        <f>+D8</f>
        <v>0.24279210925644917</v>
      </c>
      <c r="L8" s="188">
        <f>+J8*K8/1000</f>
        <v>0.29620637329286797</v>
      </c>
      <c r="M8" s="188">
        <f>+M7+L8</f>
        <v>4.4162063732928685</v>
      </c>
      <c r="N8" s="51">
        <v>1122</v>
      </c>
      <c r="O8" s="670">
        <f>+E8</f>
        <v>0.37936267071320184</v>
      </c>
      <c r="P8" s="670">
        <f>+N8*O8/1000</f>
        <v>0.42564491654021247</v>
      </c>
      <c r="Q8" s="670">
        <f>+Q7+P8</f>
        <v>6.4356449165402125</v>
      </c>
      <c r="R8" s="247">
        <f>J8</f>
        <v>1220</v>
      </c>
      <c r="S8" s="24">
        <f>+F8</f>
        <v>455.2352048558422</v>
      </c>
      <c r="T8" s="25">
        <f>+R8*S8/1000000</f>
        <v>0.5553869499241274</v>
      </c>
      <c r="U8" s="654">
        <f>+U7+T8</f>
        <v>9.3953869499241272</v>
      </c>
      <c r="V8" s="9"/>
      <c r="X8" s="1"/>
    </row>
    <row r="9" spans="1:24" x14ac:dyDescent="0.2">
      <c r="A9" s="33">
        <v>1996</v>
      </c>
      <c r="B9" s="30">
        <v>3453</v>
      </c>
      <c r="C9" s="660">
        <f t="shared" ref="C9:C38" si="0">+C8+B9</f>
        <v>21226</v>
      </c>
      <c r="D9" s="662">
        <v>6.0000000000000005E-2</v>
      </c>
      <c r="E9" s="663">
        <v>0.43399942079351284</v>
      </c>
      <c r="F9" s="617">
        <v>538</v>
      </c>
      <c r="G9" s="626">
        <v>0.20718</v>
      </c>
      <c r="H9" s="72">
        <v>1.4985999999999999</v>
      </c>
      <c r="I9" s="630">
        <v>1.8577140000000001</v>
      </c>
      <c r="J9" s="61">
        <f t="shared" ref="J9:J37" si="1">+(B9+B8)/2</f>
        <v>2385.5</v>
      </c>
      <c r="K9" s="188">
        <f t="shared" ref="K9:K37" si="2">+D9</f>
        <v>6.0000000000000005E-2</v>
      </c>
      <c r="L9" s="188">
        <f t="shared" ref="L9:L37" si="3">+J9*K9/1000</f>
        <v>0.14313000000000003</v>
      </c>
      <c r="M9" s="188">
        <f t="shared" ref="M9:M37" si="4">+M8+L9</f>
        <v>4.5593363732928687</v>
      </c>
      <c r="N9" s="54">
        <f>+B8</f>
        <v>1318</v>
      </c>
      <c r="O9" s="670">
        <f t="shared" ref="O9:O37" si="5">+E9</f>
        <v>0.43399942079351284</v>
      </c>
      <c r="P9" s="670">
        <f t="shared" ref="P9:P37" si="6">+N9*O9/1000</f>
        <v>0.57201123660584996</v>
      </c>
      <c r="Q9" s="670">
        <f t="shared" ref="Q9:Q37" si="7">+Q8+P9</f>
        <v>7.0076561531460628</v>
      </c>
      <c r="R9" s="247">
        <f t="shared" ref="R9:R37" si="8">+(B9+B8)/2</f>
        <v>2385.5</v>
      </c>
      <c r="S9" s="24">
        <f t="shared" ref="S9:S37" si="9">+F9</f>
        <v>538</v>
      </c>
      <c r="T9" s="25">
        <f t="shared" ref="T9:T37" si="10">+R9*S9/1000000</f>
        <v>1.283399</v>
      </c>
      <c r="U9" s="654">
        <f t="shared" ref="U9:U37" si="11">+U8+T9</f>
        <v>10.678785949924126</v>
      </c>
      <c r="V9" s="10"/>
      <c r="X9" s="1"/>
    </row>
    <row r="10" spans="1:24" x14ac:dyDescent="0.2">
      <c r="A10" s="33">
        <v>1997</v>
      </c>
      <c r="B10" s="30">
        <v>4587</v>
      </c>
      <c r="C10" s="660">
        <f t="shared" si="0"/>
        <v>25813</v>
      </c>
      <c r="D10" s="662">
        <v>6.0000000000000005E-2</v>
      </c>
      <c r="E10" s="663">
        <v>0.43400043601482452</v>
      </c>
      <c r="F10" s="617">
        <v>538</v>
      </c>
      <c r="G10" s="626">
        <v>0.27522000000000002</v>
      </c>
      <c r="H10" s="72">
        <v>1.9907600000000001</v>
      </c>
      <c r="I10" s="630">
        <v>2.4678059999999999</v>
      </c>
      <c r="J10" s="61">
        <f t="shared" si="1"/>
        <v>4020</v>
      </c>
      <c r="K10" s="188">
        <f t="shared" si="2"/>
        <v>6.0000000000000005E-2</v>
      </c>
      <c r="L10" s="188">
        <f t="shared" si="3"/>
        <v>0.24120000000000003</v>
      </c>
      <c r="M10" s="188">
        <f t="shared" si="4"/>
        <v>4.8005363732928688</v>
      </c>
      <c r="N10" s="54">
        <f t="shared" ref="N10:N37" si="12">+B9</f>
        <v>3453</v>
      </c>
      <c r="O10" s="670">
        <f t="shared" si="5"/>
        <v>0.43400043601482452</v>
      </c>
      <c r="P10" s="670">
        <f t="shared" si="6"/>
        <v>1.4986035055591891</v>
      </c>
      <c r="Q10" s="670">
        <f t="shared" si="7"/>
        <v>8.5062596587052521</v>
      </c>
      <c r="R10" s="247">
        <f t="shared" si="8"/>
        <v>4020</v>
      </c>
      <c r="S10" s="24">
        <f t="shared" si="9"/>
        <v>538</v>
      </c>
      <c r="T10" s="25">
        <f t="shared" si="10"/>
        <v>2.16276</v>
      </c>
      <c r="U10" s="654">
        <f t="shared" si="11"/>
        <v>12.841545949924127</v>
      </c>
      <c r="V10" s="10"/>
      <c r="X10" s="1"/>
    </row>
    <row r="11" spans="1:24" x14ac:dyDescent="0.2">
      <c r="A11" s="33">
        <v>1998</v>
      </c>
      <c r="B11" s="30">
        <v>10658</v>
      </c>
      <c r="C11" s="660">
        <f t="shared" si="0"/>
        <v>36471</v>
      </c>
      <c r="D11" s="662">
        <v>0.11897541752674047</v>
      </c>
      <c r="E11" s="663">
        <v>0.54530399699756049</v>
      </c>
      <c r="F11" s="617">
        <v>531.42353161944084</v>
      </c>
      <c r="G11" s="626">
        <v>1.2680400000000001</v>
      </c>
      <c r="H11" s="72">
        <v>5.8118499999999997</v>
      </c>
      <c r="I11" s="630">
        <v>5.6639119999999998</v>
      </c>
      <c r="J11" s="61">
        <f t="shared" si="1"/>
        <v>7622.5</v>
      </c>
      <c r="K11" s="188">
        <f t="shared" si="2"/>
        <v>0.11897541752674047</v>
      </c>
      <c r="L11" s="188">
        <f t="shared" si="3"/>
        <v>0.9068901200975793</v>
      </c>
      <c r="M11" s="188">
        <f t="shared" si="4"/>
        <v>5.7074264933904484</v>
      </c>
      <c r="N11" s="54">
        <f t="shared" si="12"/>
        <v>4587</v>
      </c>
      <c r="O11" s="670">
        <f t="shared" si="5"/>
        <v>0.54530399699756049</v>
      </c>
      <c r="P11" s="670">
        <f t="shared" si="6"/>
        <v>2.5013094342278102</v>
      </c>
      <c r="Q11" s="670">
        <f t="shared" si="7"/>
        <v>11.007569092933062</v>
      </c>
      <c r="R11" s="247">
        <f t="shared" si="8"/>
        <v>7622.5</v>
      </c>
      <c r="S11" s="24">
        <f t="shared" si="9"/>
        <v>531.42353161944084</v>
      </c>
      <c r="T11" s="25">
        <f t="shared" si="10"/>
        <v>4.050775869769188</v>
      </c>
      <c r="U11" s="654">
        <f t="shared" si="11"/>
        <v>16.892321819693315</v>
      </c>
      <c r="V11" s="10"/>
      <c r="X11" s="1"/>
    </row>
    <row r="12" spans="1:24" x14ac:dyDescent="0.2">
      <c r="A12" s="33">
        <v>1999</v>
      </c>
      <c r="B12" s="30">
        <v>14610</v>
      </c>
      <c r="C12" s="660">
        <f t="shared" si="0"/>
        <v>51081</v>
      </c>
      <c r="D12" s="662">
        <v>0.12000000000000001</v>
      </c>
      <c r="E12" s="663">
        <v>0.55000000000000004</v>
      </c>
      <c r="F12" s="617">
        <v>536</v>
      </c>
      <c r="G12" s="626">
        <v>1.7532000000000001</v>
      </c>
      <c r="H12" s="72">
        <v>8.0355000000000008</v>
      </c>
      <c r="I12" s="630">
        <v>7.8309600000000001</v>
      </c>
      <c r="J12" s="61">
        <f t="shared" si="1"/>
        <v>12634</v>
      </c>
      <c r="K12" s="188">
        <f t="shared" si="2"/>
        <v>0.12000000000000001</v>
      </c>
      <c r="L12" s="188">
        <f t="shared" si="3"/>
        <v>1.5160800000000001</v>
      </c>
      <c r="M12" s="188">
        <f t="shared" si="4"/>
        <v>7.2235064933904489</v>
      </c>
      <c r="N12" s="54">
        <f t="shared" si="12"/>
        <v>10658</v>
      </c>
      <c r="O12" s="670">
        <f t="shared" si="5"/>
        <v>0.55000000000000004</v>
      </c>
      <c r="P12" s="670">
        <f t="shared" si="6"/>
        <v>5.8619000000000003</v>
      </c>
      <c r="Q12" s="670">
        <f t="shared" si="7"/>
        <v>16.869469092933063</v>
      </c>
      <c r="R12" s="247">
        <f t="shared" si="8"/>
        <v>12634</v>
      </c>
      <c r="S12" s="24">
        <f t="shared" si="9"/>
        <v>536</v>
      </c>
      <c r="T12" s="25">
        <f t="shared" si="10"/>
        <v>6.7718239999999996</v>
      </c>
      <c r="U12" s="654">
        <f t="shared" si="11"/>
        <v>23.664145819693314</v>
      </c>
      <c r="V12" s="10"/>
      <c r="X12" s="1"/>
    </row>
    <row r="13" spans="1:24" x14ac:dyDescent="0.2">
      <c r="A13" s="33">
        <v>2000</v>
      </c>
      <c r="B13" s="30">
        <v>6192</v>
      </c>
      <c r="C13" s="660">
        <f t="shared" si="0"/>
        <v>57273</v>
      </c>
      <c r="D13" s="662">
        <v>0.12000000000000001</v>
      </c>
      <c r="E13" s="663">
        <v>0.52199935400516795</v>
      </c>
      <c r="F13" s="617">
        <v>532</v>
      </c>
      <c r="G13" s="626">
        <v>0.74304000000000003</v>
      </c>
      <c r="H13" s="72">
        <v>3.2322199999999999</v>
      </c>
      <c r="I13" s="630">
        <v>3.2941440000000002</v>
      </c>
      <c r="J13" s="61">
        <f t="shared" si="1"/>
        <v>10401</v>
      </c>
      <c r="K13" s="188">
        <f t="shared" si="2"/>
        <v>0.12000000000000001</v>
      </c>
      <c r="L13" s="188">
        <f t="shared" si="3"/>
        <v>1.2481200000000001</v>
      </c>
      <c r="M13" s="188">
        <f t="shared" si="4"/>
        <v>8.471626493390449</v>
      </c>
      <c r="N13" s="54">
        <f t="shared" si="12"/>
        <v>14610</v>
      </c>
      <c r="O13" s="670">
        <f t="shared" si="5"/>
        <v>0.52199935400516795</v>
      </c>
      <c r="P13" s="670">
        <f t="shared" si="6"/>
        <v>7.6264105620155034</v>
      </c>
      <c r="Q13" s="670">
        <f t="shared" si="7"/>
        <v>24.495879654948567</v>
      </c>
      <c r="R13" s="247">
        <f t="shared" si="8"/>
        <v>10401</v>
      </c>
      <c r="S13" s="24">
        <f t="shared" si="9"/>
        <v>532</v>
      </c>
      <c r="T13" s="25">
        <f t="shared" si="10"/>
        <v>5.5333319999999997</v>
      </c>
      <c r="U13" s="654">
        <f t="shared" si="11"/>
        <v>29.197477819693312</v>
      </c>
      <c r="V13" s="9"/>
      <c r="X13" s="1"/>
    </row>
    <row r="14" spans="1:24" x14ac:dyDescent="0.2">
      <c r="A14" s="33">
        <v>2001</v>
      </c>
      <c r="B14" s="30">
        <v>6775</v>
      </c>
      <c r="C14" s="660">
        <f t="shared" si="0"/>
        <v>64048</v>
      </c>
      <c r="D14" s="662">
        <v>0.12</v>
      </c>
      <c r="E14" s="663">
        <v>0.52200000000000002</v>
      </c>
      <c r="F14" s="617">
        <v>532</v>
      </c>
      <c r="G14" s="626">
        <v>0.81299999999999994</v>
      </c>
      <c r="H14" s="72">
        <v>3.5365500000000001</v>
      </c>
      <c r="I14" s="630">
        <v>3.6042999999999998</v>
      </c>
      <c r="J14" s="61">
        <f t="shared" si="1"/>
        <v>6483.5</v>
      </c>
      <c r="K14" s="188">
        <f t="shared" si="2"/>
        <v>0.12</v>
      </c>
      <c r="L14" s="188">
        <f t="shared" si="3"/>
        <v>0.77801999999999993</v>
      </c>
      <c r="M14" s="188">
        <f t="shared" si="4"/>
        <v>9.2496464933904488</v>
      </c>
      <c r="N14" s="54">
        <f t="shared" si="12"/>
        <v>6192</v>
      </c>
      <c r="O14" s="670">
        <f t="shared" si="5"/>
        <v>0.52200000000000002</v>
      </c>
      <c r="P14" s="670">
        <f t="shared" si="6"/>
        <v>3.232224</v>
      </c>
      <c r="Q14" s="670">
        <f t="shared" si="7"/>
        <v>27.728103654948566</v>
      </c>
      <c r="R14" s="247">
        <f t="shared" si="8"/>
        <v>6483.5</v>
      </c>
      <c r="S14" s="24">
        <f t="shared" si="9"/>
        <v>532</v>
      </c>
      <c r="T14" s="25">
        <f t="shared" si="10"/>
        <v>3.4492219999999998</v>
      </c>
      <c r="U14" s="654">
        <f t="shared" si="11"/>
        <v>32.64669981969331</v>
      </c>
      <c r="V14" s="9"/>
      <c r="X14" s="1"/>
    </row>
    <row r="15" spans="1:24" x14ac:dyDescent="0.2">
      <c r="A15" s="33">
        <v>2002</v>
      </c>
      <c r="B15" s="30">
        <v>4698</v>
      </c>
      <c r="C15" s="660">
        <f t="shared" si="0"/>
        <v>68746</v>
      </c>
      <c r="D15" s="662">
        <v>0.12</v>
      </c>
      <c r="E15" s="663">
        <v>0.52200085142613883</v>
      </c>
      <c r="F15" s="617">
        <v>532</v>
      </c>
      <c r="G15" s="626">
        <v>0.56376000000000004</v>
      </c>
      <c r="H15" s="72">
        <v>2.4523600000000001</v>
      </c>
      <c r="I15" s="630">
        <v>2.499336</v>
      </c>
      <c r="J15" s="61">
        <f t="shared" si="1"/>
        <v>5736.5</v>
      </c>
      <c r="K15" s="188">
        <f t="shared" si="2"/>
        <v>0.12</v>
      </c>
      <c r="L15" s="188">
        <f t="shared" si="3"/>
        <v>0.68837999999999999</v>
      </c>
      <c r="M15" s="188">
        <f t="shared" si="4"/>
        <v>9.9380264933904492</v>
      </c>
      <c r="N15" s="54">
        <f t="shared" si="12"/>
        <v>6775</v>
      </c>
      <c r="O15" s="670">
        <f t="shared" si="5"/>
        <v>0.52200085142613883</v>
      </c>
      <c r="P15" s="670">
        <f t="shared" si="6"/>
        <v>3.5365557684120903</v>
      </c>
      <c r="Q15" s="670">
        <f t="shared" si="7"/>
        <v>31.264659423360655</v>
      </c>
      <c r="R15" s="247">
        <f t="shared" si="8"/>
        <v>5736.5</v>
      </c>
      <c r="S15" s="24">
        <f t="shared" si="9"/>
        <v>532</v>
      </c>
      <c r="T15" s="25">
        <f t="shared" si="10"/>
        <v>3.0518179999999999</v>
      </c>
      <c r="U15" s="654">
        <f t="shared" si="11"/>
        <v>35.698517819693308</v>
      </c>
      <c r="V15" s="9"/>
      <c r="X15" s="1"/>
    </row>
    <row r="16" spans="1:24" x14ac:dyDescent="0.2">
      <c r="A16" s="33">
        <v>2003</v>
      </c>
      <c r="B16" s="30">
        <v>3145</v>
      </c>
      <c r="C16" s="660">
        <f t="shared" si="0"/>
        <v>71891</v>
      </c>
      <c r="D16" s="662">
        <v>0.12000000000000001</v>
      </c>
      <c r="E16" s="663">
        <v>0.52200000000000002</v>
      </c>
      <c r="F16" s="617">
        <v>532</v>
      </c>
      <c r="G16" s="626">
        <v>0.37740000000000001</v>
      </c>
      <c r="H16" s="72">
        <v>1.6416900000000001</v>
      </c>
      <c r="I16" s="630">
        <v>1.6731400000000001</v>
      </c>
      <c r="J16" s="61">
        <f t="shared" si="1"/>
        <v>3921.5</v>
      </c>
      <c r="K16" s="188">
        <f t="shared" si="2"/>
        <v>0.12000000000000001</v>
      </c>
      <c r="L16" s="188">
        <f t="shared" si="3"/>
        <v>0.47058000000000005</v>
      </c>
      <c r="M16" s="188">
        <f t="shared" si="4"/>
        <v>10.408606493390449</v>
      </c>
      <c r="N16" s="54">
        <f t="shared" si="12"/>
        <v>4698</v>
      </c>
      <c r="O16" s="670">
        <f t="shared" si="5"/>
        <v>0.52200000000000002</v>
      </c>
      <c r="P16" s="670">
        <f t="shared" si="6"/>
        <v>2.4523560000000004</v>
      </c>
      <c r="Q16" s="670">
        <f t="shared" si="7"/>
        <v>33.717015423360657</v>
      </c>
      <c r="R16" s="247">
        <f t="shared" si="8"/>
        <v>3921.5</v>
      </c>
      <c r="S16" s="24">
        <f t="shared" si="9"/>
        <v>532</v>
      </c>
      <c r="T16" s="25">
        <f t="shared" si="10"/>
        <v>2.0862379999999998</v>
      </c>
      <c r="U16" s="654">
        <f t="shared" si="11"/>
        <v>37.784755819693309</v>
      </c>
      <c r="V16" s="9"/>
      <c r="X16" s="1"/>
    </row>
    <row r="17" spans="1:24" x14ac:dyDescent="0.2">
      <c r="A17" s="33">
        <f>+A16+1</f>
        <v>2004</v>
      </c>
      <c r="B17" s="30">
        <v>4013</v>
      </c>
      <c r="C17" s="660">
        <f t="shared" si="0"/>
        <v>75904</v>
      </c>
      <c r="D17" s="662">
        <v>0.12</v>
      </c>
      <c r="E17" s="663">
        <v>0.52200099676052825</v>
      </c>
      <c r="F17" s="617">
        <v>532</v>
      </c>
      <c r="G17" s="626">
        <v>0.48155999999999999</v>
      </c>
      <c r="H17" s="72">
        <v>2.0947900000000002</v>
      </c>
      <c r="I17" s="630">
        <v>2.134916</v>
      </c>
      <c r="J17" s="61">
        <f t="shared" si="1"/>
        <v>3579</v>
      </c>
      <c r="K17" s="188">
        <f t="shared" si="2"/>
        <v>0.12</v>
      </c>
      <c r="L17" s="188">
        <f t="shared" si="3"/>
        <v>0.42947999999999997</v>
      </c>
      <c r="M17" s="188">
        <f t="shared" si="4"/>
        <v>10.838086493390449</v>
      </c>
      <c r="N17" s="54">
        <f t="shared" si="12"/>
        <v>3145</v>
      </c>
      <c r="O17" s="670">
        <f t="shared" si="5"/>
        <v>0.52200099676052825</v>
      </c>
      <c r="P17" s="670">
        <f t="shared" si="6"/>
        <v>1.6416931348118613</v>
      </c>
      <c r="Q17" s="670">
        <f t="shared" si="7"/>
        <v>35.358708558172516</v>
      </c>
      <c r="R17" s="247">
        <f t="shared" si="8"/>
        <v>3579</v>
      </c>
      <c r="S17" s="24">
        <f t="shared" si="9"/>
        <v>532</v>
      </c>
      <c r="T17" s="25">
        <f t="shared" si="10"/>
        <v>1.9040280000000001</v>
      </c>
      <c r="U17" s="654">
        <f t="shared" si="11"/>
        <v>39.688783819693306</v>
      </c>
      <c r="V17" s="9"/>
      <c r="X17" s="1"/>
    </row>
    <row r="18" spans="1:24" x14ac:dyDescent="0.2">
      <c r="A18" s="33">
        <f t="shared" ref="A18:A38" si="13">+A17+1</f>
        <v>2005</v>
      </c>
      <c r="B18" s="30">
        <v>1718</v>
      </c>
      <c r="C18" s="660">
        <f t="shared" si="0"/>
        <v>77622</v>
      </c>
      <c r="D18" s="662">
        <v>0.18</v>
      </c>
      <c r="E18" s="663">
        <v>0.24600116414435388</v>
      </c>
      <c r="F18" s="617">
        <v>706</v>
      </c>
      <c r="G18" s="626">
        <v>0.30924000000000001</v>
      </c>
      <c r="H18" s="72">
        <v>0.42263000000000001</v>
      </c>
      <c r="I18" s="630">
        <v>1.2129080000000001</v>
      </c>
      <c r="J18" s="61">
        <f t="shared" si="1"/>
        <v>2865.5</v>
      </c>
      <c r="K18" s="188">
        <f t="shared" si="2"/>
        <v>0.18</v>
      </c>
      <c r="L18" s="188">
        <f t="shared" si="3"/>
        <v>0.51578999999999997</v>
      </c>
      <c r="M18" s="188">
        <f t="shared" si="4"/>
        <v>11.353876493390448</v>
      </c>
      <c r="N18" s="54">
        <f t="shared" si="12"/>
        <v>4013</v>
      </c>
      <c r="O18" s="670">
        <f t="shared" si="5"/>
        <v>0.24600116414435388</v>
      </c>
      <c r="P18" s="670">
        <f t="shared" si="6"/>
        <v>0.98720267171129217</v>
      </c>
      <c r="Q18" s="670">
        <f t="shared" si="7"/>
        <v>36.345911229883811</v>
      </c>
      <c r="R18" s="247">
        <f t="shared" si="8"/>
        <v>2865.5</v>
      </c>
      <c r="S18" s="24">
        <f t="shared" si="9"/>
        <v>706</v>
      </c>
      <c r="T18" s="25">
        <f t="shared" si="10"/>
        <v>2.0230429999999999</v>
      </c>
      <c r="U18" s="654">
        <f t="shared" si="11"/>
        <v>41.711826819693307</v>
      </c>
      <c r="V18" s="9"/>
      <c r="X18" s="1"/>
    </row>
    <row r="19" spans="1:24" x14ac:dyDescent="0.2">
      <c r="A19" s="33">
        <f t="shared" si="13"/>
        <v>2006</v>
      </c>
      <c r="B19" s="30">
        <v>1754</v>
      </c>
      <c r="C19" s="660">
        <f t="shared" si="0"/>
        <v>79376</v>
      </c>
      <c r="D19" s="662">
        <v>0.18000000000000002</v>
      </c>
      <c r="E19" s="663">
        <v>0.24599771949828961</v>
      </c>
      <c r="F19" s="617">
        <v>706</v>
      </c>
      <c r="G19" s="626">
        <v>0.31572</v>
      </c>
      <c r="H19" s="72">
        <v>0.43147999999999997</v>
      </c>
      <c r="I19" s="630">
        <v>1.238324</v>
      </c>
      <c r="J19" s="61">
        <f t="shared" si="1"/>
        <v>1736</v>
      </c>
      <c r="K19" s="188">
        <f t="shared" si="2"/>
        <v>0.18000000000000002</v>
      </c>
      <c r="L19" s="188">
        <f t="shared" si="3"/>
        <v>0.31248000000000004</v>
      </c>
      <c r="M19" s="188">
        <f t="shared" si="4"/>
        <v>11.666356493390449</v>
      </c>
      <c r="N19" s="54">
        <f t="shared" si="12"/>
        <v>1718</v>
      </c>
      <c r="O19" s="670">
        <f t="shared" si="5"/>
        <v>0.24599771949828961</v>
      </c>
      <c r="P19" s="670">
        <f t="shared" si="6"/>
        <v>0.42262408209806152</v>
      </c>
      <c r="Q19" s="670">
        <f t="shared" si="7"/>
        <v>36.768535311981871</v>
      </c>
      <c r="R19" s="247">
        <f t="shared" si="8"/>
        <v>1736</v>
      </c>
      <c r="S19" s="24">
        <f t="shared" si="9"/>
        <v>706</v>
      </c>
      <c r="T19" s="25">
        <f t="shared" si="10"/>
        <v>1.225616</v>
      </c>
      <c r="U19" s="654">
        <f t="shared" si="11"/>
        <v>42.93744281969331</v>
      </c>
      <c r="V19" s="8"/>
      <c r="X19" s="1"/>
    </row>
    <row r="20" spans="1:24" x14ac:dyDescent="0.2">
      <c r="A20" s="33">
        <f t="shared" si="13"/>
        <v>2007</v>
      </c>
      <c r="B20" s="30">
        <v>1214</v>
      </c>
      <c r="C20" s="660">
        <f t="shared" si="0"/>
        <v>80590</v>
      </c>
      <c r="D20" s="662">
        <v>0.18</v>
      </c>
      <c r="E20" s="663">
        <v>0.4</v>
      </c>
      <c r="F20" s="617">
        <v>348</v>
      </c>
      <c r="G20" s="626">
        <v>0.21851999999999999</v>
      </c>
      <c r="H20" s="72">
        <v>0.48560000000000003</v>
      </c>
      <c r="I20" s="630">
        <v>0.42247200000000001</v>
      </c>
      <c r="J20" s="61">
        <f t="shared" si="1"/>
        <v>1484</v>
      </c>
      <c r="K20" s="188">
        <f t="shared" si="2"/>
        <v>0.18</v>
      </c>
      <c r="L20" s="188">
        <f t="shared" si="3"/>
        <v>0.26712000000000002</v>
      </c>
      <c r="M20" s="188">
        <f t="shared" si="4"/>
        <v>11.933476493390449</v>
      </c>
      <c r="N20" s="54">
        <f t="shared" si="12"/>
        <v>1754</v>
      </c>
      <c r="O20" s="670">
        <f t="shared" si="5"/>
        <v>0.4</v>
      </c>
      <c r="P20" s="670">
        <f t="shared" si="6"/>
        <v>0.7016</v>
      </c>
      <c r="Q20" s="670">
        <f t="shared" si="7"/>
        <v>37.470135311981871</v>
      </c>
      <c r="R20" s="247">
        <f t="shared" si="8"/>
        <v>1484</v>
      </c>
      <c r="S20" s="24">
        <f t="shared" si="9"/>
        <v>348</v>
      </c>
      <c r="T20" s="25">
        <f t="shared" si="10"/>
        <v>0.516432</v>
      </c>
      <c r="U20" s="654">
        <f t="shared" si="11"/>
        <v>43.453874819693311</v>
      </c>
    </row>
    <row r="21" spans="1:24" x14ac:dyDescent="0.2">
      <c r="A21" s="33">
        <f t="shared" si="13"/>
        <v>2008</v>
      </c>
      <c r="B21" s="30">
        <v>1806</v>
      </c>
      <c r="C21" s="660">
        <f t="shared" si="0"/>
        <v>82396</v>
      </c>
      <c r="D21" s="662">
        <v>0.25</v>
      </c>
      <c r="E21" s="663">
        <v>0.34</v>
      </c>
      <c r="F21" s="617">
        <v>549</v>
      </c>
      <c r="G21" s="626">
        <f>+$B21*D21/1000</f>
        <v>0.45150000000000001</v>
      </c>
      <c r="H21" s="72">
        <f>+$B21*E21/1000</f>
        <v>0.61404000000000003</v>
      </c>
      <c r="I21" s="630">
        <f>+$B21*F21/1000000</f>
        <v>0.99149399999999999</v>
      </c>
      <c r="J21" s="61">
        <f t="shared" si="1"/>
        <v>1510</v>
      </c>
      <c r="K21" s="188">
        <f t="shared" si="2"/>
        <v>0.25</v>
      </c>
      <c r="L21" s="188">
        <f t="shared" si="3"/>
        <v>0.3775</v>
      </c>
      <c r="M21" s="188">
        <f t="shared" si="4"/>
        <v>12.310976493390449</v>
      </c>
      <c r="N21" s="54">
        <f t="shared" si="12"/>
        <v>1214</v>
      </c>
      <c r="O21" s="670">
        <f t="shared" si="5"/>
        <v>0.34</v>
      </c>
      <c r="P21" s="670">
        <f t="shared" si="6"/>
        <v>0.41276000000000007</v>
      </c>
      <c r="Q21" s="670">
        <f t="shared" si="7"/>
        <v>37.882895311981869</v>
      </c>
      <c r="R21" s="247">
        <f t="shared" si="8"/>
        <v>1510</v>
      </c>
      <c r="S21" s="24">
        <f t="shared" si="9"/>
        <v>549</v>
      </c>
      <c r="T21" s="25">
        <f t="shared" si="10"/>
        <v>0.82899</v>
      </c>
      <c r="U21" s="654">
        <f t="shared" si="11"/>
        <v>44.282864819693309</v>
      </c>
    </row>
    <row r="22" spans="1:24" x14ac:dyDescent="0.2">
      <c r="A22" s="33">
        <f t="shared" si="13"/>
        <v>2009</v>
      </c>
      <c r="B22" s="30">
        <v>2806</v>
      </c>
      <c r="C22" s="660">
        <f t="shared" si="0"/>
        <v>85202</v>
      </c>
      <c r="D22" s="662">
        <v>0.30100498930862435</v>
      </c>
      <c r="E22" s="663">
        <v>0.32445473984319317</v>
      </c>
      <c r="F22" s="617">
        <v>658.77690662865291</v>
      </c>
      <c r="G22" s="626">
        <f t="shared" ref="G22:H36" si="14">+$B22*D22/1000</f>
        <v>0.84461999999999993</v>
      </c>
      <c r="H22" s="72">
        <f t="shared" si="14"/>
        <v>0.91042000000000012</v>
      </c>
      <c r="I22" s="630">
        <f t="shared" ref="I22:I36" si="15">+$B22*F22/1000000</f>
        <v>1.8485279999999999</v>
      </c>
      <c r="J22" s="61">
        <f t="shared" si="1"/>
        <v>2306</v>
      </c>
      <c r="K22" s="188">
        <f t="shared" si="2"/>
        <v>0.30100498930862435</v>
      </c>
      <c r="L22" s="188">
        <f t="shared" si="3"/>
        <v>0.69411750534568772</v>
      </c>
      <c r="M22" s="188">
        <f t="shared" si="4"/>
        <v>13.005093998736136</v>
      </c>
      <c r="N22" s="54">
        <f t="shared" si="12"/>
        <v>1806</v>
      </c>
      <c r="O22" s="670">
        <f t="shared" si="5"/>
        <v>0.32445473984319317</v>
      </c>
      <c r="P22" s="670">
        <f t="shared" si="6"/>
        <v>0.58596526015680683</v>
      </c>
      <c r="Q22" s="670">
        <f t="shared" si="7"/>
        <v>38.468860572138674</v>
      </c>
      <c r="R22" s="247">
        <f t="shared" si="8"/>
        <v>2306</v>
      </c>
      <c r="S22" s="24">
        <f t="shared" si="9"/>
        <v>658.77690662865291</v>
      </c>
      <c r="T22" s="25">
        <f t="shared" si="10"/>
        <v>1.5191395466856736</v>
      </c>
      <c r="U22" s="654">
        <f t="shared" si="11"/>
        <v>45.802004366378981</v>
      </c>
    </row>
    <row r="23" spans="1:24" x14ac:dyDescent="0.2">
      <c r="A23" s="33">
        <f t="shared" si="13"/>
        <v>2010</v>
      </c>
      <c r="B23" s="30">
        <v>0</v>
      </c>
      <c r="C23" s="661">
        <f t="shared" si="0"/>
        <v>85202</v>
      </c>
      <c r="D23" s="662">
        <v>0.23599999999999999</v>
      </c>
      <c r="E23" s="663">
        <v>0.28100000000000003</v>
      </c>
      <c r="F23" s="617">
        <v>525</v>
      </c>
      <c r="G23" s="626">
        <f t="shared" si="14"/>
        <v>0</v>
      </c>
      <c r="H23" s="72">
        <f t="shared" si="14"/>
        <v>0</v>
      </c>
      <c r="I23" s="630">
        <f t="shared" si="15"/>
        <v>0</v>
      </c>
      <c r="J23" s="61">
        <f t="shared" si="1"/>
        <v>1403</v>
      </c>
      <c r="K23" s="188">
        <f t="shared" si="2"/>
        <v>0.23599999999999999</v>
      </c>
      <c r="L23" s="188">
        <f t="shared" si="3"/>
        <v>0.33110800000000001</v>
      </c>
      <c r="M23" s="188">
        <f t="shared" si="4"/>
        <v>13.336201998736136</v>
      </c>
      <c r="N23" s="54">
        <f t="shared" si="12"/>
        <v>2806</v>
      </c>
      <c r="O23" s="670">
        <f t="shared" si="5"/>
        <v>0.28100000000000003</v>
      </c>
      <c r="P23" s="670">
        <f t="shared" si="6"/>
        <v>0.78848600000000013</v>
      </c>
      <c r="Q23" s="670">
        <f t="shared" si="7"/>
        <v>39.257346572138673</v>
      </c>
      <c r="R23" s="247">
        <f t="shared" si="8"/>
        <v>1403</v>
      </c>
      <c r="S23" s="24">
        <f t="shared" si="9"/>
        <v>525</v>
      </c>
      <c r="T23" s="25">
        <f t="shared" si="10"/>
        <v>0.73657499999999998</v>
      </c>
      <c r="U23" s="654">
        <f t="shared" si="11"/>
        <v>46.538579366378983</v>
      </c>
    </row>
    <row r="24" spans="1:24" x14ac:dyDescent="0.2">
      <c r="A24" s="33">
        <f t="shared" si="13"/>
        <v>2011</v>
      </c>
      <c r="B24" s="30">
        <v>0</v>
      </c>
      <c r="C24" s="661">
        <f t="shared" si="0"/>
        <v>85202</v>
      </c>
      <c r="D24" s="662">
        <v>0.40438794196365685</v>
      </c>
      <c r="E24" s="663">
        <v>0.36182983518805467</v>
      </c>
      <c r="F24" s="617">
        <v>529.4690801521341</v>
      </c>
      <c r="G24" s="626">
        <f t="shared" si="14"/>
        <v>0</v>
      </c>
      <c r="H24" s="72">
        <f t="shared" si="14"/>
        <v>0</v>
      </c>
      <c r="I24" s="630">
        <f t="shared" si="15"/>
        <v>0</v>
      </c>
      <c r="J24" s="61">
        <f t="shared" si="1"/>
        <v>0</v>
      </c>
      <c r="K24" s="188">
        <f t="shared" si="2"/>
        <v>0.40438794196365685</v>
      </c>
      <c r="L24" s="188">
        <f t="shared" si="3"/>
        <v>0</v>
      </c>
      <c r="M24" s="188">
        <f t="shared" si="4"/>
        <v>13.336201998736136</v>
      </c>
      <c r="N24" s="54">
        <f t="shared" si="12"/>
        <v>0</v>
      </c>
      <c r="O24" s="670">
        <f t="shared" si="5"/>
        <v>0.36182983518805467</v>
      </c>
      <c r="P24" s="670">
        <f t="shared" si="6"/>
        <v>0</v>
      </c>
      <c r="Q24" s="670">
        <f t="shared" si="7"/>
        <v>39.257346572138673</v>
      </c>
      <c r="R24" s="247">
        <f t="shared" si="8"/>
        <v>0</v>
      </c>
      <c r="S24" s="24">
        <f t="shared" si="9"/>
        <v>529.4690801521341</v>
      </c>
      <c r="T24" s="25">
        <f t="shared" si="10"/>
        <v>0</v>
      </c>
      <c r="U24" s="654">
        <f t="shared" si="11"/>
        <v>46.538579366378983</v>
      </c>
    </row>
    <row r="25" spans="1:24" x14ac:dyDescent="0.2">
      <c r="A25" s="33">
        <f t="shared" si="13"/>
        <v>2012</v>
      </c>
      <c r="B25" s="30">
        <v>12926</v>
      </c>
      <c r="C25" s="661">
        <f t="shared" si="0"/>
        <v>98128</v>
      </c>
      <c r="D25" s="662">
        <v>0.31181958842642737</v>
      </c>
      <c r="E25" s="663">
        <v>0.36949945845582544</v>
      </c>
      <c r="F25" s="617">
        <v>353.30001547269069</v>
      </c>
      <c r="G25" s="626">
        <f t="shared" si="14"/>
        <v>4.0305800000000005</v>
      </c>
      <c r="H25" s="72">
        <f t="shared" si="14"/>
        <v>4.7761499999999995</v>
      </c>
      <c r="I25" s="630">
        <f t="shared" si="15"/>
        <v>4.5667559999999998</v>
      </c>
      <c r="J25" s="61">
        <f t="shared" si="1"/>
        <v>6463</v>
      </c>
      <c r="K25" s="188">
        <f t="shared" si="2"/>
        <v>0.31181958842642737</v>
      </c>
      <c r="L25" s="188">
        <f t="shared" si="3"/>
        <v>2.0152900000000002</v>
      </c>
      <c r="M25" s="188">
        <f t="shared" si="4"/>
        <v>15.351491998736137</v>
      </c>
      <c r="N25" s="54">
        <f t="shared" si="12"/>
        <v>0</v>
      </c>
      <c r="O25" s="670">
        <f t="shared" si="5"/>
        <v>0.36949945845582544</v>
      </c>
      <c r="P25" s="670">
        <f t="shared" si="6"/>
        <v>0</v>
      </c>
      <c r="Q25" s="670">
        <f t="shared" si="7"/>
        <v>39.257346572138673</v>
      </c>
      <c r="R25" s="247">
        <f t="shared" si="8"/>
        <v>6463</v>
      </c>
      <c r="S25" s="24">
        <f t="shared" si="9"/>
        <v>353.30001547269069</v>
      </c>
      <c r="T25" s="25">
        <f t="shared" si="10"/>
        <v>2.2833779999999999</v>
      </c>
      <c r="U25" s="654">
        <f t="shared" si="11"/>
        <v>48.821957366378982</v>
      </c>
    </row>
    <row r="26" spans="1:24" s="831" customFormat="1" x14ac:dyDescent="0.2">
      <c r="A26" s="33">
        <f t="shared" si="13"/>
        <v>2013</v>
      </c>
      <c r="B26" s="30">
        <v>11820</v>
      </c>
      <c r="C26" s="619">
        <f t="shared" si="0"/>
        <v>109948</v>
      </c>
      <c r="D26" s="807">
        <v>0.32422673434856175</v>
      </c>
      <c r="E26" s="808">
        <v>0.36951269035532996</v>
      </c>
      <c r="F26" s="806">
        <v>376.34323181049069</v>
      </c>
      <c r="G26" s="626">
        <f t="shared" si="14"/>
        <v>3.83236</v>
      </c>
      <c r="H26" s="72">
        <f t="shared" si="14"/>
        <v>4.3676400000000006</v>
      </c>
      <c r="I26" s="630">
        <f t="shared" si="15"/>
        <v>4.4483769999999998</v>
      </c>
      <c r="J26" s="61">
        <f t="shared" si="1"/>
        <v>12373</v>
      </c>
      <c r="K26" s="188">
        <f t="shared" si="2"/>
        <v>0.32422673434856175</v>
      </c>
      <c r="L26" s="188">
        <f t="shared" si="3"/>
        <v>4.0116573840947547</v>
      </c>
      <c r="M26" s="829">
        <f t="shared" si="4"/>
        <v>19.36314938283089</v>
      </c>
      <c r="N26" s="54">
        <f t="shared" si="12"/>
        <v>12926</v>
      </c>
      <c r="O26" s="670">
        <f t="shared" si="5"/>
        <v>0.36951269035532996</v>
      </c>
      <c r="P26" s="670">
        <f t="shared" si="6"/>
        <v>4.7763210355329946</v>
      </c>
      <c r="Q26" s="671">
        <f t="shared" si="7"/>
        <v>44.033667607671667</v>
      </c>
      <c r="R26" s="247">
        <f t="shared" si="8"/>
        <v>12373</v>
      </c>
      <c r="S26" s="24">
        <f t="shared" si="9"/>
        <v>376.34323181049069</v>
      </c>
      <c r="T26" s="25">
        <f t="shared" si="10"/>
        <v>4.6564948071912013</v>
      </c>
      <c r="U26" s="654">
        <f t="shared" si="11"/>
        <v>53.478452173570183</v>
      </c>
      <c r="V26" s="830"/>
    </row>
    <row r="27" spans="1:24" s="831" customFormat="1" x14ac:dyDescent="0.2">
      <c r="A27" s="33">
        <f t="shared" si="13"/>
        <v>2014</v>
      </c>
      <c r="B27" s="30">
        <v>8562</v>
      </c>
      <c r="C27" s="619">
        <f t="shared" si="0"/>
        <v>118510</v>
      </c>
      <c r="D27" s="807">
        <f t="shared" ref="D27" si="16">I78</f>
        <v>0.35832616940581546</v>
      </c>
      <c r="E27" s="808">
        <f t="shared" ref="E27" si="17">K78</f>
        <v>0.35678002528445008</v>
      </c>
      <c r="F27" s="806">
        <f t="shared" ref="F27" si="18">M78</f>
        <v>889.75638432364099</v>
      </c>
      <c r="G27" s="626">
        <f t="shared" si="14"/>
        <v>3.0679886624525921</v>
      </c>
      <c r="H27" s="72">
        <f t="shared" si="14"/>
        <v>3.0547505764854614</v>
      </c>
      <c r="I27" s="630">
        <f t="shared" si="15"/>
        <v>7.6180941625790144</v>
      </c>
      <c r="J27" s="61">
        <f t="shared" si="1"/>
        <v>10191</v>
      </c>
      <c r="K27" s="188">
        <f t="shared" si="2"/>
        <v>0.35832616940581546</v>
      </c>
      <c r="L27" s="188">
        <f t="shared" si="3"/>
        <v>3.6517019924146652</v>
      </c>
      <c r="M27" s="829">
        <f t="shared" si="4"/>
        <v>23.014851375245556</v>
      </c>
      <c r="N27" s="54">
        <f t="shared" si="12"/>
        <v>11820</v>
      </c>
      <c r="O27" s="670">
        <f t="shared" si="5"/>
        <v>0.35678002528445008</v>
      </c>
      <c r="P27" s="670">
        <f t="shared" si="6"/>
        <v>4.2171398988621993</v>
      </c>
      <c r="Q27" s="671">
        <f t="shared" si="7"/>
        <v>48.250807506533867</v>
      </c>
      <c r="R27" s="247">
        <f t="shared" si="8"/>
        <v>10191</v>
      </c>
      <c r="S27" s="24">
        <f t="shared" si="9"/>
        <v>889.75638432364099</v>
      </c>
      <c r="T27" s="25">
        <f t="shared" si="10"/>
        <v>9.0675073126422259</v>
      </c>
      <c r="U27" s="654">
        <f t="shared" si="11"/>
        <v>62.545959486212411</v>
      </c>
      <c r="V27" s="830"/>
    </row>
    <row r="28" spans="1:24" ht="13.5" thickBot="1" x14ac:dyDescent="0.25">
      <c r="A28" s="701">
        <f t="shared" si="13"/>
        <v>2015</v>
      </c>
      <c r="B28" s="702">
        <v>379</v>
      </c>
      <c r="C28" s="703">
        <f t="shared" si="0"/>
        <v>118889</v>
      </c>
      <c r="D28" s="835">
        <v>0.34</v>
      </c>
      <c r="E28" s="836">
        <v>0</v>
      </c>
      <c r="F28" s="705">
        <v>672</v>
      </c>
      <c r="G28" s="823">
        <f t="shared" si="14"/>
        <v>0.12886</v>
      </c>
      <c r="H28" s="707">
        <f t="shared" si="14"/>
        <v>0</v>
      </c>
      <c r="I28" s="824">
        <f t="shared" si="15"/>
        <v>0.25468800000000003</v>
      </c>
      <c r="J28" s="708">
        <f t="shared" si="1"/>
        <v>4470.5</v>
      </c>
      <c r="K28" s="825">
        <f t="shared" si="2"/>
        <v>0.34</v>
      </c>
      <c r="L28" s="825">
        <f t="shared" si="3"/>
        <v>1.51997</v>
      </c>
      <c r="M28" s="826">
        <f t="shared" si="4"/>
        <v>24.534821375245556</v>
      </c>
      <c r="N28" s="711">
        <f t="shared" si="12"/>
        <v>8562</v>
      </c>
      <c r="O28" s="827">
        <f t="shared" si="5"/>
        <v>0</v>
      </c>
      <c r="P28" s="827">
        <f t="shared" si="6"/>
        <v>0</v>
      </c>
      <c r="Q28" s="828">
        <f t="shared" si="7"/>
        <v>48.250807506533867</v>
      </c>
      <c r="R28" s="714">
        <f t="shared" si="8"/>
        <v>4470.5</v>
      </c>
      <c r="S28" s="715">
        <f t="shared" si="9"/>
        <v>672</v>
      </c>
      <c r="T28" s="716">
        <f t="shared" si="10"/>
        <v>3.0041760000000002</v>
      </c>
      <c r="U28" s="717">
        <f t="shared" si="11"/>
        <v>65.550135486212412</v>
      </c>
    </row>
    <row r="29" spans="1:24" x14ac:dyDescent="0.2">
      <c r="A29" s="33">
        <f t="shared" si="13"/>
        <v>2016</v>
      </c>
      <c r="B29" s="787"/>
      <c r="C29" s="565">
        <f t="shared" si="0"/>
        <v>118889</v>
      </c>
      <c r="D29" s="965"/>
      <c r="E29" s="966"/>
      <c r="F29" s="790"/>
      <c r="G29" s="473">
        <f t="shared" si="14"/>
        <v>0</v>
      </c>
      <c r="H29" s="474">
        <f t="shared" si="14"/>
        <v>0</v>
      </c>
      <c r="I29" s="474">
        <f t="shared" si="15"/>
        <v>0</v>
      </c>
      <c r="J29" s="61">
        <f t="shared" si="1"/>
        <v>189.5</v>
      </c>
      <c r="K29" s="967">
        <f t="shared" si="2"/>
        <v>0</v>
      </c>
      <c r="L29" s="967">
        <f t="shared" si="3"/>
        <v>0</v>
      </c>
      <c r="M29" s="967">
        <f t="shared" si="4"/>
        <v>24.534821375245556</v>
      </c>
      <c r="N29" s="54">
        <f t="shared" si="12"/>
        <v>379</v>
      </c>
      <c r="O29" s="968">
        <f t="shared" si="5"/>
        <v>0</v>
      </c>
      <c r="P29" s="968">
        <f t="shared" si="6"/>
        <v>0</v>
      </c>
      <c r="Q29" s="969">
        <f t="shared" si="7"/>
        <v>48.250807506533867</v>
      </c>
      <c r="R29" s="247">
        <f t="shared" si="8"/>
        <v>189.5</v>
      </c>
      <c r="S29" s="24">
        <f t="shared" si="9"/>
        <v>0</v>
      </c>
      <c r="T29" s="970">
        <f t="shared" si="10"/>
        <v>0</v>
      </c>
      <c r="U29" s="971">
        <f t="shared" si="11"/>
        <v>65.550135486212412</v>
      </c>
    </row>
    <row r="30" spans="1:24" x14ac:dyDescent="0.2">
      <c r="A30" s="33">
        <f t="shared" si="13"/>
        <v>2017</v>
      </c>
      <c r="B30" s="787"/>
      <c r="C30" s="565">
        <f t="shared" si="0"/>
        <v>118889</v>
      </c>
      <c r="D30" s="965"/>
      <c r="E30" s="966"/>
      <c r="F30" s="790"/>
      <c r="G30" s="473">
        <f t="shared" si="14"/>
        <v>0</v>
      </c>
      <c r="H30" s="474">
        <f t="shared" si="14"/>
        <v>0</v>
      </c>
      <c r="I30" s="474">
        <f t="shared" si="15"/>
        <v>0</v>
      </c>
      <c r="J30" s="61">
        <f t="shared" si="1"/>
        <v>0</v>
      </c>
      <c r="K30" s="967">
        <f t="shared" si="2"/>
        <v>0</v>
      </c>
      <c r="L30" s="967">
        <f t="shared" si="3"/>
        <v>0</v>
      </c>
      <c r="M30" s="967">
        <f t="shared" si="4"/>
        <v>24.534821375245556</v>
      </c>
      <c r="N30" s="54">
        <f t="shared" si="12"/>
        <v>0</v>
      </c>
      <c r="O30" s="968">
        <f t="shared" si="5"/>
        <v>0</v>
      </c>
      <c r="P30" s="968">
        <f t="shared" si="6"/>
        <v>0</v>
      </c>
      <c r="Q30" s="969">
        <f t="shared" si="7"/>
        <v>48.250807506533867</v>
      </c>
      <c r="R30" s="247">
        <f t="shared" si="8"/>
        <v>0</v>
      </c>
      <c r="S30" s="24">
        <f t="shared" si="9"/>
        <v>0</v>
      </c>
      <c r="T30" s="970">
        <f t="shared" si="10"/>
        <v>0</v>
      </c>
      <c r="U30" s="971">
        <f t="shared" si="11"/>
        <v>65.550135486212412</v>
      </c>
    </row>
    <row r="31" spans="1:24" x14ac:dyDescent="0.2">
      <c r="A31" s="33">
        <f t="shared" si="13"/>
        <v>2018</v>
      </c>
      <c r="B31" s="787"/>
      <c r="C31" s="565">
        <f t="shared" si="0"/>
        <v>118889</v>
      </c>
      <c r="D31" s="965"/>
      <c r="E31" s="966"/>
      <c r="F31" s="790"/>
      <c r="G31" s="473">
        <f t="shared" si="14"/>
        <v>0</v>
      </c>
      <c r="H31" s="474">
        <f t="shared" si="14"/>
        <v>0</v>
      </c>
      <c r="I31" s="474">
        <f t="shared" si="15"/>
        <v>0</v>
      </c>
      <c r="J31" s="61">
        <f t="shared" si="1"/>
        <v>0</v>
      </c>
      <c r="K31" s="967">
        <f t="shared" si="2"/>
        <v>0</v>
      </c>
      <c r="L31" s="967">
        <f t="shared" si="3"/>
        <v>0</v>
      </c>
      <c r="M31" s="967">
        <f t="shared" si="4"/>
        <v>24.534821375245556</v>
      </c>
      <c r="N31" s="54">
        <f t="shared" si="12"/>
        <v>0</v>
      </c>
      <c r="O31" s="968">
        <f t="shared" si="5"/>
        <v>0</v>
      </c>
      <c r="P31" s="968">
        <f t="shared" si="6"/>
        <v>0</v>
      </c>
      <c r="Q31" s="969">
        <f t="shared" si="7"/>
        <v>48.250807506533867</v>
      </c>
      <c r="R31" s="247">
        <f t="shared" si="8"/>
        <v>0</v>
      </c>
      <c r="S31" s="24">
        <f t="shared" si="9"/>
        <v>0</v>
      </c>
      <c r="T31" s="970">
        <f t="shared" si="10"/>
        <v>0</v>
      </c>
      <c r="U31" s="971">
        <f t="shared" si="11"/>
        <v>65.550135486212412</v>
      </c>
    </row>
    <row r="32" spans="1:24" x14ac:dyDescent="0.2">
      <c r="A32" s="33">
        <f t="shared" si="13"/>
        <v>2019</v>
      </c>
      <c r="B32" s="787"/>
      <c r="C32" s="565">
        <f t="shared" si="0"/>
        <v>118889</v>
      </c>
      <c r="D32" s="965"/>
      <c r="E32" s="966"/>
      <c r="F32" s="790"/>
      <c r="G32" s="473">
        <f t="shared" si="14"/>
        <v>0</v>
      </c>
      <c r="H32" s="474">
        <f t="shared" si="14"/>
        <v>0</v>
      </c>
      <c r="I32" s="474">
        <f t="shared" si="15"/>
        <v>0</v>
      </c>
      <c r="J32" s="61">
        <f t="shared" si="1"/>
        <v>0</v>
      </c>
      <c r="K32" s="967">
        <f t="shared" si="2"/>
        <v>0</v>
      </c>
      <c r="L32" s="967">
        <f t="shared" si="3"/>
        <v>0</v>
      </c>
      <c r="M32" s="967">
        <f t="shared" si="4"/>
        <v>24.534821375245556</v>
      </c>
      <c r="N32" s="54">
        <f t="shared" si="12"/>
        <v>0</v>
      </c>
      <c r="O32" s="968">
        <f t="shared" si="5"/>
        <v>0</v>
      </c>
      <c r="P32" s="968">
        <f t="shared" si="6"/>
        <v>0</v>
      </c>
      <c r="Q32" s="969">
        <f t="shared" si="7"/>
        <v>48.250807506533867</v>
      </c>
      <c r="R32" s="247">
        <f t="shared" si="8"/>
        <v>0</v>
      </c>
      <c r="S32" s="24">
        <f t="shared" si="9"/>
        <v>0</v>
      </c>
      <c r="T32" s="970">
        <f t="shared" si="10"/>
        <v>0</v>
      </c>
      <c r="U32" s="971">
        <f t="shared" si="11"/>
        <v>65.550135486212412</v>
      </c>
    </row>
    <row r="33" spans="1:21" x14ac:dyDescent="0.2">
      <c r="A33" s="33">
        <f t="shared" si="13"/>
        <v>2020</v>
      </c>
      <c r="B33" s="791"/>
      <c r="C33" s="565">
        <f t="shared" si="0"/>
        <v>118889</v>
      </c>
      <c r="D33" s="965"/>
      <c r="E33" s="966"/>
      <c r="F33" s="790"/>
      <c r="G33" s="473">
        <f t="shared" si="14"/>
        <v>0</v>
      </c>
      <c r="H33" s="474">
        <f t="shared" si="14"/>
        <v>0</v>
      </c>
      <c r="I33" s="474">
        <f t="shared" si="15"/>
        <v>0</v>
      </c>
      <c r="J33" s="61">
        <f t="shared" si="1"/>
        <v>0</v>
      </c>
      <c r="K33" s="967">
        <f t="shared" si="2"/>
        <v>0</v>
      </c>
      <c r="L33" s="967">
        <f t="shared" si="3"/>
        <v>0</v>
      </c>
      <c r="M33" s="967">
        <f t="shared" si="4"/>
        <v>24.534821375245556</v>
      </c>
      <c r="N33" s="54">
        <f t="shared" si="12"/>
        <v>0</v>
      </c>
      <c r="O33" s="968">
        <f t="shared" si="5"/>
        <v>0</v>
      </c>
      <c r="P33" s="968">
        <f t="shared" si="6"/>
        <v>0</v>
      </c>
      <c r="Q33" s="969">
        <f t="shared" si="7"/>
        <v>48.250807506533867</v>
      </c>
      <c r="R33" s="247">
        <f t="shared" si="8"/>
        <v>0</v>
      </c>
      <c r="S33" s="24">
        <f t="shared" si="9"/>
        <v>0</v>
      </c>
      <c r="T33" s="970">
        <f t="shared" si="10"/>
        <v>0</v>
      </c>
      <c r="U33" s="971">
        <f t="shared" si="11"/>
        <v>65.550135486212412</v>
      </c>
    </row>
    <row r="34" spans="1:21" x14ac:dyDescent="0.2">
      <c r="A34" s="33">
        <f t="shared" si="13"/>
        <v>2021</v>
      </c>
      <c r="B34" s="791"/>
      <c r="C34" s="565">
        <f t="shared" si="0"/>
        <v>118889</v>
      </c>
      <c r="D34" s="965"/>
      <c r="E34" s="966"/>
      <c r="F34" s="790"/>
      <c r="G34" s="473">
        <f t="shared" si="14"/>
        <v>0</v>
      </c>
      <c r="H34" s="474">
        <f t="shared" si="14"/>
        <v>0</v>
      </c>
      <c r="I34" s="474">
        <f t="shared" si="15"/>
        <v>0</v>
      </c>
      <c r="J34" s="61">
        <f t="shared" si="1"/>
        <v>0</v>
      </c>
      <c r="K34" s="967">
        <f t="shared" si="2"/>
        <v>0</v>
      </c>
      <c r="L34" s="967">
        <f t="shared" si="3"/>
        <v>0</v>
      </c>
      <c r="M34" s="967">
        <f t="shared" si="4"/>
        <v>24.534821375245556</v>
      </c>
      <c r="N34" s="54">
        <f t="shared" si="12"/>
        <v>0</v>
      </c>
      <c r="O34" s="968">
        <f t="shared" si="5"/>
        <v>0</v>
      </c>
      <c r="P34" s="968">
        <f t="shared" si="6"/>
        <v>0</v>
      </c>
      <c r="Q34" s="969">
        <f t="shared" si="7"/>
        <v>48.250807506533867</v>
      </c>
      <c r="R34" s="247">
        <f t="shared" si="8"/>
        <v>0</v>
      </c>
      <c r="S34" s="24">
        <f t="shared" si="9"/>
        <v>0</v>
      </c>
      <c r="T34" s="970">
        <f t="shared" si="10"/>
        <v>0</v>
      </c>
      <c r="U34" s="971">
        <f t="shared" si="11"/>
        <v>65.550135486212412</v>
      </c>
    </row>
    <row r="35" spans="1:21" x14ac:dyDescent="0.2">
      <c r="A35" s="33">
        <f t="shared" si="13"/>
        <v>2022</v>
      </c>
      <c r="B35" s="791"/>
      <c r="C35" s="565">
        <f t="shared" si="0"/>
        <v>118889</v>
      </c>
      <c r="D35" s="965"/>
      <c r="E35" s="966"/>
      <c r="F35" s="790"/>
      <c r="G35" s="473">
        <f t="shared" si="14"/>
        <v>0</v>
      </c>
      <c r="H35" s="474">
        <f t="shared" si="14"/>
        <v>0</v>
      </c>
      <c r="I35" s="474">
        <f t="shared" si="15"/>
        <v>0</v>
      </c>
      <c r="J35" s="61">
        <f t="shared" si="1"/>
        <v>0</v>
      </c>
      <c r="K35" s="967">
        <f t="shared" si="2"/>
        <v>0</v>
      </c>
      <c r="L35" s="967">
        <f t="shared" si="3"/>
        <v>0</v>
      </c>
      <c r="M35" s="967">
        <f t="shared" si="4"/>
        <v>24.534821375245556</v>
      </c>
      <c r="N35" s="54">
        <f t="shared" si="12"/>
        <v>0</v>
      </c>
      <c r="O35" s="968">
        <f t="shared" si="5"/>
        <v>0</v>
      </c>
      <c r="P35" s="968">
        <f t="shared" si="6"/>
        <v>0</v>
      </c>
      <c r="Q35" s="969">
        <f t="shared" si="7"/>
        <v>48.250807506533867</v>
      </c>
      <c r="R35" s="247">
        <f t="shared" si="8"/>
        <v>0</v>
      </c>
      <c r="S35" s="24">
        <f t="shared" si="9"/>
        <v>0</v>
      </c>
      <c r="T35" s="970">
        <f t="shared" si="10"/>
        <v>0</v>
      </c>
      <c r="U35" s="971">
        <f t="shared" si="11"/>
        <v>65.550135486212412</v>
      </c>
    </row>
    <row r="36" spans="1:21" x14ac:dyDescent="0.2">
      <c r="A36" s="33">
        <f t="shared" si="13"/>
        <v>2023</v>
      </c>
      <c r="B36" s="791"/>
      <c r="C36" s="565">
        <f t="shared" si="0"/>
        <v>118889</v>
      </c>
      <c r="D36" s="965"/>
      <c r="E36" s="966"/>
      <c r="F36" s="790"/>
      <c r="G36" s="473">
        <f t="shared" si="14"/>
        <v>0</v>
      </c>
      <c r="H36" s="474">
        <f t="shared" si="14"/>
        <v>0</v>
      </c>
      <c r="I36" s="474">
        <f t="shared" si="15"/>
        <v>0</v>
      </c>
      <c r="J36" s="61">
        <f t="shared" si="1"/>
        <v>0</v>
      </c>
      <c r="K36" s="967">
        <f t="shared" si="2"/>
        <v>0</v>
      </c>
      <c r="L36" s="967">
        <f t="shared" si="3"/>
        <v>0</v>
      </c>
      <c r="M36" s="967">
        <f t="shared" si="4"/>
        <v>24.534821375245556</v>
      </c>
      <c r="N36" s="54">
        <f t="shared" si="12"/>
        <v>0</v>
      </c>
      <c r="O36" s="968">
        <f t="shared" si="5"/>
        <v>0</v>
      </c>
      <c r="P36" s="968">
        <f t="shared" si="6"/>
        <v>0</v>
      </c>
      <c r="Q36" s="969">
        <f t="shared" si="7"/>
        <v>48.250807506533867</v>
      </c>
      <c r="R36" s="247">
        <f t="shared" si="8"/>
        <v>0</v>
      </c>
      <c r="S36" s="24">
        <f t="shared" si="9"/>
        <v>0</v>
      </c>
      <c r="T36" s="970">
        <f t="shared" si="10"/>
        <v>0</v>
      </c>
      <c r="U36" s="971">
        <f t="shared" si="11"/>
        <v>65.550135486212412</v>
      </c>
    </row>
    <row r="37" spans="1:21" x14ac:dyDescent="0.2">
      <c r="A37" s="33">
        <f t="shared" si="13"/>
        <v>2024</v>
      </c>
      <c r="B37" s="791"/>
      <c r="C37" s="565">
        <f t="shared" si="0"/>
        <v>118889</v>
      </c>
      <c r="D37" s="965"/>
      <c r="E37" s="966"/>
      <c r="F37" s="790"/>
      <c r="G37" s="473">
        <f t="shared" ref="G37:H40" si="19">+$B37*D37/1000</f>
        <v>0</v>
      </c>
      <c r="H37" s="474">
        <f t="shared" si="19"/>
        <v>0</v>
      </c>
      <c r="I37" s="474">
        <f t="shared" ref="I37:I42" si="20">+$B37*F37/1000000</f>
        <v>0</v>
      </c>
      <c r="J37" s="61">
        <f t="shared" si="1"/>
        <v>0</v>
      </c>
      <c r="K37" s="967">
        <f t="shared" si="2"/>
        <v>0</v>
      </c>
      <c r="L37" s="967">
        <f t="shared" si="3"/>
        <v>0</v>
      </c>
      <c r="M37" s="967">
        <f t="shared" si="4"/>
        <v>24.534821375245556</v>
      </c>
      <c r="N37" s="54">
        <f t="shared" si="12"/>
        <v>0</v>
      </c>
      <c r="O37" s="968">
        <f t="shared" si="5"/>
        <v>0</v>
      </c>
      <c r="P37" s="968">
        <f t="shared" si="6"/>
        <v>0</v>
      </c>
      <c r="Q37" s="969">
        <f t="shared" si="7"/>
        <v>48.250807506533867</v>
      </c>
      <c r="R37" s="247">
        <f t="shared" si="8"/>
        <v>0</v>
      </c>
      <c r="S37" s="24">
        <f t="shared" si="9"/>
        <v>0</v>
      </c>
      <c r="T37" s="970">
        <f t="shared" si="10"/>
        <v>0</v>
      </c>
      <c r="U37" s="971">
        <f t="shared" si="11"/>
        <v>65.550135486212412</v>
      </c>
    </row>
    <row r="38" spans="1:21" x14ac:dyDescent="0.2">
      <c r="A38" s="33">
        <f t="shared" si="13"/>
        <v>2025</v>
      </c>
      <c r="B38" s="791"/>
      <c r="C38" s="565">
        <f t="shared" si="0"/>
        <v>118889</v>
      </c>
      <c r="D38" s="965"/>
      <c r="E38" s="966"/>
      <c r="F38" s="790"/>
      <c r="G38" s="473">
        <f t="shared" si="19"/>
        <v>0</v>
      </c>
      <c r="H38" s="474">
        <f t="shared" si="19"/>
        <v>0</v>
      </c>
      <c r="I38" s="474">
        <f t="shared" si="20"/>
        <v>0</v>
      </c>
      <c r="J38" s="61">
        <f t="shared" ref="J38:J42" si="21">+(B38+B37)/2</f>
        <v>0</v>
      </c>
      <c r="K38" s="967">
        <f t="shared" ref="K38:K42" si="22">+D38</f>
        <v>0</v>
      </c>
      <c r="L38" s="967">
        <f t="shared" ref="L38:L42" si="23">+J38*K38/1000</f>
        <v>0</v>
      </c>
      <c r="M38" s="967">
        <f t="shared" ref="M38:M42" si="24">+M37+L38</f>
        <v>24.534821375245556</v>
      </c>
      <c r="N38" s="54">
        <f t="shared" ref="N38:N42" si="25">+B37</f>
        <v>0</v>
      </c>
      <c r="O38" s="968">
        <f t="shared" ref="O38:O42" si="26">+E38</f>
        <v>0</v>
      </c>
      <c r="P38" s="968">
        <f t="shared" ref="P38:P42" si="27">+N38*O38/1000</f>
        <v>0</v>
      </c>
      <c r="Q38" s="969">
        <f t="shared" ref="Q38:Q42" si="28">+Q37+P38</f>
        <v>48.250807506533867</v>
      </c>
      <c r="R38" s="247">
        <f t="shared" ref="R38:R42" si="29">+(B38+B37)/2</f>
        <v>0</v>
      </c>
      <c r="S38" s="24">
        <f t="shared" ref="S38:S42" si="30">+F38</f>
        <v>0</v>
      </c>
      <c r="T38" s="970">
        <f t="shared" ref="T38:T42" si="31">+R38*S38/1000000</f>
        <v>0</v>
      </c>
      <c r="U38" s="971">
        <f t="shared" ref="U38:U42" si="32">+U37+T38</f>
        <v>65.550135486212412</v>
      </c>
    </row>
    <row r="39" spans="1:21" x14ac:dyDescent="0.2">
      <c r="A39" s="33">
        <f>+A38+1</f>
        <v>2026</v>
      </c>
      <c r="B39" s="791"/>
      <c r="C39" s="565">
        <f>+C38+B39</f>
        <v>118889</v>
      </c>
      <c r="D39" s="965"/>
      <c r="E39" s="966"/>
      <c r="F39" s="790"/>
      <c r="G39" s="473">
        <f t="shared" si="19"/>
        <v>0</v>
      </c>
      <c r="H39" s="474">
        <f t="shared" si="19"/>
        <v>0</v>
      </c>
      <c r="I39" s="474">
        <f t="shared" si="20"/>
        <v>0</v>
      </c>
      <c r="J39" s="61">
        <f t="shared" si="21"/>
        <v>0</v>
      </c>
      <c r="K39" s="967">
        <f t="shared" si="22"/>
        <v>0</v>
      </c>
      <c r="L39" s="967">
        <f t="shared" si="23"/>
        <v>0</v>
      </c>
      <c r="M39" s="967">
        <f t="shared" si="24"/>
        <v>24.534821375245556</v>
      </c>
      <c r="N39" s="54">
        <f t="shared" si="25"/>
        <v>0</v>
      </c>
      <c r="O39" s="968">
        <f t="shared" si="26"/>
        <v>0</v>
      </c>
      <c r="P39" s="968">
        <f t="shared" si="27"/>
        <v>0</v>
      </c>
      <c r="Q39" s="969">
        <f t="shared" si="28"/>
        <v>48.250807506533867</v>
      </c>
      <c r="R39" s="247">
        <f t="shared" si="29"/>
        <v>0</v>
      </c>
      <c r="S39" s="24">
        <f t="shared" si="30"/>
        <v>0</v>
      </c>
      <c r="T39" s="970">
        <f t="shared" si="31"/>
        <v>0</v>
      </c>
      <c r="U39" s="971">
        <f t="shared" si="32"/>
        <v>65.550135486212412</v>
      </c>
    </row>
    <row r="40" spans="1:21" x14ac:dyDescent="0.2">
      <c r="A40" s="33">
        <f>+A39+1</f>
        <v>2027</v>
      </c>
      <c r="B40" s="791"/>
      <c r="C40" s="565">
        <f>+C39+B40</f>
        <v>118889</v>
      </c>
      <c r="D40" s="965"/>
      <c r="E40" s="966"/>
      <c r="F40" s="790"/>
      <c r="G40" s="473">
        <f t="shared" si="19"/>
        <v>0</v>
      </c>
      <c r="H40" s="474">
        <f t="shared" si="19"/>
        <v>0</v>
      </c>
      <c r="I40" s="474">
        <f t="shared" si="20"/>
        <v>0</v>
      </c>
      <c r="J40" s="61">
        <f t="shared" si="21"/>
        <v>0</v>
      </c>
      <c r="K40" s="967">
        <f t="shared" si="22"/>
        <v>0</v>
      </c>
      <c r="L40" s="967">
        <f t="shared" si="23"/>
        <v>0</v>
      </c>
      <c r="M40" s="967">
        <f t="shared" si="24"/>
        <v>24.534821375245556</v>
      </c>
      <c r="N40" s="54">
        <f t="shared" si="25"/>
        <v>0</v>
      </c>
      <c r="O40" s="968">
        <f t="shared" si="26"/>
        <v>0</v>
      </c>
      <c r="P40" s="968">
        <f t="shared" si="27"/>
        <v>0</v>
      </c>
      <c r="Q40" s="969">
        <f t="shared" si="28"/>
        <v>48.250807506533867</v>
      </c>
      <c r="R40" s="247">
        <f t="shared" si="29"/>
        <v>0</v>
      </c>
      <c r="S40" s="24">
        <f t="shared" si="30"/>
        <v>0</v>
      </c>
      <c r="T40" s="970">
        <f t="shared" si="31"/>
        <v>0</v>
      </c>
      <c r="U40" s="971">
        <f t="shared" si="32"/>
        <v>65.550135486212412</v>
      </c>
    </row>
    <row r="41" spans="1:21" x14ac:dyDescent="0.2">
      <c r="A41" s="33">
        <f t="shared" ref="A41:A54" si="33">+A40+1</f>
        <v>2028</v>
      </c>
      <c r="B41" s="791"/>
      <c r="C41" s="565">
        <f>+C40+B41</f>
        <v>118889</v>
      </c>
      <c r="D41" s="965"/>
      <c r="E41" s="966"/>
      <c r="F41" s="790"/>
      <c r="G41" s="473">
        <f t="shared" ref="G41:H42" si="34">+$B41*D41/1000</f>
        <v>0</v>
      </c>
      <c r="H41" s="474">
        <f t="shared" si="34"/>
        <v>0</v>
      </c>
      <c r="I41" s="474">
        <f t="shared" si="20"/>
        <v>0</v>
      </c>
      <c r="J41" s="61">
        <f t="shared" si="21"/>
        <v>0</v>
      </c>
      <c r="K41" s="967">
        <f t="shared" si="22"/>
        <v>0</v>
      </c>
      <c r="L41" s="967">
        <f t="shared" si="23"/>
        <v>0</v>
      </c>
      <c r="M41" s="967">
        <f t="shared" si="24"/>
        <v>24.534821375245556</v>
      </c>
      <c r="N41" s="54">
        <f t="shared" si="25"/>
        <v>0</v>
      </c>
      <c r="O41" s="968">
        <f t="shared" si="26"/>
        <v>0</v>
      </c>
      <c r="P41" s="968">
        <f t="shared" si="27"/>
        <v>0</v>
      </c>
      <c r="Q41" s="969">
        <f t="shared" si="28"/>
        <v>48.250807506533867</v>
      </c>
      <c r="R41" s="247">
        <f t="shared" si="29"/>
        <v>0</v>
      </c>
      <c r="S41" s="24">
        <f t="shared" si="30"/>
        <v>0</v>
      </c>
      <c r="T41" s="970">
        <f t="shared" si="31"/>
        <v>0</v>
      </c>
      <c r="U41" s="971">
        <f t="shared" si="32"/>
        <v>65.550135486212412</v>
      </c>
    </row>
    <row r="42" spans="1:21" x14ac:dyDescent="0.2">
      <c r="A42" s="33">
        <f t="shared" si="33"/>
        <v>2029</v>
      </c>
      <c r="B42" s="791"/>
      <c r="C42" s="565">
        <f>+C41+B42</f>
        <v>118889</v>
      </c>
      <c r="D42" s="965"/>
      <c r="E42" s="966"/>
      <c r="F42" s="790"/>
      <c r="G42" s="473">
        <f t="shared" si="34"/>
        <v>0</v>
      </c>
      <c r="H42" s="474">
        <f t="shared" si="34"/>
        <v>0</v>
      </c>
      <c r="I42" s="474">
        <f t="shared" si="20"/>
        <v>0</v>
      </c>
      <c r="J42" s="61">
        <f t="shared" si="21"/>
        <v>0</v>
      </c>
      <c r="K42" s="967">
        <f t="shared" si="22"/>
        <v>0</v>
      </c>
      <c r="L42" s="967">
        <f t="shared" si="23"/>
        <v>0</v>
      </c>
      <c r="M42" s="967">
        <f t="shared" si="24"/>
        <v>24.534821375245556</v>
      </c>
      <c r="N42" s="54">
        <f t="shared" si="25"/>
        <v>0</v>
      </c>
      <c r="O42" s="968">
        <f t="shared" si="26"/>
        <v>0</v>
      </c>
      <c r="P42" s="968">
        <f t="shared" si="27"/>
        <v>0</v>
      </c>
      <c r="Q42" s="969">
        <f t="shared" si="28"/>
        <v>48.250807506533867</v>
      </c>
      <c r="R42" s="247">
        <f t="shared" si="29"/>
        <v>0</v>
      </c>
      <c r="S42" s="24">
        <f t="shared" si="30"/>
        <v>0</v>
      </c>
      <c r="T42" s="970">
        <f t="shared" si="31"/>
        <v>0</v>
      </c>
      <c r="U42" s="971">
        <f t="shared" si="32"/>
        <v>65.550135486212412</v>
      </c>
    </row>
    <row r="43" spans="1:21" x14ac:dyDescent="0.2">
      <c r="A43" s="33">
        <f t="shared" si="33"/>
        <v>2030</v>
      </c>
      <c r="B43" s="791"/>
      <c r="C43" s="565">
        <f t="shared" ref="C43:C47" si="35">+C42+B43</f>
        <v>118889</v>
      </c>
      <c r="D43" s="965"/>
      <c r="E43" s="966"/>
      <c r="F43" s="790"/>
      <c r="G43" s="473">
        <f t="shared" ref="G43:G47" si="36">+$B43*D43/1000</f>
        <v>0</v>
      </c>
      <c r="H43" s="474">
        <f t="shared" ref="H43:H47" si="37">+$B43*E43/1000</f>
        <v>0</v>
      </c>
      <c r="I43" s="474">
        <f t="shared" ref="I43:I47" si="38">+$B43*F43/1000000</f>
        <v>0</v>
      </c>
      <c r="J43" s="61">
        <f t="shared" ref="J43:J47" si="39">+(B43+B42)/2</f>
        <v>0</v>
      </c>
      <c r="K43" s="967">
        <f t="shared" ref="K43:K47" si="40">+D43</f>
        <v>0</v>
      </c>
      <c r="L43" s="967">
        <f t="shared" ref="L43:L47" si="41">+J43*K43/1000</f>
        <v>0</v>
      </c>
      <c r="M43" s="967">
        <f t="shared" ref="M43:M47" si="42">+M42+L43</f>
        <v>24.534821375245556</v>
      </c>
      <c r="N43" s="54">
        <f t="shared" ref="N43:N47" si="43">+B42</f>
        <v>0</v>
      </c>
      <c r="O43" s="968">
        <f t="shared" ref="O43:O47" si="44">+E43</f>
        <v>0</v>
      </c>
      <c r="P43" s="968">
        <f t="shared" ref="P43:P47" si="45">+N43*O43/1000</f>
        <v>0</v>
      </c>
      <c r="Q43" s="969">
        <f t="shared" ref="Q43:Q47" si="46">+Q42+P43</f>
        <v>48.250807506533867</v>
      </c>
      <c r="R43" s="247">
        <f t="shared" ref="R43:R47" si="47">+(B43+B42)/2</f>
        <v>0</v>
      </c>
      <c r="S43" s="24">
        <f t="shared" ref="S43:S47" si="48">+F43</f>
        <v>0</v>
      </c>
      <c r="T43" s="970">
        <f t="shared" ref="T43:T47" si="49">+R43*S43/1000000</f>
        <v>0</v>
      </c>
      <c r="U43" s="971">
        <f t="shared" ref="U43:U47" si="50">+U42+T43</f>
        <v>65.550135486212412</v>
      </c>
    </row>
    <row r="44" spans="1:21" x14ac:dyDescent="0.2">
      <c r="A44" s="33">
        <f t="shared" si="33"/>
        <v>2031</v>
      </c>
      <c r="B44" s="791"/>
      <c r="C44" s="565">
        <f t="shared" si="35"/>
        <v>118889</v>
      </c>
      <c r="D44" s="965"/>
      <c r="E44" s="966"/>
      <c r="F44" s="790"/>
      <c r="G44" s="473">
        <f t="shared" si="36"/>
        <v>0</v>
      </c>
      <c r="H44" s="474">
        <f t="shared" si="37"/>
        <v>0</v>
      </c>
      <c r="I44" s="474">
        <f t="shared" si="38"/>
        <v>0</v>
      </c>
      <c r="J44" s="61">
        <f t="shared" si="39"/>
        <v>0</v>
      </c>
      <c r="K44" s="967">
        <f t="shared" si="40"/>
        <v>0</v>
      </c>
      <c r="L44" s="967">
        <f t="shared" si="41"/>
        <v>0</v>
      </c>
      <c r="M44" s="967">
        <f t="shared" si="42"/>
        <v>24.534821375245556</v>
      </c>
      <c r="N44" s="54">
        <f t="shared" si="43"/>
        <v>0</v>
      </c>
      <c r="O44" s="968">
        <f t="shared" si="44"/>
        <v>0</v>
      </c>
      <c r="P44" s="968">
        <f t="shared" si="45"/>
        <v>0</v>
      </c>
      <c r="Q44" s="969">
        <f t="shared" si="46"/>
        <v>48.250807506533867</v>
      </c>
      <c r="R44" s="247">
        <f t="shared" si="47"/>
        <v>0</v>
      </c>
      <c r="S44" s="24">
        <f t="shared" si="48"/>
        <v>0</v>
      </c>
      <c r="T44" s="970">
        <f t="shared" si="49"/>
        <v>0</v>
      </c>
      <c r="U44" s="971">
        <f t="shared" si="50"/>
        <v>65.550135486212412</v>
      </c>
    </row>
    <row r="45" spans="1:21" x14ac:dyDescent="0.2">
      <c r="A45" s="33">
        <f t="shared" si="33"/>
        <v>2032</v>
      </c>
      <c r="B45" s="791"/>
      <c r="C45" s="565">
        <f t="shared" si="35"/>
        <v>118889</v>
      </c>
      <c r="D45" s="965"/>
      <c r="E45" s="966"/>
      <c r="F45" s="790"/>
      <c r="G45" s="473">
        <f t="shared" si="36"/>
        <v>0</v>
      </c>
      <c r="H45" s="474">
        <f t="shared" si="37"/>
        <v>0</v>
      </c>
      <c r="I45" s="474">
        <f t="shared" si="38"/>
        <v>0</v>
      </c>
      <c r="J45" s="61">
        <f t="shared" si="39"/>
        <v>0</v>
      </c>
      <c r="K45" s="967">
        <f t="shared" si="40"/>
        <v>0</v>
      </c>
      <c r="L45" s="967">
        <f t="shared" si="41"/>
        <v>0</v>
      </c>
      <c r="M45" s="967">
        <f t="shared" si="42"/>
        <v>24.534821375245556</v>
      </c>
      <c r="N45" s="54">
        <f t="shared" si="43"/>
        <v>0</v>
      </c>
      <c r="O45" s="968">
        <f t="shared" si="44"/>
        <v>0</v>
      </c>
      <c r="P45" s="968">
        <f t="shared" si="45"/>
        <v>0</v>
      </c>
      <c r="Q45" s="969">
        <f t="shared" si="46"/>
        <v>48.250807506533867</v>
      </c>
      <c r="R45" s="247">
        <f t="shared" si="47"/>
        <v>0</v>
      </c>
      <c r="S45" s="24">
        <f t="shared" si="48"/>
        <v>0</v>
      </c>
      <c r="T45" s="970">
        <f t="shared" si="49"/>
        <v>0</v>
      </c>
      <c r="U45" s="971">
        <f t="shared" si="50"/>
        <v>65.550135486212412</v>
      </c>
    </row>
    <row r="46" spans="1:21" x14ac:dyDescent="0.2">
      <c r="A46" s="33">
        <f t="shared" si="33"/>
        <v>2033</v>
      </c>
      <c r="B46" s="791"/>
      <c r="C46" s="565">
        <f t="shared" si="35"/>
        <v>118889</v>
      </c>
      <c r="D46" s="965"/>
      <c r="E46" s="966"/>
      <c r="F46" s="790"/>
      <c r="G46" s="473">
        <f t="shared" si="36"/>
        <v>0</v>
      </c>
      <c r="H46" s="474">
        <f t="shared" si="37"/>
        <v>0</v>
      </c>
      <c r="I46" s="474">
        <f t="shared" si="38"/>
        <v>0</v>
      </c>
      <c r="J46" s="61">
        <f t="shared" si="39"/>
        <v>0</v>
      </c>
      <c r="K46" s="967">
        <f t="shared" si="40"/>
        <v>0</v>
      </c>
      <c r="L46" s="967">
        <f t="shared" si="41"/>
        <v>0</v>
      </c>
      <c r="M46" s="967">
        <f t="shared" si="42"/>
        <v>24.534821375245556</v>
      </c>
      <c r="N46" s="54">
        <f t="shared" si="43"/>
        <v>0</v>
      </c>
      <c r="O46" s="968">
        <f t="shared" si="44"/>
        <v>0</v>
      </c>
      <c r="P46" s="968">
        <f t="shared" si="45"/>
        <v>0</v>
      </c>
      <c r="Q46" s="969">
        <f t="shared" si="46"/>
        <v>48.250807506533867</v>
      </c>
      <c r="R46" s="247">
        <f t="shared" si="47"/>
        <v>0</v>
      </c>
      <c r="S46" s="24">
        <f t="shared" si="48"/>
        <v>0</v>
      </c>
      <c r="T46" s="970">
        <f t="shared" si="49"/>
        <v>0</v>
      </c>
      <c r="U46" s="971">
        <f t="shared" si="50"/>
        <v>65.550135486212412</v>
      </c>
    </row>
    <row r="47" spans="1:21" x14ac:dyDescent="0.2">
      <c r="A47" s="33">
        <f t="shared" si="33"/>
        <v>2034</v>
      </c>
      <c r="B47" s="791"/>
      <c r="C47" s="565">
        <f t="shared" si="35"/>
        <v>118889</v>
      </c>
      <c r="D47" s="965"/>
      <c r="E47" s="966"/>
      <c r="F47" s="790"/>
      <c r="G47" s="473">
        <f t="shared" si="36"/>
        <v>0</v>
      </c>
      <c r="H47" s="474">
        <f t="shared" si="37"/>
        <v>0</v>
      </c>
      <c r="I47" s="474">
        <f t="shared" si="38"/>
        <v>0</v>
      </c>
      <c r="J47" s="61">
        <f t="shared" si="39"/>
        <v>0</v>
      </c>
      <c r="K47" s="967">
        <f t="shared" si="40"/>
        <v>0</v>
      </c>
      <c r="L47" s="967">
        <f t="shared" si="41"/>
        <v>0</v>
      </c>
      <c r="M47" s="967">
        <f t="shared" si="42"/>
        <v>24.534821375245556</v>
      </c>
      <c r="N47" s="54">
        <f t="shared" si="43"/>
        <v>0</v>
      </c>
      <c r="O47" s="968">
        <f t="shared" si="44"/>
        <v>0</v>
      </c>
      <c r="P47" s="968">
        <f t="shared" si="45"/>
        <v>0</v>
      </c>
      <c r="Q47" s="969">
        <f t="shared" si="46"/>
        <v>48.250807506533867</v>
      </c>
      <c r="R47" s="247">
        <f t="shared" si="47"/>
        <v>0</v>
      </c>
      <c r="S47" s="24">
        <f t="shared" si="48"/>
        <v>0</v>
      </c>
      <c r="T47" s="970">
        <f t="shared" si="49"/>
        <v>0</v>
      </c>
      <c r="U47" s="971">
        <f t="shared" si="50"/>
        <v>65.550135486212412</v>
      </c>
    </row>
    <row r="48" spans="1:21" x14ac:dyDescent="0.2">
      <c r="A48" s="33">
        <f t="shared" si="33"/>
        <v>2035</v>
      </c>
      <c r="B48" s="791">
        <f>B47</f>
        <v>0</v>
      </c>
      <c r="C48" s="565">
        <f t="shared" ref="C48:C54" si="51">+C47+B48</f>
        <v>118889</v>
      </c>
      <c r="D48" s="965"/>
      <c r="E48" s="966"/>
      <c r="F48" s="790"/>
      <c r="G48" s="473">
        <f t="shared" ref="G48:G54" si="52">+$B48*D48/1000</f>
        <v>0</v>
      </c>
      <c r="H48" s="474">
        <f t="shared" ref="H48:H54" si="53">+$B48*E48/1000</f>
        <v>0</v>
      </c>
      <c r="I48" s="474">
        <f t="shared" ref="I48:I54" si="54">+$B48*F48/1000000</f>
        <v>0</v>
      </c>
      <c r="J48" s="61">
        <f t="shared" ref="J48:J54" si="55">+(B48+B47)/2</f>
        <v>0</v>
      </c>
      <c r="K48" s="967">
        <f t="shared" ref="K48:K54" si="56">+D48</f>
        <v>0</v>
      </c>
      <c r="L48" s="967">
        <f t="shared" ref="L48:L54" si="57">+J48*K48/1000</f>
        <v>0</v>
      </c>
      <c r="M48" s="967">
        <f t="shared" ref="M48:M54" si="58">+M47+L48</f>
        <v>24.534821375245556</v>
      </c>
      <c r="N48" s="54">
        <f t="shared" ref="N48:N54" si="59">+B47</f>
        <v>0</v>
      </c>
      <c r="O48" s="968">
        <f t="shared" ref="O48:O54" si="60">+E48</f>
        <v>0</v>
      </c>
      <c r="P48" s="968">
        <f t="shared" ref="P48:P54" si="61">+N48*O48/1000</f>
        <v>0</v>
      </c>
      <c r="Q48" s="969">
        <f t="shared" ref="Q48:Q54" si="62">+Q47+P48</f>
        <v>48.250807506533867</v>
      </c>
      <c r="R48" s="247">
        <f t="shared" ref="R48:R54" si="63">+(B48+B47)/2</f>
        <v>0</v>
      </c>
      <c r="S48" s="24">
        <f t="shared" ref="S48:S54" si="64">+F48</f>
        <v>0</v>
      </c>
      <c r="T48" s="970">
        <f t="shared" ref="T48:T54" si="65">+R48*S48/1000000</f>
        <v>0</v>
      </c>
      <c r="U48" s="971">
        <f t="shared" ref="U48:U54" si="66">+U47+T48</f>
        <v>65.550135486212412</v>
      </c>
    </row>
    <row r="49" spans="1:21" x14ac:dyDescent="0.2">
      <c r="A49" s="33">
        <f t="shared" si="33"/>
        <v>2036</v>
      </c>
      <c r="B49" s="791">
        <f t="shared" ref="B49:B54" si="67">B48</f>
        <v>0</v>
      </c>
      <c r="C49" s="565">
        <f t="shared" si="51"/>
        <v>118889</v>
      </c>
      <c r="D49" s="965"/>
      <c r="E49" s="966"/>
      <c r="F49" s="790"/>
      <c r="G49" s="473">
        <f t="shared" si="52"/>
        <v>0</v>
      </c>
      <c r="H49" s="474">
        <f t="shared" si="53"/>
        <v>0</v>
      </c>
      <c r="I49" s="474">
        <f t="shared" si="54"/>
        <v>0</v>
      </c>
      <c r="J49" s="61">
        <f t="shared" si="55"/>
        <v>0</v>
      </c>
      <c r="K49" s="967">
        <f t="shared" si="56"/>
        <v>0</v>
      </c>
      <c r="L49" s="967">
        <f t="shared" si="57"/>
        <v>0</v>
      </c>
      <c r="M49" s="967">
        <f t="shared" si="58"/>
        <v>24.534821375245556</v>
      </c>
      <c r="N49" s="54">
        <f t="shared" si="59"/>
        <v>0</v>
      </c>
      <c r="O49" s="968">
        <f t="shared" si="60"/>
        <v>0</v>
      </c>
      <c r="P49" s="968">
        <f t="shared" si="61"/>
        <v>0</v>
      </c>
      <c r="Q49" s="969">
        <f t="shared" si="62"/>
        <v>48.250807506533867</v>
      </c>
      <c r="R49" s="247">
        <f t="shared" si="63"/>
        <v>0</v>
      </c>
      <c r="S49" s="24">
        <f t="shared" si="64"/>
        <v>0</v>
      </c>
      <c r="T49" s="970">
        <f t="shared" si="65"/>
        <v>0</v>
      </c>
      <c r="U49" s="971">
        <f t="shared" si="66"/>
        <v>65.550135486212412</v>
      </c>
    </row>
    <row r="50" spans="1:21" x14ac:dyDescent="0.2">
      <c r="A50" s="33">
        <f t="shared" si="33"/>
        <v>2037</v>
      </c>
      <c r="B50" s="791">
        <f t="shared" si="67"/>
        <v>0</v>
      </c>
      <c r="C50" s="565">
        <f t="shared" si="51"/>
        <v>118889</v>
      </c>
      <c r="D50" s="965"/>
      <c r="E50" s="966"/>
      <c r="F50" s="790"/>
      <c r="G50" s="473">
        <f t="shared" si="52"/>
        <v>0</v>
      </c>
      <c r="H50" s="474">
        <f t="shared" si="53"/>
        <v>0</v>
      </c>
      <c r="I50" s="474">
        <f t="shared" si="54"/>
        <v>0</v>
      </c>
      <c r="J50" s="61">
        <f t="shared" si="55"/>
        <v>0</v>
      </c>
      <c r="K50" s="967">
        <f t="shared" si="56"/>
        <v>0</v>
      </c>
      <c r="L50" s="967">
        <f t="shared" si="57"/>
        <v>0</v>
      </c>
      <c r="M50" s="967">
        <f t="shared" si="58"/>
        <v>24.534821375245556</v>
      </c>
      <c r="N50" s="54">
        <f t="shared" si="59"/>
        <v>0</v>
      </c>
      <c r="O50" s="968">
        <f t="shared" si="60"/>
        <v>0</v>
      </c>
      <c r="P50" s="968">
        <f t="shared" si="61"/>
        <v>0</v>
      </c>
      <c r="Q50" s="969">
        <f t="shared" si="62"/>
        <v>48.250807506533867</v>
      </c>
      <c r="R50" s="247">
        <f t="shared" si="63"/>
        <v>0</v>
      </c>
      <c r="S50" s="24">
        <f t="shared" si="64"/>
        <v>0</v>
      </c>
      <c r="T50" s="970">
        <f t="shared" si="65"/>
        <v>0</v>
      </c>
      <c r="U50" s="971">
        <f t="shared" si="66"/>
        <v>65.550135486212412</v>
      </c>
    </row>
    <row r="51" spans="1:21" x14ac:dyDescent="0.2">
      <c r="A51" s="33">
        <f t="shared" si="33"/>
        <v>2038</v>
      </c>
      <c r="B51" s="791">
        <f t="shared" si="67"/>
        <v>0</v>
      </c>
      <c r="C51" s="565">
        <f t="shared" si="51"/>
        <v>118889</v>
      </c>
      <c r="D51" s="965"/>
      <c r="E51" s="966"/>
      <c r="F51" s="790"/>
      <c r="G51" s="473">
        <f t="shared" si="52"/>
        <v>0</v>
      </c>
      <c r="H51" s="474">
        <f t="shared" si="53"/>
        <v>0</v>
      </c>
      <c r="I51" s="474">
        <f t="shared" si="54"/>
        <v>0</v>
      </c>
      <c r="J51" s="61">
        <f t="shared" si="55"/>
        <v>0</v>
      </c>
      <c r="K51" s="967">
        <f t="shared" si="56"/>
        <v>0</v>
      </c>
      <c r="L51" s="967">
        <f t="shared" si="57"/>
        <v>0</v>
      </c>
      <c r="M51" s="967">
        <f t="shared" si="58"/>
        <v>24.534821375245556</v>
      </c>
      <c r="N51" s="54">
        <f t="shared" si="59"/>
        <v>0</v>
      </c>
      <c r="O51" s="968">
        <f t="shared" si="60"/>
        <v>0</v>
      </c>
      <c r="P51" s="968">
        <f t="shared" si="61"/>
        <v>0</v>
      </c>
      <c r="Q51" s="969">
        <f t="shared" si="62"/>
        <v>48.250807506533867</v>
      </c>
      <c r="R51" s="247">
        <f t="shared" si="63"/>
        <v>0</v>
      </c>
      <c r="S51" s="24">
        <f t="shared" si="64"/>
        <v>0</v>
      </c>
      <c r="T51" s="970">
        <f t="shared" si="65"/>
        <v>0</v>
      </c>
      <c r="U51" s="971">
        <f t="shared" si="66"/>
        <v>65.550135486212412</v>
      </c>
    </row>
    <row r="52" spans="1:21" x14ac:dyDescent="0.2">
      <c r="A52" s="33">
        <f t="shared" si="33"/>
        <v>2039</v>
      </c>
      <c r="B52" s="791">
        <f t="shared" si="67"/>
        <v>0</v>
      </c>
      <c r="C52" s="565">
        <f t="shared" si="51"/>
        <v>118889</v>
      </c>
      <c r="D52" s="965"/>
      <c r="E52" s="966"/>
      <c r="F52" s="790"/>
      <c r="G52" s="473">
        <f t="shared" si="52"/>
        <v>0</v>
      </c>
      <c r="H52" s="474">
        <f t="shared" si="53"/>
        <v>0</v>
      </c>
      <c r="I52" s="474">
        <f t="shared" si="54"/>
        <v>0</v>
      </c>
      <c r="J52" s="61">
        <f t="shared" si="55"/>
        <v>0</v>
      </c>
      <c r="K52" s="967">
        <f t="shared" si="56"/>
        <v>0</v>
      </c>
      <c r="L52" s="967">
        <f t="shared" si="57"/>
        <v>0</v>
      </c>
      <c r="M52" s="967">
        <f t="shared" si="58"/>
        <v>24.534821375245556</v>
      </c>
      <c r="N52" s="54">
        <f t="shared" si="59"/>
        <v>0</v>
      </c>
      <c r="O52" s="968">
        <f t="shared" si="60"/>
        <v>0</v>
      </c>
      <c r="P52" s="968">
        <f t="shared" si="61"/>
        <v>0</v>
      </c>
      <c r="Q52" s="969">
        <f t="shared" si="62"/>
        <v>48.250807506533867</v>
      </c>
      <c r="R52" s="247">
        <f t="shared" si="63"/>
        <v>0</v>
      </c>
      <c r="S52" s="24">
        <f t="shared" si="64"/>
        <v>0</v>
      </c>
      <c r="T52" s="970">
        <f t="shared" si="65"/>
        <v>0</v>
      </c>
      <c r="U52" s="971">
        <f t="shared" si="66"/>
        <v>65.550135486212412</v>
      </c>
    </row>
    <row r="53" spans="1:21" x14ac:dyDescent="0.2">
      <c r="A53" s="33">
        <f t="shared" si="33"/>
        <v>2040</v>
      </c>
      <c r="B53" s="791">
        <f t="shared" si="67"/>
        <v>0</v>
      </c>
      <c r="C53" s="565">
        <f t="shared" si="51"/>
        <v>118889</v>
      </c>
      <c r="D53" s="965"/>
      <c r="E53" s="966"/>
      <c r="F53" s="790"/>
      <c r="G53" s="473">
        <f t="shared" si="52"/>
        <v>0</v>
      </c>
      <c r="H53" s="474">
        <f t="shared" si="53"/>
        <v>0</v>
      </c>
      <c r="I53" s="474">
        <f t="shared" si="54"/>
        <v>0</v>
      </c>
      <c r="J53" s="61">
        <f t="shared" si="55"/>
        <v>0</v>
      </c>
      <c r="K53" s="967">
        <f t="shared" si="56"/>
        <v>0</v>
      </c>
      <c r="L53" s="967">
        <f t="shared" si="57"/>
        <v>0</v>
      </c>
      <c r="M53" s="967">
        <f t="shared" si="58"/>
        <v>24.534821375245556</v>
      </c>
      <c r="N53" s="54">
        <f t="shared" si="59"/>
        <v>0</v>
      </c>
      <c r="O53" s="968">
        <f t="shared" si="60"/>
        <v>0</v>
      </c>
      <c r="P53" s="968">
        <f t="shared" si="61"/>
        <v>0</v>
      </c>
      <c r="Q53" s="969">
        <f t="shared" si="62"/>
        <v>48.250807506533867</v>
      </c>
      <c r="R53" s="247">
        <f t="shared" si="63"/>
        <v>0</v>
      </c>
      <c r="S53" s="24">
        <f t="shared" si="64"/>
        <v>0</v>
      </c>
      <c r="T53" s="970">
        <f t="shared" si="65"/>
        <v>0</v>
      </c>
      <c r="U53" s="971">
        <f t="shared" si="66"/>
        <v>65.550135486212412</v>
      </c>
    </row>
    <row r="54" spans="1:21" x14ac:dyDescent="0.2">
      <c r="A54" s="33">
        <f t="shared" si="33"/>
        <v>2041</v>
      </c>
      <c r="B54" s="791">
        <f t="shared" si="67"/>
        <v>0</v>
      </c>
      <c r="C54" s="565">
        <f t="shared" si="51"/>
        <v>118889</v>
      </c>
      <c r="D54" s="965"/>
      <c r="E54" s="966"/>
      <c r="F54" s="790"/>
      <c r="G54" s="473">
        <f t="shared" si="52"/>
        <v>0</v>
      </c>
      <c r="H54" s="474">
        <f t="shared" si="53"/>
        <v>0</v>
      </c>
      <c r="I54" s="474">
        <f t="shared" si="54"/>
        <v>0</v>
      </c>
      <c r="J54" s="61">
        <f t="shared" si="55"/>
        <v>0</v>
      </c>
      <c r="K54" s="967">
        <f t="shared" si="56"/>
        <v>0</v>
      </c>
      <c r="L54" s="967">
        <f t="shared" si="57"/>
        <v>0</v>
      </c>
      <c r="M54" s="967">
        <f t="shared" si="58"/>
        <v>24.534821375245556</v>
      </c>
      <c r="N54" s="54">
        <f t="shared" si="59"/>
        <v>0</v>
      </c>
      <c r="O54" s="968">
        <f t="shared" si="60"/>
        <v>0</v>
      </c>
      <c r="P54" s="968">
        <f t="shared" si="61"/>
        <v>0</v>
      </c>
      <c r="Q54" s="969">
        <f t="shared" si="62"/>
        <v>48.250807506533867</v>
      </c>
      <c r="R54" s="247">
        <f t="shared" si="63"/>
        <v>0</v>
      </c>
      <c r="S54" s="24">
        <f t="shared" si="64"/>
        <v>0</v>
      </c>
      <c r="T54" s="970">
        <f t="shared" si="65"/>
        <v>0</v>
      </c>
      <c r="U54" s="971">
        <f t="shared" si="66"/>
        <v>65.550135486212412</v>
      </c>
    </row>
    <row r="55" spans="1:21" s="2" customFormat="1" x14ac:dyDescent="0.2">
      <c r="A55" s="491"/>
      <c r="B55" s="1065"/>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s="69" t="s">
        <v>110</v>
      </c>
    </row>
    <row r="62" spans="1:21" x14ac:dyDescent="0.2">
      <c r="B62" s="45" t="s">
        <v>109</v>
      </c>
    </row>
    <row r="63" spans="1:21" x14ac:dyDescent="0.2">
      <c r="A63" s="69" t="s">
        <v>310</v>
      </c>
      <c r="I63" s="8"/>
      <c r="J63" s="8"/>
      <c r="K63" s="8"/>
      <c r="L63" s="8"/>
    </row>
    <row r="64" spans="1:21" x14ac:dyDescent="0.2">
      <c r="I64" s="8"/>
      <c r="J64" s="8"/>
      <c r="K64" s="8"/>
      <c r="L64" s="8"/>
    </row>
    <row r="65" spans="1:22" x14ac:dyDescent="0.2">
      <c r="B65" s="453" t="s">
        <v>218</v>
      </c>
      <c r="C65" s="453"/>
      <c r="D65" s="453"/>
      <c r="E65" s="453"/>
      <c r="F65" s="453"/>
      <c r="G65" s="453"/>
      <c r="I65" s="8"/>
      <c r="J65" s="8"/>
      <c r="K65" s="8"/>
      <c r="L65" s="8"/>
    </row>
    <row r="66" spans="1:22" x14ac:dyDescent="0.2">
      <c r="D66" s="459" t="s">
        <v>223</v>
      </c>
      <c r="E66" s="459" t="s">
        <v>224</v>
      </c>
      <c r="F66" s="459" t="s">
        <v>52</v>
      </c>
      <c r="I66" s="8"/>
      <c r="J66" s="8"/>
      <c r="K66" s="8"/>
      <c r="L66" s="8"/>
    </row>
    <row r="67" spans="1:22" x14ac:dyDescent="0.2">
      <c r="B67" s="379" t="s">
        <v>219</v>
      </c>
      <c r="D67" s="698">
        <v>0.35</v>
      </c>
      <c r="E67" s="698">
        <v>1.08</v>
      </c>
      <c r="F67" s="698">
        <v>1330</v>
      </c>
      <c r="I67" s="8"/>
      <c r="J67" s="8"/>
      <c r="K67" s="8"/>
      <c r="L67" s="8"/>
    </row>
    <row r="68" spans="1:22" x14ac:dyDescent="0.2">
      <c r="B68" s="379" t="s">
        <v>222</v>
      </c>
      <c r="D68" s="698">
        <v>0.72</v>
      </c>
      <c r="E68" s="698">
        <v>0.39</v>
      </c>
      <c r="F68" s="698">
        <v>1091</v>
      </c>
      <c r="I68" s="8"/>
      <c r="J68" s="8"/>
      <c r="K68" s="8"/>
      <c r="L68" s="8"/>
    </row>
    <row r="69" spans="1:22" x14ac:dyDescent="0.2">
      <c r="B69" s="379" t="s">
        <v>220</v>
      </c>
      <c r="D69" s="698">
        <v>0.34</v>
      </c>
      <c r="E69" s="698">
        <v>0</v>
      </c>
      <c r="F69" s="698">
        <v>672</v>
      </c>
      <c r="I69" s="8"/>
      <c r="J69" s="8"/>
      <c r="K69" s="8"/>
      <c r="L69" s="8"/>
    </row>
    <row r="70" spans="1:22" x14ac:dyDescent="0.2">
      <c r="B70" s="379" t="s">
        <v>221</v>
      </c>
      <c r="D70" s="698">
        <v>0.26</v>
      </c>
      <c r="E70" s="698">
        <v>0.37</v>
      </c>
      <c r="F70" s="698">
        <v>848</v>
      </c>
      <c r="I70" s="8"/>
      <c r="J70" s="8"/>
      <c r="K70" s="8"/>
      <c r="L70" s="8"/>
      <c r="V70"/>
    </row>
    <row r="71" spans="1:22" ht="13.5" thickBot="1" x14ac:dyDescent="0.25">
      <c r="B71" s="379"/>
      <c r="D71" s="454"/>
      <c r="E71" s="454"/>
      <c r="F71" s="454"/>
      <c r="I71" s="8"/>
      <c r="J71" s="8"/>
      <c r="K71" s="8"/>
      <c r="L71" s="8"/>
      <c r="V71"/>
    </row>
    <row r="72" spans="1:22" ht="13.5" thickBot="1" x14ac:dyDescent="0.25">
      <c r="B72" s="838" t="s">
        <v>46</v>
      </c>
      <c r="C72" s="175"/>
      <c r="D72" s="175"/>
      <c r="E72" s="175"/>
      <c r="F72" s="333"/>
      <c r="H72" s="332"/>
      <c r="I72" s="846" t="s">
        <v>203</v>
      </c>
      <c r="J72" s="847"/>
      <c r="K72" s="846" t="s">
        <v>203</v>
      </c>
      <c r="L72" s="175"/>
      <c r="M72" s="848" t="s">
        <v>203</v>
      </c>
      <c r="V72"/>
    </row>
    <row r="73" spans="1:22" x14ac:dyDescent="0.2">
      <c r="B73" s="839" t="s">
        <v>219</v>
      </c>
      <c r="C73" s="840" t="s">
        <v>226</v>
      </c>
      <c r="D73" s="840" t="s">
        <v>225</v>
      </c>
      <c r="E73" s="840" t="s">
        <v>227</v>
      </c>
      <c r="F73" s="455" t="s">
        <v>228</v>
      </c>
      <c r="H73" s="849" t="s">
        <v>223</v>
      </c>
      <c r="I73" s="850" t="str">
        <f>H73</f>
        <v>Sum KW</v>
      </c>
      <c r="J73" s="458" t="s">
        <v>224</v>
      </c>
      <c r="K73" s="850" t="str">
        <f>J73</f>
        <v>Win KW</v>
      </c>
      <c r="L73" s="458" t="s">
        <v>52</v>
      </c>
      <c r="M73" s="851" t="str">
        <f>L73</f>
        <v>Energy</v>
      </c>
      <c r="V73"/>
    </row>
    <row r="74" spans="1:22" hidden="1" x14ac:dyDescent="0.2">
      <c r="B74" s="841"/>
      <c r="C74" s="804"/>
      <c r="D74" s="804"/>
      <c r="E74" s="804"/>
      <c r="F74" s="583"/>
      <c r="G74" s="2"/>
      <c r="H74" s="852"/>
      <c r="I74" s="853"/>
      <c r="J74" s="427"/>
      <c r="K74" s="853"/>
      <c r="L74" s="9"/>
      <c r="M74" s="854"/>
      <c r="V74"/>
    </row>
    <row r="75" spans="1:22" hidden="1" x14ac:dyDescent="0.2">
      <c r="A75" s="2"/>
      <c r="B75" s="841"/>
      <c r="C75" s="804"/>
      <c r="D75" s="804"/>
      <c r="E75" s="804"/>
      <c r="F75" s="583"/>
      <c r="G75" s="2"/>
      <c r="H75" s="852"/>
      <c r="I75" s="853"/>
      <c r="J75" s="427"/>
      <c r="K75" s="853"/>
      <c r="L75" s="9"/>
      <c r="M75" s="854"/>
      <c r="V75"/>
    </row>
    <row r="76" spans="1:22" hidden="1" x14ac:dyDescent="0.2">
      <c r="A76" s="683"/>
      <c r="B76" s="841"/>
      <c r="C76" s="804"/>
      <c r="D76" s="804"/>
      <c r="E76" s="804"/>
      <c r="F76" s="583"/>
      <c r="G76" s="2"/>
      <c r="H76" s="852"/>
      <c r="I76" s="853"/>
      <c r="J76" s="427"/>
      <c r="K76" s="853"/>
      <c r="L76" s="855"/>
      <c r="M76" s="854"/>
      <c r="V76"/>
    </row>
    <row r="77" spans="1:22" hidden="1" x14ac:dyDescent="0.2">
      <c r="A77" s="683"/>
      <c r="B77" s="841"/>
      <c r="C77" s="804"/>
      <c r="D77" s="804"/>
      <c r="E77" s="804"/>
      <c r="F77" s="583"/>
      <c r="G77" s="2"/>
      <c r="H77" s="852"/>
      <c r="I77" s="853"/>
      <c r="J77" s="427"/>
      <c r="K77" s="853"/>
      <c r="L77" s="855"/>
      <c r="M77" s="854"/>
      <c r="V77"/>
    </row>
    <row r="78" spans="1:22" x14ac:dyDescent="0.2">
      <c r="A78" s="699">
        <v>2014</v>
      </c>
      <c r="B78" s="842">
        <v>14</v>
      </c>
      <c r="C78" s="843">
        <v>1619</v>
      </c>
      <c r="D78" s="843">
        <v>397</v>
      </c>
      <c r="E78" s="843">
        <v>5880</v>
      </c>
      <c r="F78" s="556">
        <f t="shared" ref="F78:F83" si="68">SUM(B78:E78)</f>
        <v>7910</v>
      </c>
      <c r="G78" s="555"/>
      <c r="H78" s="856">
        <f t="shared" ref="H78:H83" si="69">($D$67*B78)+($D$68*C78)+($D$69*D78)+($D$70*E78)</f>
        <v>2834.36</v>
      </c>
      <c r="I78" s="857">
        <f t="shared" ref="I78:K83" si="70">H78/$F78</f>
        <v>0.35832616940581546</v>
      </c>
      <c r="J78" s="858">
        <f t="shared" ref="J78:J83" si="71">($E$67*B78)+($E$68*C78)+($E$69*D78)+($E$70*E78)</f>
        <v>2822.13</v>
      </c>
      <c r="K78" s="857">
        <f t="shared" si="70"/>
        <v>0.35678002528445008</v>
      </c>
      <c r="L78" s="859">
        <f t="shared" ref="L78:L83" si="72">($F$67*B78)+($F$68*C78)+($F$69*D78)+($F$70*E78)</f>
        <v>7037973</v>
      </c>
      <c r="M78" s="860">
        <f t="shared" ref="M78:M83" si="73">L78/$F78</f>
        <v>889.75638432364099</v>
      </c>
      <c r="V78"/>
    </row>
    <row r="79" spans="1:22" x14ac:dyDescent="0.2">
      <c r="A79">
        <v>2015</v>
      </c>
      <c r="B79" s="844">
        <v>13</v>
      </c>
      <c r="C79" s="176">
        <v>800</v>
      </c>
      <c r="D79" s="176">
        <v>700</v>
      </c>
      <c r="E79" s="176">
        <v>5000</v>
      </c>
      <c r="F79" s="456">
        <f t="shared" si="68"/>
        <v>6513</v>
      </c>
      <c r="H79" s="861">
        <f t="shared" si="69"/>
        <v>2118.5500000000002</v>
      </c>
      <c r="I79" s="862">
        <f t="shared" si="70"/>
        <v>0.32528020881314296</v>
      </c>
      <c r="J79" s="361">
        <f t="shared" si="71"/>
        <v>2176.04</v>
      </c>
      <c r="K79" s="862">
        <f t="shared" si="70"/>
        <v>0.33410717027483494</v>
      </c>
      <c r="L79" s="863">
        <f t="shared" si="72"/>
        <v>5600490</v>
      </c>
      <c r="M79" s="864">
        <f t="shared" si="73"/>
        <v>859.89405803777061</v>
      </c>
      <c r="V79"/>
    </row>
    <row r="80" spans="1:22" x14ac:dyDescent="0.2">
      <c r="A80">
        <v>2016</v>
      </c>
      <c r="B80" s="844">
        <v>12</v>
      </c>
      <c r="C80" s="176">
        <v>750</v>
      </c>
      <c r="D80" s="176">
        <v>800</v>
      </c>
      <c r="E80" s="176">
        <v>3500</v>
      </c>
      <c r="F80" s="456">
        <f t="shared" si="68"/>
        <v>5062</v>
      </c>
      <c r="H80" s="861">
        <f t="shared" si="69"/>
        <v>1726.2</v>
      </c>
      <c r="I80" s="862">
        <f t="shared" si="70"/>
        <v>0.34101145792177007</v>
      </c>
      <c r="J80" s="361">
        <f t="shared" si="71"/>
        <v>1600.46</v>
      </c>
      <c r="K80" s="862">
        <f t="shared" si="70"/>
        <v>0.31617147372580007</v>
      </c>
      <c r="L80" s="863">
        <f t="shared" si="72"/>
        <v>4339810</v>
      </c>
      <c r="M80" s="864">
        <f t="shared" si="73"/>
        <v>857.33109442907937</v>
      </c>
      <c r="V80"/>
    </row>
    <row r="81" spans="1:22" x14ac:dyDescent="0.2">
      <c r="A81">
        <v>2017</v>
      </c>
      <c r="B81" s="844">
        <v>12</v>
      </c>
      <c r="C81" s="176">
        <v>725</v>
      </c>
      <c r="D81" s="176">
        <v>900</v>
      </c>
      <c r="E81" s="176">
        <v>3250</v>
      </c>
      <c r="F81" s="456">
        <f t="shared" si="68"/>
        <v>4887</v>
      </c>
      <c r="H81" s="861">
        <f t="shared" si="69"/>
        <v>1677.2</v>
      </c>
      <c r="I81" s="862">
        <f t="shared" si="70"/>
        <v>0.34319623490894208</v>
      </c>
      <c r="J81" s="361">
        <f t="shared" si="71"/>
        <v>1498.21</v>
      </c>
      <c r="K81" s="862">
        <f t="shared" si="70"/>
        <v>0.30657049314507878</v>
      </c>
      <c r="L81" s="863">
        <f t="shared" si="72"/>
        <v>4167735</v>
      </c>
      <c r="M81" s="864">
        <f t="shared" si="73"/>
        <v>852.82074892572132</v>
      </c>
      <c r="V81"/>
    </row>
    <row r="82" spans="1:22" x14ac:dyDescent="0.2">
      <c r="A82">
        <v>2018</v>
      </c>
      <c r="B82" s="844">
        <v>12</v>
      </c>
      <c r="C82" s="176">
        <v>700</v>
      </c>
      <c r="D82" s="176">
        <v>1250</v>
      </c>
      <c r="E82" s="176">
        <v>2750</v>
      </c>
      <c r="F82" s="456">
        <f t="shared" si="68"/>
        <v>4712</v>
      </c>
      <c r="H82" s="861">
        <f t="shared" si="69"/>
        <v>1648.2</v>
      </c>
      <c r="I82" s="862">
        <f t="shared" si="70"/>
        <v>0.34978777589134125</v>
      </c>
      <c r="J82" s="361">
        <f t="shared" si="71"/>
        <v>1303.46</v>
      </c>
      <c r="K82" s="862">
        <f t="shared" si="70"/>
        <v>0.27662563667232598</v>
      </c>
      <c r="L82" s="863">
        <f t="shared" si="72"/>
        <v>3951660</v>
      </c>
      <c r="M82" s="864">
        <f t="shared" si="73"/>
        <v>838.6375212224109</v>
      </c>
      <c r="V82"/>
    </row>
    <row r="83" spans="1:22" ht="13.5" thickBot="1" x14ac:dyDescent="0.25">
      <c r="A83">
        <v>2019</v>
      </c>
      <c r="B83" s="845">
        <v>12</v>
      </c>
      <c r="C83" s="376">
        <v>675</v>
      </c>
      <c r="D83" s="376">
        <v>1450</v>
      </c>
      <c r="E83" s="376">
        <v>2500</v>
      </c>
      <c r="F83" s="457">
        <f t="shared" si="68"/>
        <v>4637</v>
      </c>
      <c r="H83" s="865">
        <f t="shared" si="69"/>
        <v>1633.2</v>
      </c>
      <c r="I83" s="866">
        <f t="shared" si="70"/>
        <v>0.35221048091438428</v>
      </c>
      <c r="J83" s="867">
        <f t="shared" si="71"/>
        <v>1201.21</v>
      </c>
      <c r="K83" s="866">
        <f t="shared" si="70"/>
        <v>0.25904895406512835</v>
      </c>
      <c r="L83" s="868">
        <f t="shared" si="72"/>
        <v>3846785</v>
      </c>
      <c r="M83" s="869">
        <f t="shared" si="73"/>
        <v>829.58486090144493</v>
      </c>
      <c r="V83"/>
    </row>
  </sheetData>
  <mergeCells count="4">
    <mergeCell ref="R4:U4"/>
    <mergeCell ref="G3:I3"/>
    <mergeCell ref="B4:I4"/>
    <mergeCell ref="J4:M4"/>
  </mergeCells>
  <phoneticPr fontId="7" type="noConversion"/>
  <pageMargins left="0.75" right="0.75" top="0.48" bottom="0.57999999999999996" header="0.35" footer="0.5"/>
  <pageSetup scale="56" orientation="landscape" r:id="rId1"/>
  <headerFooter alignWithMargins="0"/>
  <ignoredErrors>
    <ignoredError sqref="J78:J83"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FF0000"/>
  </sheetPr>
  <dimension ref="A1:X59"/>
  <sheetViews>
    <sheetView topLeftCell="A10" zoomScale="84" zoomScaleNormal="84" workbookViewId="0">
      <selection activeCell="A55" sqref="A55:XFD55"/>
    </sheetView>
  </sheetViews>
  <sheetFormatPr defaultRowHeight="12.75" x14ac:dyDescent="0.2"/>
  <cols>
    <col min="1" max="3" width="11.7109375" customWidth="1"/>
    <col min="4" max="4" width="11" customWidth="1"/>
    <col min="5"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8" t="s">
        <v>393</v>
      </c>
      <c r="F1" s="4"/>
      <c r="G1" s="249"/>
      <c r="H1" s="249"/>
      <c r="I1" s="249"/>
      <c r="J1" s="4"/>
      <c r="K1" s="4"/>
      <c r="L1" s="4"/>
      <c r="M1" s="4"/>
      <c r="N1" s="4"/>
    </row>
    <row r="2" spans="1:24" ht="16.5" thickBot="1" x14ac:dyDescent="0.3">
      <c r="A2" s="5" t="s">
        <v>1</v>
      </c>
      <c r="B2" s="27" t="s">
        <v>211</v>
      </c>
      <c r="C2" s="27" t="s">
        <v>259</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62"/>
      <c r="E8" s="663"/>
      <c r="F8" s="617"/>
      <c r="G8" s="626"/>
      <c r="H8" s="72"/>
      <c r="I8" s="630"/>
      <c r="J8" s="61"/>
      <c r="K8" s="188"/>
      <c r="L8" s="188"/>
      <c r="M8" s="188"/>
      <c r="N8" s="51"/>
      <c r="O8" s="670"/>
      <c r="P8" s="670"/>
      <c r="Q8" s="670"/>
      <c r="R8" s="247"/>
      <c r="S8" s="24"/>
      <c r="T8" s="25"/>
      <c r="U8" s="654"/>
      <c r="V8" s="248"/>
      <c r="X8" s="1"/>
    </row>
    <row r="9" spans="1:24" x14ac:dyDescent="0.2">
      <c r="A9" s="33">
        <v>1996</v>
      </c>
      <c r="B9" s="30"/>
      <c r="C9" s="660"/>
      <c r="D9" s="662"/>
      <c r="E9" s="663"/>
      <c r="F9" s="617"/>
      <c r="G9" s="626"/>
      <c r="H9" s="72"/>
      <c r="I9" s="630"/>
      <c r="J9" s="61"/>
      <c r="K9" s="188"/>
      <c r="L9" s="188"/>
      <c r="M9" s="188"/>
      <c r="N9" s="54"/>
      <c r="O9" s="670"/>
      <c r="P9" s="670"/>
      <c r="Q9" s="670"/>
      <c r="R9" s="247"/>
      <c r="S9" s="24"/>
      <c r="T9" s="25"/>
      <c r="U9" s="654"/>
      <c r="V9" s="10"/>
      <c r="X9" s="1"/>
    </row>
    <row r="10" spans="1:24" x14ac:dyDescent="0.2">
      <c r="A10" s="33">
        <v>1997</v>
      </c>
      <c r="B10" s="30"/>
      <c r="C10" s="660"/>
      <c r="D10" s="662"/>
      <c r="E10" s="663"/>
      <c r="F10" s="617"/>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662"/>
      <c r="E11" s="663"/>
      <c r="F11" s="617"/>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662"/>
      <c r="E12" s="663"/>
      <c r="F12" s="617"/>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662"/>
      <c r="E13" s="663"/>
      <c r="F13" s="617"/>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662"/>
      <c r="E14" s="663"/>
      <c r="F14" s="617"/>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662"/>
      <c r="E15" s="663"/>
      <c r="F15" s="617"/>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662"/>
      <c r="E16" s="663"/>
      <c r="F16" s="617"/>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662"/>
      <c r="E17" s="663"/>
      <c r="F17" s="617"/>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662"/>
      <c r="E18" s="663"/>
      <c r="F18" s="617"/>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662"/>
      <c r="E19" s="663"/>
      <c r="F19" s="617"/>
      <c r="G19" s="626"/>
      <c r="H19" s="72"/>
      <c r="I19" s="630"/>
      <c r="J19" s="61"/>
      <c r="K19" s="188"/>
      <c r="L19" s="188"/>
      <c r="M19" s="188"/>
      <c r="N19" s="54"/>
      <c r="O19" s="670"/>
      <c r="P19" s="670"/>
      <c r="Q19" s="670"/>
      <c r="R19" s="247"/>
      <c r="S19" s="24"/>
      <c r="T19" s="25"/>
      <c r="U19" s="654"/>
      <c r="V19" s="8"/>
      <c r="X19" s="1"/>
    </row>
    <row r="20" spans="1:24" x14ac:dyDescent="0.2">
      <c r="A20" s="33">
        <f t="shared" si="0"/>
        <v>2007</v>
      </c>
      <c r="B20" s="30"/>
      <c r="C20" s="660"/>
      <c r="D20" s="662"/>
      <c r="E20" s="663"/>
      <c r="F20" s="617"/>
      <c r="G20" s="626"/>
      <c r="H20" s="72"/>
      <c r="I20" s="630"/>
      <c r="J20" s="61"/>
      <c r="K20" s="188"/>
      <c r="L20" s="188"/>
      <c r="M20" s="188"/>
      <c r="N20" s="54"/>
      <c r="O20" s="670"/>
      <c r="P20" s="670"/>
      <c r="Q20" s="670"/>
      <c r="R20" s="247"/>
      <c r="S20" s="24"/>
      <c r="T20" s="25"/>
      <c r="U20" s="654"/>
    </row>
    <row r="21" spans="1:24" x14ac:dyDescent="0.2">
      <c r="A21" s="33">
        <f t="shared" si="0"/>
        <v>2008</v>
      </c>
      <c r="B21" s="30"/>
      <c r="C21" s="660"/>
      <c r="D21" s="662"/>
      <c r="E21" s="663"/>
      <c r="F21" s="617"/>
      <c r="G21" s="626"/>
      <c r="H21" s="72"/>
      <c r="I21" s="630"/>
      <c r="J21" s="61"/>
      <c r="K21" s="188"/>
      <c r="L21" s="188"/>
      <c r="M21" s="188"/>
      <c r="N21" s="54"/>
      <c r="O21" s="670"/>
      <c r="P21" s="670"/>
      <c r="Q21" s="670"/>
      <c r="R21" s="247"/>
      <c r="S21" s="24"/>
      <c r="T21" s="25"/>
      <c r="U21" s="654"/>
    </row>
    <row r="22" spans="1:24" x14ac:dyDescent="0.2">
      <c r="A22" s="33">
        <f t="shared" si="0"/>
        <v>2009</v>
      </c>
      <c r="B22" s="30"/>
      <c r="C22" s="660"/>
      <c r="D22" s="662"/>
      <c r="E22" s="663"/>
      <c r="F22" s="617"/>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39" si="1">+C22+B23</f>
        <v>0</v>
      </c>
      <c r="D23" s="662">
        <v>2.8</v>
      </c>
      <c r="E23" s="663">
        <v>0</v>
      </c>
      <c r="F23" s="617">
        <v>7884</v>
      </c>
      <c r="G23" s="626">
        <f t="shared" ref="G23:H39" si="2">+$B23*D23/1000</f>
        <v>0</v>
      </c>
      <c r="H23" s="72">
        <f t="shared" si="2"/>
        <v>0</v>
      </c>
      <c r="I23" s="630">
        <f t="shared" ref="I23:I39" si="3">+$B23*F23/1000000</f>
        <v>0</v>
      </c>
      <c r="J23" s="61">
        <f t="shared" ref="J23:J39" si="4">+(B23+B22)/2</f>
        <v>0</v>
      </c>
      <c r="K23" s="188">
        <f t="shared" ref="K23:K39" si="5">+D23</f>
        <v>2.8</v>
      </c>
      <c r="L23" s="188">
        <f t="shared" ref="L23:L39" si="6">+J23*K23/1000</f>
        <v>0</v>
      </c>
      <c r="M23" s="188">
        <f t="shared" ref="M23:M39" si="7">+M22+L23</f>
        <v>0</v>
      </c>
      <c r="N23" s="54">
        <f t="shared" ref="N23:N39" si="8">+B22</f>
        <v>0</v>
      </c>
      <c r="O23" s="670">
        <f t="shared" ref="O23:O39" si="9">+E23</f>
        <v>0</v>
      </c>
      <c r="P23" s="670">
        <f t="shared" ref="P23:P39" si="10">+N23*O23/1000</f>
        <v>0</v>
      </c>
      <c r="Q23" s="670">
        <f t="shared" ref="Q23:Q39" si="11">+Q22+P23</f>
        <v>0</v>
      </c>
      <c r="R23" s="247">
        <f t="shared" ref="R23:R38" si="12">+(B23+B22)/2</f>
        <v>0</v>
      </c>
      <c r="S23" s="24">
        <f t="shared" ref="S23:S38" si="13">+F23</f>
        <v>7884</v>
      </c>
      <c r="T23" s="25">
        <f t="shared" ref="T23:T38" si="14">+R23*S23/1000000</f>
        <v>0</v>
      </c>
      <c r="U23" s="654">
        <f t="shared" ref="U23:U39" si="15">+U22+T23</f>
        <v>0</v>
      </c>
    </row>
    <row r="24" spans="1:24" x14ac:dyDescent="0.2">
      <c r="A24" s="33">
        <f t="shared" si="0"/>
        <v>2011</v>
      </c>
      <c r="B24" s="30">
        <v>49</v>
      </c>
      <c r="C24" s="661">
        <f t="shared" si="1"/>
        <v>49</v>
      </c>
      <c r="D24" s="662">
        <v>3.55</v>
      </c>
      <c r="E24" s="663">
        <v>0</v>
      </c>
      <c r="F24" s="617">
        <v>10005</v>
      </c>
      <c r="G24" s="626">
        <f t="shared" si="2"/>
        <v>0.17394999999999999</v>
      </c>
      <c r="H24" s="72">
        <f t="shared" si="2"/>
        <v>0</v>
      </c>
      <c r="I24" s="630">
        <f t="shared" si="3"/>
        <v>0.49024499999999999</v>
      </c>
      <c r="J24" s="61">
        <f t="shared" si="4"/>
        <v>24.5</v>
      </c>
      <c r="K24" s="188">
        <f t="shared" si="5"/>
        <v>3.55</v>
      </c>
      <c r="L24" s="188">
        <f t="shared" si="6"/>
        <v>8.6974999999999997E-2</v>
      </c>
      <c r="M24" s="188">
        <f t="shared" si="7"/>
        <v>8.6974999999999997E-2</v>
      </c>
      <c r="N24" s="54">
        <f t="shared" si="8"/>
        <v>0</v>
      </c>
      <c r="O24" s="670">
        <f t="shared" si="9"/>
        <v>0</v>
      </c>
      <c r="P24" s="670">
        <f t="shared" si="10"/>
        <v>0</v>
      </c>
      <c r="Q24" s="670">
        <f t="shared" si="11"/>
        <v>0</v>
      </c>
      <c r="R24" s="247">
        <f t="shared" si="12"/>
        <v>24.5</v>
      </c>
      <c r="S24" s="24">
        <f t="shared" si="13"/>
        <v>10005</v>
      </c>
      <c r="T24" s="25">
        <f t="shared" si="14"/>
        <v>0.24512249999999999</v>
      </c>
      <c r="U24" s="654">
        <f t="shared" si="15"/>
        <v>0.24512249999999999</v>
      </c>
    </row>
    <row r="25" spans="1:24" x14ac:dyDescent="0.2">
      <c r="A25" s="33">
        <f t="shared" si="0"/>
        <v>2012</v>
      </c>
      <c r="B25" s="30">
        <v>63</v>
      </c>
      <c r="C25" s="661">
        <f t="shared" si="1"/>
        <v>112</v>
      </c>
      <c r="D25" s="662">
        <v>4.49</v>
      </c>
      <c r="E25" s="663">
        <v>0</v>
      </c>
      <c r="F25" s="617">
        <v>12639</v>
      </c>
      <c r="G25" s="626">
        <f t="shared" si="2"/>
        <v>0.28287000000000001</v>
      </c>
      <c r="H25" s="72">
        <f t="shared" si="2"/>
        <v>0</v>
      </c>
      <c r="I25" s="630">
        <f t="shared" si="3"/>
        <v>0.79625699999999999</v>
      </c>
      <c r="J25" s="61">
        <f t="shared" si="4"/>
        <v>56</v>
      </c>
      <c r="K25" s="188">
        <f t="shared" si="5"/>
        <v>4.49</v>
      </c>
      <c r="L25" s="188">
        <f t="shared" si="6"/>
        <v>0.25144</v>
      </c>
      <c r="M25" s="188">
        <f t="shared" si="7"/>
        <v>0.33841500000000002</v>
      </c>
      <c r="N25" s="54">
        <f t="shared" si="8"/>
        <v>49</v>
      </c>
      <c r="O25" s="670">
        <f t="shared" si="9"/>
        <v>0</v>
      </c>
      <c r="P25" s="670">
        <f t="shared" si="10"/>
        <v>0</v>
      </c>
      <c r="Q25" s="670">
        <f t="shared" si="11"/>
        <v>0</v>
      </c>
      <c r="R25" s="247">
        <f t="shared" si="12"/>
        <v>56</v>
      </c>
      <c r="S25" s="24">
        <f t="shared" si="13"/>
        <v>12639</v>
      </c>
      <c r="T25" s="25">
        <f t="shared" si="14"/>
        <v>0.70778399999999997</v>
      </c>
      <c r="U25" s="654">
        <f t="shared" si="15"/>
        <v>0.95290649999999999</v>
      </c>
    </row>
    <row r="26" spans="1:24" s="831" customFormat="1" x14ac:dyDescent="0.2">
      <c r="A26" s="33">
        <f t="shared" si="0"/>
        <v>2013</v>
      </c>
      <c r="B26" s="30">
        <v>56</v>
      </c>
      <c r="C26" s="619">
        <f t="shared" si="1"/>
        <v>168</v>
      </c>
      <c r="D26" s="807">
        <v>4.79</v>
      </c>
      <c r="E26" s="808">
        <f t="shared" ref="E26:E27" si="16">+E25</f>
        <v>0</v>
      </c>
      <c r="F26" s="806">
        <v>13490</v>
      </c>
      <c r="G26" s="626">
        <f t="shared" si="2"/>
        <v>0.26824000000000003</v>
      </c>
      <c r="H26" s="72">
        <f t="shared" si="2"/>
        <v>0</v>
      </c>
      <c r="I26" s="630">
        <f t="shared" si="3"/>
        <v>0.75544</v>
      </c>
      <c r="J26" s="61">
        <f t="shared" si="4"/>
        <v>59.5</v>
      </c>
      <c r="K26" s="188">
        <f t="shared" si="5"/>
        <v>4.79</v>
      </c>
      <c r="L26" s="188">
        <f t="shared" si="6"/>
        <v>0.28500500000000001</v>
      </c>
      <c r="M26" s="829">
        <f t="shared" si="7"/>
        <v>0.62342000000000009</v>
      </c>
      <c r="N26" s="54">
        <f t="shared" si="8"/>
        <v>63</v>
      </c>
      <c r="O26" s="670">
        <f t="shared" si="9"/>
        <v>0</v>
      </c>
      <c r="P26" s="670">
        <f t="shared" si="10"/>
        <v>0</v>
      </c>
      <c r="Q26" s="671">
        <f t="shared" si="11"/>
        <v>0</v>
      </c>
      <c r="R26" s="247">
        <f t="shared" si="12"/>
        <v>59.5</v>
      </c>
      <c r="S26" s="24">
        <f t="shared" si="13"/>
        <v>13490</v>
      </c>
      <c r="T26" s="25">
        <f t="shared" si="14"/>
        <v>0.80265500000000001</v>
      </c>
      <c r="U26" s="654">
        <f t="shared" si="15"/>
        <v>1.7555615</v>
      </c>
      <c r="V26" s="830"/>
    </row>
    <row r="27" spans="1:24" s="831" customFormat="1" x14ac:dyDescent="0.2">
      <c r="A27" s="33">
        <f t="shared" si="0"/>
        <v>2014</v>
      </c>
      <c r="B27" s="30">
        <v>60</v>
      </c>
      <c r="C27" s="619">
        <f t="shared" si="1"/>
        <v>228</v>
      </c>
      <c r="D27" s="807">
        <v>4.93</v>
      </c>
      <c r="E27" s="808">
        <f t="shared" si="16"/>
        <v>0</v>
      </c>
      <c r="F27" s="806">
        <v>13868</v>
      </c>
      <c r="G27" s="626">
        <f t="shared" si="2"/>
        <v>0.29579999999999995</v>
      </c>
      <c r="H27" s="72">
        <f t="shared" si="2"/>
        <v>0</v>
      </c>
      <c r="I27" s="630">
        <f t="shared" si="3"/>
        <v>0.83208000000000004</v>
      </c>
      <c r="J27" s="61">
        <f t="shared" si="4"/>
        <v>58</v>
      </c>
      <c r="K27" s="188">
        <f t="shared" si="5"/>
        <v>4.93</v>
      </c>
      <c r="L27" s="188">
        <f t="shared" si="6"/>
        <v>0.28593999999999997</v>
      </c>
      <c r="M27" s="829">
        <f t="shared" si="7"/>
        <v>0.90936000000000006</v>
      </c>
      <c r="N27" s="54">
        <f t="shared" si="8"/>
        <v>56</v>
      </c>
      <c r="O27" s="670">
        <f t="shared" si="9"/>
        <v>0</v>
      </c>
      <c r="P27" s="670">
        <f t="shared" si="10"/>
        <v>0</v>
      </c>
      <c r="Q27" s="671">
        <f t="shared" si="11"/>
        <v>0</v>
      </c>
      <c r="R27" s="247">
        <f t="shared" si="12"/>
        <v>58</v>
      </c>
      <c r="S27" s="24">
        <f t="shared" si="13"/>
        <v>13868</v>
      </c>
      <c r="T27" s="25">
        <f t="shared" si="14"/>
        <v>0.80434399999999995</v>
      </c>
      <c r="U27" s="654">
        <f t="shared" si="15"/>
        <v>2.5599055000000002</v>
      </c>
      <c r="V27" s="830"/>
    </row>
    <row r="28" spans="1:24" ht="13.5" thickBot="1" x14ac:dyDescent="0.25">
      <c r="A28" s="701">
        <f t="shared" si="0"/>
        <v>2015</v>
      </c>
      <c r="B28" s="702">
        <v>53</v>
      </c>
      <c r="C28" s="703">
        <f t="shared" si="1"/>
        <v>281</v>
      </c>
      <c r="D28" s="835">
        <v>5.31</v>
      </c>
      <c r="E28" s="836">
        <v>0</v>
      </c>
      <c r="F28" s="705">
        <v>14948</v>
      </c>
      <c r="G28" s="823">
        <f t="shared" si="2"/>
        <v>0.28143000000000001</v>
      </c>
      <c r="H28" s="707">
        <f t="shared" si="2"/>
        <v>0</v>
      </c>
      <c r="I28" s="824">
        <f t="shared" si="3"/>
        <v>0.79224399999999995</v>
      </c>
      <c r="J28" s="708">
        <f t="shared" si="4"/>
        <v>56.5</v>
      </c>
      <c r="K28" s="825">
        <f t="shared" si="5"/>
        <v>5.31</v>
      </c>
      <c r="L28" s="825">
        <f t="shared" si="6"/>
        <v>0.30001499999999998</v>
      </c>
      <c r="M28" s="826">
        <f t="shared" si="7"/>
        <v>1.2093750000000001</v>
      </c>
      <c r="N28" s="711">
        <f t="shared" si="8"/>
        <v>60</v>
      </c>
      <c r="O28" s="827">
        <f t="shared" si="9"/>
        <v>0</v>
      </c>
      <c r="P28" s="827">
        <f t="shared" si="10"/>
        <v>0</v>
      </c>
      <c r="Q28" s="828">
        <f t="shared" si="11"/>
        <v>0</v>
      </c>
      <c r="R28" s="714">
        <f t="shared" si="12"/>
        <v>56.5</v>
      </c>
      <c r="S28" s="715">
        <f t="shared" si="13"/>
        <v>14948</v>
      </c>
      <c r="T28" s="716">
        <f t="shared" si="14"/>
        <v>0.84456200000000003</v>
      </c>
      <c r="U28" s="717">
        <f t="shared" si="15"/>
        <v>3.4044675</v>
      </c>
    </row>
    <row r="29" spans="1:24" x14ac:dyDescent="0.2">
      <c r="A29" s="33">
        <f t="shared" si="0"/>
        <v>2016</v>
      </c>
      <c r="B29" s="1036">
        <v>0</v>
      </c>
      <c r="C29" s="565">
        <f t="shared" si="1"/>
        <v>281</v>
      </c>
      <c r="D29" s="1041"/>
      <c r="E29" s="1042"/>
      <c r="F29" s="1043"/>
      <c r="G29" s="473">
        <f t="shared" si="2"/>
        <v>0</v>
      </c>
      <c r="H29" s="474">
        <f t="shared" si="2"/>
        <v>0</v>
      </c>
      <c r="I29" s="474">
        <f t="shared" si="3"/>
        <v>0</v>
      </c>
      <c r="J29" s="61">
        <f t="shared" si="4"/>
        <v>26.5</v>
      </c>
      <c r="K29" s="967">
        <f t="shared" si="5"/>
        <v>0</v>
      </c>
      <c r="L29" s="967">
        <f t="shared" si="6"/>
        <v>0</v>
      </c>
      <c r="M29" s="967">
        <f t="shared" si="7"/>
        <v>1.2093750000000001</v>
      </c>
      <c r="N29" s="54">
        <f t="shared" si="8"/>
        <v>53</v>
      </c>
      <c r="O29" s="968">
        <f t="shared" si="9"/>
        <v>0</v>
      </c>
      <c r="P29" s="968">
        <f t="shared" si="10"/>
        <v>0</v>
      </c>
      <c r="Q29" s="969">
        <f t="shared" si="11"/>
        <v>0</v>
      </c>
      <c r="R29" s="247">
        <f t="shared" si="12"/>
        <v>26.5</v>
      </c>
      <c r="S29" s="24">
        <f t="shared" si="13"/>
        <v>0</v>
      </c>
      <c r="T29" s="970">
        <f t="shared" si="14"/>
        <v>0</v>
      </c>
      <c r="U29" s="971">
        <f t="shared" si="15"/>
        <v>3.4044675</v>
      </c>
    </row>
    <row r="30" spans="1:24" x14ac:dyDescent="0.2">
      <c r="A30" s="33">
        <f t="shared" si="0"/>
        <v>2017</v>
      </c>
      <c r="B30" s="1036">
        <v>0</v>
      </c>
      <c r="C30" s="565">
        <f t="shared" si="1"/>
        <v>281</v>
      </c>
      <c r="D30" s="1041"/>
      <c r="E30" s="1042"/>
      <c r="F30" s="1043"/>
      <c r="G30" s="473">
        <f t="shared" si="2"/>
        <v>0</v>
      </c>
      <c r="H30" s="474">
        <f t="shared" si="2"/>
        <v>0</v>
      </c>
      <c r="I30" s="474">
        <f t="shared" si="3"/>
        <v>0</v>
      </c>
      <c r="J30" s="61">
        <f t="shared" si="4"/>
        <v>0</v>
      </c>
      <c r="K30" s="967">
        <f t="shared" si="5"/>
        <v>0</v>
      </c>
      <c r="L30" s="967">
        <f t="shared" si="6"/>
        <v>0</v>
      </c>
      <c r="M30" s="967">
        <f t="shared" si="7"/>
        <v>1.2093750000000001</v>
      </c>
      <c r="N30" s="54">
        <f t="shared" si="8"/>
        <v>0</v>
      </c>
      <c r="O30" s="968">
        <f t="shared" si="9"/>
        <v>0</v>
      </c>
      <c r="P30" s="968">
        <f t="shared" si="10"/>
        <v>0</v>
      </c>
      <c r="Q30" s="969">
        <f t="shared" si="11"/>
        <v>0</v>
      </c>
      <c r="R30" s="247">
        <f t="shared" si="12"/>
        <v>0</v>
      </c>
      <c r="S30" s="24">
        <f t="shared" si="13"/>
        <v>0</v>
      </c>
      <c r="T30" s="970">
        <f t="shared" si="14"/>
        <v>0</v>
      </c>
      <c r="U30" s="971">
        <f t="shared" si="15"/>
        <v>3.4044675</v>
      </c>
    </row>
    <row r="31" spans="1:24" x14ac:dyDescent="0.2">
      <c r="A31" s="33">
        <f t="shared" si="0"/>
        <v>2018</v>
      </c>
      <c r="B31" s="1036">
        <v>0</v>
      </c>
      <c r="C31" s="565">
        <f t="shared" si="1"/>
        <v>281</v>
      </c>
      <c r="D31" s="1041"/>
      <c r="E31" s="1042"/>
      <c r="F31" s="1043"/>
      <c r="G31" s="473">
        <f t="shared" si="2"/>
        <v>0</v>
      </c>
      <c r="H31" s="474">
        <f t="shared" si="2"/>
        <v>0</v>
      </c>
      <c r="I31" s="474">
        <f t="shared" si="3"/>
        <v>0</v>
      </c>
      <c r="J31" s="61">
        <f t="shared" si="4"/>
        <v>0</v>
      </c>
      <c r="K31" s="967">
        <f t="shared" si="5"/>
        <v>0</v>
      </c>
      <c r="L31" s="967">
        <f t="shared" si="6"/>
        <v>0</v>
      </c>
      <c r="M31" s="967">
        <f t="shared" si="7"/>
        <v>1.2093750000000001</v>
      </c>
      <c r="N31" s="54">
        <f t="shared" si="8"/>
        <v>0</v>
      </c>
      <c r="O31" s="968">
        <f t="shared" si="9"/>
        <v>0</v>
      </c>
      <c r="P31" s="968">
        <f t="shared" si="10"/>
        <v>0</v>
      </c>
      <c r="Q31" s="969">
        <f t="shared" si="11"/>
        <v>0</v>
      </c>
      <c r="R31" s="247">
        <f t="shared" si="12"/>
        <v>0</v>
      </c>
      <c r="S31" s="24">
        <f t="shared" si="13"/>
        <v>0</v>
      </c>
      <c r="T31" s="970">
        <f t="shared" si="14"/>
        <v>0</v>
      </c>
      <c r="U31" s="971">
        <f t="shared" si="15"/>
        <v>3.4044675</v>
      </c>
    </row>
    <row r="32" spans="1:24" x14ac:dyDescent="0.2">
      <c r="A32" s="33">
        <f t="shared" si="0"/>
        <v>2019</v>
      </c>
      <c r="B32" s="1036">
        <v>0</v>
      </c>
      <c r="C32" s="565">
        <f t="shared" si="1"/>
        <v>281</v>
      </c>
      <c r="D32" s="1041"/>
      <c r="E32" s="1042"/>
      <c r="F32" s="1043"/>
      <c r="G32" s="473">
        <f t="shared" si="2"/>
        <v>0</v>
      </c>
      <c r="H32" s="474">
        <f t="shared" si="2"/>
        <v>0</v>
      </c>
      <c r="I32" s="474">
        <f t="shared" si="3"/>
        <v>0</v>
      </c>
      <c r="J32" s="61">
        <f t="shared" si="4"/>
        <v>0</v>
      </c>
      <c r="K32" s="967">
        <f t="shared" si="5"/>
        <v>0</v>
      </c>
      <c r="L32" s="967">
        <f t="shared" si="6"/>
        <v>0</v>
      </c>
      <c r="M32" s="967">
        <f t="shared" si="7"/>
        <v>1.2093750000000001</v>
      </c>
      <c r="N32" s="54">
        <f t="shared" si="8"/>
        <v>0</v>
      </c>
      <c r="O32" s="968">
        <f t="shared" si="9"/>
        <v>0</v>
      </c>
      <c r="P32" s="968">
        <f t="shared" si="10"/>
        <v>0</v>
      </c>
      <c r="Q32" s="969">
        <f t="shared" si="11"/>
        <v>0</v>
      </c>
      <c r="R32" s="247">
        <f t="shared" si="12"/>
        <v>0</v>
      </c>
      <c r="S32" s="24">
        <f t="shared" si="13"/>
        <v>0</v>
      </c>
      <c r="T32" s="970">
        <f t="shared" si="14"/>
        <v>0</v>
      </c>
      <c r="U32" s="971">
        <f t="shared" si="15"/>
        <v>3.4044675</v>
      </c>
    </row>
    <row r="33" spans="1:21" x14ac:dyDescent="0.2">
      <c r="A33" s="33">
        <f t="shared" si="0"/>
        <v>2020</v>
      </c>
      <c r="B33" s="1036">
        <f>B32</f>
        <v>0</v>
      </c>
      <c r="C33" s="565">
        <f t="shared" si="1"/>
        <v>281</v>
      </c>
      <c r="D33" s="1041"/>
      <c r="E33" s="1042"/>
      <c r="F33" s="1043"/>
      <c r="G33" s="473">
        <f t="shared" si="2"/>
        <v>0</v>
      </c>
      <c r="H33" s="474">
        <f t="shared" si="2"/>
        <v>0</v>
      </c>
      <c r="I33" s="474">
        <f t="shared" si="3"/>
        <v>0</v>
      </c>
      <c r="J33" s="61">
        <f t="shared" si="4"/>
        <v>0</v>
      </c>
      <c r="K33" s="967">
        <f t="shared" si="5"/>
        <v>0</v>
      </c>
      <c r="L33" s="967">
        <f t="shared" si="6"/>
        <v>0</v>
      </c>
      <c r="M33" s="967">
        <f t="shared" si="7"/>
        <v>1.2093750000000001</v>
      </c>
      <c r="N33" s="54">
        <f t="shared" si="8"/>
        <v>0</v>
      </c>
      <c r="O33" s="968">
        <f t="shared" si="9"/>
        <v>0</v>
      </c>
      <c r="P33" s="968">
        <f t="shared" si="10"/>
        <v>0</v>
      </c>
      <c r="Q33" s="969">
        <f t="shared" si="11"/>
        <v>0</v>
      </c>
      <c r="R33" s="247">
        <f t="shared" si="12"/>
        <v>0</v>
      </c>
      <c r="S33" s="24">
        <f t="shared" si="13"/>
        <v>0</v>
      </c>
      <c r="T33" s="970">
        <f t="shared" si="14"/>
        <v>0</v>
      </c>
      <c r="U33" s="971">
        <f t="shared" si="15"/>
        <v>3.4044675</v>
      </c>
    </row>
    <row r="34" spans="1:21" x14ac:dyDescent="0.2">
      <c r="A34" s="33">
        <f t="shared" si="0"/>
        <v>2021</v>
      </c>
      <c r="B34" s="1036">
        <f t="shared" ref="B34:B47" si="17">B33</f>
        <v>0</v>
      </c>
      <c r="C34" s="565">
        <f t="shared" si="1"/>
        <v>281</v>
      </c>
      <c r="D34" s="1041"/>
      <c r="E34" s="1042"/>
      <c r="F34" s="1043"/>
      <c r="G34" s="473">
        <f t="shared" si="2"/>
        <v>0</v>
      </c>
      <c r="H34" s="474">
        <f t="shared" si="2"/>
        <v>0</v>
      </c>
      <c r="I34" s="474">
        <f t="shared" si="3"/>
        <v>0</v>
      </c>
      <c r="J34" s="61">
        <f t="shared" si="4"/>
        <v>0</v>
      </c>
      <c r="K34" s="967">
        <f t="shared" si="5"/>
        <v>0</v>
      </c>
      <c r="L34" s="967">
        <f t="shared" si="6"/>
        <v>0</v>
      </c>
      <c r="M34" s="967">
        <f t="shared" si="7"/>
        <v>1.2093750000000001</v>
      </c>
      <c r="N34" s="54">
        <f t="shared" si="8"/>
        <v>0</v>
      </c>
      <c r="O34" s="968">
        <f t="shared" si="9"/>
        <v>0</v>
      </c>
      <c r="P34" s="968">
        <f t="shared" si="10"/>
        <v>0</v>
      </c>
      <c r="Q34" s="969">
        <f t="shared" si="11"/>
        <v>0</v>
      </c>
      <c r="R34" s="247">
        <f t="shared" si="12"/>
        <v>0</v>
      </c>
      <c r="S34" s="24">
        <f t="shared" si="13"/>
        <v>0</v>
      </c>
      <c r="T34" s="970">
        <f t="shared" si="14"/>
        <v>0</v>
      </c>
      <c r="U34" s="971">
        <f t="shared" si="15"/>
        <v>3.4044675</v>
      </c>
    </row>
    <row r="35" spans="1:21" x14ac:dyDescent="0.2">
      <c r="A35" s="33">
        <f t="shared" si="0"/>
        <v>2022</v>
      </c>
      <c r="B35" s="1036">
        <f t="shared" si="17"/>
        <v>0</v>
      </c>
      <c r="C35" s="565">
        <f t="shared" si="1"/>
        <v>281</v>
      </c>
      <c r="D35" s="1041"/>
      <c r="E35" s="1042"/>
      <c r="F35" s="1043"/>
      <c r="G35" s="473">
        <f t="shared" si="2"/>
        <v>0</v>
      </c>
      <c r="H35" s="474">
        <f t="shared" si="2"/>
        <v>0</v>
      </c>
      <c r="I35" s="474">
        <f t="shared" si="3"/>
        <v>0</v>
      </c>
      <c r="J35" s="61">
        <f t="shared" si="4"/>
        <v>0</v>
      </c>
      <c r="K35" s="967">
        <f t="shared" si="5"/>
        <v>0</v>
      </c>
      <c r="L35" s="967">
        <f t="shared" si="6"/>
        <v>0</v>
      </c>
      <c r="M35" s="967">
        <f t="shared" si="7"/>
        <v>1.2093750000000001</v>
      </c>
      <c r="N35" s="54">
        <f t="shared" si="8"/>
        <v>0</v>
      </c>
      <c r="O35" s="968">
        <f t="shared" si="9"/>
        <v>0</v>
      </c>
      <c r="P35" s="968">
        <f t="shared" si="10"/>
        <v>0</v>
      </c>
      <c r="Q35" s="969">
        <f t="shared" si="11"/>
        <v>0</v>
      </c>
      <c r="R35" s="247">
        <f t="shared" si="12"/>
        <v>0</v>
      </c>
      <c r="S35" s="24">
        <f t="shared" si="13"/>
        <v>0</v>
      </c>
      <c r="T35" s="970">
        <f t="shared" si="14"/>
        <v>0</v>
      </c>
      <c r="U35" s="971">
        <f t="shared" si="15"/>
        <v>3.4044675</v>
      </c>
    </row>
    <row r="36" spans="1:21" x14ac:dyDescent="0.2">
      <c r="A36" s="33">
        <f t="shared" si="0"/>
        <v>2023</v>
      </c>
      <c r="B36" s="1036">
        <f t="shared" si="17"/>
        <v>0</v>
      </c>
      <c r="C36" s="565">
        <f t="shared" si="1"/>
        <v>281</v>
      </c>
      <c r="D36" s="1041"/>
      <c r="E36" s="1042"/>
      <c r="F36" s="1043"/>
      <c r="G36" s="473">
        <f t="shared" si="2"/>
        <v>0</v>
      </c>
      <c r="H36" s="474">
        <f t="shared" si="2"/>
        <v>0</v>
      </c>
      <c r="I36" s="474">
        <f t="shared" si="3"/>
        <v>0</v>
      </c>
      <c r="J36" s="61">
        <f t="shared" si="4"/>
        <v>0</v>
      </c>
      <c r="K36" s="967">
        <f t="shared" si="5"/>
        <v>0</v>
      </c>
      <c r="L36" s="967">
        <f t="shared" si="6"/>
        <v>0</v>
      </c>
      <c r="M36" s="967">
        <f t="shared" si="7"/>
        <v>1.2093750000000001</v>
      </c>
      <c r="N36" s="54">
        <f t="shared" si="8"/>
        <v>0</v>
      </c>
      <c r="O36" s="968">
        <f t="shared" si="9"/>
        <v>0</v>
      </c>
      <c r="P36" s="968">
        <f t="shared" si="10"/>
        <v>0</v>
      </c>
      <c r="Q36" s="969">
        <f t="shared" si="11"/>
        <v>0</v>
      </c>
      <c r="R36" s="247">
        <f t="shared" si="12"/>
        <v>0</v>
      </c>
      <c r="S36" s="24">
        <f t="shared" si="13"/>
        <v>0</v>
      </c>
      <c r="T36" s="970">
        <f t="shared" si="14"/>
        <v>0</v>
      </c>
      <c r="U36" s="971">
        <f t="shared" si="15"/>
        <v>3.4044675</v>
      </c>
    </row>
    <row r="37" spans="1:21" x14ac:dyDescent="0.2">
      <c r="A37" s="33">
        <f t="shared" si="0"/>
        <v>2024</v>
      </c>
      <c r="B37" s="1036">
        <f t="shared" si="17"/>
        <v>0</v>
      </c>
      <c r="C37" s="565">
        <f t="shared" si="1"/>
        <v>281</v>
      </c>
      <c r="D37" s="1041"/>
      <c r="E37" s="1042"/>
      <c r="F37" s="1043"/>
      <c r="G37" s="473">
        <f t="shared" si="2"/>
        <v>0</v>
      </c>
      <c r="H37" s="474">
        <f t="shared" si="2"/>
        <v>0</v>
      </c>
      <c r="I37" s="474">
        <f t="shared" si="3"/>
        <v>0</v>
      </c>
      <c r="J37" s="61">
        <f t="shared" si="4"/>
        <v>0</v>
      </c>
      <c r="K37" s="967">
        <f t="shared" si="5"/>
        <v>0</v>
      </c>
      <c r="L37" s="967">
        <f t="shared" si="6"/>
        <v>0</v>
      </c>
      <c r="M37" s="967">
        <f t="shared" si="7"/>
        <v>1.2093750000000001</v>
      </c>
      <c r="N37" s="54">
        <f t="shared" si="8"/>
        <v>0</v>
      </c>
      <c r="O37" s="968">
        <f t="shared" si="9"/>
        <v>0</v>
      </c>
      <c r="P37" s="968">
        <f t="shared" si="10"/>
        <v>0</v>
      </c>
      <c r="Q37" s="969">
        <f t="shared" si="11"/>
        <v>0</v>
      </c>
      <c r="R37" s="247">
        <f t="shared" si="12"/>
        <v>0</v>
      </c>
      <c r="S37" s="24">
        <f t="shared" si="13"/>
        <v>0</v>
      </c>
      <c r="T37" s="970">
        <f t="shared" si="14"/>
        <v>0</v>
      </c>
      <c r="U37" s="971">
        <f t="shared" si="15"/>
        <v>3.4044675</v>
      </c>
    </row>
    <row r="38" spans="1:21" x14ac:dyDescent="0.2">
      <c r="A38" s="33">
        <f t="shared" si="0"/>
        <v>2025</v>
      </c>
      <c r="B38" s="1036">
        <f t="shared" si="17"/>
        <v>0</v>
      </c>
      <c r="C38" s="565">
        <f t="shared" si="1"/>
        <v>281</v>
      </c>
      <c r="D38" s="1041"/>
      <c r="E38" s="1042"/>
      <c r="F38" s="1043"/>
      <c r="G38" s="473">
        <f t="shared" si="2"/>
        <v>0</v>
      </c>
      <c r="H38" s="474">
        <f t="shared" si="2"/>
        <v>0</v>
      </c>
      <c r="I38" s="474">
        <f t="shared" si="3"/>
        <v>0</v>
      </c>
      <c r="J38" s="61">
        <f t="shared" si="4"/>
        <v>0</v>
      </c>
      <c r="K38" s="967">
        <f t="shared" si="5"/>
        <v>0</v>
      </c>
      <c r="L38" s="967">
        <f t="shared" si="6"/>
        <v>0</v>
      </c>
      <c r="M38" s="967">
        <f t="shared" si="7"/>
        <v>1.2093750000000001</v>
      </c>
      <c r="N38" s="54">
        <f t="shared" si="8"/>
        <v>0</v>
      </c>
      <c r="O38" s="968">
        <f t="shared" si="9"/>
        <v>0</v>
      </c>
      <c r="P38" s="968">
        <f t="shared" si="10"/>
        <v>0</v>
      </c>
      <c r="Q38" s="969">
        <f t="shared" si="11"/>
        <v>0</v>
      </c>
      <c r="R38" s="247">
        <f t="shared" si="12"/>
        <v>0</v>
      </c>
      <c r="S38" s="24">
        <f t="shared" si="13"/>
        <v>0</v>
      </c>
      <c r="T38" s="970">
        <f t="shared" si="14"/>
        <v>0</v>
      </c>
      <c r="U38" s="971">
        <f t="shared" si="15"/>
        <v>3.4044675</v>
      </c>
    </row>
    <row r="39" spans="1:21" x14ac:dyDescent="0.2">
      <c r="A39" s="33">
        <f t="shared" si="0"/>
        <v>2026</v>
      </c>
      <c r="B39" s="1036">
        <f t="shared" si="17"/>
        <v>0</v>
      </c>
      <c r="C39" s="565">
        <f t="shared" si="1"/>
        <v>281</v>
      </c>
      <c r="D39" s="1041"/>
      <c r="E39" s="1042"/>
      <c r="F39" s="1043"/>
      <c r="G39" s="473">
        <f t="shared" si="2"/>
        <v>0</v>
      </c>
      <c r="H39" s="474">
        <f t="shared" si="2"/>
        <v>0</v>
      </c>
      <c r="I39" s="474">
        <f t="shared" si="3"/>
        <v>0</v>
      </c>
      <c r="J39" s="61">
        <f t="shared" si="4"/>
        <v>0</v>
      </c>
      <c r="K39" s="967">
        <f t="shared" si="5"/>
        <v>0</v>
      </c>
      <c r="L39" s="967">
        <f t="shared" si="6"/>
        <v>0</v>
      </c>
      <c r="M39" s="967">
        <f t="shared" si="7"/>
        <v>1.2093750000000001</v>
      </c>
      <c r="N39" s="54">
        <f t="shared" si="8"/>
        <v>0</v>
      </c>
      <c r="O39" s="968">
        <f t="shared" si="9"/>
        <v>0</v>
      </c>
      <c r="P39" s="968">
        <f t="shared" si="10"/>
        <v>0</v>
      </c>
      <c r="Q39" s="969">
        <f t="shared" si="11"/>
        <v>0</v>
      </c>
      <c r="R39" s="247">
        <f>+(B39+B38)/2</f>
        <v>0</v>
      </c>
      <c r="S39" s="24">
        <f>+F39</f>
        <v>0</v>
      </c>
      <c r="T39" s="970">
        <f>+R39*S39/1000000</f>
        <v>0</v>
      </c>
      <c r="U39" s="971">
        <f t="shared" si="15"/>
        <v>3.4044675</v>
      </c>
    </row>
    <row r="40" spans="1:21" x14ac:dyDescent="0.2">
      <c r="A40" s="33">
        <f>+A39+1</f>
        <v>2027</v>
      </c>
      <c r="B40" s="1036">
        <f t="shared" si="17"/>
        <v>0</v>
      </c>
      <c r="C40" s="565">
        <f>+C39+B40</f>
        <v>281</v>
      </c>
      <c r="D40" s="1041"/>
      <c r="E40" s="1042"/>
      <c r="F40" s="1043"/>
      <c r="G40" s="473">
        <f t="shared" ref="G40:H42" si="18">+$B40*D40/1000</f>
        <v>0</v>
      </c>
      <c r="H40" s="474">
        <f t="shared" si="18"/>
        <v>0</v>
      </c>
      <c r="I40" s="474">
        <f>+$B40*F40/1000000</f>
        <v>0</v>
      </c>
      <c r="J40" s="61">
        <f>+(B40+B39)/2</f>
        <v>0</v>
      </c>
      <c r="K40" s="967">
        <f>+D40</f>
        <v>0</v>
      </c>
      <c r="L40" s="967">
        <f>+J40*K40/1000</f>
        <v>0</v>
      </c>
      <c r="M40" s="967">
        <f>+M39+L40</f>
        <v>1.2093750000000001</v>
      </c>
      <c r="N40" s="54">
        <f>+B39</f>
        <v>0</v>
      </c>
      <c r="O40" s="968">
        <f>+E40</f>
        <v>0</v>
      </c>
      <c r="P40" s="968">
        <f>+N40*O40/1000</f>
        <v>0</v>
      </c>
      <c r="Q40" s="969">
        <f>+Q39+P40</f>
        <v>0</v>
      </c>
      <c r="R40" s="247">
        <f>+(B40+B39)/2</f>
        <v>0</v>
      </c>
      <c r="S40" s="24">
        <f>+F40</f>
        <v>0</v>
      </c>
      <c r="T40" s="970">
        <f>+R40*S40/1000000</f>
        <v>0</v>
      </c>
      <c r="U40" s="971">
        <f>+U39+T40</f>
        <v>3.4044675</v>
      </c>
    </row>
    <row r="41" spans="1:21" x14ac:dyDescent="0.2">
      <c r="A41" s="33">
        <f t="shared" si="0"/>
        <v>2028</v>
      </c>
      <c r="B41" s="1036">
        <f t="shared" si="17"/>
        <v>0</v>
      </c>
      <c r="C41" s="565">
        <f>+C40+B41</f>
        <v>281</v>
      </c>
      <c r="D41" s="1041"/>
      <c r="E41" s="1042"/>
      <c r="F41" s="1043"/>
      <c r="G41" s="473">
        <f t="shared" si="18"/>
        <v>0</v>
      </c>
      <c r="H41" s="474">
        <f t="shared" si="18"/>
        <v>0</v>
      </c>
      <c r="I41" s="474">
        <f>+$B41*F41/1000000</f>
        <v>0</v>
      </c>
      <c r="J41" s="61">
        <f>+(B41+B40)/2</f>
        <v>0</v>
      </c>
      <c r="K41" s="967">
        <f>+D41</f>
        <v>0</v>
      </c>
      <c r="L41" s="967">
        <f>+J41*K41/1000</f>
        <v>0</v>
      </c>
      <c r="M41" s="967">
        <f>+M40+L41</f>
        <v>1.2093750000000001</v>
      </c>
      <c r="N41" s="54">
        <f>+B40</f>
        <v>0</v>
      </c>
      <c r="O41" s="968">
        <f>+E41</f>
        <v>0</v>
      </c>
      <c r="P41" s="968">
        <f>+N41*O41/1000</f>
        <v>0</v>
      </c>
      <c r="Q41" s="969">
        <f>+Q40+P41</f>
        <v>0</v>
      </c>
      <c r="R41" s="247">
        <f>+(B41+B40)/2</f>
        <v>0</v>
      </c>
      <c r="S41" s="24">
        <f>+F41</f>
        <v>0</v>
      </c>
      <c r="T41" s="970">
        <f>+R41*S41/1000000</f>
        <v>0</v>
      </c>
      <c r="U41" s="971">
        <f>+U40+T41</f>
        <v>3.4044675</v>
      </c>
    </row>
    <row r="42" spans="1:21" x14ac:dyDescent="0.2">
      <c r="A42" s="33">
        <f t="shared" si="0"/>
        <v>2029</v>
      </c>
      <c r="B42" s="1036">
        <f t="shared" si="17"/>
        <v>0</v>
      </c>
      <c r="C42" s="565">
        <f>+C41+B42</f>
        <v>281</v>
      </c>
      <c r="D42" s="1041"/>
      <c r="E42" s="1042"/>
      <c r="F42" s="1043"/>
      <c r="G42" s="473">
        <f t="shared" si="18"/>
        <v>0</v>
      </c>
      <c r="H42" s="474">
        <f t="shared" si="18"/>
        <v>0</v>
      </c>
      <c r="I42" s="474">
        <f>+$B42*F42/1000000</f>
        <v>0</v>
      </c>
      <c r="J42" s="61">
        <f>+(B42+B41)/2</f>
        <v>0</v>
      </c>
      <c r="K42" s="967">
        <f>+D42</f>
        <v>0</v>
      </c>
      <c r="L42" s="967">
        <f>+J42*K42/1000</f>
        <v>0</v>
      </c>
      <c r="M42" s="967">
        <f>+M41+L42</f>
        <v>1.2093750000000001</v>
      </c>
      <c r="N42" s="54">
        <f>+B41</f>
        <v>0</v>
      </c>
      <c r="O42" s="968">
        <f>+E42</f>
        <v>0</v>
      </c>
      <c r="P42" s="968">
        <f>+N42*O42/1000</f>
        <v>0</v>
      </c>
      <c r="Q42" s="969">
        <f>+Q41+P42</f>
        <v>0</v>
      </c>
      <c r="R42" s="247">
        <f>+(B42+B41)/2</f>
        <v>0</v>
      </c>
      <c r="S42" s="24">
        <f>+F42</f>
        <v>0</v>
      </c>
      <c r="T42" s="970">
        <f>+R42*S42/1000000</f>
        <v>0</v>
      </c>
      <c r="U42" s="971">
        <f>+U41+T42</f>
        <v>3.4044675</v>
      </c>
    </row>
    <row r="43" spans="1:21" x14ac:dyDescent="0.2">
      <c r="A43" s="33">
        <f t="shared" si="0"/>
        <v>2030</v>
      </c>
      <c r="B43" s="1036">
        <f t="shared" si="17"/>
        <v>0</v>
      </c>
      <c r="C43" s="565">
        <f t="shared" ref="C43:C47" si="19">+C42+B43</f>
        <v>281</v>
      </c>
      <c r="D43" s="1041"/>
      <c r="E43" s="1042"/>
      <c r="F43" s="1043"/>
      <c r="G43" s="473">
        <f t="shared" ref="G43:G47" si="20">+$B43*D43/1000</f>
        <v>0</v>
      </c>
      <c r="H43" s="474">
        <f t="shared" ref="H43:H47" si="21">+$B43*E43/1000</f>
        <v>0</v>
      </c>
      <c r="I43" s="474">
        <f t="shared" ref="I43:I47" si="22">+$B43*F43/1000000</f>
        <v>0</v>
      </c>
      <c r="J43" s="61">
        <f t="shared" ref="J43:J47" si="23">+(B43+B42)/2</f>
        <v>0</v>
      </c>
      <c r="K43" s="967">
        <f t="shared" ref="K43:K47" si="24">+D43</f>
        <v>0</v>
      </c>
      <c r="L43" s="967">
        <f t="shared" ref="L43:L47" si="25">+J43*K43/1000</f>
        <v>0</v>
      </c>
      <c r="M43" s="967">
        <f t="shared" ref="M43:M47" si="26">+M42+L43</f>
        <v>1.2093750000000001</v>
      </c>
      <c r="N43" s="54">
        <f t="shared" ref="N43:N47" si="27">+B42</f>
        <v>0</v>
      </c>
      <c r="O43" s="968">
        <f t="shared" ref="O43:O47" si="28">+E43</f>
        <v>0</v>
      </c>
      <c r="P43" s="968">
        <f t="shared" ref="P43:P47" si="29">+N43*O43/1000</f>
        <v>0</v>
      </c>
      <c r="Q43" s="969">
        <f t="shared" ref="Q43:Q47" si="30">+Q42+P43</f>
        <v>0</v>
      </c>
      <c r="R43" s="247">
        <f t="shared" ref="R43:R47" si="31">+(B43+B42)/2</f>
        <v>0</v>
      </c>
      <c r="S43" s="24">
        <f t="shared" ref="S43:S47" si="32">+F43</f>
        <v>0</v>
      </c>
      <c r="T43" s="970">
        <f t="shared" ref="T43:T47" si="33">+R43*S43/1000000</f>
        <v>0</v>
      </c>
      <c r="U43" s="971">
        <f t="shared" ref="U43:U47" si="34">+U42+T43</f>
        <v>3.4044675</v>
      </c>
    </row>
    <row r="44" spans="1:21" x14ac:dyDescent="0.2">
      <c r="A44" s="33">
        <f t="shared" si="0"/>
        <v>2031</v>
      </c>
      <c r="B44" s="1036">
        <f t="shared" si="17"/>
        <v>0</v>
      </c>
      <c r="C44" s="565">
        <f t="shared" si="19"/>
        <v>281</v>
      </c>
      <c r="D44" s="1041"/>
      <c r="E44" s="1042"/>
      <c r="F44" s="1043"/>
      <c r="G44" s="473">
        <f t="shared" si="20"/>
        <v>0</v>
      </c>
      <c r="H44" s="474">
        <f t="shared" si="21"/>
        <v>0</v>
      </c>
      <c r="I44" s="474">
        <f t="shared" si="22"/>
        <v>0</v>
      </c>
      <c r="J44" s="61">
        <f t="shared" si="23"/>
        <v>0</v>
      </c>
      <c r="K44" s="967">
        <f t="shared" si="24"/>
        <v>0</v>
      </c>
      <c r="L44" s="967">
        <f t="shared" si="25"/>
        <v>0</v>
      </c>
      <c r="M44" s="967">
        <f t="shared" si="26"/>
        <v>1.2093750000000001</v>
      </c>
      <c r="N44" s="54">
        <f t="shared" si="27"/>
        <v>0</v>
      </c>
      <c r="O44" s="968">
        <f t="shared" si="28"/>
        <v>0</v>
      </c>
      <c r="P44" s="968">
        <f t="shared" si="29"/>
        <v>0</v>
      </c>
      <c r="Q44" s="969">
        <f t="shared" si="30"/>
        <v>0</v>
      </c>
      <c r="R44" s="247">
        <f t="shared" si="31"/>
        <v>0</v>
      </c>
      <c r="S44" s="24">
        <f t="shared" si="32"/>
        <v>0</v>
      </c>
      <c r="T44" s="970">
        <f t="shared" si="33"/>
        <v>0</v>
      </c>
      <c r="U44" s="971">
        <f t="shared" si="34"/>
        <v>3.4044675</v>
      </c>
    </row>
    <row r="45" spans="1:21" x14ac:dyDescent="0.2">
      <c r="A45" s="33">
        <f t="shared" si="0"/>
        <v>2032</v>
      </c>
      <c r="B45" s="1036">
        <f t="shared" si="17"/>
        <v>0</v>
      </c>
      <c r="C45" s="565">
        <f t="shared" si="19"/>
        <v>281</v>
      </c>
      <c r="D45" s="1041"/>
      <c r="E45" s="1042"/>
      <c r="F45" s="1043"/>
      <c r="G45" s="473">
        <f t="shared" si="20"/>
        <v>0</v>
      </c>
      <c r="H45" s="474">
        <f t="shared" si="21"/>
        <v>0</v>
      </c>
      <c r="I45" s="474">
        <f t="shared" si="22"/>
        <v>0</v>
      </c>
      <c r="J45" s="61">
        <f t="shared" si="23"/>
        <v>0</v>
      </c>
      <c r="K45" s="967">
        <f t="shared" si="24"/>
        <v>0</v>
      </c>
      <c r="L45" s="967">
        <f t="shared" si="25"/>
        <v>0</v>
      </c>
      <c r="M45" s="967">
        <f t="shared" si="26"/>
        <v>1.2093750000000001</v>
      </c>
      <c r="N45" s="54">
        <f t="shared" si="27"/>
        <v>0</v>
      </c>
      <c r="O45" s="968">
        <f t="shared" si="28"/>
        <v>0</v>
      </c>
      <c r="P45" s="968">
        <f t="shared" si="29"/>
        <v>0</v>
      </c>
      <c r="Q45" s="969">
        <f t="shared" si="30"/>
        <v>0</v>
      </c>
      <c r="R45" s="247">
        <f t="shared" si="31"/>
        <v>0</v>
      </c>
      <c r="S45" s="24">
        <f t="shared" si="32"/>
        <v>0</v>
      </c>
      <c r="T45" s="970">
        <f t="shared" si="33"/>
        <v>0</v>
      </c>
      <c r="U45" s="971">
        <f t="shared" si="34"/>
        <v>3.4044675</v>
      </c>
    </row>
    <row r="46" spans="1:21" x14ac:dyDescent="0.2">
      <c r="A46" s="33">
        <f t="shared" si="0"/>
        <v>2033</v>
      </c>
      <c r="B46" s="1036">
        <f t="shared" si="17"/>
        <v>0</v>
      </c>
      <c r="C46" s="565">
        <f t="shared" si="19"/>
        <v>281</v>
      </c>
      <c r="D46" s="1041"/>
      <c r="E46" s="1042"/>
      <c r="F46" s="1043"/>
      <c r="G46" s="473">
        <f t="shared" si="20"/>
        <v>0</v>
      </c>
      <c r="H46" s="474">
        <f t="shared" si="21"/>
        <v>0</v>
      </c>
      <c r="I46" s="474">
        <f t="shared" si="22"/>
        <v>0</v>
      </c>
      <c r="J46" s="61">
        <f t="shared" si="23"/>
        <v>0</v>
      </c>
      <c r="K46" s="967">
        <f t="shared" si="24"/>
        <v>0</v>
      </c>
      <c r="L46" s="967">
        <f t="shared" si="25"/>
        <v>0</v>
      </c>
      <c r="M46" s="967">
        <f t="shared" si="26"/>
        <v>1.2093750000000001</v>
      </c>
      <c r="N46" s="54">
        <f t="shared" si="27"/>
        <v>0</v>
      </c>
      <c r="O46" s="968">
        <f t="shared" si="28"/>
        <v>0</v>
      </c>
      <c r="P46" s="968">
        <f t="shared" si="29"/>
        <v>0</v>
      </c>
      <c r="Q46" s="969">
        <f t="shared" si="30"/>
        <v>0</v>
      </c>
      <c r="R46" s="247">
        <f t="shared" si="31"/>
        <v>0</v>
      </c>
      <c r="S46" s="24">
        <f t="shared" si="32"/>
        <v>0</v>
      </c>
      <c r="T46" s="970">
        <f t="shared" si="33"/>
        <v>0</v>
      </c>
      <c r="U46" s="971">
        <f t="shared" si="34"/>
        <v>3.4044675</v>
      </c>
    </row>
    <row r="47" spans="1:21" x14ac:dyDescent="0.2">
      <c r="A47" s="33">
        <f t="shared" si="0"/>
        <v>2034</v>
      </c>
      <c r="B47" s="1036">
        <f t="shared" si="17"/>
        <v>0</v>
      </c>
      <c r="C47" s="565">
        <f t="shared" si="19"/>
        <v>281</v>
      </c>
      <c r="D47" s="1041"/>
      <c r="E47" s="1042"/>
      <c r="F47" s="1043"/>
      <c r="G47" s="473">
        <f t="shared" si="20"/>
        <v>0</v>
      </c>
      <c r="H47" s="474">
        <f t="shared" si="21"/>
        <v>0</v>
      </c>
      <c r="I47" s="474">
        <f t="shared" si="22"/>
        <v>0</v>
      </c>
      <c r="J47" s="61">
        <f t="shared" si="23"/>
        <v>0</v>
      </c>
      <c r="K47" s="967">
        <f t="shared" si="24"/>
        <v>0</v>
      </c>
      <c r="L47" s="967">
        <f t="shared" si="25"/>
        <v>0</v>
      </c>
      <c r="M47" s="967">
        <f t="shared" si="26"/>
        <v>1.2093750000000001</v>
      </c>
      <c r="N47" s="54">
        <f t="shared" si="27"/>
        <v>0</v>
      </c>
      <c r="O47" s="968">
        <f t="shared" si="28"/>
        <v>0</v>
      </c>
      <c r="P47" s="968">
        <f t="shared" si="29"/>
        <v>0</v>
      </c>
      <c r="Q47" s="969">
        <f t="shared" si="30"/>
        <v>0</v>
      </c>
      <c r="R47" s="247">
        <f t="shared" si="31"/>
        <v>0</v>
      </c>
      <c r="S47" s="24">
        <f t="shared" si="32"/>
        <v>0</v>
      </c>
      <c r="T47" s="970">
        <f t="shared" si="33"/>
        <v>0</v>
      </c>
      <c r="U47" s="971">
        <f t="shared" si="34"/>
        <v>3.4044675</v>
      </c>
    </row>
    <row r="48" spans="1:21" x14ac:dyDescent="0.2">
      <c r="A48" s="33">
        <f t="shared" si="0"/>
        <v>2035</v>
      </c>
      <c r="B48" s="1036">
        <f>B47</f>
        <v>0</v>
      </c>
      <c r="C48" s="565">
        <f t="shared" ref="C48:C54" si="35">+C47+B48</f>
        <v>281</v>
      </c>
      <c r="D48" s="1041"/>
      <c r="E48" s="1042"/>
      <c r="F48" s="1043"/>
      <c r="G48" s="473">
        <f t="shared" ref="G48:G54" si="36">+$B48*D48/1000</f>
        <v>0</v>
      </c>
      <c r="H48" s="474">
        <f t="shared" ref="H48:H54" si="37">+$B48*E48/1000</f>
        <v>0</v>
      </c>
      <c r="I48" s="474">
        <f t="shared" ref="I48:I54" si="38">+$B48*F48/1000000</f>
        <v>0</v>
      </c>
      <c r="J48" s="61">
        <f t="shared" ref="J48:J54" si="39">+(B48+B47)/2</f>
        <v>0</v>
      </c>
      <c r="K48" s="967">
        <f t="shared" ref="K48:K54" si="40">+D48</f>
        <v>0</v>
      </c>
      <c r="L48" s="967">
        <f t="shared" ref="L48:L54" si="41">+J48*K48/1000</f>
        <v>0</v>
      </c>
      <c r="M48" s="967">
        <f t="shared" ref="M48:M54" si="42">+M47+L48</f>
        <v>1.2093750000000001</v>
      </c>
      <c r="N48" s="54">
        <f t="shared" ref="N48:N54" si="43">+B47</f>
        <v>0</v>
      </c>
      <c r="O48" s="968">
        <f t="shared" ref="O48:O54" si="44">+E48</f>
        <v>0</v>
      </c>
      <c r="P48" s="968">
        <f t="shared" ref="P48:P54" si="45">+N48*O48/1000</f>
        <v>0</v>
      </c>
      <c r="Q48" s="969">
        <f t="shared" ref="Q48:Q54" si="46">+Q47+P48</f>
        <v>0</v>
      </c>
      <c r="R48" s="247">
        <f t="shared" ref="R48:R54" si="47">+(B48+B47)/2</f>
        <v>0</v>
      </c>
      <c r="S48" s="24">
        <f t="shared" ref="S48:S54" si="48">+F48</f>
        <v>0</v>
      </c>
      <c r="T48" s="970">
        <f t="shared" ref="T48:T54" si="49">+R48*S48/1000000</f>
        <v>0</v>
      </c>
      <c r="U48" s="971">
        <f t="shared" ref="U48:U54" si="50">+U47+T48</f>
        <v>3.4044675</v>
      </c>
    </row>
    <row r="49" spans="1:21" x14ac:dyDescent="0.2">
      <c r="A49" s="33">
        <f t="shared" si="0"/>
        <v>2036</v>
      </c>
      <c r="B49" s="1036">
        <f t="shared" ref="B49:B54" si="51">B48</f>
        <v>0</v>
      </c>
      <c r="C49" s="565">
        <f t="shared" si="35"/>
        <v>281</v>
      </c>
      <c r="D49" s="1041"/>
      <c r="E49" s="1042"/>
      <c r="F49" s="1043"/>
      <c r="G49" s="473">
        <f t="shared" si="36"/>
        <v>0</v>
      </c>
      <c r="H49" s="474">
        <f t="shared" si="37"/>
        <v>0</v>
      </c>
      <c r="I49" s="474">
        <f t="shared" si="38"/>
        <v>0</v>
      </c>
      <c r="J49" s="61">
        <f t="shared" si="39"/>
        <v>0</v>
      </c>
      <c r="K49" s="967">
        <f t="shared" si="40"/>
        <v>0</v>
      </c>
      <c r="L49" s="967">
        <f t="shared" si="41"/>
        <v>0</v>
      </c>
      <c r="M49" s="967">
        <f t="shared" si="42"/>
        <v>1.2093750000000001</v>
      </c>
      <c r="N49" s="54">
        <f t="shared" si="43"/>
        <v>0</v>
      </c>
      <c r="O49" s="968">
        <f t="shared" si="44"/>
        <v>0</v>
      </c>
      <c r="P49" s="968">
        <f t="shared" si="45"/>
        <v>0</v>
      </c>
      <c r="Q49" s="969">
        <f t="shared" si="46"/>
        <v>0</v>
      </c>
      <c r="R49" s="247">
        <f t="shared" si="47"/>
        <v>0</v>
      </c>
      <c r="S49" s="24">
        <f t="shared" si="48"/>
        <v>0</v>
      </c>
      <c r="T49" s="970">
        <f t="shared" si="49"/>
        <v>0</v>
      </c>
      <c r="U49" s="971">
        <f t="shared" si="50"/>
        <v>3.4044675</v>
      </c>
    </row>
    <row r="50" spans="1:21" x14ac:dyDescent="0.2">
      <c r="A50" s="33">
        <f t="shared" si="0"/>
        <v>2037</v>
      </c>
      <c r="B50" s="1036">
        <f t="shared" si="51"/>
        <v>0</v>
      </c>
      <c r="C50" s="565">
        <f t="shared" si="35"/>
        <v>281</v>
      </c>
      <c r="D50" s="1041"/>
      <c r="E50" s="1042"/>
      <c r="F50" s="1043"/>
      <c r="G50" s="473">
        <f t="shared" si="36"/>
        <v>0</v>
      </c>
      <c r="H50" s="474">
        <f t="shared" si="37"/>
        <v>0</v>
      </c>
      <c r="I50" s="474">
        <f t="shared" si="38"/>
        <v>0</v>
      </c>
      <c r="J50" s="61">
        <f t="shared" si="39"/>
        <v>0</v>
      </c>
      <c r="K50" s="967">
        <f t="shared" si="40"/>
        <v>0</v>
      </c>
      <c r="L50" s="967">
        <f t="shared" si="41"/>
        <v>0</v>
      </c>
      <c r="M50" s="967">
        <f t="shared" si="42"/>
        <v>1.2093750000000001</v>
      </c>
      <c r="N50" s="54">
        <f t="shared" si="43"/>
        <v>0</v>
      </c>
      <c r="O50" s="968">
        <f t="shared" si="44"/>
        <v>0</v>
      </c>
      <c r="P50" s="968">
        <f t="shared" si="45"/>
        <v>0</v>
      </c>
      <c r="Q50" s="969">
        <f t="shared" si="46"/>
        <v>0</v>
      </c>
      <c r="R50" s="247">
        <f t="shared" si="47"/>
        <v>0</v>
      </c>
      <c r="S50" s="24">
        <f t="shared" si="48"/>
        <v>0</v>
      </c>
      <c r="T50" s="970">
        <f t="shared" si="49"/>
        <v>0</v>
      </c>
      <c r="U50" s="971">
        <f t="shared" si="50"/>
        <v>3.4044675</v>
      </c>
    </row>
    <row r="51" spans="1:21" x14ac:dyDescent="0.2">
      <c r="A51" s="33">
        <f t="shared" si="0"/>
        <v>2038</v>
      </c>
      <c r="B51" s="1036">
        <f t="shared" si="51"/>
        <v>0</v>
      </c>
      <c r="C51" s="565">
        <f t="shared" si="35"/>
        <v>281</v>
      </c>
      <c r="D51" s="1041"/>
      <c r="E51" s="1042"/>
      <c r="F51" s="1043"/>
      <c r="G51" s="473">
        <f t="shared" si="36"/>
        <v>0</v>
      </c>
      <c r="H51" s="474">
        <f t="shared" si="37"/>
        <v>0</v>
      </c>
      <c r="I51" s="474">
        <f t="shared" si="38"/>
        <v>0</v>
      </c>
      <c r="J51" s="61">
        <f t="shared" si="39"/>
        <v>0</v>
      </c>
      <c r="K51" s="967">
        <f t="shared" si="40"/>
        <v>0</v>
      </c>
      <c r="L51" s="967">
        <f t="shared" si="41"/>
        <v>0</v>
      </c>
      <c r="M51" s="967">
        <f t="shared" si="42"/>
        <v>1.2093750000000001</v>
      </c>
      <c r="N51" s="54">
        <f t="shared" si="43"/>
        <v>0</v>
      </c>
      <c r="O51" s="968">
        <f t="shared" si="44"/>
        <v>0</v>
      </c>
      <c r="P51" s="968">
        <f t="shared" si="45"/>
        <v>0</v>
      </c>
      <c r="Q51" s="969">
        <f t="shared" si="46"/>
        <v>0</v>
      </c>
      <c r="R51" s="247">
        <f t="shared" si="47"/>
        <v>0</v>
      </c>
      <c r="S51" s="24">
        <f t="shared" si="48"/>
        <v>0</v>
      </c>
      <c r="T51" s="970">
        <f t="shared" si="49"/>
        <v>0</v>
      </c>
      <c r="U51" s="971">
        <f t="shared" si="50"/>
        <v>3.4044675</v>
      </c>
    </row>
    <row r="52" spans="1:21" x14ac:dyDescent="0.2">
      <c r="A52" s="33">
        <f t="shared" si="0"/>
        <v>2039</v>
      </c>
      <c r="B52" s="1036">
        <f t="shared" si="51"/>
        <v>0</v>
      </c>
      <c r="C52" s="565">
        <f t="shared" si="35"/>
        <v>281</v>
      </c>
      <c r="D52" s="1041"/>
      <c r="E52" s="1042"/>
      <c r="F52" s="1043"/>
      <c r="G52" s="473">
        <f t="shared" si="36"/>
        <v>0</v>
      </c>
      <c r="H52" s="474">
        <f t="shared" si="37"/>
        <v>0</v>
      </c>
      <c r="I52" s="474">
        <f t="shared" si="38"/>
        <v>0</v>
      </c>
      <c r="J52" s="61">
        <f t="shared" si="39"/>
        <v>0</v>
      </c>
      <c r="K52" s="967">
        <f t="shared" si="40"/>
        <v>0</v>
      </c>
      <c r="L52" s="967">
        <f t="shared" si="41"/>
        <v>0</v>
      </c>
      <c r="M52" s="967">
        <f t="shared" si="42"/>
        <v>1.2093750000000001</v>
      </c>
      <c r="N52" s="54">
        <f t="shared" si="43"/>
        <v>0</v>
      </c>
      <c r="O52" s="968">
        <f t="shared" si="44"/>
        <v>0</v>
      </c>
      <c r="P52" s="968">
        <f t="shared" si="45"/>
        <v>0</v>
      </c>
      <c r="Q52" s="969">
        <f t="shared" si="46"/>
        <v>0</v>
      </c>
      <c r="R52" s="247">
        <f t="shared" si="47"/>
        <v>0</v>
      </c>
      <c r="S52" s="24">
        <f t="shared" si="48"/>
        <v>0</v>
      </c>
      <c r="T52" s="970">
        <f t="shared" si="49"/>
        <v>0</v>
      </c>
      <c r="U52" s="971">
        <f t="shared" si="50"/>
        <v>3.4044675</v>
      </c>
    </row>
    <row r="53" spans="1:21" x14ac:dyDescent="0.2">
      <c r="A53" s="33">
        <f t="shared" si="0"/>
        <v>2040</v>
      </c>
      <c r="B53" s="1036">
        <f t="shared" si="51"/>
        <v>0</v>
      </c>
      <c r="C53" s="565">
        <f t="shared" si="35"/>
        <v>281</v>
      </c>
      <c r="D53" s="1041"/>
      <c r="E53" s="1042"/>
      <c r="F53" s="1043"/>
      <c r="G53" s="473">
        <f t="shared" si="36"/>
        <v>0</v>
      </c>
      <c r="H53" s="474">
        <f t="shared" si="37"/>
        <v>0</v>
      </c>
      <c r="I53" s="474">
        <f t="shared" si="38"/>
        <v>0</v>
      </c>
      <c r="J53" s="61">
        <f t="shared" si="39"/>
        <v>0</v>
      </c>
      <c r="K53" s="967">
        <f t="shared" si="40"/>
        <v>0</v>
      </c>
      <c r="L53" s="967">
        <f t="shared" si="41"/>
        <v>0</v>
      </c>
      <c r="M53" s="967">
        <f t="shared" si="42"/>
        <v>1.2093750000000001</v>
      </c>
      <c r="N53" s="54">
        <f t="shared" si="43"/>
        <v>0</v>
      </c>
      <c r="O53" s="968">
        <f t="shared" si="44"/>
        <v>0</v>
      </c>
      <c r="P53" s="968">
        <f t="shared" si="45"/>
        <v>0</v>
      </c>
      <c r="Q53" s="969">
        <f t="shared" si="46"/>
        <v>0</v>
      </c>
      <c r="R53" s="247">
        <f t="shared" si="47"/>
        <v>0</v>
      </c>
      <c r="S53" s="24">
        <f t="shared" si="48"/>
        <v>0</v>
      </c>
      <c r="T53" s="970">
        <f t="shared" si="49"/>
        <v>0</v>
      </c>
      <c r="U53" s="971">
        <f t="shared" si="50"/>
        <v>3.4044675</v>
      </c>
    </row>
    <row r="54" spans="1:21" x14ac:dyDescent="0.2">
      <c r="A54" s="33">
        <f t="shared" si="0"/>
        <v>2041</v>
      </c>
      <c r="B54" s="1036">
        <f t="shared" si="51"/>
        <v>0</v>
      </c>
      <c r="C54" s="565">
        <f t="shared" si="35"/>
        <v>281</v>
      </c>
      <c r="D54" s="1041"/>
      <c r="E54" s="1042"/>
      <c r="F54" s="1043"/>
      <c r="G54" s="473">
        <f t="shared" si="36"/>
        <v>0</v>
      </c>
      <c r="H54" s="474">
        <f t="shared" si="37"/>
        <v>0</v>
      </c>
      <c r="I54" s="474">
        <f t="shared" si="38"/>
        <v>0</v>
      </c>
      <c r="J54" s="61">
        <f t="shared" si="39"/>
        <v>0</v>
      </c>
      <c r="K54" s="967">
        <f t="shared" si="40"/>
        <v>0</v>
      </c>
      <c r="L54" s="967">
        <f t="shared" si="41"/>
        <v>0</v>
      </c>
      <c r="M54" s="967">
        <f t="shared" si="42"/>
        <v>1.2093750000000001</v>
      </c>
      <c r="N54" s="54">
        <f t="shared" si="43"/>
        <v>0</v>
      </c>
      <c r="O54" s="968">
        <f t="shared" si="44"/>
        <v>0</v>
      </c>
      <c r="P54" s="968">
        <f t="shared" si="45"/>
        <v>0</v>
      </c>
      <c r="Q54" s="969">
        <f t="shared" si="46"/>
        <v>0</v>
      </c>
      <c r="R54" s="247">
        <f t="shared" si="47"/>
        <v>0</v>
      </c>
      <c r="S54" s="24">
        <f t="shared" si="48"/>
        <v>0</v>
      </c>
      <c r="T54" s="970">
        <f t="shared" si="49"/>
        <v>0</v>
      </c>
      <c r="U54" s="971">
        <f t="shared" si="50"/>
        <v>3.4044675</v>
      </c>
    </row>
    <row r="55" spans="1:21" x14ac:dyDescent="0.2">
      <c r="A55" s="960"/>
      <c r="B55" s="1068"/>
      <c r="C55" s="1060"/>
      <c r="D55" s="1069"/>
      <c r="E55" s="1069"/>
      <c r="F55" s="1068"/>
      <c r="G55" s="974"/>
      <c r="H55" s="974"/>
      <c r="I55" s="974"/>
      <c r="J55" s="961"/>
      <c r="K55" s="975"/>
      <c r="L55" s="975"/>
      <c r="M55" s="975"/>
      <c r="N55" s="962"/>
      <c r="O55" s="976"/>
      <c r="P55" s="976"/>
      <c r="Q55" s="976"/>
      <c r="R55" s="963"/>
      <c r="S55" s="964"/>
      <c r="T55" s="977"/>
      <c r="U55" s="97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X59"/>
  <sheetViews>
    <sheetView topLeftCell="A10" zoomScale="82" zoomScaleNormal="82" workbookViewId="0">
      <selection activeCell="A55" sqref="A55:XFD55"/>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8" t="s">
        <v>393</v>
      </c>
      <c r="F1" s="4"/>
      <c r="G1" s="249"/>
      <c r="H1" s="249"/>
      <c r="I1" s="249"/>
      <c r="J1" s="4"/>
      <c r="K1" s="4"/>
      <c r="L1" s="4"/>
      <c r="M1" s="4"/>
      <c r="N1" s="4"/>
    </row>
    <row r="2" spans="1:24" ht="16.5" thickBot="1" x14ac:dyDescent="0.3">
      <c r="A2" s="5" t="s">
        <v>1</v>
      </c>
      <c r="B2" s="27" t="s">
        <v>211</v>
      </c>
      <c r="C2" s="27" t="s">
        <v>258</v>
      </c>
      <c r="D2" s="27"/>
      <c r="E2" s="27"/>
      <c r="F2" s="23"/>
      <c r="G2" s="23"/>
      <c r="H2" s="23"/>
      <c r="I2" s="23"/>
      <c r="J2" s="23"/>
      <c r="K2" s="4"/>
      <c r="L2" s="4"/>
      <c r="M2" s="4"/>
      <c r="N2" s="4"/>
    </row>
    <row r="3" spans="1:24" ht="16.5" thickBot="1" x14ac:dyDescent="0.3">
      <c r="A3" s="4"/>
      <c r="B3" s="449"/>
      <c r="C3" s="249" t="s">
        <v>257</v>
      </c>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62"/>
      <c r="E8" s="663"/>
      <c r="F8" s="617"/>
      <c r="G8" s="626"/>
      <c r="H8" s="72"/>
      <c r="I8" s="630"/>
      <c r="J8" s="61"/>
      <c r="K8" s="188"/>
      <c r="L8" s="188"/>
      <c r="M8" s="188"/>
      <c r="N8" s="51"/>
      <c r="O8" s="670"/>
      <c r="P8" s="670"/>
      <c r="Q8" s="670"/>
      <c r="R8" s="247"/>
      <c r="S8" s="24"/>
      <c r="T8" s="25"/>
      <c r="U8" s="654"/>
      <c r="V8" s="248"/>
      <c r="X8" s="1"/>
    </row>
    <row r="9" spans="1:24" x14ac:dyDescent="0.2">
      <c r="A9" s="33">
        <v>1996</v>
      </c>
      <c r="B9" s="30"/>
      <c r="C9" s="660"/>
      <c r="D9" s="662"/>
      <c r="E9" s="663"/>
      <c r="F9" s="617"/>
      <c r="G9" s="626"/>
      <c r="H9" s="72"/>
      <c r="I9" s="630"/>
      <c r="J9" s="61"/>
      <c r="K9" s="188"/>
      <c r="L9" s="188"/>
      <c r="M9" s="188"/>
      <c r="N9" s="54"/>
      <c r="O9" s="670"/>
      <c r="P9" s="670"/>
      <c r="Q9" s="670"/>
      <c r="R9" s="247"/>
      <c r="S9" s="24"/>
      <c r="T9" s="25"/>
      <c r="U9" s="654"/>
      <c r="V9" s="10"/>
      <c r="X9" s="1"/>
    </row>
    <row r="10" spans="1:24" x14ac:dyDescent="0.2">
      <c r="A10" s="33">
        <v>1997</v>
      </c>
      <c r="B10" s="30"/>
      <c r="C10" s="660"/>
      <c r="D10" s="662"/>
      <c r="E10" s="663"/>
      <c r="F10" s="617"/>
      <c r="G10" s="626"/>
      <c r="H10" s="72"/>
      <c r="I10" s="630"/>
      <c r="J10" s="61"/>
      <c r="K10" s="188"/>
      <c r="L10" s="188"/>
      <c r="M10" s="188"/>
      <c r="N10" s="54"/>
      <c r="O10" s="670"/>
      <c r="P10" s="670"/>
      <c r="Q10" s="670"/>
      <c r="R10" s="247"/>
      <c r="S10" s="24"/>
      <c r="T10" s="25"/>
      <c r="U10" s="654"/>
      <c r="V10" s="10"/>
      <c r="X10" s="1"/>
    </row>
    <row r="11" spans="1:24" x14ac:dyDescent="0.2">
      <c r="A11" s="33">
        <v>1998</v>
      </c>
      <c r="B11" s="30"/>
      <c r="C11" s="660"/>
      <c r="D11" s="662"/>
      <c r="E11" s="663"/>
      <c r="F11" s="617"/>
      <c r="G11" s="626"/>
      <c r="H11" s="72"/>
      <c r="I11" s="630"/>
      <c r="J11" s="61"/>
      <c r="K11" s="188"/>
      <c r="L11" s="188"/>
      <c r="M11" s="188"/>
      <c r="N11" s="54"/>
      <c r="O11" s="670"/>
      <c r="P11" s="670"/>
      <c r="Q11" s="670"/>
      <c r="R11" s="247"/>
      <c r="S11" s="24"/>
      <c r="T11" s="25"/>
      <c r="U11" s="654"/>
      <c r="V11" s="10"/>
      <c r="X11" s="1"/>
    </row>
    <row r="12" spans="1:24" x14ac:dyDescent="0.2">
      <c r="A12" s="33">
        <v>1999</v>
      </c>
      <c r="B12" s="30"/>
      <c r="C12" s="660"/>
      <c r="D12" s="662"/>
      <c r="E12" s="663"/>
      <c r="F12" s="617"/>
      <c r="G12" s="626"/>
      <c r="H12" s="72"/>
      <c r="I12" s="630"/>
      <c r="J12" s="61"/>
      <c r="K12" s="188"/>
      <c r="L12" s="188"/>
      <c r="M12" s="188"/>
      <c r="N12" s="54"/>
      <c r="O12" s="670"/>
      <c r="P12" s="670"/>
      <c r="Q12" s="670"/>
      <c r="R12" s="247"/>
      <c r="S12" s="24"/>
      <c r="T12" s="25"/>
      <c r="U12" s="654"/>
      <c r="V12" s="10"/>
      <c r="X12" s="1"/>
    </row>
    <row r="13" spans="1:24" x14ac:dyDescent="0.2">
      <c r="A13" s="33">
        <v>2000</v>
      </c>
      <c r="B13" s="30"/>
      <c r="C13" s="660"/>
      <c r="D13" s="662"/>
      <c r="E13" s="663"/>
      <c r="F13" s="617"/>
      <c r="G13" s="626"/>
      <c r="H13" s="72"/>
      <c r="I13" s="630"/>
      <c r="J13" s="61"/>
      <c r="K13" s="188"/>
      <c r="L13" s="188"/>
      <c r="M13" s="188"/>
      <c r="N13" s="54"/>
      <c r="O13" s="670"/>
      <c r="P13" s="670"/>
      <c r="Q13" s="670"/>
      <c r="R13" s="247"/>
      <c r="S13" s="24"/>
      <c r="T13" s="25"/>
      <c r="U13" s="654"/>
      <c r="V13" s="248"/>
      <c r="X13" s="1"/>
    </row>
    <row r="14" spans="1:24" x14ac:dyDescent="0.2">
      <c r="A14" s="33">
        <v>2001</v>
      </c>
      <c r="B14" s="30"/>
      <c r="C14" s="660"/>
      <c r="D14" s="662"/>
      <c r="E14" s="663"/>
      <c r="F14" s="617"/>
      <c r="G14" s="626"/>
      <c r="H14" s="72"/>
      <c r="I14" s="630"/>
      <c r="J14" s="61"/>
      <c r="K14" s="188"/>
      <c r="L14" s="188"/>
      <c r="M14" s="188"/>
      <c r="N14" s="54"/>
      <c r="O14" s="670"/>
      <c r="P14" s="670"/>
      <c r="Q14" s="670"/>
      <c r="R14" s="247"/>
      <c r="S14" s="24"/>
      <c r="T14" s="25"/>
      <c r="U14" s="654"/>
      <c r="V14" s="248"/>
      <c r="X14" s="1"/>
    </row>
    <row r="15" spans="1:24" x14ac:dyDescent="0.2">
      <c r="A15" s="33">
        <v>2002</v>
      </c>
      <c r="B15" s="30"/>
      <c r="C15" s="660"/>
      <c r="D15" s="662"/>
      <c r="E15" s="663"/>
      <c r="F15" s="617"/>
      <c r="G15" s="626"/>
      <c r="H15" s="72"/>
      <c r="I15" s="630"/>
      <c r="J15" s="61"/>
      <c r="K15" s="188"/>
      <c r="L15" s="188"/>
      <c r="M15" s="188"/>
      <c r="N15" s="54"/>
      <c r="O15" s="670"/>
      <c r="P15" s="670"/>
      <c r="Q15" s="670"/>
      <c r="R15" s="247"/>
      <c r="S15" s="24"/>
      <c r="T15" s="25"/>
      <c r="U15" s="654"/>
      <c r="V15" s="248"/>
      <c r="X15" s="1"/>
    </row>
    <row r="16" spans="1:24" x14ac:dyDescent="0.2">
      <c r="A16" s="33">
        <v>2003</v>
      </c>
      <c r="B16" s="30"/>
      <c r="C16" s="660"/>
      <c r="D16" s="662"/>
      <c r="E16" s="663"/>
      <c r="F16" s="617"/>
      <c r="G16" s="626"/>
      <c r="H16" s="72"/>
      <c r="I16" s="630"/>
      <c r="J16" s="61"/>
      <c r="K16" s="188"/>
      <c r="L16" s="188"/>
      <c r="M16" s="188"/>
      <c r="N16" s="54"/>
      <c r="O16" s="670"/>
      <c r="P16" s="670"/>
      <c r="Q16" s="670"/>
      <c r="R16" s="247"/>
      <c r="S16" s="24"/>
      <c r="T16" s="25"/>
      <c r="U16" s="654"/>
      <c r="V16" s="248"/>
      <c r="X16" s="1"/>
    </row>
    <row r="17" spans="1:24" x14ac:dyDescent="0.2">
      <c r="A17" s="33">
        <f t="shared" ref="A17:A54" si="0">+A16+1</f>
        <v>2004</v>
      </c>
      <c r="B17" s="30"/>
      <c r="C17" s="660"/>
      <c r="D17" s="662"/>
      <c r="E17" s="663"/>
      <c r="F17" s="617"/>
      <c r="G17" s="626"/>
      <c r="H17" s="72"/>
      <c r="I17" s="630"/>
      <c r="J17" s="61"/>
      <c r="K17" s="188"/>
      <c r="L17" s="188"/>
      <c r="M17" s="188"/>
      <c r="N17" s="54"/>
      <c r="O17" s="670"/>
      <c r="P17" s="670"/>
      <c r="Q17" s="670"/>
      <c r="R17" s="247"/>
      <c r="S17" s="24"/>
      <c r="T17" s="25"/>
      <c r="U17" s="654"/>
      <c r="V17" s="248"/>
      <c r="X17" s="1"/>
    </row>
    <row r="18" spans="1:24" x14ac:dyDescent="0.2">
      <c r="A18" s="33">
        <f t="shared" si="0"/>
        <v>2005</v>
      </c>
      <c r="B18" s="30"/>
      <c r="C18" s="660"/>
      <c r="D18" s="662"/>
      <c r="E18" s="663"/>
      <c r="F18" s="617"/>
      <c r="G18" s="626"/>
      <c r="H18" s="72"/>
      <c r="I18" s="630"/>
      <c r="J18" s="61"/>
      <c r="K18" s="188"/>
      <c r="L18" s="188"/>
      <c r="M18" s="188"/>
      <c r="N18" s="54"/>
      <c r="O18" s="670"/>
      <c r="P18" s="670"/>
      <c r="Q18" s="670"/>
      <c r="R18" s="247"/>
      <c r="S18" s="24"/>
      <c r="T18" s="25"/>
      <c r="U18" s="654"/>
      <c r="V18" s="248"/>
      <c r="X18" s="1"/>
    </row>
    <row r="19" spans="1:24" x14ac:dyDescent="0.2">
      <c r="A19" s="33">
        <f t="shared" si="0"/>
        <v>2006</v>
      </c>
      <c r="B19" s="30"/>
      <c r="C19" s="660"/>
      <c r="D19" s="662"/>
      <c r="E19" s="663"/>
      <c r="F19" s="617"/>
      <c r="G19" s="626"/>
      <c r="H19" s="72"/>
      <c r="I19" s="630"/>
      <c r="J19" s="61"/>
      <c r="K19" s="188"/>
      <c r="L19" s="188"/>
      <c r="M19" s="188"/>
      <c r="N19" s="54"/>
      <c r="O19" s="670"/>
      <c r="P19" s="670"/>
      <c r="Q19" s="670"/>
      <c r="R19" s="247"/>
      <c r="S19" s="24"/>
      <c r="T19" s="25"/>
      <c r="U19" s="654"/>
      <c r="V19" s="8"/>
      <c r="X19" s="1"/>
    </row>
    <row r="20" spans="1:24" x14ac:dyDescent="0.2">
      <c r="A20" s="33">
        <f t="shared" si="0"/>
        <v>2007</v>
      </c>
      <c r="B20" s="30"/>
      <c r="C20" s="660"/>
      <c r="D20" s="662"/>
      <c r="E20" s="663"/>
      <c r="F20" s="617"/>
      <c r="G20" s="626"/>
      <c r="H20" s="72"/>
      <c r="I20" s="630"/>
      <c r="J20" s="61"/>
      <c r="K20" s="188"/>
      <c r="L20" s="188"/>
      <c r="M20" s="188"/>
      <c r="N20" s="54"/>
      <c r="O20" s="670"/>
      <c r="P20" s="670"/>
      <c r="Q20" s="670"/>
      <c r="R20" s="247"/>
      <c r="S20" s="24"/>
      <c r="T20" s="25"/>
      <c r="U20" s="654"/>
    </row>
    <row r="21" spans="1:24" x14ac:dyDescent="0.2">
      <c r="A21" s="33">
        <f t="shared" si="0"/>
        <v>2008</v>
      </c>
      <c r="B21" s="30"/>
      <c r="C21" s="660"/>
      <c r="D21" s="662"/>
      <c r="E21" s="663"/>
      <c r="F21" s="617"/>
      <c r="G21" s="626"/>
      <c r="H21" s="72"/>
      <c r="I21" s="630"/>
      <c r="J21" s="61"/>
      <c r="K21" s="188"/>
      <c r="L21" s="188"/>
      <c r="M21" s="188"/>
      <c r="N21" s="54"/>
      <c r="O21" s="670"/>
      <c r="P21" s="670"/>
      <c r="Q21" s="670"/>
      <c r="R21" s="247"/>
      <c r="S21" s="24"/>
      <c r="T21" s="25"/>
      <c r="U21" s="654"/>
    </row>
    <row r="22" spans="1:24" x14ac:dyDescent="0.2">
      <c r="A22" s="33">
        <f t="shared" si="0"/>
        <v>2009</v>
      </c>
      <c r="B22" s="30"/>
      <c r="C22" s="660"/>
      <c r="D22" s="662">
        <v>0</v>
      </c>
      <c r="E22" s="663">
        <v>0</v>
      </c>
      <c r="F22" s="617">
        <v>0</v>
      </c>
      <c r="G22" s="626"/>
      <c r="H22" s="72"/>
      <c r="I22" s="630"/>
      <c r="J22" s="61"/>
      <c r="K22" s="188"/>
      <c r="L22" s="188"/>
      <c r="M22" s="188"/>
      <c r="N22" s="54"/>
      <c r="O22" s="670"/>
      <c r="P22" s="670"/>
      <c r="Q22" s="670"/>
      <c r="R22" s="247"/>
      <c r="S22" s="24"/>
      <c r="T22" s="25"/>
      <c r="U22" s="654"/>
    </row>
    <row r="23" spans="1:24" x14ac:dyDescent="0.2">
      <c r="A23" s="33">
        <f t="shared" si="0"/>
        <v>2010</v>
      </c>
      <c r="B23" s="30">
        <v>0</v>
      </c>
      <c r="C23" s="661">
        <f t="shared" ref="C23:C39" si="1">+C22+B23</f>
        <v>0</v>
      </c>
      <c r="D23" s="662">
        <v>0.3</v>
      </c>
      <c r="E23" s="663">
        <v>0.61</v>
      </c>
      <c r="F23" s="617">
        <v>2376</v>
      </c>
      <c r="G23" s="626">
        <f t="shared" ref="G23:H39" si="2">+$B23*D23/1000</f>
        <v>0</v>
      </c>
      <c r="H23" s="72">
        <f t="shared" si="2"/>
        <v>0</v>
      </c>
      <c r="I23" s="630">
        <f t="shared" ref="I23:I39" si="3">+$B23*F23/1000000</f>
        <v>0</v>
      </c>
      <c r="J23" s="61">
        <f t="shared" ref="J23:J39" si="4">+(B23+B22)/2</f>
        <v>0</v>
      </c>
      <c r="K23" s="188">
        <f t="shared" ref="K23:K39" si="5">+D23</f>
        <v>0.3</v>
      </c>
      <c r="L23" s="188">
        <f t="shared" ref="L23:L39" si="6">+J23*K23/1000</f>
        <v>0</v>
      </c>
      <c r="M23" s="188">
        <f t="shared" ref="M23:M39" si="7">+M22+L23</f>
        <v>0</v>
      </c>
      <c r="N23" s="54">
        <f t="shared" ref="N23:N39" si="8">+B22</f>
        <v>0</v>
      </c>
      <c r="O23" s="670">
        <f t="shared" ref="O23:O39" si="9">+E23</f>
        <v>0.61</v>
      </c>
      <c r="P23" s="670">
        <f t="shared" ref="P23:P39" si="10">+N23*O23/1000</f>
        <v>0</v>
      </c>
      <c r="Q23" s="670">
        <f t="shared" ref="Q23:Q39" si="11">+Q22+P23</f>
        <v>0</v>
      </c>
      <c r="R23" s="247">
        <f t="shared" ref="R23:R38" si="12">+(B23+B22)/2</f>
        <v>0</v>
      </c>
      <c r="S23" s="24">
        <f t="shared" ref="S23:S38" si="13">+F23</f>
        <v>2376</v>
      </c>
      <c r="T23" s="25">
        <f t="shared" ref="T23:T38" si="14">+R23*S23/1000000</f>
        <v>0</v>
      </c>
      <c r="U23" s="654">
        <f t="shared" ref="U23:U39" si="15">+U22+T23</f>
        <v>0</v>
      </c>
    </row>
    <row r="24" spans="1:24" x14ac:dyDescent="0.2">
      <c r="A24" s="33">
        <f t="shared" si="0"/>
        <v>2011</v>
      </c>
      <c r="B24" s="30">
        <v>45</v>
      </c>
      <c r="C24" s="661">
        <f t="shared" si="1"/>
        <v>45</v>
      </c>
      <c r="D24" s="662">
        <v>0.3</v>
      </c>
      <c r="E24" s="663">
        <v>0.61</v>
      </c>
      <c r="F24" s="617">
        <v>2376</v>
      </c>
      <c r="G24" s="626">
        <f t="shared" si="2"/>
        <v>1.35E-2</v>
      </c>
      <c r="H24" s="72">
        <f t="shared" si="2"/>
        <v>2.7449999999999999E-2</v>
      </c>
      <c r="I24" s="630">
        <f t="shared" si="3"/>
        <v>0.10692</v>
      </c>
      <c r="J24" s="61">
        <f t="shared" si="4"/>
        <v>22.5</v>
      </c>
      <c r="K24" s="188">
        <f t="shared" si="5"/>
        <v>0.3</v>
      </c>
      <c r="L24" s="188">
        <f t="shared" si="6"/>
        <v>6.7499999999999999E-3</v>
      </c>
      <c r="M24" s="188">
        <f t="shared" si="7"/>
        <v>6.7499999999999999E-3</v>
      </c>
      <c r="N24" s="54">
        <f t="shared" si="8"/>
        <v>0</v>
      </c>
      <c r="O24" s="670">
        <f t="shared" si="9"/>
        <v>0.61</v>
      </c>
      <c r="P24" s="670">
        <f t="shared" si="10"/>
        <v>0</v>
      </c>
      <c r="Q24" s="670">
        <f t="shared" si="11"/>
        <v>0</v>
      </c>
      <c r="R24" s="247">
        <f t="shared" si="12"/>
        <v>22.5</v>
      </c>
      <c r="S24" s="24">
        <f t="shared" si="13"/>
        <v>2376</v>
      </c>
      <c r="T24" s="25">
        <f t="shared" si="14"/>
        <v>5.3460000000000001E-2</v>
      </c>
      <c r="U24" s="654">
        <f t="shared" si="15"/>
        <v>5.3460000000000001E-2</v>
      </c>
    </row>
    <row r="25" spans="1:24" x14ac:dyDescent="0.2">
      <c r="A25" s="33">
        <f t="shared" si="0"/>
        <v>2012</v>
      </c>
      <c r="B25" s="30">
        <v>25</v>
      </c>
      <c r="C25" s="661">
        <f t="shared" si="1"/>
        <v>70</v>
      </c>
      <c r="D25" s="662">
        <v>0.3</v>
      </c>
      <c r="E25" s="663">
        <v>0.61</v>
      </c>
      <c r="F25" s="617">
        <v>2376</v>
      </c>
      <c r="G25" s="626">
        <f t="shared" si="2"/>
        <v>7.4999999999999997E-3</v>
      </c>
      <c r="H25" s="72">
        <f t="shared" si="2"/>
        <v>1.525E-2</v>
      </c>
      <c r="I25" s="630">
        <f t="shared" si="3"/>
        <v>5.9400000000000001E-2</v>
      </c>
      <c r="J25" s="61">
        <f t="shared" si="4"/>
        <v>35</v>
      </c>
      <c r="K25" s="188">
        <f t="shared" si="5"/>
        <v>0.3</v>
      </c>
      <c r="L25" s="188">
        <f t="shared" si="6"/>
        <v>1.0500000000000001E-2</v>
      </c>
      <c r="M25" s="188">
        <f t="shared" si="7"/>
        <v>1.7250000000000001E-2</v>
      </c>
      <c r="N25" s="54">
        <f t="shared" si="8"/>
        <v>45</v>
      </c>
      <c r="O25" s="670">
        <f t="shared" si="9"/>
        <v>0.61</v>
      </c>
      <c r="P25" s="670">
        <f t="shared" si="10"/>
        <v>2.7449999999999999E-2</v>
      </c>
      <c r="Q25" s="670">
        <f t="shared" si="11"/>
        <v>2.7449999999999999E-2</v>
      </c>
      <c r="R25" s="247">
        <f t="shared" si="12"/>
        <v>35</v>
      </c>
      <c r="S25" s="24">
        <f t="shared" si="13"/>
        <v>2376</v>
      </c>
      <c r="T25" s="25">
        <f t="shared" si="14"/>
        <v>8.3159999999999998E-2</v>
      </c>
      <c r="U25" s="654">
        <f t="shared" si="15"/>
        <v>0.13661999999999999</v>
      </c>
    </row>
    <row r="26" spans="1:24" s="831" customFormat="1" x14ac:dyDescent="0.2">
      <c r="A26" s="33">
        <f t="shared" si="0"/>
        <v>2013</v>
      </c>
      <c r="B26" s="30">
        <v>49</v>
      </c>
      <c r="C26" s="619">
        <f t="shared" si="1"/>
        <v>119</v>
      </c>
      <c r="D26" s="807">
        <f t="shared" ref="D26:F27" si="16">+D25</f>
        <v>0.3</v>
      </c>
      <c r="E26" s="808">
        <f t="shared" si="16"/>
        <v>0.61</v>
      </c>
      <c r="F26" s="806">
        <f t="shared" si="16"/>
        <v>2376</v>
      </c>
      <c r="G26" s="626">
        <f t="shared" si="2"/>
        <v>1.47E-2</v>
      </c>
      <c r="H26" s="72">
        <f t="shared" si="2"/>
        <v>2.989E-2</v>
      </c>
      <c r="I26" s="630">
        <f t="shared" si="3"/>
        <v>0.116424</v>
      </c>
      <c r="J26" s="61">
        <f t="shared" si="4"/>
        <v>37</v>
      </c>
      <c r="K26" s="188">
        <f t="shared" si="5"/>
        <v>0.3</v>
      </c>
      <c r="L26" s="188">
        <f t="shared" si="6"/>
        <v>1.11E-2</v>
      </c>
      <c r="M26" s="829">
        <f t="shared" si="7"/>
        <v>2.835E-2</v>
      </c>
      <c r="N26" s="54">
        <f t="shared" si="8"/>
        <v>25</v>
      </c>
      <c r="O26" s="670">
        <f t="shared" si="9"/>
        <v>0.61</v>
      </c>
      <c r="P26" s="670">
        <f t="shared" si="10"/>
        <v>1.525E-2</v>
      </c>
      <c r="Q26" s="671">
        <f t="shared" si="11"/>
        <v>4.2700000000000002E-2</v>
      </c>
      <c r="R26" s="247">
        <f t="shared" si="12"/>
        <v>37</v>
      </c>
      <c r="S26" s="24">
        <f t="shared" si="13"/>
        <v>2376</v>
      </c>
      <c r="T26" s="25">
        <f t="shared" si="14"/>
        <v>8.7912000000000004E-2</v>
      </c>
      <c r="U26" s="654">
        <f t="shared" si="15"/>
        <v>0.22453200000000001</v>
      </c>
      <c r="V26" s="830"/>
    </row>
    <row r="27" spans="1:24" s="831" customFormat="1" x14ac:dyDescent="0.2">
      <c r="A27" s="33">
        <f t="shared" si="0"/>
        <v>2014</v>
      </c>
      <c r="B27" s="30">
        <v>54</v>
      </c>
      <c r="C27" s="619">
        <f t="shared" si="1"/>
        <v>173</v>
      </c>
      <c r="D27" s="807">
        <f t="shared" si="16"/>
        <v>0.3</v>
      </c>
      <c r="E27" s="808">
        <f t="shared" si="16"/>
        <v>0.61</v>
      </c>
      <c r="F27" s="806">
        <f t="shared" si="16"/>
        <v>2376</v>
      </c>
      <c r="G27" s="626">
        <f t="shared" si="2"/>
        <v>1.6199999999999999E-2</v>
      </c>
      <c r="H27" s="72">
        <f t="shared" si="2"/>
        <v>3.2939999999999997E-2</v>
      </c>
      <c r="I27" s="630">
        <f t="shared" si="3"/>
        <v>0.128304</v>
      </c>
      <c r="J27" s="61">
        <f t="shared" si="4"/>
        <v>51.5</v>
      </c>
      <c r="K27" s="188">
        <f t="shared" si="5"/>
        <v>0.3</v>
      </c>
      <c r="L27" s="188">
        <f t="shared" si="6"/>
        <v>1.5449999999999998E-2</v>
      </c>
      <c r="M27" s="829">
        <f t="shared" si="7"/>
        <v>4.3799999999999999E-2</v>
      </c>
      <c r="N27" s="54">
        <f t="shared" si="8"/>
        <v>49</v>
      </c>
      <c r="O27" s="670">
        <f t="shared" si="9"/>
        <v>0.61</v>
      </c>
      <c r="P27" s="670">
        <f t="shared" si="10"/>
        <v>2.989E-2</v>
      </c>
      <c r="Q27" s="671">
        <f t="shared" si="11"/>
        <v>7.2590000000000002E-2</v>
      </c>
      <c r="R27" s="247">
        <f t="shared" si="12"/>
        <v>51.5</v>
      </c>
      <c r="S27" s="24">
        <f t="shared" si="13"/>
        <v>2376</v>
      </c>
      <c r="T27" s="25">
        <f t="shared" si="14"/>
        <v>0.122364</v>
      </c>
      <c r="U27" s="654">
        <f t="shared" si="15"/>
        <v>0.34689599999999998</v>
      </c>
      <c r="V27" s="830"/>
    </row>
    <row r="28" spans="1:24" ht="13.5" thickBot="1" x14ac:dyDescent="0.25">
      <c r="A28" s="701">
        <f t="shared" si="0"/>
        <v>2015</v>
      </c>
      <c r="B28" s="702">
        <v>54</v>
      </c>
      <c r="C28" s="703">
        <f t="shared" si="1"/>
        <v>227</v>
      </c>
      <c r="D28" s="835">
        <v>0.3</v>
      </c>
      <c r="E28" s="836">
        <v>0.61</v>
      </c>
      <c r="F28" s="705">
        <v>2376</v>
      </c>
      <c r="G28" s="823">
        <f t="shared" si="2"/>
        <v>1.6199999999999999E-2</v>
      </c>
      <c r="H28" s="707">
        <f t="shared" si="2"/>
        <v>3.2939999999999997E-2</v>
      </c>
      <c r="I28" s="824">
        <f t="shared" si="3"/>
        <v>0.128304</v>
      </c>
      <c r="J28" s="708">
        <f t="shared" si="4"/>
        <v>54</v>
      </c>
      <c r="K28" s="825">
        <f t="shared" si="5"/>
        <v>0.3</v>
      </c>
      <c r="L28" s="825">
        <f t="shared" si="6"/>
        <v>1.6199999999999999E-2</v>
      </c>
      <c r="M28" s="826">
        <f t="shared" si="7"/>
        <v>0.06</v>
      </c>
      <c r="N28" s="711">
        <f t="shared" si="8"/>
        <v>54</v>
      </c>
      <c r="O28" s="827">
        <f t="shared" si="9"/>
        <v>0.61</v>
      </c>
      <c r="P28" s="827">
        <f t="shared" si="10"/>
        <v>3.2939999999999997E-2</v>
      </c>
      <c r="Q28" s="828">
        <f t="shared" si="11"/>
        <v>0.10553</v>
      </c>
      <c r="R28" s="714">
        <f t="shared" si="12"/>
        <v>54</v>
      </c>
      <c r="S28" s="715">
        <f t="shared" si="13"/>
        <v>2376</v>
      </c>
      <c r="T28" s="716">
        <f t="shared" si="14"/>
        <v>0.128304</v>
      </c>
      <c r="U28" s="717">
        <f t="shared" si="15"/>
        <v>0.47519999999999996</v>
      </c>
    </row>
    <row r="29" spans="1:24" x14ac:dyDescent="0.2">
      <c r="A29" s="33">
        <f t="shared" si="0"/>
        <v>2016</v>
      </c>
      <c r="B29" s="1036">
        <v>0</v>
      </c>
      <c r="C29" s="565">
        <f t="shared" si="1"/>
        <v>227</v>
      </c>
      <c r="D29" s="1041"/>
      <c r="E29" s="1042"/>
      <c r="F29" s="1043"/>
      <c r="G29" s="473">
        <f t="shared" si="2"/>
        <v>0</v>
      </c>
      <c r="H29" s="474">
        <f t="shared" si="2"/>
        <v>0</v>
      </c>
      <c r="I29" s="474">
        <f t="shared" si="3"/>
        <v>0</v>
      </c>
      <c r="J29" s="61">
        <f t="shared" si="4"/>
        <v>27</v>
      </c>
      <c r="K29" s="967">
        <f t="shared" si="5"/>
        <v>0</v>
      </c>
      <c r="L29" s="967">
        <f t="shared" si="6"/>
        <v>0</v>
      </c>
      <c r="M29" s="967">
        <f t="shared" si="7"/>
        <v>0.06</v>
      </c>
      <c r="N29" s="54">
        <f t="shared" si="8"/>
        <v>54</v>
      </c>
      <c r="O29" s="968">
        <f t="shared" si="9"/>
        <v>0</v>
      </c>
      <c r="P29" s="968">
        <f t="shared" si="10"/>
        <v>0</v>
      </c>
      <c r="Q29" s="969">
        <f t="shared" si="11"/>
        <v>0.10553</v>
      </c>
      <c r="R29" s="247">
        <f t="shared" si="12"/>
        <v>27</v>
      </c>
      <c r="S29" s="24">
        <f t="shared" si="13"/>
        <v>0</v>
      </c>
      <c r="T29" s="970">
        <f t="shared" si="14"/>
        <v>0</v>
      </c>
      <c r="U29" s="971">
        <f t="shared" si="15"/>
        <v>0.47519999999999996</v>
      </c>
    </row>
    <row r="30" spans="1:24" x14ac:dyDescent="0.2">
      <c r="A30" s="33">
        <f t="shared" si="0"/>
        <v>2017</v>
      </c>
      <c r="B30" s="1036">
        <v>0</v>
      </c>
      <c r="C30" s="565">
        <f t="shared" si="1"/>
        <v>227</v>
      </c>
      <c r="D30" s="1041"/>
      <c r="E30" s="1042"/>
      <c r="F30" s="1043"/>
      <c r="G30" s="473">
        <f t="shared" si="2"/>
        <v>0</v>
      </c>
      <c r="H30" s="474">
        <f t="shared" si="2"/>
        <v>0</v>
      </c>
      <c r="I30" s="474">
        <f t="shared" si="3"/>
        <v>0</v>
      </c>
      <c r="J30" s="61">
        <f t="shared" si="4"/>
        <v>0</v>
      </c>
      <c r="K30" s="967">
        <f t="shared" si="5"/>
        <v>0</v>
      </c>
      <c r="L30" s="967">
        <f t="shared" si="6"/>
        <v>0</v>
      </c>
      <c r="M30" s="967">
        <f t="shared" si="7"/>
        <v>0.06</v>
      </c>
      <c r="N30" s="54">
        <f t="shared" si="8"/>
        <v>0</v>
      </c>
      <c r="O30" s="968">
        <f t="shared" si="9"/>
        <v>0</v>
      </c>
      <c r="P30" s="968">
        <f t="shared" si="10"/>
        <v>0</v>
      </c>
      <c r="Q30" s="969">
        <f t="shared" si="11"/>
        <v>0.10553</v>
      </c>
      <c r="R30" s="247">
        <f t="shared" si="12"/>
        <v>0</v>
      </c>
      <c r="S30" s="24">
        <f t="shared" si="13"/>
        <v>0</v>
      </c>
      <c r="T30" s="970">
        <f t="shared" si="14"/>
        <v>0</v>
      </c>
      <c r="U30" s="971">
        <f t="shared" si="15"/>
        <v>0.47519999999999996</v>
      </c>
    </row>
    <row r="31" spans="1:24" x14ac:dyDescent="0.2">
      <c r="A31" s="33">
        <f t="shared" si="0"/>
        <v>2018</v>
      </c>
      <c r="B31" s="1036">
        <v>0</v>
      </c>
      <c r="C31" s="565">
        <f t="shared" si="1"/>
        <v>227</v>
      </c>
      <c r="D31" s="1041"/>
      <c r="E31" s="1042"/>
      <c r="F31" s="1043"/>
      <c r="G31" s="473">
        <f t="shared" si="2"/>
        <v>0</v>
      </c>
      <c r="H31" s="474">
        <f t="shared" si="2"/>
        <v>0</v>
      </c>
      <c r="I31" s="474">
        <f t="shared" si="3"/>
        <v>0</v>
      </c>
      <c r="J31" s="61">
        <f t="shared" si="4"/>
        <v>0</v>
      </c>
      <c r="K31" s="967">
        <f t="shared" si="5"/>
        <v>0</v>
      </c>
      <c r="L31" s="967">
        <f t="shared" si="6"/>
        <v>0</v>
      </c>
      <c r="M31" s="967">
        <f t="shared" si="7"/>
        <v>0.06</v>
      </c>
      <c r="N31" s="54">
        <f t="shared" si="8"/>
        <v>0</v>
      </c>
      <c r="O31" s="968">
        <f t="shared" si="9"/>
        <v>0</v>
      </c>
      <c r="P31" s="968">
        <f t="shared" si="10"/>
        <v>0</v>
      </c>
      <c r="Q31" s="969">
        <f t="shared" si="11"/>
        <v>0.10553</v>
      </c>
      <c r="R31" s="247">
        <f t="shared" si="12"/>
        <v>0</v>
      </c>
      <c r="S31" s="24">
        <f t="shared" si="13"/>
        <v>0</v>
      </c>
      <c r="T31" s="970">
        <f t="shared" si="14"/>
        <v>0</v>
      </c>
      <c r="U31" s="971">
        <f t="shared" si="15"/>
        <v>0.47519999999999996</v>
      </c>
    </row>
    <row r="32" spans="1:24" x14ac:dyDescent="0.2">
      <c r="A32" s="33">
        <f t="shared" si="0"/>
        <v>2019</v>
      </c>
      <c r="B32" s="1036">
        <v>0</v>
      </c>
      <c r="C32" s="565">
        <f t="shared" si="1"/>
        <v>227</v>
      </c>
      <c r="D32" s="1041"/>
      <c r="E32" s="1042"/>
      <c r="F32" s="1043"/>
      <c r="G32" s="473">
        <f t="shared" si="2"/>
        <v>0</v>
      </c>
      <c r="H32" s="474">
        <f t="shared" si="2"/>
        <v>0</v>
      </c>
      <c r="I32" s="474">
        <f t="shared" si="3"/>
        <v>0</v>
      </c>
      <c r="J32" s="61">
        <f t="shared" si="4"/>
        <v>0</v>
      </c>
      <c r="K32" s="967">
        <f t="shared" si="5"/>
        <v>0</v>
      </c>
      <c r="L32" s="967">
        <f t="shared" si="6"/>
        <v>0</v>
      </c>
      <c r="M32" s="967">
        <f t="shared" si="7"/>
        <v>0.06</v>
      </c>
      <c r="N32" s="54">
        <f t="shared" si="8"/>
        <v>0</v>
      </c>
      <c r="O32" s="968">
        <f t="shared" si="9"/>
        <v>0</v>
      </c>
      <c r="P32" s="968">
        <f t="shared" si="10"/>
        <v>0</v>
      </c>
      <c r="Q32" s="969">
        <f t="shared" si="11"/>
        <v>0.10553</v>
      </c>
      <c r="R32" s="247">
        <f t="shared" si="12"/>
        <v>0</v>
      </c>
      <c r="S32" s="24">
        <f t="shared" si="13"/>
        <v>0</v>
      </c>
      <c r="T32" s="970">
        <f t="shared" si="14"/>
        <v>0</v>
      </c>
      <c r="U32" s="971">
        <f t="shared" si="15"/>
        <v>0.47519999999999996</v>
      </c>
    </row>
    <row r="33" spans="1:21" x14ac:dyDescent="0.2">
      <c r="A33" s="33">
        <f t="shared" si="0"/>
        <v>2020</v>
      </c>
      <c r="B33" s="1036">
        <f>B32</f>
        <v>0</v>
      </c>
      <c r="C33" s="565">
        <f t="shared" si="1"/>
        <v>227</v>
      </c>
      <c r="D33" s="1041"/>
      <c r="E33" s="1042"/>
      <c r="F33" s="1043"/>
      <c r="G33" s="473">
        <f t="shared" si="2"/>
        <v>0</v>
      </c>
      <c r="H33" s="474">
        <f t="shared" si="2"/>
        <v>0</v>
      </c>
      <c r="I33" s="474">
        <f t="shared" si="3"/>
        <v>0</v>
      </c>
      <c r="J33" s="61">
        <f t="shared" si="4"/>
        <v>0</v>
      </c>
      <c r="K33" s="967">
        <f t="shared" si="5"/>
        <v>0</v>
      </c>
      <c r="L33" s="967">
        <f t="shared" si="6"/>
        <v>0</v>
      </c>
      <c r="M33" s="967">
        <f t="shared" si="7"/>
        <v>0.06</v>
      </c>
      <c r="N33" s="54">
        <f t="shared" si="8"/>
        <v>0</v>
      </c>
      <c r="O33" s="968">
        <f t="shared" si="9"/>
        <v>0</v>
      </c>
      <c r="P33" s="968">
        <f t="shared" si="10"/>
        <v>0</v>
      </c>
      <c r="Q33" s="969">
        <f t="shared" si="11"/>
        <v>0.10553</v>
      </c>
      <c r="R33" s="247">
        <f t="shared" si="12"/>
        <v>0</v>
      </c>
      <c r="S33" s="24">
        <f t="shared" si="13"/>
        <v>0</v>
      </c>
      <c r="T33" s="970">
        <f t="shared" si="14"/>
        <v>0</v>
      </c>
      <c r="U33" s="971">
        <f t="shared" si="15"/>
        <v>0.47519999999999996</v>
      </c>
    </row>
    <row r="34" spans="1:21" x14ac:dyDescent="0.2">
      <c r="A34" s="33">
        <f t="shared" si="0"/>
        <v>2021</v>
      </c>
      <c r="B34" s="1036">
        <f t="shared" ref="B34:B47" si="17">B33</f>
        <v>0</v>
      </c>
      <c r="C34" s="565">
        <f t="shared" si="1"/>
        <v>227</v>
      </c>
      <c r="D34" s="1041"/>
      <c r="E34" s="1042"/>
      <c r="F34" s="1043"/>
      <c r="G34" s="473">
        <f t="shared" si="2"/>
        <v>0</v>
      </c>
      <c r="H34" s="474">
        <f t="shared" si="2"/>
        <v>0</v>
      </c>
      <c r="I34" s="474">
        <f t="shared" si="3"/>
        <v>0</v>
      </c>
      <c r="J34" s="61">
        <f t="shared" si="4"/>
        <v>0</v>
      </c>
      <c r="K34" s="967">
        <f t="shared" si="5"/>
        <v>0</v>
      </c>
      <c r="L34" s="967">
        <f t="shared" si="6"/>
        <v>0</v>
      </c>
      <c r="M34" s="967">
        <f t="shared" si="7"/>
        <v>0.06</v>
      </c>
      <c r="N34" s="54">
        <f t="shared" si="8"/>
        <v>0</v>
      </c>
      <c r="O34" s="968">
        <f t="shared" si="9"/>
        <v>0</v>
      </c>
      <c r="P34" s="968">
        <f t="shared" si="10"/>
        <v>0</v>
      </c>
      <c r="Q34" s="969">
        <f t="shared" si="11"/>
        <v>0.10553</v>
      </c>
      <c r="R34" s="247">
        <f t="shared" si="12"/>
        <v>0</v>
      </c>
      <c r="S34" s="24">
        <f t="shared" si="13"/>
        <v>0</v>
      </c>
      <c r="T34" s="970">
        <f t="shared" si="14"/>
        <v>0</v>
      </c>
      <c r="U34" s="971">
        <f t="shared" si="15"/>
        <v>0.47519999999999996</v>
      </c>
    </row>
    <row r="35" spans="1:21" x14ac:dyDescent="0.2">
      <c r="A35" s="33">
        <f t="shared" si="0"/>
        <v>2022</v>
      </c>
      <c r="B35" s="1036">
        <f t="shared" si="17"/>
        <v>0</v>
      </c>
      <c r="C35" s="565">
        <f t="shared" si="1"/>
        <v>227</v>
      </c>
      <c r="D35" s="1041"/>
      <c r="E35" s="1042"/>
      <c r="F35" s="1043"/>
      <c r="G35" s="473">
        <f t="shared" si="2"/>
        <v>0</v>
      </c>
      <c r="H35" s="474">
        <f t="shared" si="2"/>
        <v>0</v>
      </c>
      <c r="I35" s="474">
        <f t="shared" si="3"/>
        <v>0</v>
      </c>
      <c r="J35" s="61">
        <f t="shared" si="4"/>
        <v>0</v>
      </c>
      <c r="K35" s="967">
        <f t="shared" si="5"/>
        <v>0</v>
      </c>
      <c r="L35" s="967">
        <f t="shared" si="6"/>
        <v>0</v>
      </c>
      <c r="M35" s="967">
        <f t="shared" si="7"/>
        <v>0.06</v>
      </c>
      <c r="N35" s="54">
        <f t="shared" si="8"/>
        <v>0</v>
      </c>
      <c r="O35" s="968">
        <f t="shared" si="9"/>
        <v>0</v>
      </c>
      <c r="P35" s="968">
        <f t="shared" si="10"/>
        <v>0</v>
      </c>
      <c r="Q35" s="969">
        <f t="shared" si="11"/>
        <v>0.10553</v>
      </c>
      <c r="R35" s="247">
        <f t="shared" si="12"/>
        <v>0</v>
      </c>
      <c r="S35" s="24">
        <f t="shared" si="13"/>
        <v>0</v>
      </c>
      <c r="T35" s="970">
        <f t="shared" si="14"/>
        <v>0</v>
      </c>
      <c r="U35" s="971">
        <f t="shared" si="15"/>
        <v>0.47519999999999996</v>
      </c>
    </row>
    <row r="36" spans="1:21" x14ac:dyDescent="0.2">
      <c r="A36" s="33">
        <f t="shared" si="0"/>
        <v>2023</v>
      </c>
      <c r="B36" s="1036">
        <f t="shared" si="17"/>
        <v>0</v>
      </c>
      <c r="C36" s="565">
        <f t="shared" si="1"/>
        <v>227</v>
      </c>
      <c r="D36" s="1041"/>
      <c r="E36" s="1042"/>
      <c r="F36" s="1043"/>
      <c r="G36" s="473">
        <f t="shared" si="2"/>
        <v>0</v>
      </c>
      <c r="H36" s="474">
        <f t="shared" si="2"/>
        <v>0</v>
      </c>
      <c r="I36" s="474">
        <f t="shared" si="3"/>
        <v>0</v>
      </c>
      <c r="J36" s="61">
        <f t="shared" si="4"/>
        <v>0</v>
      </c>
      <c r="K36" s="967">
        <f t="shared" si="5"/>
        <v>0</v>
      </c>
      <c r="L36" s="967">
        <f t="shared" si="6"/>
        <v>0</v>
      </c>
      <c r="M36" s="967">
        <f t="shared" si="7"/>
        <v>0.06</v>
      </c>
      <c r="N36" s="54">
        <f t="shared" si="8"/>
        <v>0</v>
      </c>
      <c r="O36" s="968">
        <f t="shared" si="9"/>
        <v>0</v>
      </c>
      <c r="P36" s="968">
        <f t="shared" si="10"/>
        <v>0</v>
      </c>
      <c r="Q36" s="969">
        <f t="shared" si="11"/>
        <v>0.10553</v>
      </c>
      <c r="R36" s="247">
        <f t="shared" si="12"/>
        <v>0</v>
      </c>
      <c r="S36" s="24">
        <f t="shared" si="13"/>
        <v>0</v>
      </c>
      <c r="T36" s="970">
        <f t="shared" si="14"/>
        <v>0</v>
      </c>
      <c r="U36" s="971">
        <f t="shared" si="15"/>
        <v>0.47519999999999996</v>
      </c>
    </row>
    <row r="37" spans="1:21" x14ac:dyDescent="0.2">
      <c r="A37" s="33">
        <f t="shared" si="0"/>
        <v>2024</v>
      </c>
      <c r="B37" s="1036">
        <f t="shared" si="17"/>
        <v>0</v>
      </c>
      <c r="C37" s="565">
        <f t="shared" si="1"/>
        <v>227</v>
      </c>
      <c r="D37" s="1041"/>
      <c r="E37" s="1042"/>
      <c r="F37" s="1043"/>
      <c r="G37" s="473">
        <f t="shared" si="2"/>
        <v>0</v>
      </c>
      <c r="H37" s="474">
        <f t="shared" si="2"/>
        <v>0</v>
      </c>
      <c r="I37" s="474">
        <f t="shared" si="3"/>
        <v>0</v>
      </c>
      <c r="J37" s="61">
        <f t="shared" si="4"/>
        <v>0</v>
      </c>
      <c r="K37" s="967">
        <f t="shared" si="5"/>
        <v>0</v>
      </c>
      <c r="L37" s="967">
        <f t="shared" si="6"/>
        <v>0</v>
      </c>
      <c r="M37" s="967">
        <f t="shared" si="7"/>
        <v>0.06</v>
      </c>
      <c r="N37" s="54">
        <f t="shared" si="8"/>
        <v>0</v>
      </c>
      <c r="O37" s="968">
        <f t="shared" si="9"/>
        <v>0</v>
      </c>
      <c r="P37" s="968">
        <f t="shared" si="10"/>
        <v>0</v>
      </c>
      <c r="Q37" s="969">
        <f t="shared" si="11"/>
        <v>0.10553</v>
      </c>
      <c r="R37" s="247">
        <f t="shared" si="12"/>
        <v>0</v>
      </c>
      <c r="S37" s="24">
        <f t="shared" si="13"/>
        <v>0</v>
      </c>
      <c r="T37" s="970">
        <f t="shared" si="14"/>
        <v>0</v>
      </c>
      <c r="U37" s="971">
        <f t="shared" si="15"/>
        <v>0.47519999999999996</v>
      </c>
    </row>
    <row r="38" spans="1:21" x14ac:dyDescent="0.2">
      <c r="A38" s="33">
        <f t="shared" si="0"/>
        <v>2025</v>
      </c>
      <c r="B38" s="1036">
        <f t="shared" si="17"/>
        <v>0</v>
      </c>
      <c r="C38" s="565">
        <f t="shared" si="1"/>
        <v>227</v>
      </c>
      <c r="D38" s="1041"/>
      <c r="E38" s="1042"/>
      <c r="F38" s="1043"/>
      <c r="G38" s="473">
        <f t="shared" si="2"/>
        <v>0</v>
      </c>
      <c r="H38" s="474">
        <f t="shared" si="2"/>
        <v>0</v>
      </c>
      <c r="I38" s="474">
        <f t="shared" si="3"/>
        <v>0</v>
      </c>
      <c r="J38" s="61">
        <f t="shared" si="4"/>
        <v>0</v>
      </c>
      <c r="K38" s="967">
        <f t="shared" si="5"/>
        <v>0</v>
      </c>
      <c r="L38" s="967">
        <f t="shared" si="6"/>
        <v>0</v>
      </c>
      <c r="M38" s="967">
        <f t="shared" si="7"/>
        <v>0.06</v>
      </c>
      <c r="N38" s="54">
        <f t="shared" si="8"/>
        <v>0</v>
      </c>
      <c r="O38" s="968">
        <f t="shared" si="9"/>
        <v>0</v>
      </c>
      <c r="P38" s="968">
        <f t="shared" si="10"/>
        <v>0</v>
      </c>
      <c r="Q38" s="969">
        <f t="shared" si="11"/>
        <v>0.10553</v>
      </c>
      <c r="R38" s="247">
        <f t="shared" si="12"/>
        <v>0</v>
      </c>
      <c r="S38" s="24">
        <f t="shared" si="13"/>
        <v>0</v>
      </c>
      <c r="T38" s="970">
        <f t="shared" si="14"/>
        <v>0</v>
      </c>
      <c r="U38" s="971">
        <f t="shared" si="15"/>
        <v>0.47519999999999996</v>
      </c>
    </row>
    <row r="39" spans="1:21" x14ac:dyDescent="0.2">
      <c r="A39" s="33">
        <f t="shared" si="0"/>
        <v>2026</v>
      </c>
      <c r="B39" s="1036">
        <f t="shared" si="17"/>
        <v>0</v>
      </c>
      <c r="C39" s="565">
        <f t="shared" si="1"/>
        <v>227</v>
      </c>
      <c r="D39" s="1041"/>
      <c r="E39" s="1042"/>
      <c r="F39" s="1043"/>
      <c r="G39" s="473">
        <f t="shared" si="2"/>
        <v>0</v>
      </c>
      <c r="H39" s="474">
        <f t="shared" si="2"/>
        <v>0</v>
      </c>
      <c r="I39" s="474">
        <f t="shared" si="3"/>
        <v>0</v>
      </c>
      <c r="J39" s="61">
        <f t="shared" si="4"/>
        <v>0</v>
      </c>
      <c r="K39" s="967">
        <f t="shared" si="5"/>
        <v>0</v>
      </c>
      <c r="L39" s="967">
        <f t="shared" si="6"/>
        <v>0</v>
      </c>
      <c r="M39" s="967">
        <f t="shared" si="7"/>
        <v>0.06</v>
      </c>
      <c r="N39" s="54">
        <f t="shared" si="8"/>
        <v>0</v>
      </c>
      <c r="O39" s="968">
        <f t="shared" si="9"/>
        <v>0</v>
      </c>
      <c r="P39" s="968">
        <f t="shared" si="10"/>
        <v>0</v>
      </c>
      <c r="Q39" s="969">
        <f t="shared" si="11"/>
        <v>0.10553</v>
      </c>
      <c r="R39" s="247">
        <f>+(B39+B38)/2</f>
        <v>0</v>
      </c>
      <c r="S39" s="24">
        <f>+F39</f>
        <v>0</v>
      </c>
      <c r="T39" s="970">
        <f>+R39*S39/1000000</f>
        <v>0</v>
      </c>
      <c r="U39" s="971">
        <f t="shared" si="15"/>
        <v>0.47519999999999996</v>
      </c>
    </row>
    <row r="40" spans="1:21" x14ac:dyDescent="0.2">
      <c r="A40" s="33">
        <f>+A39+1</f>
        <v>2027</v>
      </c>
      <c r="B40" s="1036">
        <f t="shared" si="17"/>
        <v>0</v>
      </c>
      <c r="C40" s="565">
        <f>+C39+B40</f>
        <v>227</v>
      </c>
      <c r="D40" s="1041"/>
      <c r="E40" s="1042"/>
      <c r="F40" s="1043"/>
      <c r="G40" s="473">
        <f t="shared" ref="G40:H42" si="18">+$B40*D40/1000</f>
        <v>0</v>
      </c>
      <c r="H40" s="474">
        <f t="shared" si="18"/>
        <v>0</v>
      </c>
      <c r="I40" s="474">
        <f>+$B40*F40/1000000</f>
        <v>0</v>
      </c>
      <c r="J40" s="61">
        <f>+(B40+B39)/2</f>
        <v>0</v>
      </c>
      <c r="K40" s="967">
        <f>+D40</f>
        <v>0</v>
      </c>
      <c r="L40" s="967">
        <f>+J40*K40/1000</f>
        <v>0</v>
      </c>
      <c r="M40" s="967">
        <f>+M39+L40</f>
        <v>0.06</v>
      </c>
      <c r="N40" s="54">
        <f>+B39</f>
        <v>0</v>
      </c>
      <c r="O40" s="968">
        <f>+E40</f>
        <v>0</v>
      </c>
      <c r="P40" s="968">
        <f>+N40*O40/1000</f>
        <v>0</v>
      </c>
      <c r="Q40" s="969">
        <f>+Q39+P40</f>
        <v>0.10553</v>
      </c>
      <c r="R40" s="247">
        <f>+(B40+B39)/2</f>
        <v>0</v>
      </c>
      <c r="S40" s="24">
        <f>+F40</f>
        <v>0</v>
      </c>
      <c r="T40" s="970">
        <f>+R40*S40/1000000</f>
        <v>0</v>
      </c>
      <c r="U40" s="971">
        <f>+U39+T40</f>
        <v>0.47519999999999996</v>
      </c>
    </row>
    <row r="41" spans="1:21" x14ac:dyDescent="0.2">
      <c r="A41" s="33">
        <f t="shared" si="0"/>
        <v>2028</v>
      </c>
      <c r="B41" s="1036">
        <f t="shared" si="17"/>
        <v>0</v>
      </c>
      <c r="C41" s="565">
        <f>+C40+B41</f>
        <v>227</v>
      </c>
      <c r="D41" s="1041"/>
      <c r="E41" s="1042"/>
      <c r="F41" s="1043"/>
      <c r="G41" s="473">
        <f t="shared" si="18"/>
        <v>0</v>
      </c>
      <c r="H41" s="474">
        <f t="shared" si="18"/>
        <v>0</v>
      </c>
      <c r="I41" s="474">
        <f>+$B41*F41/1000000</f>
        <v>0</v>
      </c>
      <c r="J41" s="61">
        <f>+(B41+B40)/2</f>
        <v>0</v>
      </c>
      <c r="K41" s="967">
        <f>+D41</f>
        <v>0</v>
      </c>
      <c r="L41" s="967">
        <f>+J41*K41/1000</f>
        <v>0</v>
      </c>
      <c r="M41" s="967">
        <f>+M40+L41</f>
        <v>0.06</v>
      </c>
      <c r="N41" s="54">
        <f>+B40</f>
        <v>0</v>
      </c>
      <c r="O41" s="968">
        <f>+E41</f>
        <v>0</v>
      </c>
      <c r="P41" s="968">
        <f>+N41*O41/1000</f>
        <v>0</v>
      </c>
      <c r="Q41" s="969">
        <f>+Q40+P41</f>
        <v>0.10553</v>
      </c>
      <c r="R41" s="247">
        <f>+(B41+B40)/2</f>
        <v>0</v>
      </c>
      <c r="S41" s="24">
        <f>+F41</f>
        <v>0</v>
      </c>
      <c r="T41" s="970">
        <f>+R41*S41/1000000</f>
        <v>0</v>
      </c>
      <c r="U41" s="971">
        <f>+U40+T41</f>
        <v>0.47519999999999996</v>
      </c>
    </row>
    <row r="42" spans="1:21" x14ac:dyDescent="0.2">
      <c r="A42" s="33">
        <f t="shared" si="0"/>
        <v>2029</v>
      </c>
      <c r="B42" s="1036">
        <f t="shared" si="17"/>
        <v>0</v>
      </c>
      <c r="C42" s="565">
        <f>+C41+B42</f>
        <v>227</v>
      </c>
      <c r="D42" s="1041"/>
      <c r="E42" s="1042"/>
      <c r="F42" s="1043"/>
      <c r="G42" s="473">
        <f t="shared" si="18"/>
        <v>0</v>
      </c>
      <c r="H42" s="474">
        <f t="shared" si="18"/>
        <v>0</v>
      </c>
      <c r="I42" s="474">
        <f>+$B42*F42/1000000</f>
        <v>0</v>
      </c>
      <c r="J42" s="61">
        <f>+(B42+B41)/2</f>
        <v>0</v>
      </c>
      <c r="K42" s="967">
        <f>+D42</f>
        <v>0</v>
      </c>
      <c r="L42" s="967">
        <f>+J42*K42/1000</f>
        <v>0</v>
      </c>
      <c r="M42" s="967">
        <f>+M41+L42</f>
        <v>0.06</v>
      </c>
      <c r="N42" s="54">
        <f>+B41</f>
        <v>0</v>
      </c>
      <c r="O42" s="968">
        <f>+E42</f>
        <v>0</v>
      </c>
      <c r="P42" s="968">
        <f>+N42*O42/1000</f>
        <v>0</v>
      </c>
      <c r="Q42" s="969">
        <f>+Q41+P42</f>
        <v>0.10553</v>
      </c>
      <c r="R42" s="247">
        <f>+(B42+B41)/2</f>
        <v>0</v>
      </c>
      <c r="S42" s="24">
        <f>+F42</f>
        <v>0</v>
      </c>
      <c r="T42" s="970">
        <f>+R42*S42/1000000</f>
        <v>0</v>
      </c>
      <c r="U42" s="971">
        <f>+U41+T42</f>
        <v>0.47519999999999996</v>
      </c>
    </row>
    <row r="43" spans="1:21" x14ac:dyDescent="0.2">
      <c r="A43" s="33">
        <f t="shared" si="0"/>
        <v>2030</v>
      </c>
      <c r="B43" s="1036">
        <f t="shared" si="17"/>
        <v>0</v>
      </c>
      <c r="C43" s="565">
        <f t="shared" ref="C43:C47" si="19">+C42+B43</f>
        <v>227</v>
      </c>
      <c r="D43" s="1041"/>
      <c r="E43" s="1042"/>
      <c r="F43" s="1043"/>
      <c r="G43" s="473">
        <f t="shared" ref="G43:G47" si="20">+$B43*D43/1000</f>
        <v>0</v>
      </c>
      <c r="H43" s="474">
        <f t="shared" ref="H43:H47" si="21">+$B43*E43/1000</f>
        <v>0</v>
      </c>
      <c r="I43" s="474">
        <f t="shared" ref="I43:I47" si="22">+$B43*F43/1000000</f>
        <v>0</v>
      </c>
      <c r="J43" s="61">
        <f t="shared" ref="J43:J47" si="23">+(B43+B42)/2</f>
        <v>0</v>
      </c>
      <c r="K43" s="967">
        <f t="shared" ref="K43:K47" si="24">+D43</f>
        <v>0</v>
      </c>
      <c r="L43" s="967">
        <f t="shared" ref="L43:L47" si="25">+J43*K43/1000</f>
        <v>0</v>
      </c>
      <c r="M43" s="967">
        <f t="shared" ref="M43:M47" si="26">+M42+L43</f>
        <v>0.06</v>
      </c>
      <c r="N43" s="54">
        <f t="shared" ref="N43:N47" si="27">+B42</f>
        <v>0</v>
      </c>
      <c r="O43" s="968">
        <f t="shared" ref="O43:O47" si="28">+E43</f>
        <v>0</v>
      </c>
      <c r="P43" s="968">
        <f t="shared" ref="P43:P47" si="29">+N43*O43/1000</f>
        <v>0</v>
      </c>
      <c r="Q43" s="969">
        <f t="shared" ref="Q43:Q47" si="30">+Q42+P43</f>
        <v>0.10553</v>
      </c>
      <c r="R43" s="247">
        <f t="shared" ref="R43:R47" si="31">+(B43+B42)/2</f>
        <v>0</v>
      </c>
      <c r="S43" s="24">
        <f t="shared" ref="S43:S47" si="32">+F43</f>
        <v>0</v>
      </c>
      <c r="T43" s="970">
        <f t="shared" ref="T43:T47" si="33">+R43*S43/1000000</f>
        <v>0</v>
      </c>
      <c r="U43" s="971">
        <f t="shared" ref="U43:U47" si="34">+U42+T43</f>
        <v>0.47519999999999996</v>
      </c>
    </row>
    <row r="44" spans="1:21" x14ac:dyDescent="0.2">
      <c r="A44" s="33">
        <f t="shared" si="0"/>
        <v>2031</v>
      </c>
      <c r="B44" s="1036">
        <f t="shared" si="17"/>
        <v>0</v>
      </c>
      <c r="C44" s="565">
        <f t="shared" si="19"/>
        <v>227</v>
      </c>
      <c r="D44" s="1041"/>
      <c r="E44" s="1042"/>
      <c r="F44" s="1043"/>
      <c r="G44" s="473">
        <f t="shared" si="20"/>
        <v>0</v>
      </c>
      <c r="H44" s="474">
        <f t="shared" si="21"/>
        <v>0</v>
      </c>
      <c r="I44" s="474">
        <f t="shared" si="22"/>
        <v>0</v>
      </c>
      <c r="J44" s="61">
        <f t="shared" si="23"/>
        <v>0</v>
      </c>
      <c r="K44" s="967">
        <f t="shared" si="24"/>
        <v>0</v>
      </c>
      <c r="L44" s="967">
        <f t="shared" si="25"/>
        <v>0</v>
      </c>
      <c r="M44" s="967">
        <f t="shared" si="26"/>
        <v>0.06</v>
      </c>
      <c r="N44" s="54">
        <f t="shared" si="27"/>
        <v>0</v>
      </c>
      <c r="O44" s="968">
        <f t="shared" si="28"/>
        <v>0</v>
      </c>
      <c r="P44" s="968">
        <f t="shared" si="29"/>
        <v>0</v>
      </c>
      <c r="Q44" s="969">
        <f t="shared" si="30"/>
        <v>0.10553</v>
      </c>
      <c r="R44" s="247">
        <f t="shared" si="31"/>
        <v>0</v>
      </c>
      <c r="S44" s="24">
        <f t="shared" si="32"/>
        <v>0</v>
      </c>
      <c r="T44" s="970">
        <f t="shared" si="33"/>
        <v>0</v>
      </c>
      <c r="U44" s="971">
        <f t="shared" si="34"/>
        <v>0.47519999999999996</v>
      </c>
    </row>
    <row r="45" spans="1:21" x14ac:dyDescent="0.2">
      <c r="A45" s="33">
        <f t="shared" si="0"/>
        <v>2032</v>
      </c>
      <c r="B45" s="1036">
        <f t="shared" si="17"/>
        <v>0</v>
      </c>
      <c r="C45" s="565">
        <f t="shared" si="19"/>
        <v>227</v>
      </c>
      <c r="D45" s="1041"/>
      <c r="E45" s="1042"/>
      <c r="F45" s="1043"/>
      <c r="G45" s="473">
        <f t="shared" si="20"/>
        <v>0</v>
      </c>
      <c r="H45" s="474">
        <f t="shared" si="21"/>
        <v>0</v>
      </c>
      <c r="I45" s="474">
        <f t="shared" si="22"/>
        <v>0</v>
      </c>
      <c r="J45" s="61">
        <f t="shared" si="23"/>
        <v>0</v>
      </c>
      <c r="K45" s="967">
        <f t="shared" si="24"/>
        <v>0</v>
      </c>
      <c r="L45" s="967">
        <f t="shared" si="25"/>
        <v>0</v>
      </c>
      <c r="M45" s="967">
        <f t="shared" si="26"/>
        <v>0.06</v>
      </c>
      <c r="N45" s="54">
        <f t="shared" si="27"/>
        <v>0</v>
      </c>
      <c r="O45" s="968">
        <f t="shared" si="28"/>
        <v>0</v>
      </c>
      <c r="P45" s="968">
        <f t="shared" si="29"/>
        <v>0</v>
      </c>
      <c r="Q45" s="969">
        <f t="shared" si="30"/>
        <v>0.10553</v>
      </c>
      <c r="R45" s="247">
        <f t="shared" si="31"/>
        <v>0</v>
      </c>
      <c r="S45" s="24">
        <f t="shared" si="32"/>
        <v>0</v>
      </c>
      <c r="T45" s="970">
        <f t="shared" si="33"/>
        <v>0</v>
      </c>
      <c r="U45" s="971">
        <f t="shared" si="34"/>
        <v>0.47519999999999996</v>
      </c>
    </row>
    <row r="46" spans="1:21" x14ac:dyDescent="0.2">
      <c r="A46" s="33">
        <f t="shared" si="0"/>
        <v>2033</v>
      </c>
      <c r="B46" s="1036">
        <f t="shared" si="17"/>
        <v>0</v>
      </c>
      <c r="C46" s="565">
        <f t="shared" si="19"/>
        <v>227</v>
      </c>
      <c r="D46" s="1041"/>
      <c r="E46" s="1042"/>
      <c r="F46" s="1043"/>
      <c r="G46" s="473">
        <f t="shared" si="20"/>
        <v>0</v>
      </c>
      <c r="H46" s="474">
        <f t="shared" si="21"/>
        <v>0</v>
      </c>
      <c r="I46" s="474">
        <f t="shared" si="22"/>
        <v>0</v>
      </c>
      <c r="J46" s="61">
        <f t="shared" si="23"/>
        <v>0</v>
      </c>
      <c r="K46" s="967">
        <f t="shared" si="24"/>
        <v>0</v>
      </c>
      <c r="L46" s="967">
        <f t="shared" si="25"/>
        <v>0</v>
      </c>
      <c r="M46" s="967">
        <f t="shared" si="26"/>
        <v>0.06</v>
      </c>
      <c r="N46" s="54">
        <f t="shared" si="27"/>
        <v>0</v>
      </c>
      <c r="O46" s="968">
        <f t="shared" si="28"/>
        <v>0</v>
      </c>
      <c r="P46" s="968">
        <f t="shared" si="29"/>
        <v>0</v>
      </c>
      <c r="Q46" s="969">
        <f t="shared" si="30"/>
        <v>0.10553</v>
      </c>
      <c r="R46" s="247">
        <f t="shared" si="31"/>
        <v>0</v>
      </c>
      <c r="S46" s="24">
        <f t="shared" si="32"/>
        <v>0</v>
      </c>
      <c r="T46" s="970">
        <f t="shared" si="33"/>
        <v>0</v>
      </c>
      <c r="U46" s="971">
        <f t="shared" si="34"/>
        <v>0.47519999999999996</v>
      </c>
    </row>
    <row r="47" spans="1:21" x14ac:dyDescent="0.2">
      <c r="A47" s="33">
        <f t="shared" si="0"/>
        <v>2034</v>
      </c>
      <c r="B47" s="1036">
        <f t="shared" si="17"/>
        <v>0</v>
      </c>
      <c r="C47" s="565">
        <f t="shared" si="19"/>
        <v>227</v>
      </c>
      <c r="D47" s="1041"/>
      <c r="E47" s="1042"/>
      <c r="F47" s="1043"/>
      <c r="G47" s="473">
        <f t="shared" si="20"/>
        <v>0</v>
      </c>
      <c r="H47" s="474">
        <f t="shared" si="21"/>
        <v>0</v>
      </c>
      <c r="I47" s="474">
        <f t="shared" si="22"/>
        <v>0</v>
      </c>
      <c r="J47" s="61">
        <f t="shared" si="23"/>
        <v>0</v>
      </c>
      <c r="K47" s="967">
        <f t="shared" si="24"/>
        <v>0</v>
      </c>
      <c r="L47" s="967">
        <f t="shared" si="25"/>
        <v>0</v>
      </c>
      <c r="M47" s="967">
        <f t="shared" si="26"/>
        <v>0.06</v>
      </c>
      <c r="N47" s="54">
        <f t="shared" si="27"/>
        <v>0</v>
      </c>
      <c r="O47" s="968">
        <f t="shared" si="28"/>
        <v>0</v>
      </c>
      <c r="P47" s="968">
        <f t="shared" si="29"/>
        <v>0</v>
      </c>
      <c r="Q47" s="969">
        <f t="shared" si="30"/>
        <v>0.10553</v>
      </c>
      <c r="R47" s="247">
        <f t="shared" si="31"/>
        <v>0</v>
      </c>
      <c r="S47" s="24">
        <f t="shared" si="32"/>
        <v>0</v>
      </c>
      <c r="T47" s="970">
        <f t="shared" si="33"/>
        <v>0</v>
      </c>
      <c r="U47" s="971">
        <f t="shared" si="34"/>
        <v>0.47519999999999996</v>
      </c>
    </row>
    <row r="48" spans="1:21" x14ac:dyDescent="0.2">
      <c r="A48" s="33">
        <f t="shared" si="0"/>
        <v>2035</v>
      </c>
      <c r="B48" s="1036">
        <f>B47</f>
        <v>0</v>
      </c>
      <c r="C48" s="565">
        <f t="shared" ref="C48:C54" si="35">+C47+B48</f>
        <v>227</v>
      </c>
      <c r="D48" s="1041"/>
      <c r="E48" s="1042"/>
      <c r="F48" s="1043"/>
      <c r="G48" s="473">
        <f t="shared" ref="G48:G54" si="36">+$B48*D48/1000</f>
        <v>0</v>
      </c>
      <c r="H48" s="474">
        <f t="shared" ref="H48:H54" si="37">+$B48*E48/1000</f>
        <v>0</v>
      </c>
      <c r="I48" s="474">
        <f t="shared" ref="I48:I54" si="38">+$B48*F48/1000000</f>
        <v>0</v>
      </c>
      <c r="J48" s="61">
        <f t="shared" ref="J48:J54" si="39">+(B48+B47)/2</f>
        <v>0</v>
      </c>
      <c r="K48" s="967">
        <f t="shared" ref="K48:K54" si="40">+D48</f>
        <v>0</v>
      </c>
      <c r="L48" s="967">
        <f t="shared" ref="L48:L54" si="41">+J48*K48/1000</f>
        <v>0</v>
      </c>
      <c r="M48" s="967">
        <f t="shared" ref="M48:M54" si="42">+M47+L48</f>
        <v>0.06</v>
      </c>
      <c r="N48" s="54">
        <f t="shared" ref="N48:N54" si="43">+B47</f>
        <v>0</v>
      </c>
      <c r="O48" s="968">
        <f t="shared" ref="O48:O54" si="44">+E48</f>
        <v>0</v>
      </c>
      <c r="P48" s="968">
        <f t="shared" ref="P48:P54" si="45">+N48*O48/1000</f>
        <v>0</v>
      </c>
      <c r="Q48" s="969">
        <f t="shared" ref="Q48:Q54" si="46">+Q47+P48</f>
        <v>0.10553</v>
      </c>
      <c r="R48" s="247">
        <f t="shared" ref="R48:R54" si="47">+(B48+B47)/2</f>
        <v>0</v>
      </c>
      <c r="S48" s="24">
        <f t="shared" ref="S48:S54" si="48">+F48</f>
        <v>0</v>
      </c>
      <c r="T48" s="970">
        <f t="shared" ref="T48:T54" si="49">+R48*S48/1000000</f>
        <v>0</v>
      </c>
      <c r="U48" s="971">
        <f t="shared" ref="U48:U54" si="50">+U47+T48</f>
        <v>0.47519999999999996</v>
      </c>
    </row>
    <row r="49" spans="1:21" x14ac:dyDescent="0.2">
      <c r="A49" s="33">
        <f t="shared" si="0"/>
        <v>2036</v>
      </c>
      <c r="B49" s="1036">
        <f t="shared" ref="B49:B54" si="51">B48</f>
        <v>0</v>
      </c>
      <c r="C49" s="565">
        <f t="shared" si="35"/>
        <v>227</v>
      </c>
      <c r="D49" s="1041"/>
      <c r="E49" s="1042"/>
      <c r="F49" s="1043"/>
      <c r="G49" s="473">
        <f t="shared" si="36"/>
        <v>0</v>
      </c>
      <c r="H49" s="474">
        <f t="shared" si="37"/>
        <v>0</v>
      </c>
      <c r="I49" s="474">
        <f t="shared" si="38"/>
        <v>0</v>
      </c>
      <c r="J49" s="61">
        <f t="shared" si="39"/>
        <v>0</v>
      </c>
      <c r="K49" s="967">
        <f t="shared" si="40"/>
        <v>0</v>
      </c>
      <c r="L49" s="967">
        <f t="shared" si="41"/>
        <v>0</v>
      </c>
      <c r="M49" s="967">
        <f t="shared" si="42"/>
        <v>0.06</v>
      </c>
      <c r="N49" s="54">
        <f t="shared" si="43"/>
        <v>0</v>
      </c>
      <c r="O49" s="968">
        <f t="shared" si="44"/>
        <v>0</v>
      </c>
      <c r="P49" s="968">
        <f t="shared" si="45"/>
        <v>0</v>
      </c>
      <c r="Q49" s="969">
        <f t="shared" si="46"/>
        <v>0.10553</v>
      </c>
      <c r="R49" s="247">
        <f t="shared" si="47"/>
        <v>0</v>
      </c>
      <c r="S49" s="24">
        <f t="shared" si="48"/>
        <v>0</v>
      </c>
      <c r="T49" s="970">
        <f t="shared" si="49"/>
        <v>0</v>
      </c>
      <c r="U49" s="971">
        <f t="shared" si="50"/>
        <v>0.47519999999999996</v>
      </c>
    </row>
    <row r="50" spans="1:21" x14ac:dyDescent="0.2">
      <c r="A50" s="33">
        <f t="shared" si="0"/>
        <v>2037</v>
      </c>
      <c r="B50" s="1036">
        <f t="shared" si="51"/>
        <v>0</v>
      </c>
      <c r="C50" s="565">
        <f t="shared" si="35"/>
        <v>227</v>
      </c>
      <c r="D50" s="1041"/>
      <c r="E50" s="1042"/>
      <c r="F50" s="1043"/>
      <c r="G50" s="473">
        <f t="shared" si="36"/>
        <v>0</v>
      </c>
      <c r="H50" s="474">
        <f t="shared" si="37"/>
        <v>0</v>
      </c>
      <c r="I50" s="474">
        <f t="shared" si="38"/>
        <v>0</v>
      </c>
      <c r="J50" s="61">
        <f t="shared" si="39"/>
        <v>0</v>
      </c>
      <c r="K50" s="967">
        <f t="shared" si="40"/>
        <v>0</v>
      </c>
      <c r="L50" s="967">
        <f t="shared" si="41"/>
        <v>0</v>
      </c>
      <c r="M50" s="967">
        <f t="shared" si="42"/>
        <v>0.06</v>
      </c>
      <c r="N50" s="54">
        <f t="shared" si="43"/>
        <v>0</v>
      </c>
      <c r="O50" s="968">
        <f t="shared" si="44"/>
        <v>0</v>
      </c>
      <c r="P50" s="968">
        <f t="shared" si="45"/>
        <v>0</v>
      </c>
      <c r="Q50" s="969">
        <f t="shared" si="46"/>
        <v>0.10553</v>
      </c>
      <c r="R50" s="247">
        <f t="shared" si="47"/>
        <v>0</v>
      </c>
      <c r="S50" s="24">
        <f t="shared" si="48"/>
        <v>0</v>
      </c>
      <c r="T50" s="970">
        <f t="shared" si="49"/>
        <v>0</v>
      </c>
      <c r="U50" s="971">
        <f t="shared" si="50"/>
        <v>0.47519999999999996</v>
      </c>
    </row>
    <row r="51" spans="1:21" x14ac:dyDescent="0.2">
      <c r="A51" s="33">
        <f t="shared" si="0"/>
        <v>2038</v>
      </c>
      <c r="B51" s="1036">
        <f t="shared" si="51"/>
        <v>0</v>
      </c>
      <c r="C51" s="565">
        <f t="shared" si="35"/>
        <v>227</v>
      </c>
      <c r="D51" s="1041"/>
      <c r="E51" s="1042"/>
      <c r="F51" s="1043"/>
      <c r="G51" s="473">
        <f t="shared" si="36"/>
        <v>0</v>
      </c>
      <c r="H51" s="474">
        <f t="shared" si="37"/>
        <v>0</v>
      </c>
      <c r="I51" s="474">
        <f t="shared" si="38"/>
        <v>0</v>
      </c>
      <c r="J51" s="61">
        <f t="shared" si="39"/>
        <v>0</v>
      </c>
      <c r="K51" s="967">
        <f t="shared" si="40"/>
        <v>0</v>
      </c>
      <c r="L51" s="967">
        <f t="shared" si="41"/>
        <v>0</v>
      </c>
      <c r="M51" s="967">
        <f t="shared" si="42"/>
        <v>0.06</v>
      </c>
      <c r="N51" s="54">
        <f t="shared" si="43"/>
        <v>0</v>
      </c>
      <c r="O51" s="968">
        <f t="shared" si="44"/>
        <v>0</v>
      </c>
      <c r="P51" s="968">
        <f t="shared" si="45"/>
        <v>0</v>
      </c>
      <c r="Q51" s="969">
        <f t="shared" si="46"/>
        <v>0.10553</v>
      </c>
      <c r="R51" s="247">
        <f t="shared" si="47"/>
        <v>0</v>
      </c>
      <c r="S51" s="24">
        <f t="shared" si="48"/>
        <v>0</v>
      </c>
      <c r="T51" s="970">
        <f t="shared" si="49"/>
        <v>0</v>
      </c>
      <c r="U51" s="971">
        <f t="shared" si="50"/>
        <v>0.47519999999999996</v>
      </c>
    </row>
    <row r="52" spans="1:21" x14ac:dyDescent="0.2">
      <c r="A52" s="33">
        <f t="shared" si="0"/>
        <v>2039</v>
      </c>
      <c r="B52" s="1036">
        <f t="shared" si="51"/>
        <v>0</v>
      </c>
      <c r="C52" s="565">
        <f t="shared" si="35"/>
        <v>227</v>
      </c>
      <c r="D52" s="1041"/>
      <c r="E52" s="1042"/>
      <c r="F52" s="1043"/>
      <c r="G52" s="473">
        <f t="shared" si="36"/>
        <v>0</v>
      </c>
      <c r="H52" s="474">
        <f t="shared" si="37"/>
        <v>0</v>
      </c>
      <c r="I52" s="474">
        <f t="shared" si="38"/>
        <v>0</v>
      </c>
      <c r="J52" s="61">
        <f t="shared" si="39"/>
        <v>0</v>
      </c>
      <c r="K52" s="967">
        <f t="shared" si="40"/>
        <v>0</v>
      </c>
      <c r="L52" s="967">
        <f t="shared" si="41"/>
        <v>0</v>
      </c>
      <c r="M52" s="967">
        <f t="shared" si="42"/>
        <v>0.06</v>
      </c>
      <c r="N52" s="54">
        <f t="shared" si="43"/>
        <v>0</v>
      </c>
      <c r="O52" s="968">
        <f t="shared" si="44"/>
        <v>0</v>
      </c>
      <c r="P52" s="968">
        <f t="shared" si="45"/>
        <v>0</v>
      </c>
      <c r="Q52" s="969">
        <f t="shared" si="46"/>
        <v>0.10553</v>
      </c>
      <c r="R52" s="247">
        <f t="shared" si="47"/>
        <v>0</v>
      </c>
      <c r="S52" s="24">
        <f t="shared" si="48"/>
        <v>0</v>
      </c>
      <c r="T52" s="970">
        <f t="shared" si="49"/>
        <v>0</v>
      </c>
      <c r="U52" s="971">
        <f t="shared" si="50"/>
        <v>0.47519999999999996</v>
      </c>
    </row>
    <row r="53" spans="1:21" x14ac:dyDescent="0.2">
      <c r="A53" s="33">
        <f t="shared" si="0"/>
        <v>2040</v>
      </c>
      <c r="B53" s="1036">
        <f t="shared" si="51"/>
        <v>0</v>
      </c>
      <c r="C53" s="565">
        <f t="shared" si="35"/>
        <v>227</v>
      </c>
      <c r="D53" s="1041"/>
      <c r="E53" s="1042"/>
      <c r="F53" s="1043"/>
      <c r="G53" s="473">
        <f t="shared" si="36"/>
        <v>0</v>
      </c>
      <c r="H53" s="474">
        <f t="shared" si="37"/>
        <v>0</v>
      </c>
      <c r="I53" s="474">
        <f t="shared" si="38"/>
        <v>0</v>
      </c>
      <c r="J53" s="61">
        <f t="shared" si="39"/>
        <v>0</v>
      </c>
      <c r="K53" s="967">
        <f t="shared" si="40"/>
        <v>0</v>
      </c>
      <c r="L53" s="967">
        <f t="shared" si="41"/>
        <v>0</v>
      </c>
      <c r="M53" s="967">
        <f t="shared" si="42"/>
        <v>0.06</v>
      </c>
      <c r="N53" s="54">
        <f t="shared" si="43"/>
        <v>0</v>
      </c>
      <c r="O53" s="968">
        <f t="shared" si="44"/>
        <v>0</v>
      </c>
      <c r="P53" s="968">
        <f t="shared" si="45"/>
        <v>0</v>
      </c>
      <c r="Q53" s="969">
        <f t="shared" si="46"/>
        <v>0.10553</v>
      </c>
      <c r="R53" s="247">
        <f t="shared" si="47"/>
        <v>0</v>
      </c>
      <c r="S53" s="24">
        <f t="shared" si="48"/>
        <v>0</v>
      </c>
      <c r="T53" s="970">
        <f t="shared" si="49"/>
        <v>0</v>
      </c>
      <c r="U53" s="971">
        <f t="shared" si="50"/>
        <v>0.47519999999999996</v>
      </c>
    </row>
    <row r="54" spans="1:21" x14ac:dyDescent="0.2">
      <c r="A54" s="33">
        <f t="shared" si="0"/>
        <v>2041</v>
      </c>
      <c r="B54" s="1036">
        <f t="shared" si="51"/>
        <v>0</v>
      </c>
      <c r="C54" s="565">
        <f t="shared" si="35"/>
        <v>227</v>
      </c>
      <c r="D54" s="1041"/>
      <c r="E54" s="1042"/>
      <c r="F54" s="1043"/>
      <c r="G54" s="473">
        <f t="shared" si="36"/>
        <v>0</v>
      </c>
      <c r="H54" s="474">
        <f t="shared" si="37"/>
        <v>0</v>
      </c>
      <c r="I54" s="474">
        <f t="shared" si="38"/>
        <v>0</v>
      </c>
      <c r="J54" s="61">
        <f t="shared" si="39"/>
        <v>0</v>
      </c>
      <c r="K54" s="967">
        <f t="shared" si="40"/>
        <v>0</v>
      </c>
      <c r="L54" s="967">
        <f t="shared" si="41"/>
        <v>0</v>
      </c>
      <c r="M54" s="967">
        <f t="shared" si="42"/>
        <v>0.06</v>
      </c>
      <c r="N54" s="54">
        <f t="shared" si="43"/>
        <v>0</v>
      </c>
      <c r="O54" s="968">
        <f t="shared" si="44"/>
        <v>0</v>
      </c>
      <c r="P54" s="968">
        <f t="shared" si="45"/>
        <v>0</v>
      </c>
      <c r="Q54" s="969">
        <f t="shared" si="46"/>
        <v>0.10553</v>
      </c>
      <c r="R54" s="247">
        <f t="shared" si="47"/>
        <v>0</v>
      </c>
      <c r="S54" s="24">
        <f t="shared" si="48"/>
        <v>0</v>
      </c>
      <c r="T54" s="970">
        <f t="shared" si="49"/>
        <v>0</v>
      </c>
      <c r="U54" s="971">
        <f t="shared" si="50"/>
        <v>0.47519999999999996</v>
      </c>
    </row>
    <row r="55" spans="1:21" s="2" customFormat="1" x14ac:dyDescent="0.2">
      <c r="A55" s="491"/>
      <c r="B55" s="498"/>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X59"/>
  <sheetViews>
    <sheetView topLeftCell="A15" workbookViewId="0">
      <selection activeCell="R59" sqref="R59"/>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334</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32"/>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32"/>
      <c r="D7" s="628"/>
      <c r="E7" s="15"/>
      <c r="F7" s="31"/>
      <c r="G7" s="208"/>
      <c r="H7" s="15"/>
      <c r="I7" s="31"/>
      <c r="J7" s="37"/>
      <c r="K7" s="59"/>
      <c r="L7" s="6"/>
      <c r="M7" s="46"/>
      <c r="N7" s="40"/>
      <c r="O7" s="55"/>
      <c r="P7" s="57"/>
      <c r="Q7" s="41"/>
      <c r="R7" s="43"/>
      <c r="S7" s="24"/>
      <c r="T7" s="21"/>
      <c r="U7" s="47"/>
      <c r="V7" s="3"/>
    </row>
    <row r="8" spans="1:24" x14ac:dyDescent="0.2">
      <c r="A8" s="33">
        <v>1995</v>
      </c>
      <c r="B8" s="30"/>
      <c r="C8" s="565"/>
      <c r="D8" s="642"/>
      <c r="E8" s="63"/>
      <c r="F8" s="641"/>
      <c r="G8" s="643"/>
      <c r="H8" s="87"/>
      <c r="I8" s="88"/>
      <c r="J8" s="61"/>
      <c r="K8" s="59"/>
      <c r="L8" s="59"/>
      <c r="M8" s="60"/>
      <c r="N8" s="51"/>
      <c r="O8" s="55"/>
      <c r="P8" s="55"/>
      <c r="Q8" s="56"/>
      <c r="R8" s="247"/>
      <c r="S8" s="24"/>
      <c r="T8" s="25"/>
      <c r="U8" s="53"/>
      <c r="V8" s="248"/>
      <c r="X8" s="1"/>
    </row>
    <row r="9" spans="1:24" x14ac:dyDescent="0.2">
      <c r="A9" s="33">
        <v>1996</v>
      </c>
      <c r="B9" s="30"/>
      <c r="C9" s="565"/>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565"/>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565"/>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565"/>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565"/>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565"/>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565"/>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565"/>
      <c r="D16" s="642"/>
      <c r="E16" s="63"/>
      <c r="F16" s="641"/>
      <c r="G16" s="616"/>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565"/>
      <c r="D17" s="642"/>
      <c r="E17" s="63"/>
      <c r="F17" s="641"/>
      <c r="G17" s="616"/>
      <c r="H17" s="62"/>
      <c r="I17" s="67"/>
      <c r="J17" s="61"/>
      <c r="K17" s="59"/>
      <c r="L17" s="59"/>
      <c r="M17" s="60"/>
      <c r="N17" s="54"/>
      <c r="O17" s="55"/>
      <c r="P17" s="55"/>
      <c r="Q17" s="56"/>
      <c r="R17" s="247"/>
      <c r="S17" s="24"/>
      <c r="T17" s="25"/>
      <c r="U17" s="53"/>
      <c r="V17" s="248"/>
      <c r="X17" s="1"/>
    </row>
    <row r="18" spans="1:24" x14ac:dyDescent="0.2">
      <c r="A18" s="33">
        <f t="shared" si="0"/>
        <v>2005</v>
      </c>
      <c r="B18" s="30"/>
      <c r="C18" s="565"/>
      <c r="D18" s="642"/>
      <c r="E18" s="63"/>
      <c r="F18" s="641"/>
      <c r="G18" s="616"/>
      <c r="H18" s="62"/>
      <c r="I18" s="67"/>
      <c r="J18" s="61"/>
      <c r="K18" s="59"/>
      <c r="L18" s="59"/>
      <c r="M18" s="60"/>
      <c r="N18" s="54"/>
      <c r="O18" s="55"/>
      <c r="P18" s="55"/>
      <c r="Q18" s="56"/>
      <c r="R18" s="247"/>
      <c r="S18" s="24"/>
      <c r="T18" s="25"/>
      <c r="U18" s="53"/>
      <c r="V18" s="248"/>
      <c r="X18" s="1"/>
    </row>
    <row r="19" spans="1:24" x14ac:dyDescent="0.2">
      <c r="A19" s="33">
        <f t="shared" si="0"/>
        <v>2006</v>
      </c>
      <c r="B19" s="30"/>
      <c r="C19" s="565"/>
      <c r="D19" s="642"/>
      <c r="E19" s="63"/>
      <c r="F19" s="641"/>
      <c r="G19" s="616"/>
      <c r="H19" s="62"/>
      <c r="I19" s="67"/>
      <c r="J19" s="61"/>
      <c r="K19" s="59"/>
      <c r="L19" s="59"/>
      <c r="M19" s="60"/>
      <c r="N19" s="54"/>
      <c r="O19" s="55"/>
      <c r="P19" s="55"/>
      <c r="Q19" s="56"/>
      <c r="R19" s="247"/>
      <c r="S19" s="24"/>
      <c r="T19" s="25"/>
      <c r="U19" s="53"/>
      <c r="V19" s="804"/>
      <c r="X19" s="1"/>
    </row>
    <row r="20" spans="1:24" x14ac:dyDescent="0.2">
      <c r="A20" s="33">
        <f t="shared" si="0"/>
        <v>2007</v>
      </c>
      <c r="B20" s="30"/>
      <c r="C20" s="565"/>
      <c r="D20" s="642"/>
      <c r="E20" s="63"/>
      <c r="F20" s="641"/>
      <c r="G20" s="616"/>
      <c r="H20" s="62"/>
      <c r="I20" s="62"/>
      <c r="J20" s="61"/>
      <c r="K20" s="59"/>
      <c r="L20" s="59"/>
      <c r="M20" s="60"/>
      <c r="N20" s="54"/>
      <c r="O20" s="55"/>
      <c r="P20" s="55"/>
      <c r="Q20" s="56"/>
      <c r="R20" s="247"/>
      <c r="S20" s="24"/>
      <c r="T20" s="25"/>
      <c r="U20" s="53"/>
    </row>
    <row r="21" spans="1:24" x14ac:dyDescent="0.2">
      <c r="A21" s="33">
        <f t="shared" si="0"/>
        <v>2008</v>
      </c>
      <c r="B21" s="30"/>
      <c r="C21" s="565"/>
      <c r="D21" s="642"/>
      <c r="E21" s="63"/>
      <c r="F21" s="641"/>
      <c r="G21" s="616"/>
      <c r="H21" s="62"/>
      <c r="I21" s="67"/>
      <c r="J21" s="61"/>
      <c r="K21" s="59"/>
      <c r="L21" s="59"/>
      <c r="M21" s="60"/>
      <c r="N21" s="54"/>
      <c r="O21" s="55"/>
      <c r="P21" s="55"/>
      <c r="Q21" s="56"/>
      <c r="R21" s="247"/>
      <c r="S21" s="24"/>
      <c r="T21" s="25"/>
      <c r="U21" s="53"/>
    </row>
    <row r="22" spans="1:24" x14ac:dyDescent="0.2">
      <c r="A22" s="33">
        <f t="shared" si="0"/>
        <v>2009</v>
      </c>
      <c r="B22" s="30"/>
      <c r="C22" s="565"/>
      <c r="D22" s="642">
        <v>0</v>
      </c>
      <c r="E22" s="63">
        <v>0</v>
      </c>
      <c r="F22" s="641">
        <v>0</v>
      </c>
      <c r="G22" s="616"/>
      <c r="H22" s="62"/>
      <c r="I22" s="67"/>
      <c r="J22" s="61"/>
      <c r="K22" s="59"/>
      <c r="L22" s="59"/>
      <c r="M22" s="60"/>
      <c r="N22" s="54"/>
      <c r="O22" s="55"/>
      <c r="P22" s="55"/>
      <c r="Q22" s="56"/>
      <c r="R22" s="247"/>
      <c r="S22" s="24"/>
      <c r="T22" s="25"/>
      <c r="U22" s="53"/>
    </row>
    <row r="23" spans="1:24" x14ac:dyDescent="0.2">
      <c r="A23" s="33">
        <f t="shared" si="0"/>
        <v>2010</v>
      </c>
      <c r="B23" s="50">
        <v>0</v>
      </c>
      <c r="C23" s="633">
        <f t="shared" ref="C23:C39" si="1">+C22+B23</f>
        <v>0</v>
      </c>
      <c r="D23" s="30">
        <f t="shared" ref="D23:F28" si="2">+D22</f>
        <v>0</v>
      </c>
      <c r="E23" s="210">
        <f t="shared" si="2"/>
        <v>0</v>
      </c>
      <c r="F23" s="806">
        <f t="shared" si="2"/>
        <v>0</v>
      </c>
      <c r="G23" s="626">
        <f t="shared" ref="G23:H39" si="3">+$B23*D23/1000</f>
        <v>0</v>
      </c>
      <c r="H23" s="72">
        <f t="shared" si="3"/>
        <v>0</v>
      </c>
      <c r="I23" s="72">
        <f t="shared" ref="I23:I39" si="4">+$B23*F23/1000000</f>
        <v>0</v>
      </c>
      <c r="J23" s="61">
        <f t="shared" ref="J23:J39" si="5">+(B23+B22)/2</f>
        <v>0</v>
      </c>
      <c r="K23" s="651">
        <f t="shared" ref="K23:K39" si="6">+D23</f>
        <v>0</v>
      </c>
      <c r="L23" s="651">
        <f t="shared" ref="L23:L39" si="7">+J23*K23/1000</f>
        <v>0</v>
      </c>
      <c r="M23" s="652">
        <f t="shared" ref="M23:M39" si="8">+M22+L23</f>
        <v>0</v>
      </c>
      <c r="N23" s="54">
        <f t="shared" ref="N23:N39" si="9">+B22</f>
        <v>0</v>
      </c>
      <c r="O23" s="597">
        <f t="shared" ref="O23:O39" si="10">+E23</f>
        <v>0</v>
      </c>
      <c r="P23" s="597">
        <f t="shared" ref="P23:P39" si="11">+N23*O23/1000</f>
        <v>0</v>
      </c>
      <c r="Q23" s="653">
        <f t="shared" ref="Q23:Q39" si="12">+Q22+P23</f>
        <v>0</v>
      </c>
      <c r="R23" s="247">
        <f t="shared" ref="R23:R38" si="13">+(B23+B22)/2</f>
        <v>0</v>
      </c>
      <c r="S23" s="24">
        <f t="shared" ref="S23:S38" si="14">+F23</f>
        <v>0</v>
      </c>
      <c r="T23" s="25">
        <f t="shared" ref="T23:T38" si="15">+R23*S23/1000000</f>
        <v>0</v>
      </c>
      <c r="U23" s="654">
        <f t="shared" ref="U23:U39" si="16">+U22+T23</f>
        <v>0</v>
      </c>
    </row>
    <row r="24" spans="1:24" x14ac:dyDescent="0.2">
      <c r="A24" s="33">
        <f t="shared" si="0"/>
        <v>2011</v>
      </c>
      <c r="B24" s="30">
        <v>1</v>
      </c>
      <c r="C24" s="633">
        <f t="shared" si="1"/>
        <v>1</v>
      </c>
      <c r="D24" s="807">
        <v>5.6</v>
      </c>
      <c r="E24" s="210">
        <f t="shared" si="2"/>
        <v>0</v>
      </c>
      <c r="F24" s="806">
        <v>15768</v>
      </c>
      <c r="G24" s="626">
        <f t="shared" si="3"/>
        <v>5.5999999999999999E-3</v>
      </c>
      <c r="H24" s="72">
        <f t="shared" si="3"/>
        <v>0</v>
      </c>
      <c r="I24" s="72">
        <f t="shared" si="4"/>
        <v>1.5768000000000001E-2</v>
      </c>
      <c r="J24" s="61">
        <f t="shared" si="5"/>
        <v>0.5</v>
      </c>
      <c r="K24" s="651">
        <f t="shared" si="6"/>
        <v>5.6</v>
      </c>
      <c r="L24" s="651">
        <f t="shared" si="7"/>
        <v>2.8E-3</v>
      </c>
      <c r="M24" s="652">
        <f t="shared" si="8"/>
        <v>2.8E-3</v>
      </c>
      <c r="N24" s="54">
        <f t="shared" si="9"/>
        <v>0</v>
      </c>
      <c r="O24" s="597">
        <f t="shared" si="10"/>
        <v>0</v>
      </c>
      <c r="P24" s="597">
        <f t="shared" si="11"/>
        <v>0</v>
      </c>
      <c r="Q24" s="653">
        <f t="shared" si="12"/>
        <v>0</v>
      </c>
      <c r="R24" s="247">
        <f t="shared" si="13"/>
        <v>0.5</v>
      </c>
      <c r="S24" s="24">
        <f t="shared" si="14"/>
        <v>15768</v>
      </c>
      <c r="T24" s="25">
        <f t="shared" si="15"/>
        <v>7.8840000000000004E-3</v>
      </c>
      <c r="U24" s="654">
        <f t="shared" si="16"/>
        <v>7.8840000000000004E-3</v>
      </c>
    </row>
    <row r="25" spans="1:24" x14ac:dyDescent="0.2">
      <c r="A25" s="33">
        <f t="shared" si="0"/>
        <v>2012</v>
      </c>
      <c r="B25" s="30">
        <v>1</v>
      </c>
      <c r="C25" s="633">
        <f t="shared" si="1"/>
        <v>2</v>
      </c>
      <c r="D25" s="807">
        <f t="shared" si="2"/>
        <v>5.6</v>
      </c>
      <c r="E25" s="210">
        <f t="shared" si="2"/>
        <v>0</v>
      </c>
      <c r="F25" s="806">
        <f t="shared" si="2"/>
        <v>15768</v>
      </c>
      <c r="G25" s="626">
        <f t="shared" si="3"/>
        <v>5.5999999999999999E-3</v>
      </c>
      <c r="H25" s="72">
        <f t="shared" si="3"/>
        <v>0</v>
      </c>
      <c r="I25" s="72">
        <f t="shared" si="4"/>
        <v>1.5768000000000001E-2</v>
      </c>
      <c r="J25" s="61">
        <f t="shared" si="5"/>
        <v>1</v>
      </c>
      <c r="K25" s="651">
        <f t="shared" si="6"/>
        <v>5.6</v>
      </c>
      <c r="L25" s="651">
        <f t="shared" si="7"/>
        <v>5.5999999999999999E-3</v>
      </c>
      <c r="M25" s="652">
        <f t="shared" si="8"/>
        <v>8.3999999999999995E-3</v>
      </c>
      <c r="N25" s="54">
        <f t="shared" si="9"/>
        <v>1</v>
      </c>
      <c r="O25" s="597">
        <f t="shared" si="10"/>
        <v>0</v>
      </c>
      <c r="P25" s="597">
        <f t="shared" si="11"/>
        <v>0</v>
      </c>
      <c r="Q25" s="653">
        <f t="shared" si="12"/>
        <v>0</v>
      </c>
      <c r="R25" s="247">
        <f t="shared" si="13"/>
        <v>1</v>
      </c>
      <c r="S25" s="24">
        <f t="shared" si="14"/>
        <v>15768</v>
      </c>
      <c r="T25" s="25">
        <f t="shared" si="15"/>
        <v>1.5768000000000001E-2</v>
      </c>
      <c r="U25" s="654">
        <f t="shared" si="16"/>
        <v>2.3651999999999999E-2</v>
      </c>
    </row>
    <row r="26" spans="1:24" x14ac:dyDescent="0.2">
      <c r="A26" s="33">
        <f t="shared" si="0"/>
        <v>2013</v>
      </c>
      <c r="B26" s="30">
        <v>1</v>
      </c>
      <c r="C26" s="633">
        <f t="shared" si="1"/>
        <v>3</v>
      </c>
      <c r="D26" s="807">
        <f t="shared" si="2"/>
        <v>5.6</v>
      </c>
      <c r="E26" s="210">
        <f t="shared" si="2"/>
        <v>0</v>
      </c>
      <c r="F26" s="806">
        <f t="shared" si="2"/>
        <v>15768</v>
      </c>
      <c r="G26" s="626">
        <f t="shared" si="3"/>
        <v>5.5999999999999999E-3</v>
      </c>
      <c r="H26" s="72">
        <f t="shared" si="3"/>
        <v>0</v>
      </c>
      <c r="I26" s="72">
        <f t="shared" si="4"/>
        <v>1.5768000000000001E-2</v>
      </c>
      <c r="J26" s="61">
        <f t="shared" si="5"/>
        <v>1</v>
      </c>
      <c r="K26" s="651">
        <f t="shared" si="6"/>
        <v>5.6</v>
      </c>
      <c r="L26" s="651">
        <f t="shared" si="7"/>
        <v>5.5999999999999999E-3</v>
      </c>
      <c r="M26" s="652">
        <f t="shared" si="8"/>
        <v>1.3999999999999999E-2</v>
      </c>
      <c r="N26" s="54">
        <f t="shared" si="9"/>
        <v>1</v>
      </c>
      <c r="O26" s="597">
        <f t="shared" si="10"/>
        <v>0</v>
      </c>
      <c r="P26" s="597">
        <f t="shared" si="11"/>
        <v>0</v>
      </c>
      <c r="Q26" s="653">
        <f t="shared" si="12"/>
        <v>0</v>
      </c>
      <c r="R26" s="247">
        <f t="shared" si="13"/>
        <v>1</v>
      </c>
      <c r="S26" s="24">
        <f t="shared" si="14"/>
        <v>15768</v>
      </c>
      <c r="T26" s="25">
        <f t="shared" si="15"/>
        <v>1.5768000000000001E-2</v>
      </c>
      <c r="U26" s="654">
        <f t="shared" si="16"/>
        <v>3.9419999999999997E-2</v>
      </c>
    </row>
    <row r="27" spans="1:24" x14ac:dyDescent="0.2">
      <c r="A27" s="33">
        <f t="shared" si="0"/>
        <v>2014</v>
      </c>
      <c r="B27" s="30">
        <v>1</v>
      </c>
      <c r="C27" s="633">
        <f t="shared" si="1"/>
        <v>4</v>
      </c>
      <c r="D27" s="807">
        <f t="shared" si="2"/>
        <v>5.6</v>
      </c>
      <c r="E27" s="210">
        <f t="shared" si="2"/>
        <v>0</v>
      </c>
      <c r="F27" s="806">
        <f t="shared" si="2"/>
        <v>15768</v>
      </c>
      <c r="G27" s="626">
        <f t="shared" si="3"/>
        <v>5.5999999999999999E-3</v>
      </c>
      <c r="H27" s="72">
        <f t="shared" si="3"/>
        <v>0</v>
      </c>
      <c r="I27" s="72">
        <f t="shared" si="4"/>
        <v>1.5768000000000001E-2</v>
      </c>
      <c r="J27" s="61">
        <f t="shared" si="5"/>
        <v>1</v>
      </c>
      <c r="K27" s="651">
        <f t="shared" si="6"/>
        <v>5.6</v>
      </c>
      <c r="L27" s="651">
        <f t="shared" si="7"/>
        <v>5.5999999999999999E-3</v>
      </c>
      <c r="M27" s="652">
        <f t="shared" si="8"/>
        <v>1.9599999999999999E-2</v>
      </c>
      <c r="N27" s="54">
        <f t="shared" si="9"/>
        <v>1</v>
      </c>
      <c r="O27" s="597">
        <f t="shared" si="10"/>
        <v>0</v>
      </c>
      <c r="P27" s="597">
        <f t="shared" si="11"/>
        <v>0</v>
      </c>
      <c r="Q27" s="653">
        <f t="shared" si="12"/>
        <v>0</v>
      </c>
      <c r="R27" s="247">
        <f t="shared" si="13"/>
        <v>1</v>
      </c>
      <c r="S27" s="24">
        <f t="shared" si="14"/>
        <v>15768</v>
      </c>
      <c r="T27" s="25">
        <f t="shared" si="15"/>
        <v>1.5768000000000001E-2</v>
      </c>
      <c r="U27" s="654">
        <f t="shared" si="16"/>
        <v>5.5188000000000001E-2</v>
      </c>
    </row>
    <row r="28" spans="1:24" ht="13.5" thickBot="1" x14ac:dyDescent="0.25">
      <c r="A28" s="701">
        <f t="shared" si="0"/>
        <v>2015</v>
      </c>
      <c r="B28" s="702">
        <v>1</v>
      </c>
      <c r="C28" s="893">
        <f t="shared" si="1"/>
        <v>5</v>
      </c>
      <c r="D28" s="835">
        <f t="shared" si="2"/>
        <v>5.6</v>
      </c>
      <c r="E28" s="704">
        <f t="shared" si="2"/>
        <v>0</v>
      </c>
      <c r="F28" s="705">
        <f t="shared" si="2"/>
        <v>15768</v>
      </c>
      <c r="G28" s="823">
        <f t="shared" si="3"/>
        <v>5.5999999999999999E-3</v>
      </c>
      <c r="H28" s="707">
        <f t="shared" si="3"/>
        <v>0</v>
      </c>
      <c r="I28" s="707">
        <f t="shared" si="4"/>
        <v>1.5768000000000001E-2</v>
      </c>
      <c r="J28" s="708">
        <f t="shared" si="5"/>
        <v>1</v>
      </c>
      <c r="K28" s="709">
        <f t="shared" si="6"/>
        <v>5.6</v>
      </c>
      <c r="L28" s="709">
        <f t="shared" si="7"/>
        <v>5.5999999999999999E-3</v>
      </c>
      <c r="M28" s="710">
        <f t="shared" si="8"/>
        <v>2.52E-2</v>
      </c>
      <c r="N28" s="711">
        <f t="shared" si="9"/>
        <v>1</v>
      </c>
      <c r="O28" s="712">
        <f t="shared" si="10"/>
        <v>0</v>
      </c>
      <c r="P28" s="712">
        <f t="shared" si="11"/>
        <v>0</v>
      </c>
      <c r="Q28" s="713">
        <f t="shared" si="12"/>
        <v>0</v>
      </c>
      <c r="R28" s="714">
        <f t="shared" si="13"/>
        <v>1</v>
      </c>
      <c r="S28" s="715">
        <f t="shared" si="14"/>
        <v>15768</v>
      </c>
      <c r="T28" s="716">
        <f t="shared" si="15"/>
        <v>1.5768000000000001E-2</v>
      </c>
      <c r="U28" s="717">
        <f t="shared" si="16"/>
        <v>7.0956000000000005E-2</v>
      </c>
    </row>
    <row r="29" spans="1:24" x14ac:dyDescent="0.2">
      <c r="A29" s="33">
        <f t="shared" si="0"/>
        <v>2016</v>
      </c>
      <c r="B29" s="1039">
        <v>0</v>
      </c>
      <c r="C29" s="565">
        <f t="shared" si="1"/>
        <v>5</v>
      </c>
      <c r="D29" s="1041"/>
      <c r="E29" s="1042"/>
      <c r="F29" s="1043"/>
      <c r="G29" s="473">
        <f t="shared" si="3"/>
        <v>0</v>
      </c>
      <c r="H29" s="474">
        <f t="shared" si="3"/>
        <v>0</v>
      </c>
      <c r="I29" s="474">
        <f t="shared" si="4"/>
        <v>0</v>
      </c>
      <c r="J29" s="61">
        <f t="shared" si="5"/>
        <v>0.5</v>
      </c>
      <c r="K29" s="967">
        <f t="shared" si="6"/>
        <v>0</v>
      </c>
      <c r="L29" s="967">
        <f t="shared" si="7"/>
        <v>0</v>
      </c>
      <c r="M29" s="967">
        <f t="shared" si="8"/>
        <v>2.52E-2</v>
      </c>
      <c r="N29" s="54">
        <f t="shared" si="9"/>
        <v>1</v>
      </c>
      <c r="O29" s="968">
        <f t="shared" si="10"/>
        <v>0</v>
      </c>
      <c r="P29" s="968">
        <f t="shared" si="11"/>
        <v>0</v>
      </c>
      <c r="Q29" s="969">
        <f t="shared" si="12"/>
        <v>0</v>
      </c>
      <c r="R29" s="247">
        <f t="shared" si="13"/>
        <v>0.5</v>
      </c>
      <c r="S29" s="24">
        <f t="shared" si="14"/>
        <v>0</v>
      </c>
      <c r="T29" s="970">
        <f t="shared" si="15"/>
        <v>0</v>
      </c>
      <c r="U29" s="971">
        <f t="shared" si="16"/>
        <v>7.0956000000000005E-2</v>
      </c>
    </row>
    <row r="30" spans="1:24" x14ac:dyDescent="0.2">
      <c r="A30" s="33">
        <f t="shared" si="0"/>
        <v>2017</v>
      </c>
      <c r="B30" s="1039">
        <v>0</v>
      </c>
      <c r="C30" s="565">
        <f t="shared" si="1"/>
        <v>5</v>
      </c>
      <c r="D30" s="1041"/>
      <c r="E30" s="1042"/>
      <c r="F30" s="1043"/>
      <c r="G30" s="473">
        <f t="shared" si="3"/>
        <v>0</v>
      </c>
      <c r="H30" s="474">
        <f t="shared" si="3"/>
        <v>0</v>
      </c>
      <c r="I30" s="474">
        <f t="shared" si="4"/>
        <v>0</v>
      </c>
      <c r="J30" s="61">
        <f t="shared" si="5"/>
        <v>0</v>
      </c>
      <c r="K30" s="967">
        <f t="shared" si="6"/>
        <v>0</v>
      </c>
      <c r="L30" s="967">
        <f t="shared" si="7"/>
        <v>0</v>
      </c>
      <c r="M30" s="967">
        <f t="shared" si="8"/>
        <v>2.52E-2</v>
      </c>
      <c r="N30" s="54">
        <f t="shared" si="9"/>
        <v>0</v>
      </c>
      <c r="O30" s="968">
        <f t="shared" si="10"/>
        <v>0</v>
      </c>
      <c r="P30" s="968">
        <f t="shared" si="11"/>
        <v>0</v>
      </c>
      <c r="Q30" s="969">
        <f t="shared" si="12"/>
        <v>0</v>
      </c>
      <c r="R30" s="247">
        <f t="shared" si="13"/>
        <v>0</v>
      </c>
      <c r="S30" s="24">
        <f t="shared" si="14"/>
        <v>0</v>
      </c>
      <c r="T30" s="970">
        <f t="shared" si="15"/>
        <v>0</v>
      </c>
      <c r="U30" s="971">
        <f t="shared" si="16"/>
        <v>7.0956000000000005E-2</v>
      </c>
    </row>
    <row r="31" spans="1:24" x14ac:dyDescent="0.2">
      <c r="A31" s="33">
        <f t="shared" si="0"/>
        <v>2018</v>
      </c>
      <c r="B31" s="1039">
        <v>0</v>
      </c>
      <c r="C31" s="565">
        <f t="shared" si="1"/>
        <v>5</v>
      </c>
      <c r="D31" s="1041"/>
      <c r="E31" s="1042"/>
      <c r="F31" s="1043"/>
      <c r="G31" s="473">
        <f t="shared" si="3"/>
        <v>0</v>
      </c>
      <c r="H31" s="474">
        <f t="shared" si="3"/>
        <v>0</v>
      </c>
      <c r="I31" s="474">
        <f t="shared" si="4"/>
        <v>0</v>
      </c>
      <c r="J31" s="61">
        <f t="shared" si="5"/>
        <v>0</v>
      </c>
      <c r="K31" s="967">
        <f t="shared" si="6"/>
        <v>0</v>
      </c>
      <c r="L31" s="967">
        <f t="shared" si="7"/>
        <v>0</v>
      </c>
      <c r="M31" s="967">
        <f t="shared" si="8"/>
        <v>2.52E-2</v>
      </c>
      <c r="N31" s="54">
        <f t="shared" si="9"/>
        <v>0</v>
      </c>
      <c r="O31" s="968">
        <f t="shared" si="10"/>
        <v>0</v>
      </c>
      <c r="P31" s="968">
        <f t="shared" si="11"/>
        <v>0</v>
      </c>
      <c r="Q31" s="969">
        <f t="shared" si="12"/>
        <v>0</v>
      </c>
      <c r="R31" s="247">
        <f t="shared" si="13"/>
        <v>0</v>
      </c>
      <c r="S31" s="24">
        <f t="shared" si="14"/>
        <v>0</v>
      </c>
      <c r="T31" s="970">
        <f t="shared" si="15"/>
        <v>0</v>
      </c>
      <c r="U31" s="971">
        <f t="shared" si="16"/>
        <v>7.0956000000000005E-2</v>
      </c>
    </row>
    <row r="32" spans="1:24" x14ac:dyDescent="0.2">
      <c r="A32" s="33">
        <f t="shared" si="0"/>
        <v>2019</v>
      </c>
      <c r="B32" s="1039">
        <v>0</v>
      </c>
      <c r="C32" s="565">
        <f t="shared" si="1"/>
        <v>5</v>
      </c>
      <c r="D32" s="1041"/>
      <c r="E32" s="1042"/>
      <c r="F32" s="1043"/>
      <c r="G32" s="473">
        <f t="shared" si="3"/>
        <v>0</v>
      </c>
      <c r="H32" s="474">
        <f t="shared" si="3"/>
        <v>0</v>
      </c>
      <c r="I32" s="474">
        <f t="shared" si="4"/>
        <v>0</v>
      </c>
      <c r="J32" s="61">
        <f t="shared" si="5"/>
        <v>0</v>
      </c>
      <c r="K32" s="967">
        <f t="shared" si="6"/>
        <v>0</v>
      </c>
      <c r="L32" s="967">
        <f t="shared" si="7"/>
        <v>0</v>
      </c>
      <c r="M32" s="967">
        <f t="shared" si="8"/>
        <v>2.52E-2</v>
      </c>
      <c r="N32" s="54">
        <f t="shared" si="9"/>
        <v>0</v>
      </c>
      <c r="O32" s="968">
        <f t="shared" si="10"/>
        <v>0</v>
      </c>
      <c r="P32" s="968">
        <f t="shared" si="11"/>
        <v>0</v>
      </c>
      <c r="Q32" s="969">
        <f t="shared" si="12"/>
        <v>0</v>
      </c>
      <c r="R32" s="247">
        <f t="shared" si="13"/>
        <v>0</v>
      </c>
      <c r="S32" s="24">
        <f t="shared" si="14"/>
        <v>0</v>
      </c>
      <c r="T32" s="970">
        <f t="shared" si="15"/>
        <v>0</v>
      </c>
      <c r="U32" s="971">
        <f t="shared" si="16"/>
        <v>7.0956000000000005E-2</v>
      </c>
    </row>
    <row r="33" spans="1:21" x14ac:dyDescent="0.2">
      <c r="A33" s="33">
        <f t="shared" si="0"/>
        <v>2020</v>
      </c>
      <c r="B33" s="1044">
        <v>0</v>
      </c>
      <c r="C33" s="565">
        <f t="shared" si="1"/>
        <v>5</v>
      </c>
      <c r="D33" s="1041"/>
      <c r="E33" s="1042"/>
      <c r="F33" s="1043"/>
      <c r="G33" s="473">
        <f t="shared" si="3"/>
        <v>0</v>
      </c>
      <c r="H33" s="474">
        <f t="shared" si="3"/>
        <v>0</v>
      </c>
      <c r="I33" s="474">
        <f t="shared" si="4"/>
        <v>0</v>
      </c>
      <c r="J33" s="61">
        <f t="shared" si="5"/>
        <v>0</v>
      </c>
      <c r="K33" s="967">
        <f t="shared" si="6"/>
        <v>0</v>
      </c>
      <c r="L33" s="967">
        <f t="shared" si="7"/>
        <v>0</v>
      </c>
      <c r="M33" s="967">
        <f t="shared" si="8"/>
        <v>2.52E-2</v>
      </c>
      <c r="N33" s="54">
        <f t="shared" si="9"/>
        <v>0</v>
      </c>
      <c r="O33" s="968">
        <f t="shared" si="10"/>
        <v>0</v>
      </c>
      <c r="P33" s="968">
        <f t="shared" si="11"/>
        <v>0</v>
      </c>
      <c r="Q33" s="969">
        <f t="shared" si="12"/>
        <v>0</v>
      </c>
      <c r="R33" s="247">
        <f t="shared" si="13"/>
        <v>0</v>
      </c>
      <c r="S33" s="24">
        <f t="shared" si="14"/>
        <v>0</v>
      </c>
      <c r="T33" s="970">
        <f t="shared" si="15"/>
        <v>0</v>
      </c>
      <c r="U33" s="971">
        <f t="shared" si="16"/>
        <v>7.0956000000000005E-2</v>
      </c>
    </row>
    <row r="34" spans="1:21" x14ac:dyDescent="0.2">
      <c r="A34" s="33">
        <f t="shared" si="0"/>
        <v>2021</v>
      </c>
      <c r="B34" s="1044">
        <v>0</v>
      </c>
      <c r="C34" s="565">
        <f t="shared" si="1"/>
        <v>5</v>
      </c>
      <c r="D34" s="1041"/>
      <c r="E34" s="1042"/>
      <c r="F34" s="1043"/>
      <c r="G34" s="473">
        <f t="shared" si="3"/>
        <v>0</v>
      </c>
      <c r="H34" s="474">
        <f t="shared" si="3"/>
        <v>0</v>
      </c>
      <c r="I34" s="474">
        <f t="shared" si="4"/>
        <v>0</v>
      </c>
      <c r="J34" s="61">
        <f t="shared" si="5"/>
        <v>0</v>
      </c>
      <c r="K34" s="967">
        <f t="shared" si="6"/>
        <v>0</v>
      </c>
      <c r="L34" s="967">
        <f t="shared" si="7"/>
        <v>0</v>
      </c>
      <c r="M34" s="967">
        <f t="shared" si="8"/>
        <v>2.52E-2</v>
      </c>
      <c r="N34" s="54">
        <f t="shared" si="9"/>
        <v>0</v>
      </c>
      <c r="O34" s="968">
        <f t="shared" si="10"/>
        <v>0</v>
      </c>
      <c r="P34" s="968">
        <f t="shared" si="11"/>
        <v>0</v>
      </c>
      <c r="Q34" s="969">
        <f t="shared" si="12"/>
        <v>0</v>
      </c>
      <c r="R34" s="247">
        <f t="shared" si="13"/>
        <v>0</v>
      </c>
      <c r="S34" s="24">
        <f t="shared" si="14"/>
        <v>0</v>
      </c>
      <c r="T34" s="970">
        <f t="shared" si="15"/>
        <v>0</v>
      </c>
      <c r="U34" s="971">
        <f t="shared" si="16"/>
        <v>7.0956000000000005E-2</v>
      </c>
    </row>
    <row r="35" spans="1:21" x14ac:dyDescent="0.2">
      <c r="A35" s="33">
        <f t="shared" si="0"/>
        <v>2022</v>
      </c>
      <c r="B35" s="1036">
        <v>0</v>
      </c>
      <c r="C35" s="565">
        <f t="shared" si="1"/>
        <v>5</v>
      </c>
      <c r="D35" s="1041"/>
      <c r="E35" s="1042"/>
      <c r="F35" s="1043"/>
      <c r="G35" s="473">
        <f t="shared" si="3"/>
        <v>0</v>
      </c>
      <c r="H35" s="474">
        <f t="shared" si="3"/>
        <v>0</v>
      </c>
      <c r="I35" s="474">
        <f t="shared" si="4"/>
        <v>0</v>
      </c>
      <c r="J35" s="61">
        <f t="shared" si="5"/>
        <v>0</v>
      </c>
      <c r="K35" s="967">
        <f t="shared" si="6"/>
        <v>0</v>
      </c>
      <c r="L35" s="967">
        <f t="shared" si="7"/>
        <v>0</v>
      </c>
      <c r="M35" s="967">
        <f t="shared" si="8"/>
        <v>2.52E-2</v>
      </c>
      <c r="N35" s="54">
        <f t="shared" si="9"/>
        <v>0</v>
      </c>
      <c r="O35" s="968">
        <f t="shared" si="10"/>
        <v>0</v>
      </c>
      <c r="P35" s="968">
        <f t="shared" si="11"/>
        <v>0</v>
      </c>
      <c r="Q35" s="969">
        <f t="shared" si="12"/>
        <v>0</v>
      </c>
      <c r="R35" s="247">
        <f t="shared" si="13"/>
        <v>0</v>
      </c>
      <c r="S35" s="24">
        <f t="shared" si="14"/>
        <v>0</v>
      </c>
      <c r="T35" s="970">
        <f t="shared" si="15"/>
        <v>0</v>
      </c>
      <c r="U35" s="971">
        <f t="shared" si="16"/>
        <v>7.0956000000000005E-2</v>
      </c>
    </row>
    <row r="36" spans="1:21" x14ac:dyDescent="0.2">
      <c r="A36" s="33">
        <f t="shared" si="0"/>
        <v>2023</v>
      </c>
      <c r="B36" s="1036">
        <v>0</v>
      </c>
      <c r="C36" s="565">
        <f t="shared" si="1"/>
        <v>5</v>
      </c>
      <c r="D36" s="1041"/>
      <c r="E36" s="1042"/>
      <c r="F36" s="1043"/>
      <c r="G36" s="473">
        <f t="shared" si="3"/>
        <v>0</v>
      </c>
      <c r="H36" s="474">
        <f t="shared" si="3"/>
        <v>0</v>
      </c>
      <c r="I36" s="474">
        <f t="shared" si="4"/>
        <v>0</v>
      </c>
      <c r="J36" s="61">
        <f t="shared" si="5"/>
        <v>0</v>
      </c>
      <c r="K36" s="967">
        <f t="shared" si="6"/>
        <v>0</v>
      </c>
      <c r="L36" s="967">
        <f t="shared" si="7"/>
        <v>0</v>
      </c>
      <c r="M36" s="967">
        <f t="shared" si="8"/>
        <v>2.52E-2</v>
      </c>
      <c r="N36" s="54">
        <f t="shared" si="9"/>
        <v>0</v>
      </c>
      <c r="O36" s="968">
        <f t="shared" si="10"/>
        <v>0</v>
      </c>
      <c r="P36" s="968">
        <f t="shared" si="11"/>
        <v>0</v>
      </c>
      <c r="Q36" s="969">
        <f t="shared" si="12"/>
        <v>0</v>
      </c>
      <c r="R36" s="247">
        <f t="shared" si="13"/>
        <v>0</v>
      </c>
      <c r="S36" s="24">
        <f t="shared" si="14"/>
        <v>0</v>
      </c>
      <c r="T36" s="970">
        <f t="shared" si="15"/>
        <v>0</v>
      </c>
      <c r="U36" s="971">
        <f t="shared" si="16"/>
        <v>7.0956000000000005E-2</v>
      </c>
    </row>
    <row r="37" spans="1:21" x14ac:dyDescent="0.2">
      <c r="A37" s="33">
        <f t="shared" si="0"/>
        <v>2024</v>
      </c>
      <c r="B37" s="1037">
        <v>0</v>
      </c>
      <c r="C37" s="565">
        <f t="shared" si="1"/>
        <v>5</v>
      </c>
      <c r="D37" s="1041"/>
      <c r="E37" s="1042"/>
      <c r="F37" s="1043"/>
      <c r="G37" s="473">
        <f t="shared" si="3"/>
        <v>0</v>
      </c>
      <c r="H37" s="474">
        <f t="shared" si="3"/>
        <v>0</v>
      </c>
      <c r="I37" s="474">
        <f t="shared" si="4"/>
        <v>0</v>
      </c>
      <c r="J37" s="61">
        <f t="shared" si="5"/>
        <v>0</v>
      </c>
      <c r="K37" s="967">
        <f t="shared" si="6"/>
        <v>0</v>
      </c>
      <c r="L37" s="967">
        <f t="shared" si="7"/>
        <v>0</v>
      </c>
      <c r="M37" s="967">
        <f t="shared" si="8"/>
        <v>2.52E-2</v>
      </c>
      <c r="N37" s="54">
        <f t="shared" si="9"/>
        <v>0</v>
      </c>
      <c r="O37" s="968">
        <f t="shared" si="10"/>
        <v>0</v>
      </c>
      <c r="P37" s="968">
        <f t="shared" si="11"/>
        <v>0</v>
      </c>
      <c r="Q37" s="969">
        <f t="shared" si="12"/>
        <v>0</v>
      </c>
      <c r="R37" s="247">
        <f t="shared" si="13"/>
        <v>0</v>
      </c>
      <c r="S37" s="24">
        <f t="shared" si="14"/>
        <v>0</v>
      </c>
      <c r="T37" s="970">
        <f t="shared" si="15"/>
        <v>0</v>
      </c>
      <c r="U37" s="971">
        <f t="shared" si="16"/>
        <v>7.0956000000000005E-2</v>
      </c>
    </row>
    <row r="38" spans="1:21" x14ac:dyDescent="0.2">
      <c r="A38" s="33">
        <f t="shared" si="0"/>
        <v>2025</v>
      </c>
      <c r="B38" s="1037">
        <v>0</v>
      </c>
      <c r="C38" s="565">
        <f t="shared" si="1"/>
        <v>5</v>
      </c>
      <c r="D38" s="1041"/>
      <c r="E38" s="1042"/>
      <c r="F38" s="1043"/>
      <c r="G38" s="473">
        <f t="shared" si="3"/>
        <v>0</v>
      </c>
      <c r="H38" s="474">
        <f t="shared" si="3"/>
        <v>0</v>
      </c>
      <c r="I38" s="474">
        <f t="shared" si="4"/>
        <v>0</v>
      </c>
      <c r="J38" s="61">
        <f t="shared" si="5"/>
        <v>0</v>
      </c>
      <c r="K38" s="967">
        <f t="shared" si="6"/>
        <v>0</v>
      </c>
      <c r="L38" s="967">
        <f t="shared" si="7"/>
        <v>0</v>
      </c>
      <c r="M38" s="967">
        <f t="shared" si="8"/>
        <v>2.52E-2</v>
      </c>
      <c r="N38" s="54">
        <f t="shared" si="9"/>
        <v>0</v>
      </c>
      <c r="O38" s="968">
        <f t="shared" si="10"/>
        <v>0</v>
      </c>
      <c r="P38" s="968">
        <f t="shared" si="11"/>
        <v>0</v>
      </c>
      <c r="Q38" s="969">
        <f t="shared" si="12"/>
        <v>0</v>
      </c>
      <c r="R38" s="247">
        <f t="shared" si="13"/>
        <v>0</v>
      </c>
      <c r="S38" s="24">
        <f t="shared" si="14"/>
        <v>0</v>
      </c>
      <c r="T38" s="970">
        <f t="shared" si="15"/>
        <v>0</v>
      </c>
      <c r="U38" s="971">
        <f t="shared" si="16"/>
        <v>7.0956000000000005E-2</v>
      </c>
    </row>
    <row r="39" spans="1:21" x14ac:dyDescent="0.2">
      <c r="A39" s="33">
        <f t="shared" si="0"/>
        <v>2026</v>
      </c>
      <c r="B39" s="1037">
        <v>0</v>
      </c>
      <c r="C39" s="565">
        <f t="shared" si="1"/>
        <v>5</v>
      </c>
      <c r="D39" s="1041"/>
      <c r="E39" s="1042"/>
      <c r="F39" s="1043"/>
      <c r="G39" s="473">
        <f t="shared" si="3"/>
        <v>0</v>
      </c>
      <c r="H39" s="474">
        <f t="shared" si="3"/>
        <v>0</v>
      </c>
      <c r="I39" s="474">
        <f t="shared" si="4"/>
        <v>0</v>
      </c>
      <c r="J39" s="61">
        <f t="shared" si="5"/>
        <v>0</v>
      </c>
      <c r="K39" s="967">
        <f t="shared" si="6"/>
        <v>0</v>
      </c>
      <c r="L39" s="967">
        <f t="shared" si="7"/>
        <v>0</v>
      </c>
      <c r="M39" s="967">
        <f t="shared" si="8"/>
        <v>2.52E-2</v>
      </c>
      <c r="N39" s="54">
        <f t="shared" si="9"/>
        <v>0</v>
      </c>
      <c r="O39" s="968">
        <f t="shared" si="10"/>
        <v>0</v>
      </c>
      <c r="P39" s="968">
        <f t="shared" si="11"/>
        <v>0</v>
      </c>
      <c r="Q39" s="969">
        <f t="shared" si="12"/>
        <v>0</v>
      </c>
      <c r="R39" s="247">
        <f>+(B39+B38)/2</f>
        <v>0</v>
      </c>
      <c r="S39" s="24">
        <f>+F39</f>
        <v>0</v>
      </c>
      <c r="T39" s="970">
        <f>+R39*S39/1000000</f>
        <v>0</v>
      </c>
      <c r="U39" s="971">
        <f t="shared" si="16"/>
        <v>7.0956000000000005E-2</v>
      </c>
    </row>
    <row r="40" spans="1:21" x14ac:dyDescent="0.2">
      <c r="A40" s="33">
        <f>+A39+1</f>
        <v>2027</v>
      </c>
      <c r="B40" s="1037">
        <v>0</v>
      </c>
      <c r="C40" s="565">
        <f>+C39+B40</f>
        <v>5</v>
      </c>
      <c r="D40" s="1041"/>
      <c r="E40" s="1042"/>
      <c r="F40" s="1043"/>
      <c r="G40" s="473">
        <f t="shared" ref="G40:H42" si="17">+$B40*D40/1000</f>
        <v>0</v>
      </c>
      <c r="H40" s="474">
        <f t="shared" si="17"/>
        <v>0</v>
      </c>
      <c r="I40" s="474">
        <f>+$B40*F40/1000000</f>
        <v>0</v>
      </c>
      <c r="J40" s="61">
        <f>+(B40+B39)/2</f>
        <v>0</v>
      </c>
      <c r="K40" s="967">
        <f>+D40</f>
        <v>0</v>
      </c>
      <c r="L40" s="967">
        <f>+J40*K40/1000</f>
        <v>0</v>
      </c>
      <c r="M40" s="967">
        <f>+M39+L40</f>
        <v>2.52E-2</v>
      </c>
      <c r="N40" s="54">
        <f>+B39</f>
        <v>0</v>
      </c>
      <c r="O40" s="968">
        <f>+E40</f>
        <v>0</v>
      </c>
      <c r="P40" s="968">
        <f>+N40*O40/1000</f>
        <v>0</v>
      </c>
      <c r="Q40" s="969">
        <f>+Q39+P40</f>
        <v>0</v>
      </c>
      <c r="R40" s="247">
        <f>+(B40+B39)/2</f>
        <v>0</v>
      </c>
      <c r="S40" s="24">
        <f>+F40</f>
        <v>0</v>
      </c>
      <c r="T40" s="970">
        <f>+R40*S40/1000000</f>
        <v>0</v>
      </c>
      <c r="U40" s="971">
        <f>+U39+T40</f>
        <v>7.0956000000000005E-2</v>
      </c>
    </row>
    <row r="41" spans="1:21" x14ac:dyDescent="0.2">
      <c r="A41" s="33">
        <f t="shared" si="0"/>
        <v>2028</v>
      </c>
      <c r="B41" s="1037">
        <v>0</v>
      </c>
      <c r="C41" s="565">
        <f>+C40+B41</f>
        <v>5</v>
      </c>
      <c r="D41" s="1041"/>
      <c r="E41" s="1042"/>
      <c r="F41" s="1043"/>
      <c r="G41" s="473">
        <f t="shared" si="17"/>
        <v>0</v>
      </c>
      <c r="H41" s="474">
        <f t="shared" si="17"/>
        <v>0</v>
      </c>
      <c r="I41" s="474">
        <f>+$B41*F41/1000000</f>
        <v>0</v>
      </c>
      <c r="J41" s="61">
        <f>+(B41+B40)/2</f>
        <v>0</v>
      </c>
      <c r="K41" s="967">
        <f>+D41</f>
        <v>0</v>
      </c>
      <c r="L41" s="967">
        <f>+J41*K41/1000</f>
        <v>0</v>
      </c>
      <c r="M41" s="967">
        <f>+M40+L41</f>
        <v>2.52E-2</v>
      </c>
      <c r="N41" s="54">
        <f>+B40</f>
        <v>0</v>
      </c>
      <c r="O41" s="968">
        <f>+E41</f>
        <v>0</v>
      </c>
      <c r="P41" s="968">
        <f>+N41*O41/1000</f>
        <v>0</v>
      </c>
      <c r="Q41" s="969">
        <f>+Q40+P41</f>
        <v>0</v>
      </c>
      <c r="R41" s="247">
        <f>+(B41+B40)/2</f>
        <v>0</v>
      </c>
      <c r="S41" s="24">
        <f>+F41</f>
        <v>0</v>
      </c>
      <c r="T41" s="970">
        <f>+R41*S41/1000000</f>
        <v>0</v>
      </c>
      <c r="U41" s="971">
        <f>+U40+T41</f>
        <v>7.0956000000000005E-2</v>
      </c>
    </row>
    <row r="42" spans="1:21" x14ac:dyDescent="0.2">
      <c r="A42" s="33">
        <f t="shared" si="0"/>
        <v>2029</v>
      </c>
      <c r="B42" s="1037">
        <v>0</v>
      </c>
      <c r="C42" s="565">
        <f>+C41+B42</f>
        <v>5</v>
      </c>
      <c r="D42" s="1041"/>
      <c r="E42" s="1042"/>
      <c r="F42" s="1043"/>
      <c r="G42" s="473">
        <f t="shared" si="17"/>
        <v>0</v>
      </c>
      <c r="H42" s="474">
        <f t="shared" si="17"/>
        <v>0</v>
      </c>
      <c r="I42" s="474">
        <f>+$B42*F42/1000000</f>
        <v>0</v>
      </c>
      <c r="J42" s="61">
        <f>+(B42+B41)/2</f>
        <v>0</v>
      </c>
      <c r="K42" s="967">
        <f>+D42</f>
        <v>0</v>
      </c>
      <c r="L42" s="967">
        <f>+J42*K42/1000</f>
        <v>0</v>
      </c>
      <c r="M42" s="967">
        <f>+M41+L42</f>
        <v>2.52E-2</v>
      </c>
      <c r="N42" s="54">
        <f>+B41</f>
        <v>0</v>
      </c>
      <c r="O42" s="968">
        <f>+E42</f>
        <v>0</v>
      </c>
      <c r="P42" s="968">
        <f>+N42*O42/1000</f>
        <v>0</v>
      </c>
      <c r="Q42" s="969">
        <f>+Q41+P42</f>
        <v>0</v>
      </c>
      <c r="R42" s="247">
        <f>+(B42+B41)/2</f>
        <v>0</v>
      </c>
      <c r="S42" s="24">
        <f>+F42</f>
        <v>0</v>
      </c>
      <c r="T42" s="970">
        <f>+R42*S42/1000000</f>
        <v>0</v>
      </c>
      <c r="U42" s="971">
        <f>+U41+T42</f>
        <v>7.0956000000000005E-2</v>
      </c>
    </row>
    <row r="43" spans="1:21" x14ac:dyDescent="0.2">
      <c r="A43" s="33">
        <f t="shared" si="0"/>
        <v>2030</v>
      </c>
      <c r="B43" s="1037">
        <v>0</v>
      </c>
      <c r="C43" s="565">
        <f t="shared" ref="C43:C47" si="18">+C42+B43</f>
        <v>5</v>
      </c>
      <c r="D43" s="1041"/>
      <c r="E43" s="1042"/>
      <c r="F43" s="1043"/>
      <c r="G43" s="473">
        <f t="shared" ref="G43:G47" si="19">+$B43*D43/1000</f>
        <v>0</v>
      </c>
      <c r="H43" s="474">
        <f t="shared" ref="H43:H47" si="20">+$B43*E43/1000</f>
        <v>0</v>
      </c>
      <c r="I43" s="474">
        <f t="shared" ref="I43:I47" si="21">+$B43*F43/1000000</f>
        <v>0</v>
      </c>
      <c r="J43" s="61">
        <f t="shared" ref="J43:J47" si="22">+(B43+B42)/2</f>
        <v>0</v>
      </c>
      <c r="K43" s="967">
        <f t="shared" ref="K43:K47" si="23">+D43</f>
        <v>0</v>
      </c>
      <c r="L43" s="967">
        <f t="shared" ref="L43:L47" si="24">+J43*K43/1000</f>
        <v>0</v>
      </c>
      <c r="M43" s="967">
        <f t="shared" ref="M43:M47" si="25">+M42+L43</f>
        <v>2.52E-2</v>
      </c>
      <c r="N43" s="54">
        <f t="shared" ref="N43:N47" si="26">+B42</f>
        <v>0</v>
      </c>
      <c r="O43" s="968">
        <f t="shared" ref="O43:O47" si="27">+E43</f>
        <v>0</v>
      </c>
      <c r="P43" s="968">
        <f t="shared" ref="P43:P47" si="28">+N43*O43/1000</f>
        <v>0</v>
      </c>
      <c r="Q43" s="969">
        <f t="shared" ref="Q43:Q47" si="29">+Q42+P43</f>
        <v>0</v>
      </c>
      <c r="R43" s="247">
        <f t="shared" ref="R43:R47" si="30">+(B43+B42)/2</f>
        <v>0</v>
      </c>
      <c r="S43" s="24">
        <f t="shared" ref="S43:S47" si="31">+F43</f>
        <v>0</v>
      </c>
      <c r="T43" s="970">
        <f t="shared" ref="T43:T47" si="32">+R43*S43/1000000</f>
        <v>0</v>
      </c>
      <c r="U43" s="971">
        <f t="shared" ref="U43:U47" si="33">+U42+T43</f>
        <v>7.0956000000000005E-2</v>
      </c>
    </row>
    <row r="44" spans="1:21" x14ac:dyDescent="0.2">
      <c r="A44" s="33">
        <f t="shared" si="0"/>
        <v>2031</v>
      </c>
      <c r="B44" s="1037">
        <v>0</v>
      </c>
      <c r="C44" s="565">
        <f t="shared" si="18"/>
        <v>5</v>
      </c>
      <c r="D44" s="1041"/>
      <c r="E44" s="1042"/>
      <c r="F44" s="1043"/>
      <c r="G44" s="473">
        <f t="shared" si="19"/>
        <v>0</v>
      </c>
      <c r="H44" s="474">
        <f t="shared" si="20"/>
        <v>0</v>
      </c>
      <c r="I44" s="474">
        <f t="shared" si="21"/>
        <v>0</v>
      </c>
      <c r="J44" s="61">
        <f t="shared" si="22"/>
        <v>0</v>
      </c>
      <c r="K44" s="967">
        <f t="shared" si="23"/>
        <v>0</v>
      </c>
      <c r="L44" s="967">
        <f t="shared" si="24"/>
        <v>0</v>
      </c>
      <c r="M44" s="967">
        <f t="shared" si="25"/>
        <v>2.52E-2</v>
      </c>
      <c r="N44" s="54">
        <f t="shared" si="26"/>
        <v>0</v>
      </c>
      <c r="O44" s="968">
        <f t="shared" si="27"/>
        <v>0</v>
      </c>
      <c r="P44" s="968">
        <f t="shared" si="28"/>
        <v>0</v>
      </c>
      <c r="Q44" s="969">
        <f t="shared" si="29"/>
        <v>0</v>
      </c>
      <c r="R44" s="247">
        <f t="shared" si="30"/>
        <v>0</v>
      </c>
      <c r="S44" s="24">
        <f t="shared" si="31"/>
        <v>0</v>
      </c>
      <c r="T44" s="970">
        <f t="shared" si="32"/>
        <v>0</v>
      </c>
      <c r="U44" s="971">
        <f t="shared" si="33"/>
        <v>7.0956000000000005E-2</v>
      </c>
    </row>
    <row r="45" spans="1:21" x14ac:dyDescent="0.2">
      <c r="A45" s="33">
        <f t="shared" si="0"/>
        <v>2032</v>
      </c>
      <c r="B45" s="1037">
        <v>0</v>
      </c>
      <c r="C45" s="565">
        <f t="shared" si="18"/>
        <v>5</v>
      </c>
      <c r="D45" s="1041"/>
      <c r="E45" s="1042"/>
      <c r="F45" s="1043"/>
      <c r="G45" s="473">
        <f t="shared" si="19"/>
        <v>0</v>
      </c>
      <c r="H45" s="474">
        <f t="shared" si="20"/>
        <v>0</v>
      </c>
      <c r="I45" s="474">
        <f t="shared" si="21"/>
        <v>0</v>
      </c>
      <c r="J45" s="61">
        <f t="shared" si="22"/>
        <v>0</v>
      </c>
      <c r="K45" s="967">
        <f t="shared" si="23"/>
        <v>0</v>
      </c>
      <c r="L45" s="967">
        <f t="shared" si="24"/>
        <v>0</v>
      </c>
      <c r="M45" s="967">
        <f t="shared" si="25"/>
        <v>2.52E-2</v>
      </c>
      <c r="N45" s="54">
        <f t="shared" si="26"/>
        <v>0</v>
      </c>
      <c r="O45" s="968">
        <f t="shared" si="27"/>
        <v>0</v>
      </c>
      <c r="P45" s="968">
        <f t="shared" si="28"/>
        <v>0</v>
      </c>
      <c r="Q45" s="969">
        <f t="shared" si="29"/>
        <v>0</v>
      </c>
      <c r="R45" s="247">
        <f t="shared" si="30"/>
        <v>0</v>
      </c>
      <c r="S45" s="24">
        <f t="shared" si="31"/>
        <v>0</v>
      </c>
      <c r="T45" s="970">
        <f t="shared" si="32"/>
        <v>0</v>
      </c>
      <c r="U45" s="971">
        <f t="shared" si="33"/>
        <v>7.0956000000000005E-2</v>
      </c>
    </row>
    <row r="46" spans="1:21" x14ac:dyDescent="0.2">
      <c r="A46" s="33">
        <f t="shared" si="0"/>
        <v>2033</v>
      </c>
      <c r="B46" s="1037">
        <v>0</v>
      </c>
      <c r="C46" s="565">
        <f t="shared" si="18"/>
        <v>5</v>
      </c>
      <c r="D46" s="1041"/>
      <c r="E46" s="1042"/>
      <c r="F46" s="1043"/>
      <c r="G46" s="473">
        <f t="shared" si="19"/>
        <v>0</v>
      </c>
      <c r="H46" s="474">
        <f t="shared" si="20"/>
        <v>0</v>
      </c>
      <c r="I46" s="474">
        <f t="shared" si="21"/>
        <v>0</v>
      </c>
      <c r="J46" s="61">
        <f t="shared" si="22"/>
        <v>0</v>
      </c>
      <c r="K46" s="967">
        <f t="shared" si="23"/>
        <v>0</v>
      </c>
      <c r="L46" s="967">
        <f t="shared" si="24"/>
        <v>0</v>
      </c>
      <c r="M46" s="967">
        <f t="shared" si="25"/>
        <v>2.52E-2</v>
      </c>
      <c r="N46" s="54">
        <f t="shared" si="26"/>
        <v>0</v>
      </c>
      <c r="O46" s="968">
        <f t="shared" si="27"/>
        <v>0</v>
      </c>
      <c r="P46" s="968">
        <f t="shared" si="28"/>
        <v>0</v>
      </c>
      <c r="Q46" s="969">
        <f t="shared" si="29"/>
        <v>0</v>
      </c>
      <c r="R46" s="247">
        <f t="shared" si="30"/>
        <v>0</v>
      </c>
      <c r="S46" s="24">
        <f t="shared" si="31"/>
        <v>0</v>
      </c>
      <c r="T46" s="970">
        <f t="shared" si="32"/>
        <v>0</v>
      </c>
      <c r="U46" s="971">
        <f t="shared" si="33"/>
        <v>7.0956000000000005E-2</v>
      </c>
    </row>
    <row r="47" spans="1:21" x14ac:dyDescent="0.2">
      <c r="A47" s="33">
        <f t="shared" si="0"/>
        <v>2034</v>
      </c>
      <c r="B47" s="1037">
        <v>0</v>
      </c>
      <c r="C47" s="565">
        <f t="shared" si="18"/>
        <v>5</v>
      </c>
      <c r="D47" s="1041"/>
      <c r="E47" s="1042"/>
      <c r="F47" s="1043"/>
      <c r="G47" s="473">
        <f t="shared" si="19"/>
        <v>0</v>
      </c>
      <c r="H47" s="474">
        <f t="shared" si="20"/>
        <v>0</v>
      </c>
      <c r="I47" s="474">
        <f t="shared" si="21"/>
        <v>0</v>
      </c>
      <c r="J47" s="61">
        <f t="shared" si="22"/>
        <v>0</v>
      </c>
      <c r="K47" s="967">
        <f t="shared" si="23"/>
        <v>0</v>
      </c>
      <c r="L47" s="967">
        <f t="shared" si="24"/>
        <v>0</v>
      </c>
      <c r="M47" s="967">
        <f t="shared" si="25"/>
        <v>2.52E-2</v>
      </c>
      <c r="N47" s="54">
        <f t="shared" si="26"/>
        <v>0</v>
      </c>
      <c r="O47" s="968">
        <f t="shared" si="27"/>
        <v>0</v>
      </c>
      <c r="P47" s="968">
        <f t="shared" si="28"/>
        <v>0</v>
      </c>
      <c r="Q47" s="969">
        <f t="shared" si="29"/>
        <v>0</v>
      </c>
      <c r="R47" s="247">
        <f t="shared" si="30"/>
        <v>0</v>
      </c>
      <c r="S47" s="24">
        <f t="shared" si="31"/>
        <v>0</v>
      </c>
      <c r="T47" s="970">
        <f t="shared" si="32"/>
        <v>0</v>
      </c>
      <c r="U47" s="971">
        <f t="shared" si="33"/>
        <v>7.0956000000000005E-2</v>
      </c>
    </row>
    <row r="48" spans="1:21" x14ac:dyDescent="0.2">
      <c r="A48" s="33">
        <f t="shared" si="0"/>
        <v>2035</v>
      </c>
      <c r="B48" s="1037">
        <f>B47</f>
        <v>0</v>
      </c>
      <c r="C48" s="565">
        <f t="shared" ref="C48:C54" si="34">+C47+B48</f>
        <v>5</v>
      </c>
      <c r="D48" s="1041"/>
      <c r="E48" s="1042"/>
      <c r="F48" s="1043"/>
      <c r="G48" s="473">
        <f t="shared" ref="G48:G54" si="35">+$B48*D48/1000</f>
        <v>0</v>
      </c>
      <c r="H48" s="474">
        <f t="shared" ref="H48:H54" si="36">+$B48*E48/1000</f>
        <v>0</v>
      </c>
      <c r="I48" s="474">
        <f t="shared" ref="I48:I54" si="37">+$B48*F48/1000000</f>
        <v>0</v>
      </c>
      <c r="J48" s="61">
        <f t="shared" ref="J48:J54" si="38">+(B48+B47)/2</f>
        <v>0</v>
      </c>
      <c r="K48" s="967">
        <f t="shared" ref="K48:K54" si="39">+D48</f>
        <v>0</v>
      </c>
      <c r="L48" s="967">
        <f t="shared" ref="L48:L54" si="40">+J48*K48/1000</f>
        <v>0</v>
      </c>
      <c r="M48" s="967">
        <f t="shared" ref="M48:M54" si="41">+M47+L48</f>
        <v>2.52E-2</v>
      </c>
      <c r="N48" s="54">
        <f t="shared" ref="N48:N54" si="42">+B47</f>
        <v>0</v>
      </c>
      <c r="O48" s="968">
        <f t="shared" ref="O48:O54" si="43">+E48</f>
        <v>0</v>
      </c>
      <c r="P48" s="968">
        <f t="shared" ref="P48:P54" si="44">+N48*O48/1000</f>
        <v>0</v>
      </c>
      <c r="Q48" s="969">
        <f t="shared" ref="Q48:Q54" si="45">+Q47+P48</f>
        <v>0</v>
      </c>
      <c r="R48" s="247">
        <f t="shared" ref="R48:R54" si="46">+(B48+B47)/2</f>
        <v>0</v>
      </c>
      <c r="S48" s="24">
        <f t="shared" ref="S48:S54" si="47">+F48</f>
        <v>0</v>
      </c>
      <c r="T48" s="970">
        <f t="shared" ref="T48:T54" si="48">+R48*S48/1000000</f>
        <v>0</v>
      </c>
      <c r="U48" s="971">
        <f t="shared" ref="U48:U54" si="49">+U47+T48</f>
        <v>7.0956000000000005E-2</v>
      </c>
    </row>
    <row r="49" spans="1:21" x14ac:dyDescent="0.2">
      <c r="A49" s="33">
        <f t="shared" si="0"/>
        <v>2036</v>
      </c>
      <c r="B49" s="1037">
        <f t="shared" ref="B49:B54" si="50">B48</f>
        <v>0</v>
      </c>
      <c r="C49" s="565">
        <f t="shared" si="34"/>
        <v>5</v>
      </c>
      <c r="D49" s="1041"/>
      <c r="E49" s="1042"/>
      <c r="F49" s="1043"/>
      <c r="G49" s="473">
        <f t="shared" si="35"/>
        <v>0</v>
      </c>
      <c r="H49" s="474">
        <f t="shared" si="36"/>
        <v>0</v>
      </c>
      <c r="I49" s="474">
        <f t="shared" si="37"/>
        <v>0</v>
      </c>
      <c r="J49" s="61">
        <f t="shared" si="38"/>
        <v>0</v>
      </c>
      <c r="K49" s="967">
        <f t="shared" si="39"/>
        <v>0</v>
      </c>
      <c r="L49" s="967">
        <f t="shared" si="40"/>
        <v>0</v>
      </c>
      <c r="M49" s="967">
        <f t="shared" si="41"/>
        <v>2.52E-2</v>
      </c>
      <c r="N49" s="54">
        <f t="shared" si="42"/>
        <v>0</v>
      </c>
      <c r="O49" s="968">
        <f t="shared" si="43"/>
        <v>0</v>
      </c>
      <c r="P49" s="968">
        <f t="shared" si="44"/>
        <v>0</v>
      </c>
      <c r="Q49" s="969">
        <f t="shared" si="45"/>
        <v>0</v>
      </c>
      <c r="R49" s="247">
        <f t="shared" si="46"/>
        <v>0</v>
      </c>
      <c r="S49" s="24">
        <f t="shared" si="47"/>
        <v>0</v>
      </c>
      <c r="T49" s="970">
        <f t="shared" si="48"/>
        <v>0</v>
      </c>
      <c r="U49" s="971">
        <f t="shared" si="49"/>
        <v>7.0956000000000005E-2</v>
      </c>
    </row>
    <row r="50" spans="1:21" x14ac:dyDescent="0.2">
      <c r="A50" s="33">
        <f t="shared" si="0"/>
        <v>2037</v>
      </c>
      <c r="B50" s="1037">
        <f t="shared" si="50"/>
        <v>0</v>
      </c>
      <c r="C50" s="565">
        <f t="shared" si="34"/>
        <v>5</v>
      </c>
      <c r="D50" s="1041"/>
      <c r="E50" s="1042"/>
      <c r="F50" s="1043"/>
      <c r="G50" s="473">
        <f t="shared" si="35"/>
        <v>0</v>
      </c>
      <c r="H50" s="474">
        <f t="shared" si="36"/>
        <v>0</v>
      </c>
      <c r="I50" s="474">
        <f t="shared" si="37"/>
        <v>0</v>
      </c>
      <c r="J50" s="61">
        <f t="shared" si="38"/>
        <v>0</v>
      </c>
      <c r="K50" s="967">
        <f t="shared" si="39"/>
        <v>0</v>
      </c>
      <c r="L50" s="967">
        <f t="shared" si="40"/>
        <v>0</v>
      </c>
      <c r="M50" s="967">
        <f t="shared" si="41"/>
        <v>2.52E-2</v>
      </c>
      <c r="N50" s="54">
        <f t="shared" si="42"/>
        <v>0</v>
      </c>
      <c r="O50" s="968">
        <f t="shared" si="43"/>
        <v>0</v>
      </c>
      <c r="P50" s="968">
        <f t="shared" si="44"/>
        <v>0</v>
      </c>
      <c r="Q50" s="969">
        <f t="shared" si="45"/>
        <v>0</v>
      </c>
      <c r="R50" s="247">
        <f t="shared" si="46"/>
        <v>0</v>
      </c>
      <c r="S50" s="24">
        <f t="shared" si="47"/>
        <v>0</v>
      </c>
      <c r="T50" s="970">
        <f t="shared" si="48"/>
        <v>0</v>
      </c>
      <c r="U50" s="971">
        <f t="shared" si="49"/>
        <v>7.0956000000000005E-2</v>
      </c>
    </row>
    <row r="51" spans="1:21" x14ac:dyDescent="0.2">
      <c r="A51" s="33">
        <f t="shared" si="0"/>
        <v>2038</v>
      </c>
      <c r="B51" s="1037">
        <f t="shared" si="50"/>
        <v>0</v>
      </c>
      <c r="C51" s="565">
        <f t="shared" si="34"/>
        <v>5</v>
      </c>
      <c r="D51" s="1041"/>
      <c r="E51" s="1042"/>
      <c r="F51" s="1043"/>
      <c r="G51" s="473">
        <f t="shared" si="35"/>
        <v>0</v>
      </c>
      <c r="H51" s="474">
        <f t="shared" si="36"/>
        <v>0</v>
      </c>
      <c r="I51" s="474">
        <f t="shared" si="37"/>
        <v>0</v>
      </c>
      <c r="J51" s="61">
        <f t="shared" si="38"/>
        <v>0</v>
      </c>
      <c r="K51" s="967">
        <f t="shared" si="39"/>
        <v>0</v>
      </c>
      <c r="L51" s="967">
        <f t="shared" si="40"/>
        <v>0</v>
      </c>
      <c r="M51" s="967">
        <f t="shared" si="41"/>
        <v>2.52E-2</v>
      </c>
      <c r="N51" s="54">
        <f t="shared" si="42"/>
        <v>0</v>
      </c>
      <c r="O51" s="968">
        <f t="shared" si="43"/>
        <v>0</v>
      </c>
      <c r="P51" s="968">
        <f t="shared" si="44"/>
        <v>0</v>
      </c>
      <c r="Q51" s="969">
        <f t="shared" si="45"/>
        <v>0</v>
      </c>
      <c r="R51" s="247">
        <f t="shared" si="46"/>
        <v>0</v>
      </c>
      <c r="S51" s="24">
        <f t="shared" si="47"/>
        <v>0</v>
      </c>
      <c r="T51" s="970">
        <f t="shared" si="48"/>
        <v>0</v>
      </c>
      <c r="U51" s="971">
        <f t="shared" si="49"/>
        <v>7.0956000000000005E-2</v>
      </c>
    </row>
    <row r="52" spans="1:21" x14ac:dyDescent="0.2">
      <c r="A52" s="33">
        <f t="shared" si="0"/>
        <v>2039</v>
      </c>
      <c r="B52" s="1037">
        <f t="shared" si="50"/>
        <v>0</v>
      </c>
      <c r="C52" s="565">
        <f t="shared" si="34"/>
        <v>5</v>
      </c>
      <c r="D52" s="1041"/>
      <c r="E52" s="1042"/>
      <c r="F52" s="1043"/>
      <c r="G52" s="473">
        <f t="shared" si="35"/>
        <v>0</v>
      </c>
      <c r="H52" s="474">
        <f t="shared" si="36"/>
        <v>0</v>
      </c>
      <c r="I52" s="474">
        <f t="shared" si="37"/>
        <v>0</v>
      </c>
      <c r="J52" s="61">
        <f t="shared" si="38"/>
        <v>0</v>
      </c>
      <c r="K52" s="967">
        <f t="shared" si="39"/>
        <v>0</v>
      </c>
      <c r="L52" s="967">
        <f t="shared" si="40"/>
        <v>0</v>
      </c>
      <c r="M52" s="967">
        <f t="shared" si="41"/>
        <v>2.52E-2</v>
      </c>
      <c r="N52" s="54">
        <f t="shared" si="42"/>
        <v>0</v>
      </c>
      <c r="O52" s="968">
        <f t="shared" si="43"/>
        <v>0</v>
      </c>
      <c r="P52" s="968">
        <f t="shared" si="44"/>
        <v>0</v>
      </c>
      <c r="Q52" s="969">
        <f t="shared" si="45"/>
        <v>0</v>
      </c>
      <c r="R52" s="247">
        <f t="shared" si="46"/>
        <v>0</v>
      </c>
      <c r="S52" s="24">
        <f t="shared" si="47"/>
        <v>0</v>
      </c>
      <c r="T52" s="970">
        <f t="shared" si="48"/>
        <v>0</v>
      </c>
      <c r="U52" s="971">
        <f t="shared" si="49"/>
        <v>7.0956000000000005E-2</v>
      </c>
    </row>
    <row r="53" spans="1:21" x14ac:dyDescent="0.2">
      <c r="A53" s="33">
        <f t="shared" si="0"/>
        <v>2040</v>
      </c>
      <c r="B53" s="1037">
        <f t="shared" si="50"/>
        <v>0</v>
      </c>
      <c r="C53" s="565">
        <f t="shared" si="34"/>
        <v>5</v>
      </c>
      <c r="D53" s="1041"/>
      <c r="E53" s="1042"/>
      <c r="F53" s="1043"/>
      <c r="G53" s="473">
        <f t="shared" si="35"/>
        <v>0</v>
      </c>
      <c r="H53" s="474">
        <f t="shared" si="36"/>
        <v>0</v>
      </c>
      <c r="I53" s="474">
        <f t="shared" si="37"/>
        <v>0</v>
      </c>
      <c r="J53" s="61">
        <f t="shared" si="38"/>
        <v>0</v>
      </c>
      <c r="K53" s="967">
        <f t="shared" si="39"/>
        <v>0</v>
      </c>
      <c r="L53" s="967">
        <f t="shared" si="40"/>
        <v>0</v>
      </c>
      <c r="M53" s="967">
        <f t="shared" si="41"/>
        <v>2.52E-2</v>
      </c>
      <c r="N53" s="54">
        <f t="shared" si="42"/>
        <v>0</v>
      </c>
      <c r="O53" s="968">
        <f t="shared" si="43"/>
        <v>0</v>
      </c>
      <c r="P53" s="968">
        <f t="shared" si="44"/>
        <v>0</v>
      </c>
      <c r="Q53" s="969">
        <f t="shared" si="45"/>
        <v>0</v>
      </c>
      <c r="R53" s="247">
        <f t="shared" si="46"/>
        <v>0</v>
      </c>
      <c r="S53" s="24">
        <f t="shared" si="47"/>
        <v>0</v>
      </c>
      <c r="T53" s="970">
        <f t="shared" si="48"/>
        <v>0</v>
      </c>
      <c r="U53" s="971">
        <f t="shared" si="49"/>
        <v>7.0956000000000005E-2</v>
      </c>
    </row>
    <row r="54" spans="1:21" x14ac:dyDescent="0.2">
      <c r="A54" s="33">
        <f t="shared" si="0"/>
        <v>2041</v>
      </c>
      <c r="B54" s="1037">
        <f t="shared" si="50"/>
        <v>0</v>
      </c>
      <c r="C54" s="565">
        <f t="shared" si="34"/>
        <v>5</v>
      </c>
      <c r="D54" s="1041"/>
      <c r="E54" s="1042"/>
      <c r="F54" s="1043"/>
      <c r="G54" s="473">
        <f t="shared" si="35"/>
        <v>0</v>
      </c>
      <c r="H54" s="474">
        <f t="shared" si="36"/>
        <v>0</v>
      </c>
      <c r="I54" s="474">
        <f t="shared" si="37"/>
        <v>0</v>
      </c>
      <c r="J54" s="61">
        <f t="shared" si="38"/>
        <v>0</v>
      </c>
      <c r="K54" s="967">
        <f t="shared" si="39"/>
        <v>0</v>
      </c>
      <c r="L54" s="967">
        <f t="shared" si="40"/>
        <v>0</v>
      </c>
      <c r="M54" s="967">
        <f t="shared" si="41"/>
        <v>2.52E-2</v>
      </c>
      <c r="N54" s="54">
        <f t="shared" si="42"/>
        <v>0</v>
      </c>
      <c r="O54" s="968">
        <f t="shared" si="43"/>
        <v>0</v>
      </c>
      <c r="P54" s="968">
        <f t="shared" si="44"/>
        <v>0</v>
      </c>
      <c r="Q54" s="969">
        <f t="shared" si="45"/>
        <v>0</v>
      </c>
      <c r="R54" s="247">
        <f t="shared" si="46"/>
        <v>0</v>
      </c>
      <c r="S54" s="24">
        <f t="shared" si="47"/>
        <v>0</v>
      </c>
      <c r="T54" s="970">
        <f t="shared" si="48"/>
        <v>0</v>
      </c>
      <c r="U54" s="971">
        <f t="shared" si="49"/>
        <v>7.0956000000000005E-2</v>
      </c>
    </row>
    <row r="55" spans="1:21" s="2" customFormat="1" x14ac:dyDescent="0.2">
      <c r="A55" s="491"/>
      <c r="B55" s="498"/>
      <c r="C55" s="493"/>
      <c r="D55" s="1066"/>
      <c r="E55" s="1066"/>
      <c r="F55" s="498"/>
      <c r="G55" s="1066"/>
      <c r="H55" s="1066"/>
      <c r="I55" s="1066"/>
      <c r="J55" s="498"/>
      <c r="K55" s="1066"/>
      <c r="L55" s="1066"/>
      <c r="M55" s="1066"/>
      <c r="N55" s="498"/>
      <c r="O55" s="1066"/>
      <c r="P55" s="1066"/>
      <c r="Q55" s="1066"/>
      <c r="R55" s="248"/>
      <c r="S55" s="499"/>
      <c r="T55" s="1067"/>
      <c r="U55" s="1067"/>
    </row>
    <row r="56" spans="1:21" s="2" customFormat="1" x14ac:dyDescent="0.2">
      <c r="A56" s="1070" t="s">
        <v>38</v>
      </c>
      <c r="B56" s="498"/>
      <c r="C56" s="493"/>
      <c r="D56" s="1066"/>
      <c r="E56" s="1066"/>
      <c r="F56" s="498"/>
      <c r="G56" s="1066"/>
      <c r="H56" s="1066"/>
      <c r="I56" s="1066"/>
      <c r="J56" s="498"/>
      <c r="K56" s="1066"/>
      <c r="L56" s="1066"/>
      <c r="M56" s="1066"/>
      <c r="N56" s="498"/>
      <c r="O56" s="1066"/>
      <c r="P56" s="1066"/>
      <c r="Q56" s="1066"/>
      <c r="R56" s="248"/>
      <c r="S56" s="499"/>
      <c r="T56" s="1067"/>
      <c r="U56" s="1067"/>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0">
    <tabColor rgb="FFFF0000"/>
    <pageSetUpPr fitToPage="1"/>
  </sheetPr>
  <dimension ref="A1:X87"/>
  <sheetViews>
    <sheetView workbookViewId="0">
      <pane xSplit="1" ySplit="5" topLeftCell="B26" activePane="bottomRight" state="frozen"/>
      <selection activeCell="A3" sqref="A3:M4"/>
      <selection pane="topRight" activeCell="A3" sqref="A3:M4"/>
      <selection pane="bottomLeft" activeCell="A3" sqref="A3:M4"/>
      <selection pane="bottomRight" activeCell="E1" sqref="E1"/>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8" t="s">
        <v>392</v>
      </c>
      <c r="F1" s="4"/>
      <c r="G1" s="4"/>
      <c r="H1" s="249"/>
      <c r="I1" s="249"/>
      <c r="J1" s="4"/>
      <c r="K1" s="4"/>
      <c r="L1" s="4"/>
      <c r="M1" s="4"/>
      <c r="N1" s="4"/>
    </row>
    <row r="2" spans="1:24" ht="16.5" thickBot="1" x14ac:dyDescent="0.3">
      <c r="A2" s="5" t="s">
        <v>1</v>
      </c>
      <c r="B2" s="27" t="s">
        <v>234</v>
      </c>
      <c r="C2" s="27"/>
      <c r="D2" s="27"/>
      <c r="E2" s="27"/>
      <c r="F2" s="27"/>
      <c r="G2" s="27"/>
      <c r="H2" s="27"/>
      <c r="I2" s="27"/>
      <c r="J2" s="27"/>
      <c r="K2" s="4"/>
      <c r="L2" s="4"/>
      <c r="M2" s="4"/>
      <c r="N2" s="4"/>
    </row>
    <row r="3" spans="1:24" ht="16.5" thickBot="1" x14ac:dyDescent="0.3">
      <c r="A3" s="4"/>
      <c r="B3" s="464" t="s">
        <v>238</v>
      </c>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62">
        <f t="shared" ref="D8:D19" si="1">IF($B8=0,0,(G8*1000)/$B8)</f>
        <v>0</v>
      </c>
      <c r="E8" s="663">
        <f t="shared" ref="E8:E19" si="2">IF($B8=0,0,(H8*1000)/$B8)</f>
        <v>0</v>
      </c>
      <c r="F8" s="675">
        <f t="shared" ref="F8:F19" si="3">IF($B8=0,0,(I8*1000000)/$B8)</f>
        <v>0</v>
      </c>
      <c r="G8" s="626">
        <v>0</v>
      </c>
      <c r="H8" s="72">
        <v>0</v>
      </c>
      <c r="I8" s="630">
        <v>0</v>
      </c>
      <c r="J8" s="61">
        <f>+(B8+N8)/2</f>
        <v>0</v>
      </c>
      <c r="K8" s="188">
        <f t="shared" ref="K8:K39" si="4">+D8</f>
        <v>0</v>
      </c>
      <c r="L8" s="188">
        <f t="shared" ref="L8:L39" si="5">+J8*K8/1000</f>
        <v>0</v>
      </c>
      <c r="M8" s="188">
        <f t="shared" ref="M8:M39" si="6">+M7+L8</f>
        <v>0</v>
      </c>
      <c r="N8" s="51">
        <v>0</v>
      </c>
      <c r="O8" s="670">
        <f t="shared" ref="O8:O39" si="7">+E8</f>
        <v>0</v>
      </c>
      <c r="P8" s="670">
        <f t="shared" ref="P8:P39" si="8">+N8*O8/1000</f>
        <v>0</v>
      </c>
      <c r="Q8" s="670">
        <f t="shared" ref="Q8:Q39" si="9">+Q7+P8</f>
        <v>0</v>
      </c>
      <c r="R8" s="247">
        <f>J8</f>
        <v>0</v>
      </c>
      <c r="S8" s="24">
        <f t="shared" ref="S8:S37" si="10">+F8</f>
        <v>0</v>
      </c>
      <c r="T8" s="25">
        <f t="shared" ref="T8:T37" si="11">+R8*S8/1000000</f>
        <v>0</v>
      </c>
      <c r="U8" s="654">
        <f t="shared" ref="U8:U37" si="12">+U7+T8</f>
        <v>0</v>
      </c>
      <c r="V8" s="248"/>
      <c r="X8" s="1"/>
    </row>
    <row r="9" spans="1:24" x14ac:dyDescent="0.2">
      <c r="A9" s="33">
        <v>1996</v>
      </c>
      <c r="B9" s="30">
        <v>0</v>
      </c>
      <c r="C9" s="660">
        <f t="shared" si="0"/>
        <v>0</v>
      </c>
      <c r="D9" s="662">
        <f t="shared" si="1"/>
        <v>0</v>
      </c>
      <c r="E9" s="663">
        <f t="shared" si="2"/>
        <v>0</v>
      </c>
      <c r="F9" s="675">
        <f t="shared" si="3"/>
        <v>0</v>
      </c>
      <c r="G9" s="626">
        <v>0</v>
      </c>
      <c r="H9" s="72">
        <v>0</v>
      </c>
      <c r="I9" s="630">
        <v>0</v>
      </c>
      <c r="J9" s="61">
        <f t="shared" ref="J9:J39" si="13">+(B9+B8)/2</f>
        <v>0</v>
      </c>
      <c r="K9" s="188">
        <f t="shared" si="4"/>
        <v>0</v>
      </c>
      <c r="L9" s="188">
        <f t="shared" si="5"/>
        <v>0</v>
      </c>
      <c r="M9" s="188">
        <f t="shared" si="6"/>
        <v>0</v>
      </c>
      <c r="N9" s="54">
        <f t="shared" ref="N9:N39" si="14">+B8</f>
        <v>0</v>
      </c>
      <c r="O9" s="670">
        <f t="shared" si="7"/>
        <v>0</v>
      </c>
      <c r="P9" s="670">
        <f t="shared" si="8"/>
        <v>0</v>
      </c>
      <c r="Q9" s="670">
        <f t="shared" si="9"/>
        <v>0</v>
      </c>
      <c r="R9" s="247">
        <f t="shared" ref="R9:R37" si="15">+(B9+B8)/2</f>
        <v>0</v>
      </c>
      <c r="S9" s="24">
        <f t="shared" si="10"/>
        <v>0</v>
      </c>
      <c r="T9" s="25">
        <f t="shared" si="11"/>
        <v>0</v>
      </c>
      <c r="U9" s="654">
        <f t="shared" si="12"/>
        <v>0</v>
      </c>
      <c r="V9" s="10"/>
      <c r="X9" s="1"/>
    </row>
    <row r="10" spans="1:24" x14ac:dyDescent="0.2">
      <c r="A10" s="33">
        <v>1997</v>
      </c>
      <c r="B10" s="30">
        <v>0</v>
      </c>
      <c r="C10" s="660">
        <f t="shared" si="0"/>
        <v>0</v>
      </c>
      <c r="D10" s="662">
        <f t="shared" si="1"/>
        <v>0</v>
      </c>
      <c r="E10" s="663">
        <f t="shared" si="2"/>
        <v>0</v>
      </c>
      <c r="F10" s="675">
        <f t="shared" si="3"/>
        <v>0</v>
      </c>
      <c r="G10" s="626">
        <v>0</v>
      </c>
      <c r="H10" s="72">
        <v>0</v>
      </c>
      <c r="I10" s="630">
        <v>0</v>
      </c>
      <c r="J10" s="61">
        <f t="shared" si="13"/>
        <v>0</v>
      </c>
      <c r="K10" s="188">
        <f t="shared" si="4"/>
        <v>0</v>
      </c>
      <c r="L10" s="188">
        <f t="shared" si="5"/>
        <v>0</v>
      </c>
      <c r="M10" s="188">
        <f t="shared" si="6"/>
        <v>0</v>
      </c>
      <c r="N10" s="54">
        <f t="shared" si="14"/>
        <v>0</v>
      </c>
      <c r="O10" s="670">
        <f t="shared" si="7"/>
        <v>0</v>
      </c>
      <c r="P10" s="670">
        <f t="shared" si="8"/>
        <v>0</v>
      </c>
      <c r="Q10" s="670">
        <f t="shared" si="9"/>
        <v>0</v>
      </c>
      <c r="R10" s="247">
        <f t="shared" si="15"/>
        <v>0</v>
      </c>
      <c r="S10" s="24">
        <f t="shared" si="10"/>
        <v>0</v>
      </c>
      <c r="T10" s="25">
        <f t="shared" si="11"/>
        <v>0</v>
      </c>
      <c r="U10" s="654">
        <f t="shared" si="12"/>
        <v>0</v>
      </c>
      <c r="V10" s="10"/>
      <c r="X10" s="1"/>
    </row>
    <row r="11" spans="1:24" x14ac:dyDescent="0.2">
      <c r="A11" s="33">
        <v>1998</v>
      </c>
      <c r="B11" s="30">
        <v>0</v>
      </c>
      <c r="C11" s="660">
        <f t="shared" si="0"/>
        <v>0</v>
      </c>
      <c r="D11" s="662">
        <f t="shared" si="1"/>
        <v>0</v>
      </c>
      <c r="E11" s="663">
        <f t="shared" si="2"/>
        <v>0</v>
      </c>
      <c r="F11" s="675">
        <f t="shared" si="3"/>
        <v>0</v>
      </c>
      <c r="G11" s="626">
        <v>0</v>
      </c>
      <c r="H11" s="72">
        <v>0</v>
      </c>
      <c r="I11" s="630">
        <v>0</v>
      </c>
      <c r="J11" s="61">
        <f t="shared" si="13"/>
        <v>0</v>
      </c>
      <c r="K11" s="188">
        <f t="shared" si="4"/>
        <v>0</v>
      </c>
      <c r="L11" s="188">
        <f t="shared" si="5"/>
        <v>0</v>
      </c>
      <c r="M11" s="188">
        <f t="shared" si="6"/>
        <v>0</v>
      </c>
      <c r="N11" s="54">
        <f t="shared" si="14"/>
        <v>0</v>
      </c>
      <c r="O11" s="670">
        <f t="shared" si="7"/>
        <v>0</v>
      </c>
      <c r="P11" s="670">
        <f t="shared" si="8"/>
        <v>0</v>
      </c>
      <c r="Q11" s="670">
        <f t="shared" si="9"/>
        <v>0</v>
      </c>
      <c r="R11" s="247">
        <f t="shared" si="15"/>
        <v>0</v>
      </c>
      <c r="S11" s="24">
        <f t="shared" si="10"/>
        <v>0</v>
      </c>
      <c r="T11" s="25">
        <f t="shared" si="11"/>
        <v>0</v>
      </c>
      <c r="U11" s="654">
        <f t="shared" si="12"/>
        <v>0</v>
      </c>
      <c r="V11" s="10"/>
      <c r="X11" s="1"/>
    </row>
    <row r="12" spans="1:24" x14ac:dyDescent="0.2">
      <c r="A12" s="33">
        <v>1999</v>
      </c>
      <c r="B12" s="30">
        <v>0</v>
      </c>
      <c r="C12" s="660">
        <f t="shared" si="0"/>
        <v>0</v>
      </c>
      <c r="D12" s="662">
        <f t="shared" si="1"/>
        <v>0</v>
      </c>
      <c r="E12" s="663">
        <f t="shared" si="2"/>
        <v>0</v>
      </c>
      <c r="F12" s="675">
        <f t="shared" si="3"/>
        <v>0</v>
      </c>
      <c r="G12" s="626">
        <v>0</v>
      </c>
      <c r="H12" s="72">
        <v>0</v>
      </c>
      <c r="I12" s="630">
        <v>0</v>
      </c>
      <c r="J12" s="61">
        <f t="shared" si="13"/>
        <v>0</v>
      </c>
      <c r="K12" s="188">
        <f t="shared" si="4"/>
        <v>0</v>
      </c>
      <c r="L12" s="188">
        <f t="shared" si="5"/>
        <v>0</v>
      </c>
      <c r="M12" s="188">
        <f t="shared" si="6"/>
        <v>0</v>
      </c>
      <c r="N12" s="54">
        <f t="shared" si="14"/>
        <v>0</v>
      </c>
      <c r="O12" s="670">
        <f t="shared" si="7"/>
        <v>0</v>
      </c>
      <c r="P12" s="670">
        <f t="shared" si="8"/>
        <v>0</v>
      </c>
      <c r="Q12" s="670">
        <f t="shared" si="9"/>
        <v>0</v>
      </c>
      <c r="R12" s="247">
        <f t="shared" si="15"/>
        <v>0</v>
      </c>
      <c r="S12" s="24">
        <f t="shared" si="10"/>
        <v>0</v>
      </c>
      <c r="T12" s="25">
        <f t="shared" si="11"/>
        <v>0</v>
      </c>
      <c r="U12" s="654">
        <f t="shared" si="12"/>
        <v>0</v>
      </c>
      <c r="V12" s="10"/>
      <c r="X12" s="1"/>
    </row>
    <row r="13" spans="1:24" x14ac:dyDescent="0.2">
      <c r="A13" s="33">
        <v>2000</v>
      </c>
      <c r="B13" s="30">
        <v>0</v>
      </c>
      <c r="C13" s="660">
        <f t="shared" si="0"/>
        <v>0</v>
      </c>
      <c r="D13" s="662">
        <f t="shared" si="1"/>
        <v>0</v>
      </c>
      <c r="E13" s="663">
        <f t="shared" si="2"/>
        <v>0</v>
      </c>
      <c r="F13" s="675">
        <f t="shared" si="3"/>
        <v>0</v>
      </c>
      <c r="G13" s="626">
        <v>0</v>
      </c>
      <c r="H13" s="72">
        <v>0</v>
      </c>
      <c r="I13" s="630">
        <v>0</v>
      </c>
      <c r="J13" s="61">
        <f t="shared" si="13"/>
        <v>0</v>
      </c>
      <c r="K13" s="188">
        <f t="shared" si="4"/>
        <v>0</v>
      </c>
      <c r="L13" s="188">
        <f t="shared" si="5"/>
        <v>0</v>
      </c>
      <c r="M13" s="188">
        <f t="shared" si="6"/>
        <v>0</v>
      </c>
      <c r="N13" s="54">
        <f t="shared" si="14"/>
        <v>0</v>
      </c>
      <c r="O13" s="670">
        <f t="shared" si="7"/>
        <v>0</v>
      </c>
      <c r="P13" s="670">
        <f t="shared" si="8"/>
        <v>0</v>
      </c>
      <c r="Q13" s="670">
        <f t="shared" si="9"/>
        <v>0</v>
      </c>
      <c r="R13" s="247">
        <f t="shared" si="15"/>
        <v>0</v>
      </c>
      <c r="S13" s="24">
        <f t="shared" si="10"/>
        <v>0</v>
      </c>
      <c r="T13" s="25">
        <f t="shared" si="11"/>
        <v>0</v>
      </c>
      <c r="U13" s="654">
        <f t="shared" si="12"/>
        <v>0</v>
      </c>
      <c r="V13" s="248"/>
      <c r="X13" s="1"/>
    </row>
    <row r="14" spans="1:24" x14ac:dyDescent="0.2">
      <c r="A14" s="33">
        <v>2001</v>
      </c>
      <c r="B14" s="30">
        <v>0</v>
      </c>
      <c r="C14" s="660">
        <f t="shared" si="0"/>
        <v>0</v>
      </c>
      <c r="D14" s="662">
        <f t="shared" si="1"/>
        <v>0</v>
      </c>
      <c r="E14" s="663">
        <f t="shared" si="2"/>
        <v>0</v>
      </c>
      <c r="F14" s="675">
        <f t="shared" si="3"/>
        <v>0</v>
      </c>
      <c r="G14" s="626">
        <v>0</v>
      </c>
      <c r="H14" s="72">
        <v>0</v>
      </c>
      <c r="I14" s="630">
        <v>0</v>
      </c>
      <c r="J14" s="61">
        <f t="shared" si="13"/>
        <v>0</v>
      </c>
      <c r="K14" s="188">
        <f t="shared" si="4"/>
        <v>0</v>
      </c>
      <c r="L14" s="188">
        <f t="shared" si="5"/>
        <v>0</v>
      </c>
      <c r="M14" s="188">
        <f t="shared" si="6"/>
        <v>0</v>
      </c>
      <c r="N14" s="54">
        <f t="shared" si="14"/>
        <v>0</v>
      </c>
      <c r="O14" s="670">
        <f t="shared" si="7"/>
        <v>0</v>
      </c>
      <c r="P14" s="670">
        <f t="shared" si="8"/>
        <v>0</v>
      </c>
      <c r="Q14" s="670">
        <f t="shared" si="9"/>
        <v>0</v>
      </c>
      <c r="R14" s="247">
        <f t="shared" si="15"/>
        <v>0</v>
      </c>
      <c r="S14" s="24">
        <f t="shared" si="10"/>
        <v>0</v>
      </c>
      <c r="T14" s="25">
        <f t="shared" si="11"/>
        <v>0</v>
      </c>
      <c r="U14" s="654">
        <f t="shared" si="12"/>
        <v>0</v>
      </c>
      <c r="V14" s="248"/>
      <c r="X14" s="1"/>
    </row>
    <row r="15" spans="1:24" x14ac:dyDescent="0.2">
      <c r="A15" s="33">
        <v>2002</v>
      </c>
      <c r="B15" s="30">
        <v>0</v>
      </c>
      <c r="C15" s="660">
        <f t="shared" si="0"/>
        <v>0</v>
      </c>
      <c r="D15" s="662">
        <f t="shared" si="1"/>
        <v>0</v>
      </c>
      <c r="E15" s="663">
        <f t="shared" si="2"/>
        <v>0</v>
      </c>
      <c r="F15" s="675">
        <f t="shared" si="3"/>
        <v>0</v>
      </c>
      <c r="G15" s="626">
        <v>0</v>
      </c>
      <c r="H15" s="72">
        <v>0</v>
      </c>
      <c r="I15" s="630">
        <v>0</v>
      </c>
      <c r="J15" s="61">
        <f t="shared" si="13"/>
        <v>0</v>
      </c>
      <c r="K15" s="188">
        <f t="shared" si="4"/>
        <v>0</v>
      </c>
      <c r="L15" s="188">
        <f t="shared" si="5"/>
        <v>0</v>
      </c>
      <c r="M15" s="188">
        <f t="shared" si="6"/>
        <v>0</v>
      </c>
      <c r="N15" s="54">
        <f t="shared" si="14"/>
        <v>0</v>
      </c>
      <c r="O15" s="670">
        <f t="shared" si="7"/>
        <v>0</v>
      </c>
      <c r="P15" s="670">
        <f t="shared" si="8"/>
        <v>0</v>
      </c>
      <c r="Q15" s="670">
        <f t="shared" si="9"/>
        <v>0</v>
      </c>
      <c r="R15" s="247">
        <f t="shared" si="15"/>
        <v>0</v>
      </c>
      <c r="S15" s="24">
        <f t="shared" si="10"/>
        <v>0</v>
      </c>
      <c r="T15" s="25">
        <f t="shared" si="11"/>
        <v>0</v>
      </c>
      <c r="U15" s="654">
        <f t="shared" si="12"/>
        <v>0</v>
      </c>
      <c r="V15" s="248"/>
      <c r="X15" s="1"/>
    </row>
    <row r="16" spans="1:24" x14ac:dyDescent="0.2">
      <c r="A16" s="33">
        <v>2003</v>
      </c>
      <c r="B16" s="30">
        <v>0</v>
      </c>
      <c r="C16" s="660">
        <f t="shared" si="0"/>
        <v>0</v>
      </c>
      <c r="D16" s="662">
        <f t="shared" si="1"/>
        <v>0</v>
      </c>
      <c r="E16" s="663">
        <f t="shared" si="2"/>
        <v>0</v>
      </c>
      <c r="F16" s="675">
        <f t="shared" si="3"/>
        <v>0</v>
      </c>
      <c r="G16" s="626">
        <v>0</v>
      </c>
      <c r="H16" s="72">
        <v>0</v>
      </c>
      <c r="I16" s="630">
        <v>0</v>
      </c>
      <c r="J16" s="61">
        <f t="shared" si="13"/>
        <v>0</v>
      </c>
      <c r="K16" s="188">
        <f t="shared" si="4"/>
        <v>0</v>
      </c>
      <c r="L16" s="188">
        <f t="shared" si="5"/>
        <v>0</v>
      </c>
      <c r="M16" s="188">
        <f t="shared" si="6"/>
        <v>0</v>
      </c>
      <c r="N16" s="54">
        <f t="shared" si="14"/>
        <v>0</v>
      </c>
      <c r="O16" s="670">
        <f t="shared" si="7"/>
        <v>0</v>
      </c>
      <c r="P16" s="670">
        <f t="shared" si="8"/>
        <v>0</v>
      </c>
      <c r="Q16" s="670">
        <f t="shared" si="9"/>
        <v>0</v>
      </c>
      <c r="R16" s="247">
        <f t="shared" si="15"/>
        <v>0</v>
      </c>
      <c r="S16" s="24">
        <f t="shared" si="10"/>
        <v>0</v>
      </c>
      <c r="T16" s="25">
        <f t="shared" si="11"/>
        <v>0</v>
      </c>
      <c r="U16" s="654">
        <f t="shared" si="12"/>
        <v>0</v>
      </c>
      <c r="V16" s="248"/>
      <c r="X16" s="1"/>
    </row>
    <row r="17" spans="1:24" x14ac:dyDescent="0.2">
      <c r="A17" s="33">
        <f t="shared" ref="A17:A54" si="16">+A16+1</f>
        <v>2004</v>
      </c>
      <c r="B17" s="30">
        <v>0</v>
      </c>
      <c r="C17" s="660">
        <f t="shared" si="0"/>
        <v>0</v>
      </c>
      <c r="D17" s="662">
        <f t="shared" si="1"/>
        <v>0</v>
      </c>
      <c r="E17" s="663">
        <f t="shared" si="2"/>
        <v>0</v>
      </c>
      <c r="F17" s="675">
        <f t="shared" si="3"/>
        <v>0</v>
      </c>
      <c r="G17" s="626">
        <v>0</v>
      </c>
      <c r="H17" s="72">
        <v>0</v>
      </c>
      <c r="I17" s="630">
        <v>0</v>
      </c>
      <c r="J17" s="61">
        <f t="shared" si="13"/>
        <v>0</v>
      </c>
      <c r="K17" s="188">
        <f t="shared" si="4"/>
        <v>0</v>
      </c>
      <c r="L17" s="188">
        <f t="shared" si="5"/>
        <v>0</v>
      </c>
      <c r="M17" s="188">
        <f t="shared" si="6"/>
        <v>0</v>
      </c>
      <c r="N17" s="54">
        <f t="shared" si="14"/>
        <v>0</v>
      </c>
      <c r="O17" s="670">
        <f t="shared" si="7"/>
        <v>0</v>
      </c>
      <c r="P17" s="670">
        <f t="shared" si="8"/>
        <v>0</v>
      </c>
      <c r="Q17" s="670">
        <f t="shared" si="9"/>
        <v>0</v>
      </c>
      <c r="R17" s="247">
        <f t="shared" si="15"/>
        <v>0</v>
      </c>
      <c r="S17" s="24">
        <f t="shared" si="10"/>
        <v>0</v>
      </c>
      <c r="T17" s="25">
        <f t="shared" si="11"/>
        <v>0</v>
      </c>
      <c r="U17" s="654">
        <f t="shared" si="12"/>
        <v>0</v>
      </c>
      <c r="V17" s="248"/>
      <c r="X17" s="1"/>
    </row>
    <row r="18" spans="1:24" x14ac:dyDescent="0.2">
      <c r="A18" s="33">
        <f t="shared" si="16"/>
        <v>2005</v>
      </c>
      <c r="B18" s="30">
        <v>0</v>
      </c>
      <c r="C18" s="660">
        <f t="shared" si="0"/>
        <v>0</v>
      </c>
      <c r="D18" s="662">
        <f t="shared" si="1"/>
        <v>0</v>
      </c>
      <c r="E18" s="663">
        <f t="shared" si="2"/>
        <v>0</v>
      </c>
      <c r="F18" s="675">
        <f t="shared" si="3"/>
        <v>0</v>
      </c>
      <c r="G18" s="626">
        <v>0</v>
      </c>
      <c r="H18" s="72">
        <v>0</v>
      </c>
      <c r="I18" s="630">
        <v>0</v>
      </c>
      <c r="J18" s="61">
        <f t="shared" si="13"/>
        <v>0</v>
      </c>
      <c r="K18" s="188">
        <f t="shared" si="4"/>
        <v>0</v>
      </c>
      <c r="L18" s="188">
        <f t="shared" si="5"/>
        <v>0</v>
      </c>
      <c r="M18" s="188">
        <f t="shared" si="6"/>
        <v>0</v>
      </c>
      <c r="N18" s="54">
        <f t="shared" si="14"/>
        <v>0</v>
      </c>
      <c r="O18" s="670">
        <f t="shared" si="7"/>
        <v>0</v>
      </c>
      <c r="P18" s="670">
        <f t="shared" si="8"/>
        <v>0</v>
      </c>
      <c r="Q18" s="670">
        <f t="shared" si="9"/>
        <v>0</v>
      </c>
      <c r="R18" s="247">
        <f t="shared" si="15"/>
        <v>0</v>
      </c>
      <c r="S18" s="24">
        <f t="shared" si="10"/>
        <v>0</v>
      </c>
      <c r="T18" s="25">
        <f t="shared" si="11"/>
        <v>0</v>
      </c>
      <c r="U18" s="654">
        <f t="shared" si="12"/>
        <v>0</v>
      </c>
      <c r="V18" s="248"/>
      <c r="X18" s="1"/>
    </row>
    <row r="19" spans="1:24" x14ac:dyDescent="0.2">
      <c r="A19" s="33">
        <f t="shared" si="16"/>
        <v>2006</v>
      </c>
      <c r="B19" s="30">
        <v>0</v>
      </c>
      <c r="C19" s="660">
        <f t="shared" si="0"/>
        <v>0</v>
      </c>
      <c r="D19" s="662">
        <f t="shared" si="1"/>
        <v>0</v>
      </c>
      <c r="E19" s="663">
        <f t="shared" si="2"/>
        <v>0</v>
      </c>
      <c r="F19" s="675">
        <f t="shared" si="3"/>
        <v>0</v>
      </c>
      <c r="G19" s="626">
        <v>0</v>
      </c>
      <c r="H19" s="72">
        <v>0</v>
      </c>
      <c r="I19" s="630">
        <v>0</v>
      </c>
      <c r="J19" s="61">
        <f t="shared" si="13"/>
        <v>0</v>
      </c>
      <c r="K19" s="188">
        <f t="shared" si="4"/>
        <v>0</v>
      </c>
      <c r="L19" s="188">
        <f t="shared" si="5"/>
        <v>0</v>
      </c>
      <c r="M19" s="188">
        <f t="shared" si="6"/>
        <v>0</v>
      </c>
      <c r="N19" s="54">
        <f t="shared" si="14"/>
        <v>0</v>
      </c>
      <c r="O19" s="670">
        <f t="shared" si="7"/>
        <v>0</v>
      </c>
      <c r="P19" s="670">
        <f t="shared" si="8"/>
        <v>0</v>
      </c>
      <c r="Q19" s="670">
        <f t="shared" si="9"/>
        <v>0</v>
      </c>
      <c r="R19" s="247">
        <f t="shared" si="15"/>
        <v>0</v>
      </c>
      <c r="S19" s="24">
        <f t="shared" si="10"/>
        <v>0</v>
      </c>
      <c r="T19" s="25">
        <f t="shared" si="11"/>
        <v>0</v>
      </c>
      <c r="U19" s="654">
        <f t="shared" si="12"/>
        <v>0</v>
      </c>
      <c r="V19" s="8"/>
      <c r="X19" s="1"/>
    </row>
    <row r="20" spans="1:24" x14ac:dyDescent="0.2">
      <c r="A20" s="33">
        <f t="shared" si="16"/>
        <v>2007</v>
      </c>
      <c r="B20" s="30">
        <v>0</v>
      </c>
      <c r="C20" s="660">
        <f t="shared" si="0"/>
        <v>0</v>
      </c>
      <c r="D20" s="662">
        <f>IF($B20=0,0,(G20*1000)/$B20)</f>
        <v>0</v>
      </c>
      <c r="E20" s="663">
        <f>IF($B20=0,0,(H20*1000)/$B20)</f>
        <v>0</v>
      </c>
      <c r="F20" s="675">
        <f>IF($B20=0,0,(I20*1000000)/$B20)</f>
        <v>0</v>
      </c>
      <c r="G20" s="626">
        <v>0</v>
      </c>
      <c r="H20" s="72">
        <v>0</v>
      </c>
      <c r="I20" s="630">
        <v>0</v>
      </c>
      <c r="J20" s="61">
        <f t="shared" si="13"/>
        <v>0</v>
      </c>
      <c r="K20" s="188">
        <f t="shared" si="4"/>
        <v>0</v>
      </c>
      <c r="L20" s="188">
        <f t="shared" si="5"/>
        <v>0</v>
      </c>
      <c r="M20" s="188">
        <f t="shared" si="6"/>
        <v>0</v>
      </c>
      <c r="N20" s="54">
        <f t="shared" si="14"/>
        <v>0</v>
      </c>
      <c r="O20" s="670">
        <f t="shared" si="7"/>
        <v>0</v>
      </c>
      <c r="P20" s="670">
        <f t="shared" si="8"/>
        <v>0</v>
      </c>
      <c r="Q20" s="670">
        <f t="shared" si="9"/>
        <v>0</v>
      </c>
      <c r="R20" s="247">
        <f t="shared" si="15"/>
        <v>0</v>
      </c>
      <c r="S20" s="24">
        <f t="shared" si="10"/>
        <v>0</v>
      </c>
      <c r="T20" s="25">
        <f t="shared" si="11"/>
        <v>0</v>
      </c>
      <c r="U20" s="654">
        <f t="shared" si="12"/>
        <v>0</v>
      </c>
    </row>
    <row r="21" spans="1:24" x14ac:dyDescent="0.2">
      <c r="A21" s="33">
        <f t="shared" si="16"/>
        <v>2008</v>
      </c>
      <c r="B21" s="30">
        <v>5</v>
      </c>
      <c r="C21" s="660">
        <f t="shared" si="0"/>
        <v>5</v>
      </c>
      <c r="D21" s="662">
        <v>0.73</v>
      </c>
      <c r="E21" s="663">
        <v>7.0000000000000007E-2</v>
      </c>
      <c r="F21" s="617">
        <v>2560</v>
      </c>
      <c r="G21" s="626">
        <f>+$B21*D21/1000</f>
        <v>3.65E-3</v>
      </c>
      <c r="H21" s="72">
        <f>+$B21*E21/1000</f>
        <v>3.5000000000000005E-4</v>
      </c>
      <c r="I21" s="630">
        <f>+$B21*F21/1000000</f>
        <v>1.2800000000000001E-2</v>
      </c>
      <c r="J21" s="61">
        <f t="shared" si="13"/>
        <v>2.5</v>
      </c>
      <c r="K21" s="188">
        <f t="shared" si="4"/>
        <v>0.73</v>
      </c>
      <c r="L21" s="188">
        <f t="shared" si="5"/>
        <v>1.825E-3</v>
      </c>
      <c r="M21" s="188">
        <f t="shared" si="6"/>
        <v>1.825E-3</v>
      </c>
      <c r="N21" s="54">
        <f t="shared" si="14"/>
        <v>0</v>
      </c>
      <c r="O21" s="670">
        <f t="shared" si="7"/>
        <v>7.0000000000000007E-2</v>
      </c>
      <c r="P21" s="670">
        <f t="shared" si="8"/>
        <v>0</v>
      </c>
      <c r="Q21" s="670">
        <f t="shared" si="9"/>
        <v>0</v>
      </c>
      <c r="R21" s="247">
        <f t="shared" si="15"/>
        <v>2.5</v>
      </c>
      <c r="S21" s="24">
        <f t="shared" si="10"/>
        <v>2560</v>
      </c>
      <c r="T21" s="25">
        <f t="shared" si="11"/>
        <v>6.4000000000000003E-3</v>
      </c>
      <c r="U21" s="654">
        <f t="shared" si="12"/>
        <v>6.4000000000000003E-3</v>
      </c>
    </row>
    <row r="22" spans="1:24" x14ac:dyDescent="0.2">
      <c r="A22" s="33">
        <f t="shared" si="16"/>
        <v>2009</v>
      </c>
      <c r="B22" s="30">
        <v>31</v>
      </c>
      <c r="C22" s="660">
        <f t="shared" si="0"/>
        <v>36</v>
      </c>
      <c r="D22" s="662">
        <v>0.80516129032258066</v>
      </c>
      <c r="E22" s="663">
        <v>2.3225806451612901E-2</v>
      </c>
      <c r="F22" s="617">
        <v>3312.0645161290322</v>
      </c>
      <c r="G22" s="626">
        <f t="shared" ref="G22:G39" si="17">+$B22*D22/1000</f>
        <v>2.496E-2</v>
      </c>
      <c r="H22" s="72">
        <f t="shared" ref="H22:H39" si="18">+$B22*E22/1000</f>
        <v>7.1999999999999994E-4</v>
      </c>
      <c r="I22" s="630">
        <f t="shared" ref="I22:I39" si="19">+$B22*F22/1000000</f>
        <v>0.102674</v>
      </c>
      <c r="J22" s="61">
        <f t="shared" si="13"/>
        <v>18</v>
      </c>
      <c r="K22" s="188">
        <f t="shared" si="4"/>
        <v>0.80516129032258066</v>
      </c>
      <c r="L22" s="188">
        <f t="shared" si="5"/>
        <v>1.4492903225806451E-2</v>
      </c>
      <c r="M22" s="188">
        <f t="shared" si="6"/>
        <v>1.6317903225806452E-2</v>
      </c>
      <c r="N22" s="54">
        <f t="shared" si="14"/>
        <v>5</v>
      </c>
      <c r="O22" s="670">
        <f t="shared" si="7"/>
        <v>2.3225806451612901E-2</v>
      </c>
      <c r="P22" s="670">
        <f t="shared" si="8"/>
        <v>1.161290322580645E-4</v>
      </c>
      <c r="Q22" s="670">
        <f t="shared" si="9"/>
        <v>1.161290322580645E-4</v>
      </c>
      <c r="R22" s="247">
        <f t="shared" si="15"/>
        <v>18</v>
      </c>
      <c r="S22" s="24">
        <f t="shared" si="10"/>
        <v>3312.0645161290322</v>
      </c>
      <c r="T22" s="25">
        <f t="shared" si="11"/>
        <v>5.9617161290322573E-2</v>
      </c>
      <c r="U22" s="654">
        <f t="shared" si="12"/>
        <v>6.6017161290322576E-2</v>
      </c>
    </row>
    <row r="23" spans="1:24" x14ac:dyDescent="0.2">
      <c r="A23" s="33">
        <f t="shared" si="16"/>
        <v>2010</v>
      </c>
      <c r="B23" s="605">
        <v>0</v>
      </c>
      <c r="C23" s="661">
        <f t="shared" si="0"/>
        <v>36</v>
      </c>
      <c r="D23" s="662">
        <v>7.6079999999999997</v>
      </c>
      <c r="E23" s="663">
        <v>0.182</v>
      </c>
      <c r="F23" s="617">
        <v>6089</v>
      </c>
      <c r="G23" s="626">
        <f t="shared" si="17"/>
        <v>0</v>
      </c>
      <c r="H23" s="72">
        <f t="shared" si="18"/>
        <v>0</v>
      </c>
      <c r="I23" s="630">
        <f t="shared" si="19"/>
        <v>0</v>
      </c>
      <c r="J23" s="666">
        <f t="shared" si="13"/>
        <v>15.5</v>
      </c>
      <c r="K23" s="188">
        <f t="shared" si="4"/>
        <v>7.6079999999999997</v>
      </c>
      <c r="L23" s="188">
        <f t="shared" si="5"/>
        <v>0.11792399999999999</v>
      </c>
      <c r="M23" s="188">
        <f t="shared" si="6"/>
        <v>0.13424190322580642</v>
      </c>
      <c r="N23" s="669">
        <f t="shared" si="14"/>
        <v>31</v>
      </c>
      <c r="O23" s="670">
        <f t="shared" si="7"/>
        <v>0.182</v>
      </c>
      <c r="P23" s="670">
        <f t="shared" si="8"/>
        <v>5.6419999999999994E-3</v>
      </c>
      <c r="Q23" s="670">
        <f t="shared" si="9"/>
        <v>5.7581290322580641E-3</v>
      </c>
      <c r="R23" s="247">
        <f t="shared" si="15"/>
        <v>15.5</v>
      </c>
      <c r="S23" s="24">
        <f t="shared" si="10"/>
        <v>6089</v>
      </c>
      <c r="T23" s="25">
        <f t="shared" si="11"/>
        <v>9.4379500000000005E-2</v>
      </c>
      <c r="U23" s="654">
        <f t="shared" si="12"/>
        <v>0.1603966612903226</v>
      </c>
    </row>
    <row r="24" spans="1:24" x14ac:dyDescent="0.2">
      <c r="A24" s="33">
        <f t="shared" si="16"/>
        <v>2011</v>
      </c>
      <c r="B24" s="605">
        <v>0</v>
      </c>
      <c r="C24" s="661">
        <f t="shared" si="0"/>
        <v>36</v>
      </c>
      <c r="D24" s="662">
        <v>2.4268181818181818</v>
      </c>
      <c r="E24" s="663">
        <v>6.7045454545454547E-2</v>
      </c>
      <c r="F24" s="617">
        <v>3342.590909090909</v>
      </c>
      <c r="G24" s="626">
        <f t="shared" si="17"/>
        <v>0</v>
      </c>
      <c r="H24" s="72">
        <f t="shared" si="18"/>
        <v>0</v>
      </c>
      <c r="I24" s="630">
        <f t="shared" si="19"/>
        <v>0</v>
      </c>
      <c r="J24" s="666">
        <f t="shared" si="13"/>
        <v>0</v>
      </c>
      <c r="K24" s="188">
        <f t="shared" si="4"/>
        <v>2.4268181818181818</v>
      </c>
      <c r="L24" s="188">
        <f t="shared" si="5"/>
        <v>0</v>
      </c>
      <c r="M24" s="188">
        <f t="shared" si="6"/>
        <v>0.13424190322580642</v>
      </c>
      <c r="N24" s="669">
        <f t="shared" si="14"/>
        <v>0</v>
      </c>
      <c r="O24" s="670">
        <f t="shared" si="7"/>
        <v>6.7045454545454547E-2</v>
      </c>
      <c r="P24" s="670">
        <f t="shared" si="8"/>
        <v>0</v>
      </c>
      <c r="Q24" s="670">
        <f t="shared" si="9"/>
        <v>5.7581290322580641E-3</v>
      </c>
      <c r="R24" s="247">
        <f t="shared" si="15"/>
        <v>0</v>
      </c>
      <c r="S24" s="24">
        <f t="shared" si="10"/>
        <v>3342.590909090909</v>
      </c>
      <c r="T24" s="25">
        <f t="shared" si="11"/>
        <v>0</v>
      </c>
      <c r="U24" s="654">
        <f t="shared" si="12"/>
        <v>0.1603966612903226</v>
      </c>
    </row>
    <row r="25" spans="1:24" x14ac:dyDescent="0.2">
      <c r="A25" s="33">
        <f t="shared" si="16"/>
        <v>2012</v>
      </c>
      <c r="B25" s="30">
        <v>96</v>
      </c>
      <c r="C25" s="661">
        <f t="shared" si="0"/>
        <v>132</v>
      </c>
      <c r="D25" s="662">
        <v>2.1711458333333336</v>
      </c>
      <c r="E25" s="663">
        <v>1.6562500000000001E-2</v>
      </c>
      <c r="F25" s="617">
        <v>6159.34375</v>
      </c>
      <c r="G25" s="626">
        <f t="shared" si="17"/>
        <v>0.20843</v>
      </c>
      <c r="H25" s="72">
        <f t="shared" si="18"/>
        <v>1.5900000000000001E-3</v>
      </c>
      <c r="I25" s="630">
        <f t="shared" si="19"/>
        <v>0.59129699999999996</v>
      </c>
      <c r="J25" s="666">
        <f t="shared" si="13"/>
        <v>48</v>
      </c>
      <c r="K25" s="188">
        <f t="shared" si="4"/>
        <v>2.1711458333333336</v>
      </c>
      <c r="L25" s="188">
        <f t="shared" si="5"/>
        <v>0.104215</v>
      </c>
      <c r="M25" s="188">
        <f t="shared" si="6"/>
        <v>0.23845690322580643</v>
      </c>
      <c r="N25" s="669">
        <f t="shared" si="14"/>
        <v>0</v>
      </c>
      <c r="O25" s="670">
        <f t="shared" si="7"/>
        <v>1.6562500000000001E-2</v>
      </c>
      <c r="P25" s="670">
        <f t="shared" si="8"/>
        <v>0</v>
      </c>
      <c r="Q25" s="670">
        <f t="shared" si="9"/>
        <v>5.7581290322580641E-3</v>
      </c>
      <c r="R25" s="247">
        <f t="shared" si="15"/>
        <v>48</v>
      </c>
      <c r="S25" s="24">
        <f t="shared" si="10"/>
        <v>6159.34375</v>
      </c>
      <c r="T25" s="25">
        <f t="shared" si="11"/>
        <v>0.29564849999999998</v>
      </c>
      <c r="U25" s="654">
        <f t="shared" si="12"/>
        <v>0.45604516129032258</v>
      </c>
    </row>
    <row r="26" spans="1:24" x14ac:dyDescent="0.2">
      <c r="A26" s="33">
        <f t="shared" si="16"/>
        <v>2013</v>
      </c>
      <c r="B26" s="30">
        <v>104</v>
      </c>
      <c r="C26" s="661">
        <f t="shared" si="0"/>
        <v>236</v>
      </c>
      <c r="D26" s="662">
        <v>1.9042307692307694</v>
      </c>
      <c r="E26" s="663">
        <v>1.7692307692307695E-2</v>
      </c>
      <c r="F26" s="617">
        <v>6290.2307692307695</v>
      </c>
      <c r="G26" s="626">
        <f t="shared" si="17"/>
        <v>0.19804000000000002</v>
      </c>
      <c r="H26" s="72">
        <f t="shared" si="18"/>
        <v>1.8400000000000003E-3</v>
      </c>
      <c r="I26" s="630">
        <f t="shared" si="19"/>
        <v>0.65418399999999999</v>
      </c>
      <c r="J26" s="666">
        <f t="shared" si="13"/>
        <v>100</v>
      </c>
      <c r="K26" s="188">
        <f t="shared" si="4"/>
        <v>1.9042307692307694</v>
      </c>
      <c r="L26" s="188">
        <f t="shared" si="5"/>
        <v>0.19042307692307694</v>
      </c>
      <c r="M26" s="188">
        <f t="shared" si="6"/>
        <v>0.4288799801488834</v>
      </c>
      <c r="N26" s="669">
        <f t="shared" si="14"/>
        <v>96</v>
      </c>
      <c r="O26" s="670">
        <f t="shared" si="7"/>
        <v>1.7692307692307695E-2</v>
      </c>
      <c r="P26" s="670">
        <f t="shared" si="8"/>
        <v>1.6984615384615387E-3</v>
      </c>
      <c r="Q26" s="670">
        <f t="shared" si="9"/>
        <v>7.4565905707196026E-3</v>
      </c>
      <c r="R26" s="247">
        <f t="shared" si="15"/>
        <v>100</v>
      </c>
      <c r="S26" s="24">
        <f t="shared" si="10"/>
        <v>6290.2307692307695</v>
      </c>
      <c r="T26" s="25">
        <f t="shared" si="11"/>
        <v>0.62902307692307702</v>
      </c>
      <c r="U26" s="654">
        <f t="shared" si="12"/>
        <v>1.0850682382133996</v>
      </c>
    </row>
    <row r="27" spans="1:24" x14ac:dyDescent="0.2">
      <c r="A27" s="33">
        <f t="shared" si="16"/>
        <v>2014</v>
      </c>
      <c r="B27" s="30">
        <f t="shared" ref="B27" si="20">G82</f>
        <v>65</v>
      </c>
      <c r="C27" s="661">
        <f t="shared" si="0"/>
        <v>301</v>
      </c>
      <c r="D27" s="807">
        <f t="shared" ref="D27" si="21">J82</f>
        <v>6.6027692307692307</v>
      </c>
      <c r="E27" s="808">
        <f t="shared" ref="E27" si="22">L82</f>
        <v>2.1538461538461538E-2</v>
      </c>
      <c r="F27" s="806">
        <f t="shared" ref="F27" si="23">N82</f>
        <v>6933.9230769230771</v>
      </c>
      <c r="G27" s="626">
        <f t="shared" si="17"/>
        <v>0.42918000000000001</v>
      </c>
      <c r="H27" s="72">
        <f t="shared" si="18"/>
        <v>1.4E-3</v>
      </c>
      <c r="I27" s="630">
        <f t="shared" si="19"/>
        <v>0.45070500000000002</v>
      </c>
      <c r="J27" s="666">
        <f t="shared" si="13"/>
        <v>84.5</v>
      </c>
      <c r="K27" s="188">
        <f t="shared" si="4"/>
        <v>6.6027692307692307</v>
      </c>
      <c r="L27" s="188">
        <f t="shared" si="5"/>
        <v>0.55793399999999993</v>
      </c>
      <c r="M27" s="188">
        <f t="shared" si="6"/>
        <v>0.98681398014888333</v>
      </c>
      <c r="N27" s="669">
        <f t="shared" si="14"/>
        <v>104</v>
      </c>
      <c r="O27" s="670">
        <f t="shared" si="7"/>
        <v>2.1538461538461538E-2</v>
      </c>
      <c r="P27" s="670">
        <f t="shared" si="8"/>
        <v>2.2399999999999998E-3</v>
      </c>
      <c r="Q27" s="670">
        <f t="shared" si="9"/>
        <v>9.6965905707196015E-3</v>
      </c>
      <c r="R27" s="247">
        <f t="shared" si="15"/>
        <v>84.5</v>
      </c>
      <c r="S27" s="24">
        <f t="shared" si="10"/>
        <v>6933.9230769230771</v>
      </c>
      <c r="T27" s="25">
        <f t="shared" si="11"/>
        <v>0.58591649999999995</v>
      </c>
      <c r="U27" s="654">
        <f t="shared" si="12"/>
        <v>1.6709847382133995</v>
      </c>
    </row>
    <row r="28" spans="1:24" ht="13.5" thickBot="1" x14ac:dyDescent="0.25">
      <c r="A28" s="34">
        <f t="shared" si="16"/>
        <v>2015</v>
      </c>
      <c r="B28" s="30">
        <v>20</v>
      </c>
      <c r="C28" s="624">
        <f t="shared" si="0"/>
        <v>321</v>
      </c>
      <c r="D28" s="664">
        <f>D64</f>
        <v>13.056999999999999</v>
      </c>
      <c r="E28" s="664">
        <f t="shared" ref="E28:F28" si="24">E64</f>
        <v>0.19600000000000001</v>
      </c>
      <c r="F28" s="400">
        <f t="shared" si="24"/>
        <v>9785.2000000000007</v>
      </c>
      <c r="G28" s="621">
        <f t="shared" si="17"/>
        <v>0.26113999999999998</v>
      </c>
      <c r="H28" s="448">
        <f t="shared" si="18"/>
        <v>3.9199999999999999E-3</v>
      </c>
      <c r="I28" s="622">
        <f t="shared" si="19"/>
        <v>0.19570399999999999</v>
      </c>
      <c r="J28" s="667">
        <f t="shared" si="13"/>
        <v>42.5</v>
      </c>
      <c r="K28" s="287">
        <f t="shared" si="4"/>
        <v>13.056999999999999</v>
      </c>
      <c r="L28" s="287">
        <f t="shared" si="5"/>
        <v>0.55492249999999987</v>
      </c>
      <c r="M28" s="668">
        <f t="shared" si="6"/>
        <v>1.5417364801488831</v>
      </c>
      <c r="N28" s="672">
        <f t="shared" si="14"/>
        <v>65</v>
      </c>
      <c r="O28" s="673">
        <f t="shared" si="7"/>
        <v>0.19600000000000001</v>
      </c>
      <c r="P28" s="673">
        <f t="shared" si="8"/>
        <v>1.274E-2</v>
      </c>
      <c r="Q28" s="674">
        <f t="shared" si="9"/>
        <v>2.2436590570719603E-2</v>
      </c>
      <c r="R28" s="401">
        <f t="shared" si="15"/>
        <v>42.5</v>
      </c>
      <c r="S28" s="156">
        <f t="shared" si="10"/>
        <v>9785.2000000000007</v>
      </c>
      <c r="T28" s="157">
        <f t="shared" si="11"/>
        <v>0.41587100000000005</v>
      </c>
      <c r="U28" s="655">
        <f t="shared" si="12"/>
        <v>2.0868557382133996</v>
      </c>
    </row>
    <row r="29" spans="1:24" x14ac:dyDescent="0.2">
      <c r="A29" s="33">
        <f t="shared" si="16"/>
        <v>2016</v>
      </c>
      <c r="B29" s="1036"/>
      <c r="C29" s="565">
        <f t="shared" si="0"/>
        <v>321</v>
      </c>
      <c r="D29" s="965"/>
      <c r="E29" s="966"/>
      <c r="F29" s="790"/>
      <c r="G29" s="473">
        <f t="shared" si="17"/>
        <v>0</v>
      </c>
      <c r="H29" s="474">
        <f t="shared" si="18"/>
        <v>0</v>
      </c>
      <c r="I29" s="474">
        <f t="shared" si="19"/>
        <v>0</v>
      </c>
      <c r="J29" s="61">
        <f t="shared" si="13"/>
        <v>10</v>
      </c>
      <c r="K29" s="967">
        <f t="shared" si="4"/>
        <v>0</v>
      </c>
      <c r="L29" s="967">
        <f t="shared" si="5"/>
        <v>0</v>
      </c>
      <c r="M29" s="967">
        <f t="shared" si="6"/>
        <v>1.5417364801488831</v>
      </c>
      <c r="N29" s="54">
        <f t="shared" si="14"/>
        <v>20</v>
      </c>
      <c r="O29" s="968">
        <f t="shared" si="7"/>
        <v>0</v>
      </c>
      <c r="P29" s="968">
        <f t="shared" si="8"/>
        <v>0</v>
      </c>
      <c r="Q29" s="969">
        <f t="shared" si="9"/>
        <v>2.2436590570719603E-2</v>
      </c>
      <c r="R29" s="247">
        <f t="shared" si="15"/>
        <v>10</v>
      </c>
      <c r="S29" s="24">
        <f t="shared" si="10"/>
        <v>0</v>
      </c>
      <c r="T29" s="970">
        <f t="shared" si="11"/>
        <v>0</v>
      </c>
      <c r="U29" s="971">
        <f t="shared" si="12"/>
        <v>2.0868557382133996</v>
      </c>
    </row>
    <row r="30" spans="1:24" x14ac:dyDescent="0.2">
      <c r="A30" s="33">
        <f t="shared" si="16"/>
        <v>2017</v>
      </c>
      <c r="B30" s="1036"/>
      <c r="C30" s="565">
        <f t="shared" si="0"/>
        <v>321</v>
      </c>
      <c r="D30" s="965"/>
      <c r="E30" s="966"/>
      <c r="F30" s="790"/>
      <c r="G30" s="473">
        <f t="shared" si="17"/>
        <v>0</v>
      </c>
      <c r="H30" s="474">
        <f t="shared" si="18"/>
        <v>0</v>
      </c>
      <c r="I30" s="474">
        <f t="shared" si="19"/>
        <v>0</v>
      </c>
      <c r="J30" s="61">
        <f t="shared" si="13"/>
        <v>0</v>
      </c>
      <c r="K30" s="967">
        <f t="shared" si="4"/>
        <v>0</v>
      </c>
      <c r="L30" s="967">
        <f t="shared" si="5"/>
        <v>0</v>
      </c>
      <c r="M30" s="967">
        <f t="shared" si="6"/>
        <v>1.5417364801488831</v>
      </c>
      <c r="N30" s="54">
        <f t="shared" si="14"/>
        <v>0</v>
      </c>
      <c r="O30" s="968">
        <f t="shared" si="7"/>
        <v>0</v>
      </c>
      <c r="P30" s="968">
        <f t="shared" si="8"/>
        <v>0</v>
      </c>
      <c r="Q30" s="969">
        <f t="shared" si="9"/>
        <v>2.2436590570719603E-2</v>
      </c>
      <c r="R30" s="247">
        <f t="shared" si="15"/>
        <v>0</v>
      </c>
      <c r="S30" s="24">
        <f t="shared" si="10"/>
        <v>0</v>
      </c>
      <c r="T30" s="970">
        <f t="shared" si="11"/>
        <v>0</v>
      </c>
      <c r="U30" s="971">
        <f t="shared" si="12"/>
        <v>2.0868557382133996</v>
      </c>
    </row>
    <row r="31" spans="1:24" x14ac:dyDescent="0.2">
      <c r="A31" s="33">
        <f t="shared" si="16"/>
        <v>2018</v>
      </c>
      <c r="B31" s="1036"/>
      <c r="C31" s="565">
        <f t="shared" si="0"/>
        <v>321</v>
      </c>
      <c r="D31" s="965"/>
      <c r="E31" s="966"/>
      <c r="F31" s="790"/>
      <c r="G31" s="473">
        <f t="shared" si="17"/>
        <v>0</v>
      </c>
      <c r="H31" s="474">
        <f t="shared" si="18"/>
        <v>0</v>
      </c>
      <c r="I31" s="474">
        <f t="shared" si="19"/>
        <v>0</v>
      </c>
      <c r="J31" s="61">
        <f t="shared" si="13"/>
        <v>0</v>
      </c>
      <c r="K31" s="967">
        <f t="shared" si="4"/>
        <v>0</v>
      </c>
      <c r="L31" s="967">
        <f t="shared" si="5"/>
        <v>0</v>
      </c>
      <c r="M31" s="967">
        <f t="shared" si="6"/>
        <v>1.5417364801488831</v>
      </c>
      <c r="N31" s="54">
        <f t="shared" si="14"/>
        <v>0</v>
      </c>
      <c r="O31" s="968">
        <f t="shared" si="7"/>
        <v>0</v>
      </c>
      <c r="P31" s="968">
        <f t="shared" si="8"/>
        <v>0</v>
      </c>
      <c r="Q31" s="969">
        <f t="shared" si="9"/>
        <v>2.2436590570719603E-2</v>
      </c>
      <c r="R31" s="247">
        <f t="shared" si="15"/>
        <v>0</v>
      </c>
      <c r="S31" s="24">
        <f t="shared" si="10"/>
        <v>0</v>
      </c>
      <c r="T31" s="970">
        <f t="shared" si="11"/>
        <v>0</v>
      </c>
      <c r="U31" s="971">
        <f t="shared" si="12"/>
        <v>2.0868557382133996</v>
      </c>
    </row>
    <row r="32" spans="1:24" x14ac:dyDescent="0.2">
      <c r="A32" s="33">
        <f t="shared" si="16"/>
        <v>2019</v>
      </c>
      <c r="B32" s="1036"/>
      <c r="C32" s="565">
        <f t="shared" si="0"/>
        <v>321</v>
      </c>
      <c r="D32" s="965"/>
      <c r="E32" s="966"/>
      <c r="F32" s="790"/>
      <c r="G32" s="473">
        <f t="shared" si="17"/>
        <v>0</v>
      </c>
      <c r="H32" s="474">
        <f t="shared" si="18"/>
        <v>0</v>
      </c>
      <c r="I32" s="474">
        <f t="shared" si="19"/>
        <v>0</v>
      </c>
      <c r="J32" s="61">
        <f t="shared" si="13"/>
        <v>0</v>
      </c>
      <c r="K32" s="967">
        <f t="shared" si="4"/>
        <v>0</v>
      </c>
      <c r="L32" s="967">
        <f t="shared" si="5"/>
        <v>0</v>
      </c>
      <c r="M32" s="967">
        <f t="shared" si="6"/>
        <v>1.5417364801488831</v>
      </c>
      <c r="N32" s="54">
        <f t="shared" si="14"/>
        <v>0</v>
      </c>
      <c r="O32" s="968">
        <f t="shared" si="7"/>
        <v>0</v>
      </c>
      <c r="P32" s="968">
        <f t="shared" si="8"/>
        <v>0</v>
      </c>
      <c r="Q32" s="969">
        <f t="shared" si="9"/>
        <v>2.2436590570719603E-2</v>
      </c>
      <c r="R32" s="247">
        <f t="shared" si="15"/>
        <v>0</v>
      </c>
      <c r="S32" s="24">
        <f t="shared" si="10"/>
        <v>0</v>
      </c>
      <c r="T32" s="970">
        <f t="shared" si="11"/>
        <v>0</v>
      </c>
      <c r="U32" s="971">
        <f t="shared" si="12"/>
        <v>2.0868557382133996</v>
      </c>
    </row>
    <row r="33" spans="1:21" x14ac:dyDescent="0.2">
      <c r="A33" s="33">
        <f t="shared" si="16"/>
        <v>2020</v>
      </c>
      <c r="B33" s="1036"/>
      <c r="C33" s="565">
        <f t="shared" si="0"/>
        <v>321</v>
      </c>
      <c r="D33" s="965"/>
      <c r="E33" s="966"/>
      <c r="F33" s="790"/>
      <c r="G33" s="473">
        <f t="shared" si="17"/>
        <v>0</v>
      </c>
      <c r="H33" s="474">
        <f t="shared" si="18"/>
        <v>0</v>
      </c>
      <c r="I33" s="474">
        <f t="shared" si="19"/>
        <v>0</v>
      </c>
      <c r="J33" s="61">
        <f t="shared" si="13"/>
        <v>0</v>
      </c>
      <c r="K33" s="967">
        <f t="shared" si="4"/>
        <v>0</v>
      </c>
      <c r="L33" s="967">
        <f t="shared" si="5"/>
        <v>0</v>
      </c>
      <c r="M33" s="967">
        <f t="shared" si="6"/>
        <v>1.5417364801488831</v>
      </c>
      <c r="N33" s="54">
        <f t="shared" si="14"/>
        <v>0</v>
      </c>
      <c r="O33" s="968">
        <f t="shared" si="7"/>
        <v>0</v>
      </c>
      <c r="P33" s="968">
        <f t="shared" si="8"/>
        <v>0</v>
      </c>
      <c r="Q33" s="969">
        <f t="shared" si="9"/>
        <v>2.2436590570719603E-2</v>
      </c>
      <c r="R33" s="247">
        <f t="shared" si="15"/>
        <v>0</v>
      </c>
      <c r="S33" s="24">
        <f t="shared" si="10"/>
        <v>0</v>
      </c>
      <c r="T33" s="970">
        <f t="shared" si="11"/>
        <v>0</v>
      </c>
      <c r="U33" s="971">
        <f t="shared" si="12"/>
        <v>2.0868557382133996</v>
      </c>
    </row>
    <row r="34" spans="1:21" x14ac:dyDescent="0.2">
      <c r="A34" s="33">
        <f t="shared" si="16"/>
        <v>2021</v>
      </c>
      <c r="B34" s="1036"/>
      <c r="C34" s="565">
        <f t="shared" si="0"/>
        <v>321</v>
      </c>
      <c r="D34" s="965"/>
      <c r="E34" s="966"/>
      <c r="F34" s="790"/>
      <c r="G34" s="473">
        <f t="shared" si="17"/>
        <v>0</v>
      </c>
      <c r="H34" s="474">
        <f t="shared" si="18"/>
        <v>0</v>
      </c>
      <c r="I34" s="474">
        <f t="shared" si="19"/>
        <v>0</v>
      </c>
      <c r="J34" s="61">
        <f t="shared" si="13"/>
        <v>0</v>
      </c>
      <c r="K34" s="967">
        <f t="shared" si="4"/>
        <v>0</v>
      </c>
      <c r="L34" s="967">
        <f t="shared" si="5"/>
        <v>0</v>
      </c>
      <c r="M34" s="967">
        <f t="shared" si="6"/>
        <v>1.5417364801488831</v>
      </c>
      <c r="N34" s="54">
        <f t="shared" si="14"/>
        <v>0</v>
      </c>
      <c r="O34" s="968">
        <f t="shared" si="7"/>
        <v>0</v>
      </c>
      <c r="P34" s="968">
        <f t="shared" si="8"/>
        <v>0</v>
      </c>
      <c r="Q34" s="969">
        <f t="shared" si="9"/>
        <v>2.2436590570719603E-2</v>
      </c>
      <c r="R34" s="247">
        <f t="shared" si="15"/>
        <v>0</v>
      </c>
      <c r="S34" s="24">
        <f t="shared" si="10"/>
        <v>0</v>
      </c>
      <c r="T34" s="970">
        <f t="shared" si="11"/>
        <v>0</v>
      </c>
      <c r="U34" s="971">
        <f t="shared" si="12"/>
        <v>2.0868557382133996</v>
      </c>
    </row>
    <row r="35" spans="1:21" x14ac:dyDescent="0.2">
      <c r="A35" s="33">
        <f t="shared" si="16"/>
        <v>2022</v>
      </c>
      <c r="B35" s="1036"/>
      <c r="C35" s="565">
        <f t="shared" si="0"/>
        <v>321</v>
      </c>
      <c r="D35" s="965"/>
      <c r="E35" s="966"/>
      <c r="F35" s="790"/>
      <c r="G35" s="473">
        <f t="shared" si="17"/>
        <v>0</v>
      </c>
      <c r="H35" s="474">
        <f t="shared" si="18"/>
        <v>0</v>
      </c>
      <c r="I35" s="474">
        <f t="shared" si="19"/>
        <v>0</v>
      </c>
      <c r="J35" s="61">
        <f t="shared" si="13"/>
        <v>0</v>
      </c>
      <c r="K35" s="967">
        <f t="shared" si="4"/>
        <v>0</v>
      </c>
      <c r="L35" s="967">
        <f t="shared" si="5"/>
        <v>0</v>
      </c>
      <c r="M35" s="967">
        <f t="shared" si="6"/>
        <v>1.5417364801488831</v>
      </c>
      <c r="N35" s="54">
        <f t="shared" si="14"/>
        <v>0</v>
      </c>
      <c r="O35" s="968">
        <f t="shared" si="7"/>
        <v>0</v>
      </c>
      <c r="P35" s="968">
        <f t="shared" si="8"/>
        <v>0</v>
      </c>
      <c r="Q35" s="969">
        <f t="shared" si="9"/>
        <v>2.2436590570719603E-2</v>
      </c>
      <c r="R35" s="247">
        <f t="shared" si="15"/>
        <v>0</v>
      </c>
      <c r="S35" s="24">
        <f t="shared" si="10"/>
        <v>0</v>
      </c>
      <c r="T35" s="970">
        <f t="shared" si="11"/>
        <v>0</v>
      </c>
      <c r="U35" s="971">
        <f t="shared" si="12"/>
        <v>2.0868557382133996</v>
      </c>
    </row>
    <row r="36" spans="1:21" x14ac:dyDescent="0.2">
      <c r="A36" s="33">
        <f t="shared" si="16"/>
        <v>2023</v>
      </c>
      <c r="B36" s="1036"/>
      <c r="C36" s="565">
        <f t="shared" si="0"/>
        <v>321</v>
      </c>
      <c r="D36" s="965"/>
      <c r="E36" s="966"/>
      <c r="F36" s="790"/>
      <c r="G36" s="473">
        <f t="shared" si="17"/>
        <v>0</v>
      </c>
      <c r="H36" s="474">
        <f t="shared" si="18"/>
        <v>0</v>
      </c>
      <c r="I36" s="474">
        <f t="shared" si="19"/>
        <v>0</v>
      </c>
      <c r="J36" s="61">
        <f t="shared" si="13"/>
        <v>0</v>
      </c>
      <c r="K36" s="967">
        <f t="shared" si="4"/>
        <v>0</v>
      </c>
      <c r="L36" s="967">
        <f t="shared" si="5"/>
        <v>0</v>
      </c>
      <c r="M36" s="967">
        <f t="shared" si="6"/>
        <v>1.5417364801488831</v>
      </c>
      <c r="N36" s="54">
        <f t="shared" si="14"/>
        <v>0</v>
      </c>
      <c r="O36" s="968">
        <f t="shared" si="7"/>
        <v>0</v>
      </c>
      <c r="P36" s="968">
        <f t="shared" si="8"/>
        <v>0</v>
      </c>
      <c r="Q36" s="969">
        <f t="shared" si="9"/>
        <v>2.2436590570719603E-2</v>
      </c>
      <c r="R36" s="247">
        <f t="shared" si="15"/>
        <v>0</v>
      </c>
      <c r="S36" s="24">
        <f t="shared" si="10"/>
        <v>0</v>
      </c>
      <c r="T36" s="970">
        <f t="shared" si="11"/>
        <v>0</v>
      </c>
      <c r="U36" s="971">
        <f t="shared" si="12"/>
        <v>2.0868557382133996</v>
      </c>
    </row>
    <row r="37" spans="1:21" x14ac:dyDescent="0.2">
      <c r="A37" s="33">
        <f t="shared" si="16"/>
        <v>2024</v>
      </c>
      <c r="B37" s="1036"/>
      <c r="C37" s="565">
        <f t="shared" si="0"/>
        <v>321</v>
      </c>
      <c r="D37" s="965"/>
      <c r="E37" s="966"/>
      <c r="F37" s="790"/>
      <c r="G37" s="473">
        <f t="shared" si="17"/>
        <v>0</v>
      </c>
      <c r="H37" s="474">
        <f t="shared" si="18"/>
        <v>0</v>
      </c>
      <c r="I37" s="474">
        <f t="shared" si="19"/>
        <v>0</v>
      </c>
      <c r="J37" s="61">
        <f t="shared" si="13"/>
        <v>0</v>
      </c>
      <c r="K37" s="967">
        <f t="shared" si="4"/>
        <v>0</v>
      </c>
      <c r="L37" s="967">
        <f t="shared" si="5"/>
        <v>0</v>
      </c>
      <c r="M37" s="967">
        <f t="shared" si="6"/>
        <v>1.5417364801488831</v>
      </c>
      <c r="N37" s="54">
        <f t="shared" si="14"/>
        <v>0</v>
      </c>
      <c r="O37" s="968">
        <f t="shared" si="7"/>
        <v>0</v>
      </c>
      <c r="P37" s="968">
        <f t="shared" si="8"/>
        <v>0</v>
      </c>
      <c r="Q37" s="969">
        <f t="shared" si="9"/>
        <v>2.2436590570719603E-2</v>
      </c>
      <c r="R37" s="247">
        <f t="shared" si="15"/>
        <v>0</v>
      </c>
      <c r="S37" s="24">
        <f t="shared" si="10"/>
        <v>0</v>
      </c>
      <c r="T37" s="970">
        <f t="shared" si="11"/>
        <v>0</v>
      </c>
      <c r="U37" s="971">
        <f t="shared" si="12"/>
        <v>2.0868557382133996</v>
      </c>
    </row>
    <row r="38" spans="1:21" x14ac:dyDescent="0.2">
      <c r="A38" s="33">
        <f t="shared" si="16"/>
        <v>2025</v>
      </c>
      <c r="B38" s="1036"/>
      <c r="C38" s="565">
        <f t="shared" si="0"/>
        <v>321</v>
      </c>
      <c r="D38" s="965"/>
      <c r="E38" s="966"/>
      <c r="F38" s="790"/>
      <c r="G38" s="473">
        <f t="shared" si="17"/>
        <v>0</v>
      </c>
      <c r="H38" s="474">
        <f t="shared" si="18"/>
        <v>0</v>
      </c>
      <c r="I38" s="474">
        <f t="shared" si="19"/>
        <v>0</v>
      </c>
      <c r="J38" s="61">
        <f t="shared" si="13"/>
        <v>0</v>
      </c>
      <c r="K38" s="967">
        <f t="shared" si="4"/>
        <v>0</v>
      </c>
      <c r="L38" s="967">
        <f t="shared" si="5"/>
        <v>0</v>
      </c>
      <c r="M38" s="967">
        <f t="shared" si="6"/>
        <v>1.5417364801488831</v>
      </c>
      <c r="N38" s="54">
        <f t="shared" si="14"/>
        <v>0</v>
      </c>
      <c r="O38" s="968">
        <f t="shared" si="7"/>
        <v>0</v>
      </c>
      <c r="P38" s="968">
        <f t="shared" si="8"/>
        <v>0</v>
      </c>
      <c r="Q38" s="969">
        <f t="shared" si="9"/>
        <v>2.2436590570719603E-2</v>
      </c>
      <c r="R38" s="247">
        <f t="shared" ref="R38:R42" si="25">+(B38+B37)/2</f>
        <v>0</v>
      </c>
      <c r="S38" s="24">
        <f t="shared" ref="S38:S42" si="26">+F38</f>
        <v>0</v>
      </c>
      <c r="T38" s="970">
        <f t="shared" ref="T38:T42" si="27">+R38*S38/1000000</f>
        <v>0</v>
      </c>
      <c r="U38" s="971">
        <f t="shared" ref="U38:U42" si="28">+U37+T38</f>
        <v>2.0868557382133996</v>
      </c>
    </row>
    <row r="39" spans="1:21" x14ac:dyDescent="0.2">
      <c r="A39" s="33">
        <f t="shared" si="16"/>
        <v>2026</v>
      </c>
      <c r="B39" s="1036"/>
      <c r="C39" s="565">
        <f t="shared" si="0"/>
        <v>321</v>
      </c>
      <c r="D39" s="965"/>
      <c r="E39" s="966"/>
      <c r="F39" s="790"/>
      <c r="G39" s="473">
        <f t="shared" si="17"/>
        <v>0</v>
      </c>
      <c r="H39" s="474">
        <f t="shared" si="18"/>
        <v>0</v>
      </c>
      <c r="I39" s="474">
        <f t="shared" si="19"/>
        <v>0</v>
      </c>
      <c r="J39" s="61">
        <f t="shared" si="13"/>
        <v>0</v>
      </c>
      <c r="K39" s="967">
        <f t="shared" si="4"/>
        <v>0</v>
      </c>
      <c r="L39" s="967">
        <f t="shared" si="5"/>
        <v>0</v>
      </c>
      <c r="M39" s="967">
        <f t="shared" si="6"/>
        <v>1.5417364801488831</v>
      </c>
      <c r="N39" s="54">
        <f t="shared" si="14"/>
        <v>0</v>
      </c>
      <c r="O39" s="968">
        <f t="shared" si="7"/>
        <v>0</v>
      </c>
      <c r="P39" s="968">
        <f t="shared" si="8"/>
        <v>0</v>
      </c>
      <c r="Q39" s="969">
        <f t="shared" si="9"/>
        <v>2.2436590570719603E-2</v>
      </c>
      <c r="R39" s="247">
        <f t="shared" si="25"/>
        <v>0</v>
      </c>
      <c r="S39" s="24">
        <f t="shared" si="26"/>
        <v>0</v>
      </c>
      <c r="T39" s="970">
        <f t="shared" si="27"/>
        <v>0</v>
      </c>
      <c r="U39" s="971">
        <f t="shared" si="28"/>
        <v>2.0868557382133996</v>
      </c>
    </row>
    <row r="40" spans="1:21" x14ac:dyDescent="0.2">
      <c r="A40" s="33">
        <f>+A39+1</f>
        <v>2027</v>
      </c>
      <c r="B40" s="1036"/>
      <c r="C40" s="565">
        <f>+C39+B40</f>
        <v>321</v>
      </c>
      <c r="D40" s="965"/>
      <c r="E40" s="966"/>
      <c r="F40" s="790"/>
      <c r="G40" s="473">
        <f t="shared" ref="G40:H42" si="29">+$B40*D40/1000</f>
        <v>0</v>
      </c>
      <c r="H40" s="474">
        <f t="shared" si="29"/>
        <v>0</v>
      </c>
      <c r="I40" s="474">
        <f>+$B40*F40/1000000</f>
        <v>0</v>
      </c>
      <c r="J40" s="61">
        <f>+(B40+B39)/2</f>
        <v>0</v>
      </c>
      <c r="K40" s="967">
        <f>+D40</f>
        <v>0</v>
      </c>
      <c r="L40" s="967">
        <f>+J40*K40/1000</f>
        <v>0</v>
      </c>
      <c r="M40" s="967">
        <f>+M39+L40</f>
        <v>1.5417364801488831</v>
      </c>
      <c r="N40" s="54">
        <f>+B39</f>
        <v>0</v>
      </c>
      <c r="O40" s="968">
        <f>+E40</f>
        <v>0</v>
      </c>
      <c r="P40" s="968">
        <f>+N40*O40/1000</f>
        <v>0</v>
      </c>
      <c r="Q40" s="969">
        <f>+Q39+P40</f>
        <v>2.2436590570719603E-2</v>
      </c>
      <c r="R40" s="247">
        <f t="shared" si="25"/>
        <v>0</v>
      </c>
      <c r="S40" s="24">
        <f t="shared" si="26"/>
        <v>0</v>
      </c>
      <c r="T40" s="970">
        <f t="shared" si="27"/>
        <v>0</v>
      </c>
      <c r="U40" s="971">
        <f t="shared" si="28"/>
        <v>2.0868557382133996</v>
      </c>
    </row>
    <row r="41" spans="1:21" x14ac:dyDescent="0.2">
      <c r="A41" s="33">
        <f t="shared" si="16"/>
        <v>2028</v>
      </c>
      <c r="B41" s="1036"/>
      <c r="C41" s="565">
        <f>+C40+B41</f>
        <v>321</v>
      </c>
      <c r="D41" s="965"/>
      <c r="E41" s="966"/>
      <c r="F41" s="790"/>
      <c r="G41" s="473">
        <f t="shared" si="29"/>
        <v>0</v>
      </c>
      <c r="H41" s="474">
        <f t="shared" si="29"/>
        <v>0</v>
      </c>
      <c r="I41" s="474">
        <f>+$B41*F41/1000000</f>
        <v>0</v>
      </c>
      <c r="J41" s="61">
        <f>+(B41+B40)/2</f>
        <v>0</v>
      </c>
      <c r="K41" s="967">
        <f>+D41</f>
        <v>0</v>
      </c>
      <c r="L41" s="967">
        <f>+J41*K41/1000</f>
        <v>0</v>
      </c>
      <c r="M41" s="967">
        <f>+M40+L41</f>
        <v>1.5417364801488831</v>
      </c>
      <c r="N41" s="54">
        <f>+B40</f>
        <v>0</v>
      </c>
      <c r="O41" s="968">
        <f>+E41</f>
        <v>0</v>
      </c>
      <c r="P41" s="968">
        <f>+N41*O41/1000</f>
        <v>0</v>
      </c>
      <c r="Q41" s="969">
        <f>+Q40+P41</f>
        <v>2.2436590570719603E-2</v>
      </c>
      <c r="R41" s="247">
        <f t="shared" si="25"/>
        <v>0</v>
      </c>
      <c r="S41" s="24">
        <f t="shared" si="26"/>
        <v>0</v>
      </c>
      <c r="T41" s="970">
        <f t="shared" si="27"/>
        <v>0</v>
      </c>
      <c r="U41" s="971">
        <f t="shared" si="28"/>
        <v>2.0868557382133996</v>
      </c>
    </row>
    <row r="42" spans="1:21" x14ac:dyDescent="0.2">
      <c r="A42" s="33">
        <f t="shared" si="16"/>
        <v>2029</v>
      </c>
      <c r="B42" s="1036"/>
      <c r="C42" s="565">
        <f>+C41+B42</f>
        <v>321</v>
      </c>
      <c r="D42" s="965"/>
      <c r="E42" s="966"/>
      <c r="F42" s="790"/>
      <c r="G42" s="473">
        <f t="shared" si="29"/>
        <v>0</v>
      </c>
      <c r="H42" s="474">
        <f t="shared" si="29"/>
        <v>0</v>
      </c>
      <c r="I42" s="474">
        <f>+$B42*F42/1000000</f>
        <v>0</v>
      </c>
      <c r="J42" s="61">
        <f>+(B42+B41)/2</f>
        <v>0</v>
      </c>
      <c r="K42" s="967">
        <f>+D42</f>
        <v>0</v>
      </c>
      <c r="L42" s="967">
        <f>+J42*K42/1000</f>
        <v>0</v>
      </c>
      <c r="M42" s="967">
        <f>+M41+L42</f>
        <v>1.5417364801488831</v>
      </c>
      <c r="N42" s="54">
        <f>+B41</f>
        <v>0</v>
      </c>
      <c r="O42" s="968">
        <f>+E42</f>
        <v>0</v>
      </c>
      <c r="P42" s="968">
        <f>+N42*O42/1000</f>
        <v>0</v>
      </c>
      <c r="Q42" s="969">
        <f>+Q41+P42</f>
        <v>2.2436590570719603E-2</v>
      </c>
      <c r="R42" s="247">
        <f t="shared" si="25"/>
        <v>0</v>
      </c>
      <c r="S42" s="24">
        <f t="shared" si="26"/>
        <v>0</v>
      </c>
      <c r="T42" s="970">
        <f t="shared" si="27"/>
        <v>0</v>
      </c>
      <c r="U42" s="971">
        <f t="shared" si="28"/>
        <v>2.0868557382133996</v>
      </c>
    </row>
    <row r="43" spans="1:21" x14ac:dyDescent="0.2">
      <c r="A43" s="33">
        <f t="shared" si="16"/>
        <v>2030</v>
      </c>
      <c r="B43" s="1036"/>
      <c r="C43" s="565">
        <f t="shared" ref="C43:C47" si="30">+C42+B43</f>
        <v>321</v>
      </c>
      <c r="D43" s="965"/>
      <c r="E43" s="966"/>
      <c r="F43" s="790"/>
      <c r="G43" s="473">
        <f t="shared" ref="G43:G47" si="31">+$B43*D43/1000</f>
        <v>0</v>
      </c>
      <c r="H43" s="474">
        <f t="shared" ref="H43:H47" si="32">+$B43*E43/1000</f>
        <v>0</v>
      </c>
      <c r="I43" s="474">
        <f t="shared" ref="I43:I47" si="33">+$B43*F43/1000000</f>
        <v>0</v>
      </c>
      <c r="J43" s="61">
        <f t="shared" ref="J43:J47" si="34">+(B43+B42)/2</f>
        <v>0</v>
      </c>
      <c r="K43" s="967">
        <f t="shared" ref="K43:K47" si="35">+D43</f>
        <v>0</v>
      </c>
      <c r="L43" s="967">
        <f t="shared" ref="L43:L47" si="36">+J43*K43/1000</f>
        <v>0</v>
      </c>
      <c r="M43" s="967">
        <f t="shared" ref="M43:M47" si="37">+M42+L43</f>
        <v>1.5417364801488831</v>
      </c>
      <c r="N43" s="54">
        <f t="shared" ref="N43:N47" si="38">+B42</f>
        <v>0</v>
      </c>
      <c r="O43" s="968">
        <f t="shared" ref="O43:O47" si="39">+E43</f>
        <v>0</v>
      </c>
      <c r="P43" s="968">
        <f t="shared" ref="P43:P47" si="40">+N43*O43/1000</f>
        <v>0</v>
      </c>
      <c r="Q43" s="969">
        <f t="shared" ref="Q43:Q47" si="41">+Q42+P43</f>
        <v>2.2436590570719603E-2</v>
      </c>
      <c r="R43" s="247">
        <f t="shared" ref="R43:R47" si="42">+(B43+B42)/2</f>
        <v>0</v>
      </c>
      <c r="S43" s="24">
        <f t="shared" ref="S43:S47" si="43">+F43</f>
        <v>0</v>
      </c>
      <c r="T43" s="970">
        <f t="shared" ref="T43:T47" si="44">+R43*S43/1000000</f>
        <v>0</v>
      </c>
      <c r="U43" s="971">
        <f t="shared" ref="U43:U47" si="45">+U42+T43</f>
        <v>2.0868557382133996</v>
      </c>
    </row>
    <row r="44" spans="1:21" x14ac:dyDescent="0.2">
      <c r="A44" s="33">
        <f t="shared" si="16"/>
        <v>2031</v>
      </c>
      <c r="B44" s="1036"/>
      <c r="C44" s="565">
        <f t="shared" si="30"/>
        <v>321</v>
      </c>
      <c r="D44" s="965"/>
      <c r="E44" s="966"/>
      <c r="F44" s="790"/>
      <c r="G44" s="473">
        <f t="shared" si="31"/>
        <v>0</v>
      </c>
      <c r="H44" s="474">
        <f t="shared" si="32"/>
        <v>0</v>
      </c>
      <c r="I44" s="474">
        <f t="shared" si="33"/>
        <v>0</v>
      </c>
      <c r="J44" s="61">
        <f t="shared" si="34"/>
        <v>0</v>
      </c>
      <c r="K44" s="967">
        <f t="shared" si="35"/>
        <v>0</v>
      </c>
      <c r="L44" s="967">
        <f t="shared" si="36"/>
        <v>0</v>
      </c>
      <c r="M44" s="967">
        <f t="shared" si="37"/>
        <v>1.5417364801488831</v>
      </c>
      <c r="N44" s="54">
        <f t="shared" si="38"/>
        <v>0</v>
      </c>
      <c r="O44" s="968">
        <f t="shared" si="39"/>
        <v>0</v>
      </c>
      <c r="P44" s="968">
        <f t="shared" si="40"/>
        <v>0</v>
      </c>
      <c r="Q44" s="969">
        <f t="shared" si="41"/>
        <v>2.2436590570719603E-2</v>
      </c>
      <c r="R44" s="247">
        <f t="shared" si="42"/>
        <v>0</v>
      </c>
      <c r="S44" s="24">
        <f t="shared" si="43"/>
        <v>0</v>
      </c>
      <c r="T44" s="970">
        <f t="shared" si="44"/>
        <v>0</v>
      </c>
      <c r="U44" s="971">
        <f t="shared" si="45"/>
        <v>2.0868557382133996</v>
      </c>
    </row>
    <row r="45" spans="1:21" x14ac:dyDescent="0.2">
      <c r="A45" s="33">
        <f t="shared" si="16"/>
        <v>2032</v>
      </c>
      <c r="B45" s="1036"/>
      <c r="C45" s="565">
        <f t="shared" si="30"/>
        <v>321</v>
      </c>
      <c r="D45" s="965"/>
      <c r="E45" s="966"/>
      <c r="F45" s="790"/>
      <c r="G45" s="473">
        <f t="shared" si="31"/>
        <v>0</v>
      </c>
      <c r="H45" s="474">
        <f t="shared" si="32"/>
        <v>0</v>
      </c>
      <c r="I45" s="474">
        <f t="shared" si="33"/>
        <v>0</v>
      </c>
      <c r="J45" s="61">
        <f t="shared" si="34"/>
        <v>0</v>
      </c>
      <c r="K45" s="967">
        <f t="shared" si="35"/>
        <v>0</v>
      </c>
      <c r="L45" s="967">
        <f t="shared" si="36"/>
        <v>0</v>
      </c>
      <c r="M45" s="967">
        <f t="shared" si="37"/>
        <v>1.5417364801488831</v>
      </c>
      <c r="N45" s="54">
        <f t="shared" si="38"/>
        <v>0</v>
      </c>
      <c r="O45" s="968">
        <f t="shared" si="39"/>
        <v>0</v>
      </c>
      <c r="P45" s="968">
        <f t="shared" si="40"/>
        <v>0</v>
      </c>
      <c r="Q45" s="969">
        <f t="shared" si="41"/>
        <v>2.2436590570719603E-2</v>
      </c>
      <c r="R45" s="247">
        <f t="shared" si="42"/>
        <v>0</v>
      </c>
      <c r="S45" s="24">
        <f t="shared" si="43"/>
        <v>0</v>
      </c>
      <c r="T45" s="970">
        <f t="shared" si="44"/>
        <v>0</v>
      </c>
      <c r="U45" s="971">
        <f t="shared" si="45"/>
        <v>2.0868557382133996</v>
      </c>
    </row>
    <row r="46" spans="1:21" x14ac:dyDescent="0.2">
      <c r="A46" s="33">
        <f t="shared" si="16"/>
        <v>2033</v>
      </c>
      <c r="B46" s="1036"/>
      <c r="C46" s="565">
        <f t="shared" si="30"/>
        <v>321</v>
      </c>
      <c r="D46" s="965"/>
      <c r="E46" s="966"/>
      <c r="F46" s="790"/>
      <c r="G46" s="473">
        <f t="shared" si="31"/>
        <v>0</v>
      </c>
      <c r="H46" s="474">
        <f t="shared" si="32"/>
        <v>0</v>
      </c>
      <c r="I46" s="474">
        <f t="shared" si="33"/>
        <v>0</v>
      </c>
      <c r="J46" s="61">
        <f t="shared" si="34"/>
        <v>0</v>
      </c>
      <c r="K46" s="967">
        <f t="shared" si="35"/>
        <v>0</v>
      </c>
      <c r="L46" s="967">
        <f t="shared" si="36"/>
        <v>0</v>
      </c>
      <c r="M46" s="967">
        <f t="shared" si="37"/>
        <v>1.5417364801488831</v>
      </c>
      <c r="N46" s="54">
        <f t="shared" si="38"/>
        <v>0</v>
      </c>
      <c r="O46" s="968">
        <f t="shared" si="39"/>
        <v>0</v>
      </c>
      <c r="P46" s="968">
        <f t="shared" si="40"/>
        <v>0</v>
      </c>
      <c r="Q46" s="969">
        <f t="shared" si="41"/>
        <v>2.2436590570719603E-2</v>
      </c>
      <c r="R46" s="247">
        <f t="shared" si="42"/>
        <v>0</v>
      </c>
      <c r="S46" s="24">
        <f t="shared" si="43"/>
        <v>0</v>
      </c>
      <c r="T46" s="970">
        <f t="shared" si="44"/>
        <v>0</v>
      </c>
      <c r="U46" s="971">
        <f t="shared" si="45"/>
        <v>2.0868557382133996</v>
      </c>
    </row>
    <row r="47" spans="1:21" x14ac:dyDescent="0.2">
      <c r="A47" s="33">
        <f t="shared" si="16"/>
        <v>2034</v>
      </c>
      <c r="B47" s="1036"/>
      <c r="C47" s="565">
        <f t="shared" si="30"/>
        <v>321</v>
      </c>
      <c r="D47" s="965"/>
      <c r="E47" s="966"/>
      <c r="F47" s="790"/>
      <c r="G47" s="473">
        <f t="shared" si="31"/>
        <v>0</v>
      </c>
      <c r="H47" s="474">
        <f t="shared" si="32"/>
        <v>0</v>
      </c>
      <c r="I47" s="474">
        <f t="shared" si="33"/>
        <v>0</v>
      </c>
      <c r="J47" s="61">
        <f t="shared" si="34"/>
        <v>0</v>
      </c>
      <c r="K47" s="967">
        <f t="shared" si="35"/>
        <v>0</v>
      </c>
      <c r="L47" s="967">
        <f t="shared" si="36"/>
        <v>0</v>
      </c>
      <c r="M47" s="967">
        <f t="shared" si="37"/>
        <v>1.5417364801488831</v>
      </c>
      <c r="N47" s="54">
        <f t="shared" si="38"/>
        <v>0</v>
      </c>
      <c r="O47" s="968">
        <f t="shared" si="39"/>
        <v>0</v>
      </c>
      <c r="P47" s="968">
        <f t="shared" si="40"/>
        <v>0</v>
      </c>
      <c r="Q47" s="969">
        <f t="shared" si="41"/>
        <v>2.2436590570719603E-2</v>
      </c>
      <c r="R47" s="247">
        <f t="shared" si="42"/>
        <v>0</v>
      </c>
      <c r="S47" s="24">
        <f t="shared" si="43"/>
        <v>0</v>
      </c>
      <c r="T47" s="970">
        <f t="shared" si="44"/>
        <v>0</v>
      </c>
      <c r="U47" s="971">
        <f t="shared" si="45"/>
        <v>2.0868557382133996</v>
      </c>
    </row>
    <row r="48" spans="1:21" x14ac:dyDescent="0.2">
      <c r="A48" s="33">
        <f t="shared" si="16"/>
        <v>2035</v>
      </c>
      <c r="B48" s="1036">
        <f>B47</f>
        <v>0</v>
      </c>
      <c r="C48" s="565">
        <f t="shared" ref="C48:C54" si="46">+C47+B48</f>
        <v>321</v>
      </c>
      <c r="D48" s="965"/>
      <c r="E48" s="966"/>
      <c r="F48" s="790"/>
      <c r="G48" s="473">
        <f t="shared" ref="G48:G54" si="47">+$B48*D48/1000</f>
        <v>0</v>
      </c>
      <c r="H48" s="474">
        <f t="shared" ref="H48:H54" si="48">+$B48*E48/1000</f>
        <v>0</v>
      </c>
      <c r="I48" s="474">
        <f t="shared" ref="I48:I54" si="49">+$B48*F48/1000000</f>
        <v>0</v>
      </c>
      <c r="J48" s="61">
        <f t="shared" ref="J48:J54" si="50">+(B48+B47)/2</f>
        <v>0</v>
      </c>
      <c r="K48" s="967">
        <f t="shared" ref="K48:K54" si="51">+D48</f>
        <v>0</v>
      </c>
      <c r="L48" s="967">
        <f t="shared" ref="L48:L54" si="52">+J48*K48/1000</f>
        <v>0</v>
      </c>
      <c r="M48" s="967">
        <f t="shared" ref="M48:M54" si="53">+M47+L48</f>
        <v>1.5417364801488831</v>
      </c>
      <c r="N48" s="54">
        <f t="shared" ref="N48:N54" si="54">+B47</f>
        <v>0</v>
      </c>
      <c r="O48" s="968">
        <f t="shared" ref="O48:O54" si="55">+E48</f>
        <v>0</v>
      </c>
      <c r="P48" s="968">
        <f t="shared" ref="P48:P54" si="56">+N48*O48/1000</f>
        <v>0</v>
      </c>
      <c r="Q48" s="969">
        <f t="shared" ref="Q48:Q54" si="57">+Q47+P48</f>
        <v>2.2436590570719603E-2</v>
      </c>
      <c r="R48" s="247">
        <f t="shared" ref="R48:R54" si="58">+(B48+B47)/2</f>
        <v>0</v>
      </c>
      <c r="S48" s="24">
        <f t="shared" ref="S48:S54" si="59">+F48</f>
        <v>0</v>
      </c>
      <c r="T48" s="970">
        <f t="shared" ref="T48:T54" si="60">+R48*S48/1000000</f>
        <v>0</v>
      </c>
      <c r="U48" s="971">
        <f t="shared" ref="U48:U54" si="61">+U47+T48</f>
        <v>2.0868557382133996</v>
      </c>
    </row>
    <row r="49" spans="1:21" x14ac:dyDescent="0.2">
      <c r="A49" s="33">
        <f t="shared" si="16"/>
        <v>2036</v>
      </c>
      <c r="B49" s="1036">
        <f t="shared" ref="B49:B54" si="62">B48</f>
        <v>0</v>
      </c>
      <c r="C49" s="565">
        <f t="shared" si="46"/>
        <v>321</v>
      </c>
      <c r="D49" s="965"/>
      <c r="E49" s="966"/>
      <c r="F49" s="790"/>
      <c r="G49" s="473">
        <f t="shared" si="47"/>
        <v>0</v>
      </c>
      <c r="H49" s="474">
        <f t="shared" si="48"/>
        <v>0</v>
      </c>
      <c r="I49" s="474">
        <f t="shared" si="49"/>
        <v>0</v>
      </c>
      <c r="J49" s="61">
        <f t="shared" si="50"/>
        <v>0</v>
      </c>
      <c r="K49" s="967">
        <f t="shared" si="51"/>
        <v>0</v>
      </c>
      <c r="L49" s="967">
        <f t="shared" si="52"/>
        <v>0</v>
      </c>
      <c r="M49" s="967">
        <f t="shared" si="53"/>
        <v>1.5417364801488831</v>
      </c>
      <c r="N49" s="54">
        <f t="shared" si="54"/>
        <v>0</v>
      </c>
      <c r="O49" s="968">
        <f t="shared" si="55"/>
        <v>0</v>
      </c>
      <c r="P49" s="968">
        <f t="shared" si="56"/>
        <v>0</v>
      </c>
      <c r="Q49" s="969">
        <f t="shared" si="57"/>
        <v>2.2436590570719603E-2</v>
      </c>
      <c r="R49" s="247">
        <f t="shared" si="58"/>
        <v>0</v>
      </c>
      <c r="S49" s="24">
        <f t="shared" si="59"/>
        <v>0</v>
      </c>
      <c r="T49" s="970">
        <f t="shared" si="60"/>
        <v>0</v>
      </c>
      <c r="U49" s="971">
        <f t="shared" si="61"/>
        <v>2.0868557382133996</v>
      </c>
    </row>
    <row r="50" spans="1:21" x14ac:dyDescent="0.2">
      <c r="A50" s="33">
        <f t="shared" si="16"/>
        <v>2037</v>
      </c>
      <c r="B50" s="1036">
        <f t="shared" si="62"/>
        <v>0</v>
      </c>
      <c r="C50" s="565">
        <f t="shared" si="46"/>
        <v>321</v>
      </c>
      <c r="D50" s="965"/>
      <c r="E50" s="966"/>
      <c r="F50" s="790"/>
      <c r="G50" s="473">
        <f t="shared" si="47"/>
        <v>0</v>
      </c>
      <c r="H50" s="474">
        <f t="shared" si="48"/>
        <v>0</v>
      </c>
      <c r="I50" s="474">
        <f t="shared" si="49"/>
        <v>0</v>
      </c>
      <c r="J50" s="61">
        <f t="shared" si="50"/>
        <v>0</v>
      </c>
      <c r="K50" s="967">
        <f t="shared" si="51"/>
        <v>0</v>
      </c>
      <c r="L50" s="967">
        <f t="shared" si="52"/>
        <v>0</v>
      </c>
      <c r="M50" s="967">
        <f t="shared" si="53"/>
        <v>1.5417364801488831</v>
      </c>
      <c r="N50" s="54">
        <f t="shared" si="54"/>
        <v>0</v>
      </c>
      <c r="O50" s="968">
        <f t="shared" si="55"/>
        <v>0</v>
      </c>
      <c r="P50" s="968">
        <f t="shared" si="56"/>
        <v>0</v>
      </c>
      <c r="Q50" s="969">
        <f t="shared" si="57"/>
        <v>2.2436590570719603E-2</v>
      </c>
      <c r="R50" s="247">
        <f t="shared" si="58"/>
        <v>0</v>
      </c>
      <c r="S50" s="24">
        <f t="shared" si="59"/>
        <v>0</v>
      </c>
      <c r="T50" s="970">
        <f t="shared" si="60"/>
        <v>0</v>
      </c>
      <c r="U50" s="971">
        <f t="shared" si="61"/>
        <v>2.0868557382133996</v>
      </c>
    </row>
    <row r="51" spans="1:21" x14ac:dyDescent="0.2">
      <c r="A51" s="33">
        <f t="shared" si="16"/>
        <v>2038</v>
      </c>
      <c r="B51" s="1036">
        <f t="shared" si="62"/>
        <v>0</v>
      </c>
      <c r="C51" s="565">
        <f t="shared" si="46"/>
        <v>321</v>
      </c>
      <c r="D51" s="965"/>
      <c r="E51" s="966"/>
      <c r="F51" s="790"/>
      <c r="G51" s="473">
        <f t="shared" si="47"/>
        <v>0</v>
      </c>
      <c r="H51" s="474">
        <f t="shared" si="48"/>
        <v>0</v>
      </c>
      <c r="I51" s="474">
        <f t="shared" si="49"/>
        <v>0</v>
      </c>
      <c r="J51" s="61">
        <f t="shared" si="50"/>
        <v>0</v>
      </c>
      <c r="K51" s="967">
        <f t="shared" si="51"/>
        <v>0</v>
      </c>
      <c r="L51" s="967">
        <f t="shared" si="52"/>
        <v>0</v>
      </c>
      <c r="M51" s="967">
        <f t="shared" si="53"/>
        <v>1.5417364801488831</v>
      </c>
      <c r="N51" s="54">
        <f t="shared" si="54"/>
        <v>0</v>
      </c>
      <c r="O51" s="968">
        <f t="shared" si="55"/>
        <v>0</v>
      </c>
      <c r="P51" s="968">
        <f t="shared" si="56"/>
        <v>0</v>
      </c>
      <c r="Q51" s="969">
        <f t="shared" si="57"/>
        <v>2.2436590570719603E-2</v>
      </c>
      <c r="R51" s="247">
        <f t="shared" si="58"/>
        <v>0</v>
      </c>
      <c r="S51" s="24">
        <f t="shared" si="59"/>
        <v>0</v>
      </c>
      <c r="T51" s="970">
        <f t="shared" si="60"/>
        <v>0</v>
      </c>
      <c r="U51" s="971">
        <f t="shared" si="61"/>
        <v>2.0868557382133996</v>
      </c>
    </row>
    <row r="52" spans="1:21" x14ac:dyDescent="0.2">
      <c r="A52" s="33">
        <f t="shared" si="16"/>
        <v>2039</v>
      </c>
      <c r="B52" s="1036">
        <f t="shared" si="62"/>
        <v>0</v>
      </c>
      <c r="C52" s="565">
        <f t="shared" si="46"/>
        <v>321</v>
      </c>
      <c r="D52" s="965"/>
      <c r="E52" s="966"/>
      <c r="F52" s="790"/>
      <c r="G52" s="473">
        <f t="shared" si="47"/>
        <v>0</v>
      </c>
      <c r="H52" s="474">
        <f t="shared" si="48"/>
        <v>0</v>
      </c>
      <c r="I52" s="474">
        <f t="shared" si="49"/>
        <v>0</v>
      </c>
      <c r="J52" s="61">
        <f t="shared" si="50"/>
        <v>0</v>
      </c>
      <c r="K52" s="967">
        <f t="shared" si="51"/>
        <v>0</v>
      </c>
      <c r="L52" s="967">
        <f t="shared" si="52"/>
        <v>0</v>
      </c>
      <c r="M52" s="967">
        <f t="shared" si="53"/>
        <v>1.5417364801488831</v>
      </c>
      <c r="N52" s="54">
        <f t="shared" si="54"/>
        <v>0</v>
      </c>
      <c r="O52" s="968">
        <f t="shared" si="55"/>
        <v>0</v>
      </c>
      <c r="P52" s="968">
        <f t="shared" si="56"/>
        <v>0</v>
      </c>
      <c r="Q52" s="969">
        <f t="shared" si="57"/>
        <v>2.2436590570719603E-2</v>
      </c>
      <c r="R52" s="247">
        <f t="shared" si="58"/>
        <v>0</v>
      </c>
      <c r="S52" s="24">
        <f t="shared" si="59"/>
        <v>0</v>
      </c>
      <c r="T52" s="970">
        <f t="shared" si="60"/>
        <v>0</v>
      </c>
      <c r="U52" s="971">
        <f t="shared" si="61"/>
        <v>2.0868557382133996</v>
      </c>
    </row>
    <row r="53" spans="1:21" x14ac:dyDescent="0.2">
      <c r="A53" s="33">
        <f t="shared" si="16"/>
        <v>2040</v>
      </c>
      <c r="B53" s="1036">
        <f t="shared" si="62"/>
        <v>0</v>
      </c>
      <c r="C53" s="565">
        <f t="shared" si="46"/>
        <v>321</v>
      </c>
      <c r="D53" s="965"/>
      <c r="E53" s="966"/>
      <c r="F53" s="790"/>
      <c r="G53" s="473">
        <f t="shared" si="47"/>
        <v>0</v>
      </c>
      <c r="H53" s="474">
        <f t="shared" si="48"/>
        <v>0</v>
      </c>
      <c r="I53" s="474">
        <f t="shared" si="49"/>
        <v>0</v>
      </c>
      <c r="J53" s="61">
        <f t="shared" si="50"/>
        <v>0</v>
      </c>
      <c r="K53" s="967">
        <f t="shared" si="51"/>
        <v>0</v>
      </c>
      <c r="L53" s="967">
        <f t="shared" si="52"/>
        <v>0</v>
      </c>
      <c r="M53" s="967">
        <f t="shared" si="53"/>
        <v>1.5417364801488831</v>
      </c>
      <c r="N53" s="54">
        <f t="shared" si="54"/>
        <v>0</v>
      </c>
      <c r="O53" s="968">
        <f t="shared" si="55"/>
        <v>0</v>
      </c>
      <c r="P53" s="968">
        <f t="shared" si="56"/>
        <v>0</v>
      </c>
      <c r="Q53" s="969">
        <f t="shared" si="57"/>
        <v>2.2436590570719603E-2</v>
      </c>
      <c r="R53" s="247">
        <f t="shared" si="58"/>
        <v>0</v>
      </c>
      <c r="S53" s="24">
        <f t="shared" si="59"/>
        <v>0</v>
      </c>
      <c r="T53" s="970">
        <f t="shared" si="60"/>
        <v>0</v>
      </c>
      <c r="U53" s="971">
        <f t="shared" si="61"/>
        <v>2.0868557382133996</v>
      </c>
    </row>
    <row r="54" spans="1:21" x14ac:dyDescent="0.2">
      <c r="A54" s="33">
        <f t="shared" si="16"/>
        <v>2041</v>
      </c>
      <c r="B54" s="1036">
        <f t="shared" si="62"/>
        <v>0</v>
      </c>
      <c r="C54" s="565">
        <f t="shared" si="46"/>
        <v>321</v>
      </c>
      <c r="D54" s="965"/>
      <c r="E54" s="966"/>
      <c r="F54" s="790"/>
      <c r="G54" s="473">
        <f t="shared" si="47"/>
        <v>0</v>
      </c>
      <c r="H54" s="474">
        <f t="shared" si="48"/>
        <v>0</v>
      </c>
      <c r="I54" s="474">
        <f t="shared" si="49"/>
        <v>0</v>
      </c>
      <c r="J54" s="61">
        <f t="shared" si="50"/>
        <v>0</v>
      </c>
      <c r="K54" s="967">
        <f t="shared" si="51"/>
        <v>0</v>
      </c>
      <c r="L54" s="967">
        <f t="shared" si="52"/>
        <v>0</v>
      </c>
      <c r="M54" s="967">
        <f t="shared" si="53"/>
        <v>1.5417364801488831</v>
      </c>
      <c r="N54" s="54">
        <f t="shared" si="54"/>
        <v>0</v>
      </c>
      <c r="O54" s="968">
        <f t="shared" si="55"/>
        <v>0</v>
      </c>
      <c r="P54" s="968">
        <f t="shared" si="56"/>
        <v>0</v>
      </c>
      <c r="Q54" s="969">
        <f t="shared" si="57"/>
        <v>2.2436590570719603E-2</v>
      </c>
      <c r="R54" s="247">
        <f t="shared" si="58"/>
        <v>0</v>
      </c>
      <c r="S54" s="24">
        <f t="shared" si="59"/>
        <v>0</v>
      </c>
      <c r="T54" s="970">
        <f t="shared" si="60"/>
        <v>0</v>
      </c>
      <c r="U54" s="971">
        <f t="shared" si="61"/>
        <v>2.0868557382133996</v>
      </c>
    </row>
    <row r="55" spans="1:21" s="2" customFormat="1" x14ac:dyDescent="0.2">
      <c r="A55" s="491"/>
      <c r="B55" s="498"/>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s="69" t="s">
        <v>115</v>
      </c>
    </row>
    <row r="62" spans="1:21" x14ac:dyDescent="0.2">
      <c r="A62" s="69" t="s">
        <v>116</v>
      </c>
    </row>
    <row r="63" spans="1:21" x14ac:dyDescent="0.2">
      <c r="A63" s="69"/>
    </row>
    <row r="64" spans="1:21" x14ac:dyDescent="0.2">
      <c r="A64" s="69">
        <v>2015</v>
      </c>
      <c r="B64" s="956" t="s">
        <v>386</v>
      </c>
      <c r="D64">
        <f>(18*13.88+2*5.65)/20</f>
        <v>13.056999999999999</v>
      </c>
      <c r="E64">
        <f>(3.92/B28)</f>
        <v>0.19600000000000001</v>
      </c>
      <c r="F64" s="260">
        <f>(18*10245+2*5647)/B28</f>
        <v>9785.2000000000007</v>
      </c>
    </row>
    <row r="65" spans="1:20" x14ac:dyDescent="0.2">
      <c r="A65" s="69"/>
    </row>
    <row r="66" spans="1:20" x14ac:dyDescent="0.2">
      <c r="A66" s="69"/>
    </row>
    <row r="67" spans="1:20" x14ac:dyDescent="0.2">
      <c r="A67" s="69"/>
    </row>
    <row r="69" spans="1:20" x14ac:dyDescent="0.2">
      <c r="A69" s="8"/>
      <c r="C69" s="453" t="s">
        <v>218</v>
      </c>
      <c r="D69" s="453"/>
      <c r="E69" s="453"/>
      <c r="F69" s="453"/>
      <c r="G69" s="453"/>
      <c r="H69" s="453"/>
      <c r="J69" s="8"/>
      <c r="K69" s="8"/>
      <c r="L69" s="8"/>
      <c r="M69" s="8"/>
      <c r="O69" s="8"/>
      <c r="P69" s="8"/>
      <c r="Q69" s="8"/>
      <c r="R69" s="8"/>
      <c r="S69" s="8"/>
      <c r="T69" s="8"/>
    </row>
    <row r="70" spans="1:20" x14ac:dyDescent="0.2">
      <c r="A70" s="8"/>
      <c r="E70" s="459" t="s">
        <v>223</v>
      </c>
      <c r="F70" s="459" t="s">
        <v>224</v>
      </c>
      <c r="G70" s="459" t="s">
        <v>52</v>
      </c>
      <c r="J70" s="559" t="s">
        <v>266</v>
      </c>
      <c r="K70" s="559" t="s">
        <v>267</v>
      </c>
      <c r="L70" s="559" t="s">
        <v>268</v>
      </c>
      <c r="M70" s="8"/>
      <c r="O70" s="306"/>
      <c r="P70" s="306"/>
      <c r="Q70" s="306"/>
      <c r="R70" s="8"/>
      <c r="S70" s="8"/>
      <c r="T70" s="8"/>
    </row>
    <row r="71" spans="1:20" x14ac:dyDescent="0.2">
      <c r="A71" s="8"/>
      <c r="C71" s="379" t="s">
        <v>235</v>
      </c>
      <c r="E71" s="698">
        <v>17.54</v>
      </c>
      <c r="F71" s="698">
        <v>0</v>
      </c>
      <c r="G71" s="698">
        <v>12945</v>
      </c>
      <c r="J71" s="8">
        <v>11.09</v>
      </c>
      <c r="K71" s="8">
        <v>0.52</v>
      </c>
      <c r="L71" s="8"/>
      <c r="M71" s="8"/>
      <c r="O71" s="8"/>
      <c r="P71" s="8"/>
      <c r="Q71" s="8"/>
      <c r="R71" s="8"/>
      <c r="S71" s="8"/>
      <c r="T71" s="8"/>
    </row>
    <row r="72" spans="1:20" x14ac:dyDescent="0.2">
      <c r="A72" s="8"/>
      <c r="C72" s="379" t="s">
        <v>221</v>
      </c>
      <c r="E72" s="698">
        <v>1.1200000000000001</v>
      </c>
      <c r="F72" s="698">
        <v>0.02</v>
      </c>
      <c r="G72" s="698">
        <v>4395</v>
      </c>
      <c r="J72" s="8">
        <v>0</v>
      </c>
      <c r="K72" s="8">
        <v>0.188</v>
      </c>
      <c r="L72" s="8"/>
      <c r="M72" s="8"/>
      <c r="O72" s="8"/>
      <c r="P72" s="8"/>
      <c r="Q72" s="8"/>
      <c r="R72" s="8"/>
      <c r="S72" s="8"/>
      <c r="T72" s="8"/>
    </row>
    <row r="73" spans="1:20" x14ac:dyDescent="0.2">
      <c r="A73" s="8"/>
      <c r="C73" s="379" t="s">
        <v>219</v>
      </c>
      <c r="E73" s="698">
        <v>0.27</v>
      </c>
      <c r="F73" s="698">
        <v>0.01</v>
      </c>
      <c r="G73" s="698">
        <v>1444</v>
      </c>
      <c r="J73" s="8">
        <v>8189</v>
      </c>
      <c r="K73" s="8">
        <v>918</v>
      </c>
      <c r="L73" s="8"/>
      <c r="M73" s="8"/>
      <c r="O73" s="8"/>
      <c r="P73" s="8"/>
      <c r="Q73" s="8"/>
      <c r="R73" s="8"/>
      <c r="S73" s="8"/>
      <c r="T73" s="8"/>
    </row>
    <row r="74" spans="1:20" x14ac:dyDescent="0.2">
      <c r="A74" s="467"/>
      <c r="B74" s="466" t="s">
        <v>237</v>
      </c>
      <c r="C74" s="468" t="s">
        <v>236</v>
      </c>
      <c r="D74" s="468"/>
      <c r="E74" s="454">
        <v>0.31</v>
      </c>
      <c r="F74" s="454">
        <v>0.11</v>
      </c>
      <c r="G74" s="454">
        <v>550</v>
      </c>
      <c r="J74" s="8"/>
      <c r="K74" s="8"/>
      <c r="L74" s="8"/>
      <c r="M74" s="8"/>
      <c r="O74" s="8"/>
      <c r="P74" s="8"/>
      <c r="Q74" s="8"/>
      <c r="R74" s="8"/>
      <c r="S74" s="8"/>
      <c r="T74" s="8"/>
    </row>
    <row r="75" spans="1:20" x14ac:dyDescent="0.2">
      <c r="A75" s="8"/>
      <c r="C75" s="379"/>
      <c r="E75" s="700" t="s">
        <v>276</v>
      </c>
      <c r="F75" s="454"/>
      <c r="G75" s="454"/>
      <c r="J75" s="8"/>
      <c r="K75" s="8"/>
      <c r="L75" s="8"/>
      <c r="M75" s="8"/>
      <c r="O75" s="8"/>
      <c r="P75" s="8"/>
      <c r="Q75" s="8"/>
      <c r="R75" s="8"/>
      <c r="S75" s="8"/>
      <c r="T75" s="8"/>
    </row>
    <row r="76" spans="1:20" ht="13.5" thickBot="1" x14ac:dyDescent="0.25">
      <c r="A76" s="8"/>
      <c r="C76" s="454" t="s">
        <v>46</v>
      </c>
      <c r="J76" s="453" t="s">
        <v>203</v>
      </c>
      <c r="K76" s="8"/>
      <c r="L76" s="453" t="s">
        <v>203</v>
      </c>
      <c r="N76" s="453" t="s">
        <v>203</v>
      </c>
      <c r="O76" s="299"/>
      <c r="P76" s="299"/>
      <c r="Q76" s="465"/>
      <c r="R76" s="8"/>
      <c r="S76" s="8"/>
      <c r="T76" s="8"/>
    </row>
    <row r="77" spans="1:20" x14ac:dyDescent="0.2">
      <c r="A77" s="8"/>
      <c r="C77" s="469" t="str">
        <f>C71</f>
        <v>Window Film</v>
      </c>
      <c r="D77" s="469" t="str">
        <f>C72</f>
        <v>Ceiling Insulation</v>
      </c>
      <c r="E77" s="469" t="str">
        <f>C73</f>
        <v>Wall Insulation</v>
      </c>
      <c r="F77" s="469" t="str">
        <f>C74</f>
        <v>Roof Insulation</v>
      </c>
      <c r="G77" s="455" t="s">
        <v>228</v>
      </c>
      <c r="I77" s="461" t="s">
        <v>223</v>
      </c>
      <c r="J77" s="453" t="str">
        <f>I77</f>
        <v>Sum KW</v>
      </c>
      <c r="K77" s="458" t="s">
        <v>224</v>
      </c>
      <c r="L77" s="453" t="str">
        <f>K77</f>
        <v>Win KW</v>
      </c>
      <c r="M77" s="458" t="s">
        <v>52</v>
      </c>
      <c r="N77" s="453" t="str">
        <f>M77</f>
        <v>Energy</v>
      </c>
      <c r="O77" s="8"/>
      <c r="P77" s="8"/>
      <c r="Q77" s="8"/>
      <c r="R77" s="8"/>
      <c r="S77" s="8"/>
      <c r="T77" s="8"/>
    </row>
    <row r="78" spans="1:20" hidden="1" x14ac:dyDescent="0.2">
      <c r="A78" s="8"/>
      <c r="C78" s="454"/>
      <c r="D78" s="454"/>
      <c r="E78" s="454"/>
      <c r="F78" s="454"/>
      <c r="G78" s="456"/>
      <c r="I78" s="167"/>
      <c r="J78" s="462"/>
      <c r="K78" s="167"/>
      <c r="L78" s="462"/>
      <c r="M78" s="359"/>
      <c r="N78" s="463"/>
      <c r="O78" s="8"/>
      <c r="P78" s="299">
        <v>7.6079999999999997</v>
      </c>
      <c r="Q78" s="299">
        <v>0.182</v>
      </c>
      <c r="R78" s="299">
        <v>6089</v>
      </c>
      <c r="S78" s="8"/>
      <c r="T78" s="8"/>
    </row>
    <row r="79" spans="1:20" hidden="1" x14ac:dyDescent="0.2">
      <c r="A79" s="8"/>
      <c r="C79" s="454"/>
      <c r="D79" s="454"/>
      <c r="E79" s="454"/>
      <c r="F79" s="454"/>
      <c r="G79" s="456"/>
      <c r="I79" s="167"/>
      <c r="J79" s="462"/>
      <c r="K79" s="167"/>
      <c r="L79" s="462"/>
      <c r="M79" s="359"/>
      <c r="N79" s="463"/>
      <c r="O79" s="8"/>
      <c r="P79" s="299">
        <v>2.4268181818181818</v>
      </c>
      <c r="Q79" s="299">
        <v>6.7045454545454547E-2</v>
      </c>
      <c r="R79" s="299">
        <v>3342.590909090909</v>
      </c>
      <c r="S79" s="8"/>
      <c r="T79" s="8"/>
    </row>
    <row r="80" spans="1:20" hidden="1" x14ac:dyDescent="0.2">
      <c r="A80" s="8"/>
      <c r="B80" s="2"/>
      <c r="C80" s="688"/>
      <c r="D80" s="688"/>
      <c r="E80" s="688"/>
      <c r="F80" s="688"/>
      <c r="G80" s="583"/>
      <c r="H80" s="2"/>
      <c r="I80" s="584"/>
      <c r="J80" s="585"/>
      <c r="K80" s="584"/>
      <c r="L80" s="585"/>
      <c r="M80" s="687"/>
      <c r="N80" s="586"/>
      <c r="O80" s="8"/>
      <c r="P80" s="299">
        <v>0.83916666666666651</v>
      </c>
      <c r="Q80" s="299">
        <v>8.3333333333333332E-3</v>
      </c>
      <c r="R80" s="299">
        <v>1489.6458333333333</v>
      </c>
      <c r="S80" s="8"/>
      <c r="T80" s="8"/>
    </row>
    <row r="81" spans="1:20" hidden="1" x14ac:dyDescent="0.2">
      <c r="A81" s="8"/>
      <c r="B81" s="555"/>
      <c r="C81" s="698"/>
      <c r="D81" s="698"/>
      <c r="E81" s="698"/>
      <c r="F81" s="698"/>
      <c r="G81" s="556"/>
      <c r="H81" s="555"/>
      <c r="I81" s="685"/>
      <c r="J81" s="557"/>
      <c r="K81" s="685"/>
      <c r="L81" s="557"/>
      <c r="M81" s="686"/>
      <c r="N81" s="558"/>
      <c r="O81" s="8"/>
      <c r="S81" s="8"/>
      <c r="T81" s="8"/>
    </row>
    <row r="82" spans="1:20" x14ac:dyDescent="0.2">
      <c r="A82" s="8"/>
      <c r="B82">
        <v>2014</v>
      </c>
      <c r="C82" s="454">
        <v>22</v>
      </c>
      <c r="D82" s="454">
        <v>37</v>
      </c>
      <c r="E82" s="454">
        <v>0</v>
      </c>
      <c r="F82" s="454">
        <v>6</v>
      </c>
      <c r="G82" s="456">
        <f t="shared" ref="G82:G87" si="63">SUM(C82:F82)</f>
        <v>65</v>
      </c>
      <c r="I82" s="167">
        <f t="shared" ref="I82:I87" si="64">($E$71*C82)+($E$72*D82)+($E$73*E82)+($E$74*F82)</f>
        <v>429.18</v>
      </c>
      <c r="J82" s="462">
        <f t="shared" ref="J82:J87" si="65">I82/$G82</f>
        <v>6.6027692307692307</v>
      </c>
      <c r="K82" s="167">
        <f t="shared" ref="K82:K87" si="66">($F$71*C82)+($F$72*D82)+($F$73*E82)+($F$74*F82)</f>
        <v>1.4</v>
      </c>
      <c r="L82" s="462">
        <f t="shared" ref="L82:L87" si="67">K82/$G82</f>
        <v>2.1538461538461538E-2</v>
      </c>
      <c r="M82" s="359">
        <f t="shared" ref="M82:M87" si="68">($G$71*C82)+($G$72*D82)+($G$73*E82)+($G$74*F82)</f>
        <v>450705</v>
      </c>
      <c r="N82" s="463">
        <f t="shared" ref="N82:N87" si="69">M82/$G82</f>
        <v>6933.9230769230771</v>
      </c>
      <c r="O82" s="8"/>
      <c r="S82" s="8"/>
      <c r="T82" s="8"/>
    </row>
    <row r="83" spans="1:20" x14ac:dyDescent="0.2">
      <c r="A83" s="8"/>
      <c r="B83">
        <v>2015</v>
      </c>
      <c r="C83" s="454">
        <v>24</v>
      </c>
      <c r="D83" s="454">
        <v>50</v>
      </c>
      <c r="E83" s="454">
        <v>1</v>
      </c>
      <c r="F83" s="454">
        <v>5</v>
      </c>
      <c r="G83" s="456">
        <f t="shared" si="63"/>
        <v>80</v>
      </c>
      <c r="I83" s="167">
        <f t="shared" si="64"/>
        <v>478.78</v>
      </c>
      <c r="J83" s="462">
        <f t="shared" si="65"/>
        <v>5.98475</v>
      </c>
      <c r="K83" s="167">
        <f t="shared" si="66"/>
        <v>1.56</v>
      </c>
      <c r="L83" s="462">
        <f t="shared" si="67"/>
        <v>1.95E-2</v>
      </c>
      <c r="M83" s="359">
        <f t="shared" si="68"/>
        <v>534624</v>
      </c>
      <c r="N83" s="463">
        <f t="shared" si="69"/>
        <v>6682.8</v>
      </c>
      <c r="O83" s="8"/>
      <c r="P83" s="8"/>
      <c r="Q83" s="8"/>
      <c r="R83" s="8"/>
      <c r="S83" s="8"/>
      <c r="T83" s="8"/>
    </row>
    <row r="84" spans="1:20" x14ac:dyDescent="0.2">
      <c r="A84" s="8"/>
      <c r="B84">
        <v>2016</v>
      </c>
      <c r="C84" s="454">
        <v>26</v>
      </c>
      <c r="D84" s="454">
        <v>45</v>
      </c>
      <c r="E84" s="454">
        <v>1</v>
      </c>
      <c r="F84" s="454">
        <v>5</v>
      </c>
      <c r="G84" s="456">
        <f t="shared" si="63"/>
        <v>77</v>
      </c>
      <c r="I84" s="167">
        <f t="shared" si="64"/>
        <v>508.25999999999993</v>
      </c>
      <c r="J84" s="462">
        <f t="shared" si="65"/>
        <v>6.60077922077922</v>
      </c>
      <c r="K84" s="167">
        <f t="shared" si="66"/>
        <v>1.46</v>
      </c>
      <c r="L84" s="462">
        <f t="shared" si="67"/>
        <v>1.896103896103896E-2</v>
      </c>
      <c r="M84" s="359">
        <f t="shared" si="68"/>
        <v>538539</v>
      </c>
      <c r="N84" s="463">
        <f t="shared" si="69"/>
        <v>6994.0129870129867</v>
      </c>
      <c r="O84" s="8"/>
      <c r="P84" s="8"/>
      <c r="Q84" s="8"/>
      <c r="R84" s="8"/>
      <c r="S84" s="8"/>
      <c r="T84" s="8"/>
    </row>
    <row r="85" spans="1:20" x14ac:dyDescent="0.2">
      <c r="B85">
        <v>2017</v>
      </c>
      <c r="C85" s="454">
        <v>28</v>
      </c>
      <c r="D85" s="454">
        <v>40</v>
      </c>
      <c r="E85" s="454">
        <v>1</v>
      </c>
      <c r="F85" s="454">
        <v>5</v>
      </c>
      <c r="G85" s="456">
        <f t="shared" si="63"/>
        <v>74</v>
      </c>
      <c r="I85" s="167">
        <f t="shared" si="64"/>
        <v>537.7399999999999</v>
      </c>
      <c r="J85" s="462">
        <f t="shared" si="65"/>
        <v>7.266756756756755</v>
      </c>
      <c r="K85" s="167">
        <f t="shared" si="66"/>
        <v>1.36</v>
      </c>
      <c r="L85" s="462">
        <f t="shared" si="67"/>
        <v>1.8378378378378378E-2</v>
      </c>
      <c r="M85" s="359">
        <f t="shared" si="68"/>
        <v>542454</v>
      </c>
      <c r="N85" s="463">
        <f t="shared" si="69"/>
        <v>7330.4594594594591</v>
      </c>
    </row>
    <row r="86" spans="1:20" x14ac:dyDescent="0.2">
      <c r="B86">
        <v>2018</v>
      </c>
      <c r="C86" s="454">
        <v>35</v>
      </c>
      <c r="D86" s="454">
        <v>35</v>
      </c>
      <c r="E86" s="454">
        <v>1</v>
      </c>
      <c r="F86" s="454">
        <v>5</v>
      </c>
      <c r="G86" s="456">
        <f t="shared" si="63"/>
        <v>76</v>
      </c>
      <c r="I86" s="167">
        <f t="shared" si="64"/>
        <v>654.91999999999996</v>
      </c>
      <c r="J86" s="462">
        <f t="shared" si="65"/>
        <v>8.6173684210526318</v>
      </c>
      <c r="K86" s="167">
        <f t="shared" si="66"/>
        <v>1.2600000000000002</v>
      </c>
      <c r="L86" s="462">
        <f t="shared" si="67"/>
        <v>1.6578947368421054E-2</v>
      </c>
      <c r="M86" s="359">
        <f t="shared" si="68"/>
        <v>611094</v>
      </c>
      <c r="N86" s="463">
        <f t="shared" si="69"/>
        <v>8040.7105263157891</v>
      </c>
    </row>
    <row r="87" spans="1:20" ht="13.5" thickBot="1" x14ac:dyDescent="0.25">
      <c r="B87">
        <v>2019</v>
      </c>
      <c r="C87" s="454">
        <v>40</v>
      </c>
      <c r="D87" s="454">
        <v>25</v>
      </c>
      <c r="E87" s="454">
        <v>1</v>
      </c>
      <c r="F87" s="454">
        <v>5</v>
      </c>
      <c r="G87" s="457">
        <f t="shared" si="63"/>
        <v>71</v>
      </c>
      <c r="I87" s="167">
        <f t="shared" si="64"/>
        <v>731.41999999999985</v>
      </c>
      <c r="J87" s="462">
        <f t="shared" si="65"/>
        <v>10.301690140845068</v>
      </c>
      <c r="K87" s="167">
        <f t="shared" si="66"/>
        <v>1.06</v>
      </c>
      <c r="L87" s="462">
        <f t="shared" si="67"/>
        <v>1.4929577464788733E-2</v>
      </c>
      <c r="M87" s="359">
        <f t="shared" si="68"/>
        <v>631869</v>
      </c>
      <c r="N87" s="463">
        <f t="shared" si="69"/>
        <v>8899.5633802816901</v>
      </c>
    </row>
  </sheetData>
  <mergeCells count="5">
    <mergeCell ref="R4:U4"/>
    <mergeCell ref="G3:I3"/>
    <mergeCell ref="B4:I4"/>
    <mergeCell ref="J4:M4"/>
    <mergeCell ref="N4:Q4"/>
  </mergeCells>
  <phoneticPr fontId="7" type="noConversion"/>
  <pageMargins left="0.75" right="0.75" top="1" bottom="1" header="0.5" footer="0.5"/>
  <pageSetup scale="44" orientation="landscape" r:id="rId1"/>
  <headerFooter alignWithMargins="0"/>
  <ignoredErrors>
    <ignoredError sqref="M82:N87 K82:K87"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1">
    <tabColor rgb="FFFF0000"/>
    <pageSetUpPr fitToPage="1"/>
  </sheetPr>
  <dimension ref="A1:X60"/>
  <sheetViews>
    <sheetView workbookViewId="0">
      <pane xSplit="1" ySplit="5" topLeftCell="B25" activePane="bottomRight" state="frozen"/>
      <selection activeCell="A3" sqref="A3:M4"/>
      <selection pane="topRight" activeCell="A3" sqref="A3:M4"/>
      <selection pane="bottomLeft" activeCell="A3" sqref="A3:M4"/>
      <selection pane="bottomRight" activeCell="O59" sqref="O59"/>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958" t="s">
        <v>111</v>
      </c>
      <c r="G1" s="4"/>
      <c r="H1" s="4"/>
      <c r="I1" s="249"/>
      <c r="J1" s="4"/>
      <c r="K1" s="4"/>
      <c r="L1" s="4"/>
      <c r="M1" s="4"/>
      <c r="N1" s="4"/>
    </row>
    <row r="2" spans="1:24" ht="19.5" thickBot="1" x14ac:dyDescent="0.3">
      <c r="A2" s="5" t="s">
        <v>1</v>
      </c>
      <c r="B2" s="27" t="s">
        <v>59</v>
      </c>
      <c r="C2" s="27"/>
      <c r="D2" s="27"/>
      <c r="E2" s="27"/>
      <c r="F2" s="23"/>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v>0</v>
      </c>
      <c r="D6" s="15"/>
      <c r="E6" s="15"/>
      <c r="F6" s="15"/>
      <c r="G6" s="15"/>
      <c r="H6" s="15"/>
      <c r="I6" s="31"/>
      <c r="J6" s="37"/>
      <c r="K6" s="59"/>
      <c r="L6" s="6"/>
      <c r="M6" s="46"/>
      <c r="N6" s="40"/>
      <c r="O6" s="55"/>
      <c r="P6" s="57"/>
      <c r="Q6" s="41"/>
      <c r="R6" s="43"/>
      <c r="S6" s="24"/>
      <c r="T6" s="21"/>
      <c r="U6" s="47"/>
      <c r="V6" s="3"/>
    </row>
    <row r="7" spans="1:24" s="1" customFormat="1" ht="15.75" customHeight="1" x14ac:dyDescent="0.2">
      <c r="A7" s="68" t="s">
        <v>63</v>
      </c>
      <c r="B7" s="30"/>
      <c r="C7" s="50">
        <f>0+C6</f>
        <v>0</v>
      </c>
      <c r="D7" s="15"/>
      <c r="E7" s="15"/>
      <c r="F7" s="15"/>
      <c r="G7" s="15"/>
      <c r="H7" s="15"/>
      <c r="I7" s="31"/>
      <c r="J7" s="37"/>
      <c r="K7" s="59"/>
      <c r="L7" s="6"/>
      <c r="M7" s="46"/>
      <c r="N7" s="40"/>
      <c r="O7" s="58"/>
      <c r="P7" s="57"/>
      <c r="Q7" s="41"/>
      <c r="R7" s="43"/>
      <c r="S7" s="24"/>
      <c r="T7" s="21"/>
      <c r="U7" s="47"/>
      <c r="V7" s="3"/>
    </row>
    <row r="8" spans="1:24" x14ac:dyDescent="0.2">
      <c r="A8" s="33">
        <v>1995</v>
      </c>
      <c r="B8" s="30">
        <v>0</v>
      </c>
      <c r="C8" s="64">
        <f>+C7+B8</f>
        <v>0</v>
      </c>
      <c r="D8" s="63">
        <f t="shared" ref="D8:E10" si="0">IF($B8=0,0,(G8*1000)/$B8)</f>
        <v>0</v>
      </c>
      <c r="E8" s="63">
        <f t="shared" si="0"/>
        <v>0</v>
      </c>
      <c r="F8" s="63">
        <f t="shared" ref="F8:F16" si="1">IF($B8=0,0,(I8*1000000)/$B8)</f>
        <v>0</v>
      </c>
      <c r="G8" s="87">
        <v>0</v>
      </c>
      <c r="H8" s="87">
        <v>0</v>
      </c>
      <c r="I8" s="88">
        <v>0</v>
      </c>
      <c r="J8" s="61">
        <f>+(B8+N8)/2</f>
        <v>0</v>
      </c>
      <c r="K8" s="59">
        <f>+D8</f>
        <v>0</v>
      </c>
      <c r="L8" s="59">
        <f>+J8*K8/1000</f>
        <v>0</v>
      </c>
      <c r="M8" s="60">
        <f>+M7+L8</f>
        <v>0</v>
      </c>
      <c r="N8" s="51">
        <v>0</v>
      </c>
      <c r="O8" s="58">
        <f>+E8</f>
        <v>0</v>
      </c>
      <c r="P8" s="58">
        <f>+N8*O8/1000</f>
        <v>0</v>
      </c>
      <c r="Q8" s="56">
        <f>+Q7+P8</f>
        <v>0</v>
      </c>
      <c r="R8" s="44">
        <f>J8</f>
        <v>0</v>
      </c>
      <c r="S8" s="24">
        <f>+F8</f>
        <v>0</v>
      </c>
      <c r="T8" s="25">
        <f>+R8*S8/1000000</f>
        <v>0</v>
      </c>
      <c r="U8" s="53">
        <f>+U7+T8</f>
        <v>0</v>
      </c>
      <c r="V8" s="9"/>
      <c r="X8" s="1"/>
    </row>
    <row r="9" spans="1:24" x14ac:dyDescent="0.2">
      <c r="A9" s="33">
        <v>1996</v>
      </c>
      <c r="B9" s="30">
        <v>100</v>
      </c>
      <c r="C9" s="64">
        <f t="shared" ref="C9:C47" si="2">+C8+B9</f>
        <v>100</v>
      </c>
      <c r="D9" s="63">
        <f t="shared" si="0"/>
        <v>0.06</v>
      </c>
      <c r="E9" s="63">
        <f t="shared" si="0"/>
        <v>0.05</v>
      </c>
      <c r="F9" s="89">
        <f t="shared" si="1"/>
        <v>256</v>
      </c>
      <c r="G9" s="87">
        <v>6.0000000000000001E-3</v>
      </c>
      <c r="H9" s="87">
        <v>5.0000000000000001E-3</v>
      </c>
      <c r="I9" s="88">
        <v>2.5600000000000001E-2</v>
      </c>
      <c r="J9" s="61">
        <f t="shared" ref="J9:J37" si="3">+(B9+B8)/2</f>
        <v>50</v>
      </c>
      <c r="K9" s="59">
        <f t="shared" ref="K9:K37" si="4">+D9</f>
        <v>0.06</v>
      </c>
      <c r="L9" s="59">
        <f t="shared" ref="L9:L37" si="5">+J9*K9/1000</f>
        <v>3.0000000000000001E-3</v>
      </c>
      <c r="M9" s="60">
        <f t="shared" ref="M9:M37" si="6">+M8+L9</f>
        <v>3.0000000000000001E-3</v>
      </c>
      <c r="N9" s="54">
        <f>+B8</f>
        <v>0</v>
      </c>
      <c r="O9" s="55">
        <f t="shared" ref="O9:O37" si="7">+E9</f>
        <v>0.05</v>
      </c>
      <c r="P9" s="55">
        <f t="shared" ref="P9:P37" si="8">+N9*O9/1000</f>
        <v>0</v>
      </c>
      <c r="Q9" s="56">
        <f t="shared" ref="Q9:Q37" si="9">+Q8+P9</f>
        <v>0</v>
      </c>
      <c r="R9" s="44">
        <f t="shared" ref="R9:R37" si="10">+(B9+B8)/2</f>
        <v>50</v>
      </c>
      <c r="S9" s="24">
        <f t="shared" ref="S9:S37" si="11">+F9</f>
        <v>256</v>
      </c>
      <c r="T9" s="25">
        <f t="shared" ref="T9:T37" si="12">+R9*S9/1000000</f>
        <v>1.2800000000000001E-2</v>
      </c>
      <c r="U9" s="53">
        <f t="shared" ref="U9:U37" si="13">+U8+T9</f>
        <v>1.2800000000000001E-2</v>
      </c>
      <c r="V9" s="10"/>
      <c r="X9" s="1"/>
    </row>
    <row r="10" spans="1:24" x14ac:dyDescent="0.2">
      <c r="A10" s="33">
        <v>1997</v>
      </c>
      <c r="B10" s="30">
        <v>573</v>
      </c>
      <c r="C10" s="64">
        <f t="shared" si="2"/>
        <v>673</v>
      </c>
      <c r="D10" s="63">
        <f t="shared" si="0"/>
        <v>6.0000000000000005E-2</v>
      </c>
      <c r="E10" s="63">
        <f t="shared" si="0"/>
        <v>4.9999999999999996E-2</v>
      </c>
      <c r="F10" s="63">
        <f t="shared" si="1"/>
        <v>256</v>
      </c>
      <c r="G10" s="87">
        <v>3.4380000000000001E-2</v>
      </c>
      <c r="H10" s="87">
        <v>2.8649999999999998E-2</v>
      </c>
      <c r="I10" s="88">
        <v>0.14668800000000001</v>
      </c>
      <c r="J10" s="61">
        <f t="shared" si="3"/>
        <v>336.5</v>
      </c>
      <c r="K10" s="59">
        <f t="shared" si="4"/>
        <v>6.0000000000000005E-2</v>
      </c>
      <c r="L10" s="59">
        <f t="shared" si="5"/>
        <v>2.019E-2</v>
      </c>
      <c r="M10" s="60">
        <f t="shared" si="6"/>
        <v>2.3189999999999999E-2</v>
      </c>
      <c r="N10" s="54">
        <f t="shared" ref="N10:N37" si="14">+B9</f>
        <v>100</v>
      </c>
      <c r="O10" s="55">
        <f t="shared" si="7"/>
        <v>4.9999999999999996E-2</v>
      </c>
      <c r="P10" s="55">
        <f t="shared" si="8"/>
        <v>5.0000000000000001E-3</v>
      </c>
      <c r="Q10" s="56">
        <f t="shared" si="9"/>
        <v>5.0000000000000001E-3</v>
      </c>
      <c r="R10" s="44">
        <f t="shared" si="10"/>
        <v>336.5</v>
      </c>
      <c r="S10" s="24">
        <f t="shared" si="11"/>
        <v>256</v>
      </c>
      <c r="T10" s="25">
        <f t="shared" si="12"/>
        <v>8.6143999999999998E-2</v>
      </c>
      <c r="U10" s="53">
        <f t="shared" si="13"/>
        <v>9.8944000000000004E-2</v>
      </c>
      <c r="V10" s="10"/>
      <c r="X10" s="1"/>
    </row>
    <row r="11" spans="1:24" x14ac:dyDescent="0.2">
      <c r="A11" s="33">
        <v>1998</v>
      </c>
      <c r="B11" s="30">
        <v>535</v>
      </c>
      <c r="C11" s="64">
        <f t="shared" si="2"/>
        <v>1208</v>
      </c>
      <c r="D11" s="63">
        <f t="shared" ref="D11:E13" si="15">IF($B11=0,0,(G11*1000)/$B11)</f>
        <v>5.9999999999999991E-2</v>
      </c>
      <c r="E11" s="63">
        <f t="shared" si="15"/>
        <v>0.05</v>
      </c>
      <c r="F11" s="63">
        <f t="shared" si="1"/>
        <v>256</v>
      </c>
      <c r="G11" s="87">
        <v>3.2099999999999997E-2</v>
      </c>
      <c r="H11" s="87">
        <v>2.6749999999999999E-2</v>
      </c>
      <c r="I11" s="88">
        <v>0.13696</v>
      </c>
      <c r="J11" s="61">
        <f t="shared" si="3"/>
        <v>554</v>
      </c>
      <c r="K11" s="59">
        <f t="shared" si="4"/>
        <v>5.9999999999999991E-2</v>
      </c>
      <c r="L11" s="59">
        <f t="shared" si="5"/>
        <v>3.3239999999999992E-2</v>
      </c>
      <c r="M11" s="60">
        <f t="shared" si="6"/>
        <v>5.6429999999999994E-2</v>
      </c>
      <c r="N11" s="54">
        <f t="shared" si="14"/>
        <v>573</v>
      </c>
      <c r="O11" s="55">
        <f t="shared" si="7"/>
        <v>0.05</v>
      </c>
      <c r="P11" s="55">
        <f t="shared" si="8"/>
        <v>2.8650000000000002E-2</v>
      </c>
      <c r="Q11" s="56">
        <f t="shared" si="9"/>
        <v>3.3649999999999999E-2</v>
      </c>
      <c r="R11" s="44">
        <f t="shared" si="10"/>
        <v>554</v>
      </c>
      <c r="S11" s="24">
        <f t="shared" si="11"/>
        <v>256</v>
      </c>
      <c r="T11" s="25">
        <f t="shared" si="12"/>
        <v>0.14182400000000001</v>
      </c>
      <c r="U11" s="53">
        <f t="shared" si="13"/>
        <v>0.24076800000000001</v>
      </c>
      <c r="V11" s="10"/>
      <c r="X11" s="1"/>
    </row>
    <row r="12" spans="1:24" x14ac:dyDescent="0.2">
      <c r="A12" s="33">
        <v>1999</v>
      </c>
      <c r="B12" s="30">
        <v>239</v>
      </c>
      <c r="C12" s="64">
        <f t="shared" si="2"/>
        <v>1447</v>
      </c>
      <c r="D12" s="63">
        <f t="shared" si="15"/>
        <v>0.06</v>
      </c>
      <c r="E12" s="63">
        <f t="shared" si="15"/>
        <v>0.05</v>
      </c>
      <c r="F12" s="63">
        <f t="shared" si="1"/>
        <v>256</v>
      </c>
      <c r="G12" s="87">
        <v>1.434E-2</v>
      </c>
      <c r="H12" s="87">
        <v>1.1950000000000001E-2</v>
      </c>
      <c r="I12" s="88">
        <v>6.1184000000000002E-2</v>
      </c>
      <c r="J12" s="61">
        <f t="shared" si="3"/>
        <v>387</v>
      </c>
      <c r="K12" s="59">
        <f t="shared" si="4"/>
        <v>0.06</v>
      </c>
      <c r="L12" s="59">
        <f t="shared" si="5"/>
        <v>2.3219999999999998E-2</v>
      </c>
      <c r="M12" s="60">
        <f t="shared" si="6"/>
        <v>7.9649999999999999E-2</v>
      </c>
      <c r="N12" s="54">
        <f t="shared" si="14"/>
        <v>535</v>
      </c>
      <c r="O12" s="55">
        <f t="shared" si="7"/>
        <v>0.05</v>
      </c>
      <c r="P12" s="55">
        <f t="shared" si="8"/>
        <v>2.6749999999999999E-2</v>
      </c>
      <c r="Q12" s="56">
        <f t="shared" si="9"/>
        <v>6.0399999999999995E-2</v>
      </c>
      <c r="R12" s="44">
        <f t="shared" si="10"/>
        <v>387</v>
      </c>
      <c r="S12" s="24">
        <f t="shared" si="11"/>
        <v>256</v>
      </c>
      <c r="T12" s="25">
        <f t="shared" si="12"/>
        <v>9.9071999999999993E-2</v>
      </c>
      <c r="U12" s="53">
        <f t="shared" si="13"/>
        <v>0.33984000000000003</v>
      </c>
      <c r="V12" s="10"/>
      <c r="X12" s="1"/>
    </row>
    <row r="13" spans="1:24" x14ac:dyDescent="0.2">
      <c r="A13" s="33">
        <v>2000</v>
      </c>
      <c r="B13" s="92"/>
      <c r="C13" s="64">
        <f t="shared" si="2"/>
        <v>1447</v>
      </c>
      <c r="D13" s="63">
        <f t="shared" si="15"/>
        <v>0</v>
      </c>
      <c r="E13" s="63">
        <f t="shared" si="15"/>
        <v>0</v>
      </c>
      <c r="F13" s="63">
        <f t="shared" si="1"/>
        <v>0</v>
      </c>
      <c r="G13" s="94"/>
      <c r="H13" s="94"/>
      <c r="I13" s="95"/>
      <c r="J13" s="61">
        <f t="shared" si="3"/>
        <v>119.5</v>
      </c>
      <c r="K13" s="59">
        <f t="shared" si="4"/>
        <v>0</v>
      </c>
      <c r="L13" s="59">
        <f t="shared" si="5"/>
        <v>0</v>
      </c>
      <c r="M13" s="60">
        <f t="shared" si="6"/>
        <v>7.9649999999999999E-2</v>
      </c>
      <c r="N13" s="54">
        <f t="shared" si="14"/>
        <v>239</v>
      </c>
      <c r="O13" s="55">
        <f t="shared" si="7"/>
        <v>0</v>
      </c>
      <c r="P13" s="55">
        <f t="shared" si="8"/>
        <v>0</v>
      </c>
      <c r="Q13" s="56">
        <f t="shared" si="9"/>
        <v>6.0399999999999995E-2</v>
      </c>
      <c r="R13" s="44">
        <f t="shared" si="10"/>
        <v>119.5</v>
      </c>
      <c r="S13" s="24">
        <f t="shared" si="11"/>
        <v>0</v>
      </c>
      <c r="T13" s="25">
        <f t="shared" si="12"/>
        <v>0</v>
      </c>
      <c r="U13" s="53">
        <f t="shared" si="13"/>
        <v>0.33984000000000003</v>
      </c>
      <c r="V13" s="9"/>
      <c r="X13" s="1"/>
    </row>
    <row r="14" spans="1:24" x14ac:dyDescent="0.2">
      <c r="A14" s="33">
        <v>2001</v>
      </c>
      <c r="B14" s="92"/>
      <c r="C14" s="64">
        <f t="shared" si="2"/>
        <v>1447</v>
      </c>
      <c r="D14" s="63">
        <f t="shared" ref="D14:E16" si="16">IF($B14=0,0,(G14*1000)/$B14)</f>
        <v>0</v>
      </c>
      <c r="E14" s="63">
        <f t="shared" si="16"/>
        <v>0</v>
      </c>
      <c r="F14" s="63">
        <f t="shared" si="1"/>
        <v>0</v>
      </c>
      <c r="G14" s="94"/>
      <c r="H14" s="94"/>
      <c r="I14" s="95"/>
      <c r="J14" s="61">
        <f t="shared" si="3"/>
        <v>0</v>
      </c>
      <c r="K14" s="59">
        <f t="shared" si="4"/>
        <v>0</v>
      </c>
      <c r="L14" s="59">
        <f t="shared" si="5"/>
        <v>0</v>
      </c>
      <c r="M14" s="60">
        <f t="shared" si="6"/>
        <v>7.9649999999999999E-2</v>
      </c>
      <c r="N14" s="54">
        <f t="shared" si="14"/>
        <v>0</v>
      </c>
      <c r="O14" s="55">
        <f t="shared" si="7"/>
        <v>0</v>
      </c>
      <c r="P14" s="55">
        <f t="shared" si="8"/>
        <v>0</v>
      </c>
      <c r="Q14" s="56">
        <f t="shared" si="9"/>
        <v>6.0399999999999995E-2</v>
      </c>
      <c r="R14" s="44">
        <f t="shared" si="10"/>
        <v>0</v>
      </c>
      <c r="S14" s="24">
        <f t="shared" si="11"/>
        <v>0</v>
      </c>
      <c r="T14" s="25">
        <f t="shared" si="12"/>
        <v>0</v>
      </c>
      <c r="U14" s="53">
        <f t="shared" si="13"/>
        <v>0.33984000000000003</v>
      </c>
      <c r="V14" s="9"/>
      <c r="X14" s="1"/>
    </row>
    <row r="15" spans="1:24" x14ac:dyDescent="0.2">
      <c r="A15" s="33">
        <v>2002</v>
      </c>
      <c r="B15" s="92"/>
      <c r="C15" s="64">
        <f t="shared" si="2"/>
        <v>1447</v>
      </c>
      <c r="D15" s="63">
        <f t="shared" si="16"/>
        <v>0</v>
      </c>
      <c r="E15" s="63">
        <f t="shared" si="16"/>
        <v>0</v>
      </c>
      <c r="F15" s="63">
        <f t="shared" si="1"/>
        <v>0</v>
      </c>
      <c r="G15" s="94"/>
      <c r="H15" s="94"/>
      <c r="I15" s="95"/>
      <c r="J15" s="61">
        <f t="shared" si="3"/>
        <v>0</v>
      </c>
      <c r="K15" s="59">
        <f t="shared" si="4"/>
        <v>0</v>
      </c>
      <c r="L15" s="59">
        <f t="shared" si="5"/>
        <v>0</v>
      </c>
      <c r="M15" s="60">
        <f t="shared" si="6"/>
        <v>7.9649999999999999E-2</v>
      </c>
      <c r="N15" s="54">
        <f t="shared" si="14"/>
        <v>0</v>
      </c>
      <c r="O15" s="55">
        <f t="shared" si="7"/>
        <v>0</v>
      </c>
      <c r="P15" s="55">
        <f t="shared" si="8"/>
        <v>0</v>
      </c>
      <c r="Q15" s="56">
        <f t="shared" si="9"/>
        <v>6.0399999999999995E-2</v>
      </c>
      <c r="R15" s="44">
        <f t="shared" si="10"/>
        <v>0</v>
      </c>
      <c r="S15" s="24">
        <f t="shared" si="11"/>
        <v>0</v>
      </c>
      <c r="T15" s="25">
        <f t="shared" si="12"/>
        <v>0</v>
      </c>
      <c r="U15" s="53">
        <f t="shared" si="13"/>
        <v>0.33984000000000003</v>
      </c>
      <c r="V15" s="9"/>
      <c r="X15" s="1"/>
    </row>
    <row r="16" spans="1:24" x14ac:dyDescent="0.2">
      <c r="A16" s="33">
        <v>2003</v>
      </c>
      <c r="B16" s="92"/>
      <c r="C16" s="64">
        <f t="shared" si="2"/>
        <v>1447</v>
      </c>
      <c r="D16" s="63">
        <f t="shared" si="16"/>
        <v>0</v>
      </c>
      <c r="E16" s="63">
        <f t="shared" si="16"/>
        <v>0</v>
      </c>
      <c r="F16" s="63">
        <f t="shared" si="1"/>
        <v>0</v>
      </c>
      <c r="G16" s="94"/>
      <c r="H16" s="94"/>
      <c r="I16" s="95"/>
      <c r="J16" s="61">
        <f t="shared" si="3"/>
        <v>0</v>
      </c>
      <c r="K16" s="59">
        <f t="shared" si="4"/>
        <v>0</v>
      </c>
      <c r="L16" s="59">
        <f t="shared" si="5"/>
        <v>0</v>
      </c>
      <c r="M16" s="60">
        <f t="shared" si="6"/>
        <v>7.9649999999999999E-2</v>
      </c>
      <c r="N16" s="54">
        <f t="shared" si="14"/>
        <v>0</v>
      </c>
      <c r="O16" s="55">
        <f t="shared" si="7"/>
        <v>0</v>
      </c>
      <c r="P16" s="55">
        <f t="shared" si="8"/>
        <v>0</v>
      </c>
      <c r="Q16" s="56">
        <f t="shared" si="9"/>
        <v>6.0399999999999995E-2</v>
      </c>
      <c r="R16" s="44">
        <f t="shared" si="10"/>
        <v>0</v>
      </c>
      <c r="S16" s="24">
        <f t="shared" si="11"/>
        <v>0</v>
      </c>
      <c r="T16" s="25">
        <f t="shared" si="12"/>
        <v>0</v>
      </c>
      <c r="U16" s="53">
        <f t="shared" si="13"/>
        <v>0.33984000000000003</v>
      </c>
      <c r="V16" s="9"/>
      <c r="X16" s="1"/>
    </row>
    <row r="17" spans="1:24" x14ac:dyDescent="0.2">
      <c r="A17" s="33">
        <f>+A16+1</f>
        <v>2004</v>
      </c>
      <c r="B17" s="92"/>
      <c r="C17" s="64">
        <f t="shared" si="2"/>
        <v>1447</v>
      </c>
      <c r="D17" s="63">
        <f t="shared" ref="D17:E19" si="17">IF($B17=0,0,(G17*1000)/$B17)</f>
        <v>0</v>
      </c>
      <c r="E17" s="63">
        <f t="shared" si="17"/>
        <v>0</v>
      </c>
      <c r="F17" s="63">
        <f>IF($B17=0,0,(I17*1000000)/$B17)</f>
        <v>0</v>
      </c>
      <c r="G17" s="94"/>
      <c r="H17" s="94"/>
      <c r="I17" s="95"/>
      <c r="J17" s="61">
        <f t="shared" si="3"/>
        <v>0</v>
      </c>
      <c r="K17" s="59">
        <f t="shared" si="4"/>
        <v>0</v>
      </c>
      <c r="L17" s="59">
        <f t="shared" si="5"/>
        <v>0</v>
      </c>
      <c r="M17" s="60">
        <f t="shared" si="6"/>
        <v>7.9649999999999999E-2</v>
      </c>
      <c r="N17" s="54">
        <f t="shared" si="14"/>
        <v>0</v>
      </c>
      <c r="O17" s="55">
        <f t="shared" si="7"/>
        <v>0</v>
      </c>
      <c r="P17" s="55">
        <f t="shared" si="8"/>
        <v>0</v>
      </c>
      <c r="Q17" s="56">
        <f t="shared" si="9"/>
        <v>6.0399999999999995E-2</v>
      </c>
      <c r="R17" s="44">
        <f t="shared" si="10"/>
        <v>0</v>
      </c>
      <c r="S17" s="24">
        <f t="shared" si="11"/>
        <v>0</v>
      </c>
      <c r="T17" s="25">
        <f t="shared" si="12"/>
        <v>0</v>
      </c>
      <c r="U17" s="53">
        <f t="shared" si="13"/>
        <v>0.33984000000000003</v>
      </c>
      <c r="V17" s="9"/>
      <c r="X17" s="1"/>
    </row>
    <row r="18" spans="1:24" x14ac:dyDescent="0.2">
      <c r="A18" s="33">
        <f t="shared" ref="A18:A38" si="18">+A17+1</f>
        <v>2005</v>
      </c>
      <c r="B18" s="92"/>
      <c r="C18" s="64">
        <f t="shared" si="2"/>
        <v>1447</v>
      </c>
      <c r="D18" s="63">
        <f t="shared" si="17"/>
        <v>0</v>
      </c>
      <c r="E18" s="63">
        <f t="shared" si="17"/>
        <v>0</v>
      </c>
      <c r="F18" s="63">
        <f>IF($B18=0,0,(I18*1000000)/$B18)</f>
        <v>0</v>
      </c>
      <c r="G18" s="94"/>
      <c r="H18" s="94"/>
      <c r="I18" s="95"/>
      <c r="J18" s="61">
        <f t="shared" si="3"/>
        <v>0</v>
      </c>
      <c r="K18" s="59">
        <f t="shared" si="4"/>
        <v>0</v>
      </c>
      <c r="L18" s="59">
        <f t="shared" si="5"/>
        <v>0</v>
      </c>
      <c r="M18" s="60">
        <f t="shared" si="6"/>
        <v>7.9649999999999999E-2</v>
      </c>
      <c r="N18" s="54">
        <f t="shared" si="14"/>
        <v>0</v>
      </c>
      <c r="O18" s="55">
        <f t="shared" si="7"/>
        <v>0</v>
      </c>
      <c r="P18" s="55">
        <f t="shared" si="8"/>
        <v>0</v>
      </c>
      <c r="Q18" s="56">
        <f t="shared" si="9"/>
        <v>6.0399999999999995E-2</v>
      </c>
      <c r="R18" s="44">
        <f t="shared" si="10"/>
        <v>0</v>
      </c>
      <c r="S18" s="24">
        <f t="shared" si="11"/>
        <v>0</v>
      </c>
      <c r="T18" s="25">
        <f t="shared" si="12"/>
        <v>0</v>
      </c>
      <c r="U18" s="53">
        <f t="shared" si="13"/>
        <v>0.33984000000000003</v>
      </c>
      <c r="V18" s="9"/>
      <c r="X18" s="1"/>
    </row>
    <row r="19" spans="1:24" x14ac:dyDescent="0.2">
      <c r="A19" s="33">
        <f t="shared" si="18"/>
        <v>2006</v>
      </c>
      <c r="B19" s="92"/>
      <c r="C19" s="64">
        <f t="shared" si="2"/>
        <v>1447</v>
      </c>
      <c r="D19" s="63">
        <f t="shared" si="17"/>
        <v>0</v>
      </c>
      <c r="E19" s="63">
        <f t="shared" si="17"/>
        <v>0</v>
      </c>
      <c r="F19" s="63">
        <f>IF($B19=0,0,(I19*1000000)/$B19)</f>
        <v>0</v>
      </c>
      <c r="G19" s="94"/>
      <c r="H19" s="94"/>
      <c r="I19" s="95"/>
      <c r="J19" s="61">
        <f t="shared" si="3"/>
        <v>0</v>
      </c>
      <c r="K19" s="59">
        <f t="shared" si="4"/>
        <v>0</v>
      </c>
      <c r="L19" s="59">
        <f t="shared" si="5"/>
        <v>0</v>
      </c>
      <c r="M19" s="60">
        <f t="shared" si="6"/>
        <v>7.9649999999999999E-2</v>
      </c>
      <c r="N19" s="54">
        <f t="shared" si="14"/>
        <v>0</v>
      </c>
      <c r="O19" s="55">
        <f t="shared" si="7"/>
        <v>0</v>
      </c>
      <c r="P19" s="55">
        <f t="shared" si="8"/>
        <v>0</v>
      </c>
      <c r="Q19" s="56">
        <f t="shared" si="9"/>
        <v>6.0399999999999995E-2</v>
      </c>
      <c r="R19" s="44">
        <f t="shared" si="10"/>
        <v>0</v>
      </c>
      <c r="S19" s="24">
        <f t="shared" si="11"/>
        <v>0</v>
      </c>
      <c r="T19" s="25">
        <f t="shared" si="12"/>
        <v>0</v>
      </c>
      <c r="U19" s="53">
        <f t="shared" si="13"/>
        <v>0.33984000000000003</v>
      </c>
      <c r="V19" s="8"/>
      <c r="X19" s="1"/>
    </row>
    <row r="20" spans="1:24" x14ac:dyDescent="0.2">
      <c r="A20" s="33">
        <f t="shared" si="18"/>
        <v>2007</v>
      </c>
      <c r="B20" s="92"/>
      <c r="C20" s="64">
        <f t="shared" si="2"/>
        <v>1447</v>
      </c>
      <c r="D20" s="63">
        <f>IF($B20=0,0,(G20*1000)/$B20)</f>
        <v>0</v>
      </c>
      <c r="E20" s="63">
        <f>IF($B20=0,0,(H20*1000)/$B20)</f>
        <v>0</v>
      </c>
      <c r="F20" s="63">
        <f>IF($B20=0,0,(I20*1000000)/$B20)</f>
        <v>0</v>
      </c>
      <c r="G20" s="94"/>
      <c r="H20" s="94"/>
      <c r="I20" s="95"/>
      <c r="J20" s="61">
        <f t="shared" si="3"/>
        <v>0</v>
      </c>
      <c r="K20" s="59">
        <f t="shared" si="4"/>
        <v>0</v>
      </c>
      <c r="L20" s="59">
        <f t="shared" si="5"/>
        <v>0</v>
      </c>
      <c r="M20" s="60">
        <f t="shared" si="6"/>
        <v>7.9649999999999999E-2</v>
      </c>
      <c r="N20" s="54">
        <f t="shared" si="14"/>
        <v>0</v>
      </c>
      <c r="O20" s="55">
        <f t="shared" si="7"/>
        <v>0</v>
      </c>
      <c r="P20" s="55">
        <f t="shared" si="8"/>
        <v>0</v>
      </c>
      <c r="Q20" s="56">
        <f t="shared" si="9"/>
        <v>6.0399999999999995E-2</v>
      </c>
      <c r="R20" s="44">
        <f t="shared" si="10"/>
        <v>0</v>
      </c>
      <c r="S20" s="24">
        <f t="shared" si="11"/>
        <v>0</v>
      </c>
      <c r="T20" s="25">
        <f t="shared" si="12"/>
        <v>0</v>
      </c>
      <c r="U20" s="53">
        <f t="shared" si="13"/>
        <v>0.33984000000000003</v>
      </c>
      <c r="V20" s="8"/>
      <c r="X20" s="1"/>
    </row>
    <row r="21" spans="1:24" x14ac:dyDescent="0.2">
      <c r="A21" s="33">
        <f t="shared" si="18"/>
        <v>2008</v>
      </c>
      <c r="B21" s="93"/>
      <c r="C21" s="64">
        <f t="shared" si="2"/>
        <v>1447</v>
      </c>
      <c r="D21" s="63">
        <f>IF($B21=0,0,(G21*1000)/$B21)</f>
        <v>0</v>
      </c>
      <c r="E21" s="63">
        <f>IF($B21=0,0,(H21*1000)/$B21)</f>
        <v>0</v>
      </c>
      <c r="F21" s="63">
        <f>IF($B21=0,0,(I21*1000000)/$B21)</f>
        <v>0</v>
      </c>
      <c r="G21" s="96"/>
      <c r="H21" s="96"/>
      <c r="I21" s="96"/>
      <c r="J21" s="61">
        <f t="shared" si="3"/>
        <v>0</v>
      </c>
      <c r="K21" s="59">
        <f t="shared" si="4"/>
        <v>0</v>
      </c>
      <c r="L21" s="59">
        <f t="shared" si="5"/>
        <v>0</v>
      </c>
      <c r="M21" s="60">
        <f t="shared" si="6"/>
        <v>7.9649999999999999E-2</v>
      </c>
      <c r="N21" s="54">
        <f t="shared" si="14"/>
        <v>0</v>
      </c>
      <c r="O21" s="55">
        <f t="shared" si="7"/>
        <v>0</v>
      </c>
      <c r="P21" s="55">
        <f t="shared" si="8"/>
        <v>0</v>
      </c>
      <c r="Q21" s="56">
        <f t="shared" si="9"/>
        <v>6.0399999999999995E-2</v>
      </c>
      <c r="R21" s="44">
        <f t="shared" si="10"/>
        <v>0</v>
      </c>
      <c r="S21" s="24">
        <f t="shared" si="11"/>
        <v>0</v>
      </c>
      <c r="T21" s="25">
        <f t="shared" si="12"/>
        <v>0</v>
      </c>
      <c r="U21" s="53">
        <f t="shared" si="13"/>
        <v>0.33984000000000003</v>
      </c>
    </row>
    <row r="22" spans="1:24" x14ac:dyDescent="0.2">
      <c r="A22" s="33">
        <f t="shared" si="18"/>
        <v>2009</v>
      </c>
      <c r="B22" s="93"/>
      <c r="C22" s="64">
        <f t="shared" si="2"/>
        <v>1447</v>
      </c>
      <c r="D22" s="63">
        <f t="shared" ref="D22:D47" si="19">IF($B22=0,0,(G22*1000)/$B22)</f>
        <v>0</v>
      </c>
      <c r="E22" s="63">
        <f t="shared" ref="E22:E47" si="20">IF($B22=0,0,(H22*1000)/$B22)</f>
        <v>0</v>
      </c>
      <c r="F22" s="63">
        <f t="shared" ref="F22:F47" si="21">IF($B22=0,0,(I22*1000000)/$B22)</f>
        <v>0</v>
      </c>
      <c r="G22" s="96"/>
      <c r="H22" s="96"/>
      <c r="I22" s="564"/>
      <c r="J22" s="61">
        <f t="shared" si="3"/>
        <v>0</v>
      </c>
      <c r="K22" s="59">
        <f t="shared" si="4"/>
        <v>0</v>
      </c>
      <c r="L22" s="59">
        <f t="shared" si="5"/>
        <v>0</v>
      </c>
      <c r="M22" s="60">
        <f t="shared" si="6"/>
        <v>7.9649999999999999E-2</v>
      </c>
      <c r="N22" s="54">
        <f t="shared" si="14"/>
        <v>0</v>
      </c>
      <c r="O22" s="55">
        <f t="shared" si="7"/>
        <v>0</v>
      </c>
      <c r="P22" s="55">
        <f t="shared" si="8"/>
        <v>0</v>
      </c>
      <c r="Q22" s="56">
        <f t="shared" si="9"/>
        <v>6.0399999999999995E-2</v>
      </c>
      <c r="R22" s="44">
        <f t="shared" si="10"/>
        <v>0</v>
      </c>
      <c r="S22" s="24">
        <f t="shared" si="11"/>
        <v>0</v>
      </c>
      <c r="T22" s="25">
        <f t="shared" si="12"/>
        <v>0</v>
      </c>
      <c r="U22" s="53">
        <f t="shared" si="13"/>
        <v>0.33984000000000003</v>
      </c>
    </row>
    <row r="23" spans="1:24" x14ac:dyDescent="0.2">
      <c r="A23" s="33">
        <f t="shared" si="18"/>
        <v>2010</v>
      </c>
      <c r="B23" s="93"/>
      <c r="C23" s="64">
        <f t="shared" si="2"/>
        <v>1447</v>
      </c>
      <c r="D23" s="63">
        <f t="shared" si="19"/>
        <v>0</v>
      </c>
      <c r="E23" s="63">
        <f t="shared" si="20"/>
        <v>0</v>
      </c>
      <c r="F23" s="63">
        <f t="shared" si="21"/>
        <v>0</v>
      </c>
      <c r="G23" s="96"/>
      <c r="H23" s="96"/>
      <c r="I23" s="564"/>
      <c r="J23" s="61">
        <f t="shared" si="3"/>
        <v>0</v>
      </c>
      <c r="K23" s="59">
        <f t="shared" si="4"/>
        <v>0</v>
      </c>
      <c r="L23" s="59">
        <f t="shared" si="5"/>
        <v>0</v>
      </c>
      <c r="M23" s="60">
        <f t="shared" si="6"/>
        <v>7.9649999999999999E-2</v>
      </c>
      <c r="N23" s="54">
        <f t="shared" si="14"/>
        <v>0</v>
      </c>
      <c r="O23" s="55">
        <f t="shared" si="7"/>
        <v>0</v>
      </c>
      <c r="P23" s="55">
        <f t="shared" si="8"/>
        <v>0</v>
      </c>
      <c r="Q23" s="56">
        <f t="shared" si="9"/>
        <v>6.0399999999999995E-2</v>
      </c>
      <c r="R23" s="44">
        <f t="shared" si="10"/>
        <v>0</v>
      </c>
      <c r="S23" s="24">
        <f t="shared" si="11"/>
        <v>0</v>
      </c>
      <c r="T23" s="25">
        <f t="shared" si="12"/>
        <v>0</v>
      </c>
      <c r="U23" s="53">
        <f t="shared" si="13"/>
        <v>0.33984000000000003</v>
      </c>
    </row>
    <row r="24" spans="1:24" x14ac:dyDescent="0.2">
      <c r="A24" s="283">
        <f t="shared" si="18"/>
        <v>2011</v>
      </c>
      <c r="B24" s="292"/>
      <c r="C24" s="284">
        <f t="shared" si="2"/>
        <v>1447</v>
      </c>
      <c r="D24" s="63">
        <f t="shared" si="19"/>
        <v>0</v>
      </c>
      <c r="E24" s="63">
        <f t="shared" si="20"/>
        <v>0</v>
      </c>
      <c r="F24" s="63">
        <f t="shared" si="21"/>
        <v>0</v>
      </c>
      <c r="G24" s="293"/>
      <c r="H24" s="293"/>
      <c r="I24" s="293"/>
      <c r="J24" s="138">
        <f t="shared" si="3"/>
        <v>0</v>
      </c>
      <c r="K24" s="139">
        <f t="shared" si="4"/>
        <v>0</v>
      </c>
      <c r="L24" s="139">
        <f t="shared" si="5"/>
        <v>0</v>
      </c>
      <c r="M24" s="140">
        <f t="shared" si="6"/>
        <v>7.9649999999999999E-2</v>
      </c>
      <c r="N24" s="141">
        <f t="shared" si="14"/>
        <v>0</v>
      </c>
      <c r="O24" s="142">
        <f t="shared" si="7"/>
        <v>0</v>
      </c>
      <c r="P24" s="142">
        <f t="shared" si="8"/>
        <v>0</v>
      </c>
      <c r="Q24" s="143">
        <f t="shared" si="9"/>
        <v>6.0399999999999995E-2</v>
      </c>
      <c r="R24" s="144">
        <f t="shared" si="10"/>
        <v>0</v>
      </c>
      <c r="S24" s="145">
        <f t="shared" si="11"/>
        <v>0</v>
      </c>
      <c r="T24" s="146">
        <f t="shared" si="12"/>
        <v>0</v>
      </c>
      <c r="U24" s="147">
        <f t="shared" si="13"/>
        <v>0.33984000000000003</v>
      </c>
    </row>
    <row r="25" spans="1:24" x14ac:dyDescent="0.2">
      <c r="A25" s="33">
        <f t="shared" si="18"/>
        <v>2012</v>
      </c>
      <c r="B25" s="93"/>
      <c r="C25" s="64">
        <f t="shared" si="2"/>
        <v>1447</v>
      </c>
      <c r="D25" s="63">
        <f t="shared" si="19"/>
        <v>0</v>
      </c>
      <c r="E25" s="63">
        <f t="shared" si="20"/>
        <v>0</v>
      </c>
      <c r="F25" s="63">
        <f t="shared" si="21"/>
        <v>0</v>
      </c>
      <c r="G25" s="96"/>
      <c r="H25" s="96"/>
      <c r="I25" s="564"/>
      <c r="J25" s="61">
        <f t="shared" si="3"/>
        <v>0</v>
      </c>
      <c r="K25" s="59">
        <f t="shared" si="4"/>
        <v>0</v>
      </c>
      <c r="L25" s="59">
        <f t="shared" si="5"/>
        <v>0</v>
      </c>
      <c r="M25" s="60">
        <f t="shared" si="6"/>
        <v>7.9649999999999999E-2</v>
      </c>
      <c r="N25" s="54">
        <f t="shared" si="14"/>
        <v>0</v>
      </c>
      <c r="O25" s="55">
        <f t="shared" si="7"/>
        <v>0</v>
      </c>
      <c r="P25" s="55">
        <f t="shared" si="8"/>
        <v>0</v>
      </c>
      <c r="Q25" s="56">
        <f t="shared" si="9"/>
        <v>6.0399999999999995E-2</v>
      </c>
      <c r="R25" s="44">
        <f t="shared" si="10"/>
        <v>0</v>
      </c>
      <c r="S25" s="24">
        <f t="shared" si="11"/>
        <v>0</v>
      </c>
      <c r="T25" s="25">
        <f t="shared" si="12"/>
        <v>0</v>
      </c>
      <c r="U25" s="53">
        <f t="shared" si="13"/>
        <v>0.33984000000000003</v>
      </c>
    </row>
    <row r="26" spans="1:24" x14ac:dyDescent="0.2">
      <c r="A26" s="33">
        <f t="shared" si="18"/>
        <v>2013</v>
      </c>
      <c r="B26" s="93"/>
      <c r="C26" s="64">
        <f t="shared" si="2"/>
        <v>1447</v>
      </c>
      <c r="D26" s="63">
        <f t="shared" si="19"/>
        <v>0</v>
      </c>
      <c r="E26" s="63">
        <f t="shared" si="20"/>
        <v>0</v>
      </c>
      <c r="F26" s="63">
        <f t="shared" si="21"/>
        <v>0</v>
      </c>
      <c r="G26" s="96"/>
      <c r="H26" s="96"/>
      <c r="I26" s="564"/>
      <c r="J26" s="61">
        <f t="shared" si="3"/>
        <v>0</v>
      </c>
      <c r="K26" s="59">
        <f t="shared" si="4"/>
        <v>0</v>
      </c>
      <c r="L26" s="59">
        <f t="shared" si="5"/>
        <v>0</v>
      </c>
      <c r="M26" s="60">
        <f t="shared" si="6"/>
        <v>7.9649999999999999E-2</v>
      </c>
      <c r="N26" s="54">
        <f t="shared" si="14"/>
        <v>0</v>
      </c>
      <c r="O26" s="55">
        <f t="shared" si="7"/>
        <v>0</v>
      </c>
      <c r="P26" s="55">
        <f t="shared" si="8"/>
        <v>0</v>
      </c>
      <c r="Q26" s="56">
        <f t="shared" si="9"/>
        <v>6.0399999999999995E-2</v>
      </c>
      <c r="R26" s="44">
        <f t="shared" si="10"/>
        <v>0</v>
      </c>
      <c r="S26" s="24">
        <f t="shared" si="11"/>
        <v>0</v>
      </c>
      <c r="T26" s="25">
        <f t="shared" si="12"/>
        <v>0</v>
      </c>
      <c r="U26" s="53">
        <f t="shared" si="13"/>
        <v>0.33984000000000003</v>
      </c>
    </row>
    <row r="27" spans="1:24" ht="13.5" thickBot="1" x14ac:dyDescent="0.25">
      <c r="A27" s="34">
        <f t="shared" si="18"/>
        <v>2014</v>
      </c>
      <c r="B27" s="406"/>
      <c r="C27" s="404">
        <f t="shared" si="2"/>
        <v>1447</v>
      </c>
      <c r="D27" s="792">
        <f t="shared" si="19"/>
        <v>0</v>
      </c>
      <c r="E27" s="792">
        <f t="shared" si="20"/>
        <v>0</v>
      </c>
      <c r="F27" s="792">
        <f t="shared" si="21"/>
        <v>0</v>
      </c>
      <c r="G27" s="407"/>
      <c r="H27" s="407"/>
      <c r="I27" s="408"/>
      <c r="J27" s="149">
        <f t="shared" si="3"/>
        <v>0</v>
      </c>
      <c r="K27" s="150">
        <f t="shared" si="4"/>
        <v>0</v>
      </c>
      <c r="L27" s="150">
        <f t="shared" si="5"/>
        <v>0</v>
      </c>
      <c r="M27" s="151">
        <f t="shared" si="6"/>
        <v>7.9649999999999999E-2</v>
      </c>
      <c r="N27" s="152">
        <f t="shared" si="14"/>
        <v>0</v>
      </c>
      <c r="O27" s="153">
        <f t="shared" si="7"/>
        <v>0</v>
      </c>
      <c r="P27" s="153">
        <f t="shared" si="8"/>
        <v>0</v>
      </c>
      <c r="Q27" s="154">
        <f t="shared" si="9"/>
        <v>6.0399999999999995E-2</v>
      </c>
      <c r="R27" s="155">
        <f t="shared" si="10"/>
        <v>0</v>
      </c>
      <c r="S27" s="156">
        <f t="shared" si="11"/>
        <v>0</v>
      </c>
      <c r="T27" s="157">
        <f t="shared" si="12"/>
        <v>0</v>
      </c>
      <c r="U27" s="158">
        <f t="shared" si="13"/>
        <v>0.33984000000000003</v>
      </c>
    </row>
    <row r="28" spans="1:24" x14ac:dyDescent="0.2">
      <c r="A28" s="33">
        <f t="shared" si="18"/>
        <v>2015</v>
      </c>
      <c r="B28" s="93"/>
      <c r="C28" s="64">
        <f t="shared" si="2"/>
        <v>1447</v>
      </c>
      <c r="D28" s="63">
        <f t="shared" si="19"/>
        <v>0</v>
      </c>
      <c r="E28" s="63">
        <f t="shared" si="20"/>
        <v>0</v>
      </c>
      <c r="F28" s="63">
        <f t="shared" si="21"/>
        <v>0</v>
      </c>
      <c r="G28" s="96"/>
      <c r="H28" s="96"/>
      <c r="I28" s="96"/>
      <c r="J28" s="61">
        <f t="shared" si="3"/>
        <v>0</v>
      </c>
      <c r="K28" s="59">
        <f t="shared" si="4"/>
        <v>0</v>
      </c>
      <c r="L28" s="59">
        <f t="shared" si="5"/>
        <v>0</v>
      </c>
      <c r="M28" s="60">
        <f t="shared" si="6"/>
        <v>7.9649999999999999E-2</v>
      </c>
      <c r="N28" s="54">
        <f t="shared" si="14"/>
        <v>0</v>
      </c>
      <c r="O28" s="55">
        <f t="shared" si="7"/>
        <v>0</v>
      </c>
      <c r="P28" s="55">
        <f t="shared" si="8"/>
        <v>0</v>
      </c>
      <c r="Q28" s="56">
        <f t="shared" si="9"/>
        <v>6.0399999999999995E-2</v>
      </c>
      <c r="R28" s="44">
        <f t="shared" si="10"/>
        <v>0</v>
      </c>
      <c r="S28" s="24">
        <f t="shared" si="11"/>
        <v>0</v>
      </c>
      <c r="T28" s="25">
        <f t="shared" si="12"/>
        <v>0</v>
      </c>
      <c r="U28" s="53">
        <f t="shared" si="13"/>
        <v>0.33984000000000003</v>
      </c>
    </row>
    <row r="29" spans="1:24" x14ac:dyDescent="0.2">
      <c r="A29" s="33">
        <f t="shared" si="18"/>
        <v>2016</v>
      </c>
      <c r="B29" s="93"/>
      <c r="C29" s="64">
        <f t="shared" si="2"/>
        <v>1447</v>
      </c>
      <c r="D29" s="63">
        <f t="shared" si="19"/>
        <v>0</v>
      </c>
      <c r="E29" s="63">
        <f t="shared" si="20"/>
        <v>0</v>
      </c>
      <c r="F29" s="63">
        <f t="shared" si="21"/>
        <v>0</v>
      </c>
      <c r="G29" s="96"/>
      <c r="H29" s="96"/>
      <c r="I29" s="96"/>
      <c r="J29" s="61">
        <f t="shared" si="3"/>
        <v>0</v>
      </c>
      <c r="K29" s="59">
        <f t="shared" si="4"/>
        <v>0</v>
      </c>
      <c r="L29" s="59">
        <f t="shared" si="5"/>
        <v>0</v>
      </c>
      <c r="M29" s="60">
        <f t="shared" si="6"/>
        <v>7.9649999999999999E-2</v>
      </c>
      <c r="N29" s="54">
        <f t="shared" si="14"/>
        <v>0</v>
      </c>
      <c r="O29" s="55">
        <f t="shared" si="7"/>
        <v>0</v>
      </c>
      <c r="P29" s="55">
        <f t="shared" si="8"/>
        <v>0</v>
      </c>
      <c r="Q29" s="56">
        <f t="shared" si="9"/>
        <v>6.0399999999999995E-2</v>
      </c>
      <c r="R29" s="44">
        <f t="shared" si="10"/>
        <v>0</v>
      </c>
      <c r="S29" s="24">
        <f t="shared" si="11"/>
        <v>0</v>
      </c>
      <c r="T29" s="25">
        <f t="shared" si="12"/>
        <v>0</v>
      </c>
      <c r="U29" s="53">
        <f t="shared" si="13"/>
        <v>0.33984000000000003</v>
      </c>
    </row>
    <row r="30" spans="1:24" x14ac:dyDescent="0.2">
      <c r="A30" s="33">
        <f t="shared" si="18"/>
        <v>2017</v>
      </c>
      <c r="B30" s="93"/>
      <c r="C30" s="64">
        <f t="shared" si="2"/>
        <v>1447</v>
      </c>
      <c r="D30" s="63">
        <f t="shared" si="19"/>
        <v>0</v>
      </c>
      <c r="E30" s="63">
        <f t="shared" si="20"/>
        <v>0</v>
      </c>
      <c r="F30" s="63">
        <f t="shared" si="21"/>
        <v>0</v>
      </c>
      <c r="G30" s="96"/>
      <c r="H30" s="96"/>
      <c r="I30" s="96"/>
      <c r="J30" s="61">
        <f t="shared" si="3"/>
        <v>0</v>
      </c>
      <c r="K30" s="59">
        <f t="shared" si="4"/>
        <v>0</v>
      </c>
      <c r="L30" s="59">
        <f t="shared" si="5"/>
        <v>0</v>
      </c>
      <c r="M30" s="60">
        <f t="shared" si="6"/>
        <v>7.9649999999999999E-2</v>
      </c>
      <c r="N30" s="54">
        <f t="shared" si="14"/>
        <v>0</v>
      </c>
      <c r="O30" s="55">
        <f t="shared" si="7"/>
        <v>0</v>
      </c>
      <c r="P30" s="55">
        <f t="shared" si="8"/>
        <v>0</v>
      </c>
      <c r="Q30" s="56">
        <f t="shared" si="9"/>
        <v>6.0399999999999995E-2</v>
      </c>
      <c r="R30" s="44">
        <f t="shared" si="10"/>
        <v>0</v>
      </c>
      <c r="S30" s="24">
        <f t="shared" si="11"/>
        <v>0</v>
      </c>
      <c r="T30" s="25">
        <f t="shared" si="12"/>
        <v>0</v>
      </c>
      <c r="U30" s="53">
        <f t="shared" si="13"/>
        <v>0.33984000000000003</v>
      </c>
    </row>
    <row r="31" spans="1:24" x14ac:dyDescent="0.2">
      <c r="A31" s="33">
        <f t="shared" si="18"/>
        <v>2018</v>
      </c>
      <c r="B31" s="93"/>
      <c r="C31" s="64">
        <f t="shared" si="2"/>
        <v>1447</v>
      </c>
      <c r="D31" s="63">
        <f t="shared" si="19"/>
        <v>0</v>
      </c>
      <c r="E31" s="63">
        <f t="shared" si="20"/>
        <v>0</v>
      </c>
      <c r="F31" s="63">
        <f t="shared" si="21"/>
        <v>0</v>
      </c>
      <c r="G31" s="96"/>
      <c r="H31" s="96"/>
      <c r="I31" s="96"/>
      <c r="J31" s="61">
        <f t="shared" si="3"/>
        <v>0</v>
      </c>
      <c r="K31" s="59">
        <f t="shared" si="4"/>
        <v>0</v>
      </c>
      <c r="L31" s="59">
        <f t="shared" si="5"/>
        <v>0</v>
      </c>
      <c r="M31" s="60">
        <f t="shared" si="6"/>
        <v>7.9649999999999999E-2</v>
      </c>
      <c r="N31" s="54">
        <f t="shared" si="14"/>
        <v>0</v>
      </c>
      <c r="O31" s="55">
        <f t="shared" si="7"/>
        <v>0</v>
      </c>
      <c r="P31" s="55">
        <f t="shared" si="8"/>
        <v>0</v>
      </c>
      <c r="Q31" s="56">
        <f t="shared" si="9"/>
        <v>6.0399999999999995E-2</v>
      </c>
      <c r="R31" s="44">
        <f t="shared" si="10"/>
        <v>0</v>
      </c>
      <c r="S31" s="24">
        <f t="shared" si="11"/>
        <v>0</v>
      </c>
      <c r="T31" s="25">
        <f t="shared" si="12"/>
        <v>0</v>
      </c>
      <c r="U31" s="53">
        <f t="shared" si="13"/>
        <v>0.33984000000000003</v>
      </c>
    </row>
    <row r="32" spans="1:24" x14ac:dyDescent="0.2">
      <c r="A32" s="33">
        <f t="shared" si="18"/>
        <v>2019</v>
      </c>
      <c r="B32" s="93"/>
      <c r="C32" s="64">
        <f t="shared" si="2"/>
        <v>1447</v>
      </c>
      <c r="D32" s="63">
        <f t="shared" si="19"/>
        <v>0</v>
      </c>
      <c r="E32" s="63">
        <f t="shared" si="20"/>
        <v>0</v>
      </c>
      <c r="F32" s="63">
        <f t="shared" si="21"/>
        <v>0</v>
      </c>
      <c r="G32" s="96"/>
      <c r="H32" s="96"/>
      <c r="I32" s="96"/>
      <c r="J32" s="61">
        <f t="shared" si="3"/>
        <v>0</v>
      </c>
      <c r="K32" s="59">
        <f t="shared" si="4"/>
        <v>0</v>
      </c>
      <c r="L32" s="59">
        <f t="shared" si="5"/>
        <v>0</v>
      </c>
      <c r="M32" s="60">
        <f t="shared" si="6"/>
        <v>7.9649999999999999E-2</v>
      </c>
      <c r="N32" s="54">
        <f t="shared" si="14"/>
        <v>0</v>
      </c>
      <c r="O32" s="55">
        <f t="shared" si="7"/>
        <v>0</v>
      </c>
      <c r="P32" s="55">
        <f t="shared" si="8"/>
        <v>0</v>
      </c>
      <c r="Q32" s="56">
        <f t="shared" si="9"/>
        <v>6.0399999999999995E-2</v>
      </c>
      <c r="R32" s="44">
        <f t="shared" si="10"/>
        <v>0</v>
      </c>
      <c r="S32" s="24">
        <f t="shared" si="11"/>
        <v>0</v>
      </c>
      <c r="T32" s="25">
        <f t="shared" si="12"/>
        <v>0</v>
      </c>
      <c r="U32" s="53">
        <f t="shared" si="13"/>
        <v>0.33984000000000003</v>
      </c>
    </row>
    <row r="33" spans="1:21" x14ac:dyDescent="0.2">
      <c r="A33" s="33">
        <f t="shared" si="18"/>
        <v>2020</v>
      </c>
      <c r="B33" s="93"/>
      <c r="C33" s="64">
        <f t="shared" si="2"/>
        <v>1447</v>
      </c>
      <c r="D33" s="63">
        <f t="shared" si="19"/>
        <v>0</v>
      </c>
      <c r="E33" s="63">
        <f t="shared" si="20"/>
        <v>0</v>
      </c>
      <c r="F33" s="63">
        <f t="shared" si="21"/>
        <v>0</v>
      </c>
      <c r="G33" s="96"/>
      <c r="H33" s="96"/>
      <c r="I33" s="96"/>
      <c r="J33" s="61">
        <f t="shared" si="3"/>
        <v>0</v>
      </c>
      <c r="K33" s="59">
        <f t="shared" si="4"/>
        <v>0</v>
      </c>
      <c r="L33" s="59">
        <f t="shared" si="5"/>
        <v>0</v>
      </c>
      <c r="M33" s="60">
        <f t="shared" si="6"/>
        <v>7.9649999999999999E-2</v>
      </c>
      <c r="N33" s="54">
        <f t="shared" si="14"/>
        <v>0</v>
      </c>
      <c r="O33" s="55">
        <f t="shared" si="7"/>
        <v>0</v>
      </c>
      <c r="P33" s="55">
        <f t="shared" si="8"/>
        <v>0</v>
      </c>
      <c r="Q33" s="56">
        <f t="shared" si="9"/>
        <v>6.0399999999999995E-2</v>
      </c>
      <c r="R33" s="44">
        <f t="shared" si="10"/>
        <v>0</v>
      </c>
      <c r="S33" s="24">
        <f t="shared" si="11"/>
        <v>0</v>
      </c>
      <c r="T33" s="25">
        <f t="shared" si="12"/>
        <v>0</v>
      </c>
      <c r="U33" s="53">
        <f t="shared" si="13"/>
        <v>0.33984000000000003</v>
      </c>
    </row>
    <row r="34" spans="1:21" x14ac:dyDescent="0.2">
      <c r="A34" s="33">
        <f t="shared" si="18"/>
        <v>2021</v>
      </c>
      <c r="B34" s="93"/>
      <c r="C34" s="64">
        <f t="shared" si="2"/>
        <v>1447</v>
      </c>
      <c r="D34" s="63">
        <f t="shared" si="19"/>
        <v>0</v>
      </c>
      <c r="E34" s="63">
        <f t="shared" si="20"/>
        <v>0</v>
      </c>
      <c r="F34" s="63">
        <f t="shared" si="21"/>
        <v>0</v>
      </c>
      <c r="G34" s="96"/>
      <c r="H34" s="96"/>
      <c r="I34" s="96"/>
      <c r="J34" s="61">
        <f t="shared" si="3"/>
        <v>0</v>
      </c>
      <c r="K34" s="59">
        <f t="shared" si="4"/>
        <v>0</v>
      </c>
      <c r="L34" s="59">
        <f t="shared" si="5"/>
        <v>0</v>
      </c>
      <c r="M34" s="60">
        <f t="shared" si="6"/>
        <v>7.9649999999999999E-2</v>
      </c>
      <c r="N34" s="54">
        <f t="shared" si="14"/>
        <v>0</v>
      </c>
      <c r="O34" s="55">
        <f t="shared" si="7"/>
        <v>0</v>
      </c>
      <c r="P34" s="55">
        <f t="shared" si="8"/>
        <v>0</v>
      </c>
      <c r="Q34" s="56">
        <f t="shared" si="9"/>
        <v>6.0399999999999995E-2</v>
      </c>
      <c r="R34" s="44">
        <f t="shared" si="10"/>
        <v>0</v>
      </c>
      <c r="S34" s="24">
        <f t="shared" si="11"/>
        <v>0</v>
      </c>
      <c r="T34" s="25">
        <f t="shared" si="12"/>
        <v>0</v>
      </c>
      <c r="U34" s="53">
        <f t="shared" si="13"/>
        <v>0.33984000000000003</v>
      </c>
    </row>
    <row r="35" spans="1:21" x14ac:dyDescent="0.2">
      <c r="A35" s="33">
        <f t="shared" si="18"/>
        <v>2022</v>
      </c>
      <c r="B35" s="93"/>
      <c r="C35" s="64">
        <f t="shared" si="2"/>
        <v>1447</v>
      </c>
      <c r="D35" s="63">
        <f t="shared" si="19"/>
        <v>0</v>
      </c>
      <c r="E35" s="63">
        <f t="shared" si="20"/>
        <v>0</v>
      </c>
      <c r="F35" s="63">
        <f t="shared" si="21"/>
        <v>0</v>
      </c>
      <c r="G35" s="96"/>
      <c r="H35" s="96"/>
      <c r="I35" s="96"/>
      <c r="J35" s="61">
        <f t="shared" si="3"/>
        <v>0</v>
      </c>
      <c r="K35" s="59">
        <f t="shared" si="4"/>
        <v>0</v>
      </c>
      <c r="L35" s="59">
        <f t="shared" si="5"/>
        <v>0</v>
      </c>
      <c r="M35" s="60">
        <f t="shared" si="6"/>
        <v>7.9649999999999999E-2</v>
      </c>
      <c r="N35" s="54">
        <f t="shared" si="14"/>
        <v>0</v>
      </c>
      <c r="O35" s="55">
        <f t="shared" si="7"/>
        <v>0</v>
      </c>
      <c r="P35" s="55">
        <f t="shared" si="8"/>
        <v>0</v>
      </c>
      <c r="Q35" s="56">
        <f t="shared" si="9"/>
        <v>6.0399999999999995E-2</v>
      </c>
      <c r="R35" s="44">
        <f t="shared" si="10"/>
        <v>0</v>
      </c>
      <c r="S35" s="24">
        <f t="shared" si="11"/>
        <v>0</v>
      </c>
      <c r="T35" s="25">
        <f t="shared" si="12"/>
        <v>0</v>
      </c>
      <c r="U35" s="53">
        <f t="shared" si="13"/>
        <v>0.33984000000000003</v>
      </c>
    </row>
    <row r="36" spans="1:21" x14ac:dyDescent="0.2">
      <c r="A36" s="33">
        <f t="shared" si="18"/>
        <v>2023</v>
      </c>
      <c r="B36" s="93"/>
      <c r="C36" s="64">
        <f t="shared" si="2"/>
        <v>1447</v>
      </c>
      <c r="D36" s="63">
        <f t="shared" si="19"/>
        <v>0</v>
      </c>
      <c r="E36" s="63">
        <f t="shared" si="20"/>
        <v>0</v>
      </c>
      <c r="F36" s="63">
        <f t="shared" si="21"/>
        <v>0</v>
      </c>
      <c r="G36" s="96"/>
      <c r="H36" s="96"/>
      <c r="I36" s="96"/>
      <c r="J36" s="61">
        <f t="shared" si="3"/>
        <v>0</v>
      </c>
      <c r="K36" s="59">
        <f t="shared" si="4"/>
        <v>0</v>
      </c>
      <c r="L36" s="59">
        <f t="shared" si="5"/>
        <v>0</v>
      </c>
      <c r="M36" s="60">
        <f t="shared" si="6"/>
        <v>7.9649999999999999E-2</v>
      </c>
      <c r="N36" s="54">
        <f t="shared" si="14"/>
        <v>0</v>
      </c>
      <c r="O36" s="55">
        <f t="shared" si="7"/>
        <v>0</v>
      </c>
      <c r="P36" s="55">
        <f t="shared" si="8"/>
        <v>0</v>
      </c>
      <c r="Q36" s="56">
        <f t="shared" si="9"/>
        <v>6.0399999999999995E-2</v>
      </c>
      <c r="R36" s="44">
        <f t="shared" si="10"/>
        <v>0</v>
      </c>
      <c r="S36" s="24">
        <f t="shared" si="11"/>
        <v>0</v>
      </c>
      <c r="T36" s="25">
        <f t="shared" si="12"/>
        <v>0</v>
      </c>
      <c r="U36" s="53">
        <f t="shared" si="13"/>
        <v>0.33984000000000003</v>
      </c>
    </row>
    <row r="37" spans="1:21" x14ac:dyDescent="0.2">
      <c r="A37" s="11">
        <f t="shared" si="18"/>
        <v>2024</v>
      </c>
      <c r="B37" s="93"/>
      <c r="C37" s="64">
        <f t="shared" si="2"/>
        <v>1447</v>
      </c>
      <c r="D37" s="63">
        <f t="shared" si="19"/>
        <v>0</v>
      </c>
      <c r="E37" s="63">
        <f t="shared" si="20"/>
        <v>0</v>
      </c>
      <c r="F37" s="63">
        <f t="shared" si="21"/>
        <v>0</v>
      </c>
      <c r="G37" s="96"/>
      <c r="H37" s="96"/>
      <c r="I37" s="96"/>
      <c r="J37" s="61">
        <f t="shared" si="3"/>
        <v>0</v>
      </c>
      <c r="K37" s="59">
        <f t="shared" si="4"/>
        <v>0</v>
      </c>
      <c r="L37" s="59">
        <f t="shared" si="5"/>
        <v>0</v>
      </c>
      <c r="M37" s="60">
        <f t="shared" si="6"/>
        <v>7.9649999999999999E-2</v>
      </c>
      <c r="N37" s="54">
        <f t="shared" si="14"/>
        <v>0</v>
      </c>
      <c r="O37" s="55">
        <f t="shared" si="7"/>
        <v>0</v>
      </c>
      <c r="P37" s="55">
        <f t="shared" si="8"/>
        <v>0</v>
      </c>
      <c r="Q37" s="56">
        <f t="shared" si="9"/>
        <v>6.0399999999999995E-2</v>
      </c>
      <c r="R37" s="44">
        <f t="shared" si="10"/>
        <v>0</v>
      </c>
      <c r="S37" s="24">
        <f t="shared" si="11"/>
        <v>0</v>
      </c>
      <c r="T37" s="25">
        <f t="shared" si="12"/>
        <v>0</v>
      </c>
      <c r="U37" s="53">
        <f t="shared" si="13"/>
        <v>0.33984000000000003</v>
      </c>
    </row>
    <row r="38" spans="1:21" x14ac:dyDescent="0.2">
      <c r="A38" s="11">
        <f t="shared" si="18"/>
        <v>2025</v>
      </c>
      <c r="B38" s="93"/>
      <c r="C38" s="64">
        <f t="shared" si="2"/>
        <v>1447</v>
      </c>
      <c r="D38" s="63">
        <f t="shared" si="19"/>
        <v>0</v>
      </c>
      <c r="E38" s="63">
        <f t="shared" si="20"/>
        <v>0</v>
      </c>
      <c r="F38" s="63">
        <f t="shared" si="21"/>
        <v>0</v>
      </c>
      <c r="G38" s="96"/>
      <c r="H38" s="96"/>
      <c r="I38" s="96"/>
      <c r="J38" s="61">
        <f t="shared" ref="J38:J42" si="22">+(B38+B37)/2</f>
        <v>0</v>
      </c>
      <c r="K38" s="59">
        <f t="shared" ref="K38:K42" si="23">+D38</f>
        <v>0</v>
      </c>
      <c r="L38" s="59">
        <f t="shared" ref="L38:L42" si="24">+J38*K38/1000</f>
        <v>0</v>
      </c>
      <c r="M38" s="60">
        <f t="shared" ref="M38:M42" si="25">+M37+L38</f>
        <v>7.9649999999999999E-2</v>
      </c>
      <c r="N38" s="54">
        <f t="shared" ref="N38:N42" si="26">+B37</f>
        <v>0</v>
      </c>
      <c r="O38" s="55">
        <f t="shared" ref="O38:O42" si="27">+E38</f>
        <v>0</v>
      </c>
      <c r="P38" s="55">
        <f t="shared" ref="P38:P42" si="28">+N38*O38/1000</f>
        <v>0</v>
      </c>
      <c r="Q38" s="56">
        <f t="shared" ref="Q38:Q42" si="29">+Q37+P38</f>
        <v>6.0399999999999995E-2</v>
      </c>
      <c r="R38" s="44">
        <f t="shared" ref="R38:R42" si="30">+(B38+B37)/2</f>
        <v>0</v>
      </c>
      <c r="S38" s="24">
        <f t="shared" ref="S38:S42" si="31">+F38</f>
        <v>0</v>
      </c>
      <c r="T38" s="25">
        <f t="shared" ref="T38:T42" si="32">+R38*S38/1000000</f>
        <v>0</v>
      </c>
      <c r="U38" s="53">
        <f t="shared" ref="U38:U42" si="33">+U37+T38</f>
        <v>0.33984000000000003</v>
      </c>
    </row>
    <row r="39" spans="1:21" x14ac:dyDescent="0.2">
      <c r="A39" s="11">
        <f>+A38+1</f>
        <v>2026</v>
      </c>
      <c r="B39" s="93"/>
      <c r="C39" s="64">
        <f t="shared" si="2"/>
        <v>1447</v>
      </c>
      <c r="D39" s="63">
        <f t="shared" si="19"/>
        <v>0</v>
      </c>
      <c r="E39" s="63">
        <f t="shared" si="20"/>
        <v>0</v>
      </c>
      <c r="F39" s="63">
        <f t="shared" si="21"/>
        <v>0</v>
      </c>
      <c r="G39" s="96"/>
      <c r="H39" s="96"/>
      <c r="I39" s="96"/>
      <c r="J39" s="61">
        <f t="shared" si="22"/>
        <v>0</v>
      </c>
      <c r="K39" s="59">
        <f t="shared" si="23"/>
        <v>0</v>
      </c>
      <c r="L39" s="59">
        <f t="shared" si="24"/>
        <v>0</v>
      </c>
      <c r="M39" s="60">
        <f t="shared" si="25"/>
        <v>7.9649999999999999E-2</v>
      </c>
      <c r="N39" s="54">
        <f t="shared" si="26"/>
        <v>0</v>
      </c>
      <c r="O39" s="55">
        <f t="shared" si="27"/>
        <v>0</v>
      </c>
      <c r="P39" s="55">
        <f t="shared" si="28"/>
        <v>0</v>
      </c>
      <c r="Q39" s="56">
        <f t="shared" si="29"/>
        <v>6.0399999999999995E-2</v>
      </c>
      <c r="R39" s="44">
        <f t="shared" si="30"/>
        <v>0</v>
      </c>
      <c r="S39" s="24">
        <f t="shared" si="31"/>
        <v>0</v>
      </c>
      <c r="T39" s="25">
        <f t="shared" si="32"/>
        <v>0</v>
      </c>
      <c r="U39" s="53">
        <f t="shared" si="33"/>
        <v>0.33984000000000003</v>
      </c>
    </row>
    <row r="40" spans="1:21" x14ac:dyDescent="0.2">
      <c r="A40" s="11">
        <f>+A39+1</f>
        <v>2027</v>
      </c>
      <c r="B40" s="93"/>
      <c r="C40" s="64">
        <f t="shared" si="2"/>
        <v>1447</v>
      </c>
      <c r="D40" s="63">
        <f t="shared" si="19"/>
        <v>0</v>
      </c>
      <c r="E40" s="63">
        <f t="shared" si="20"/>
        <v>0</v>
      </c>
      <c r="F40" s="63">
        <f t="shared" si="21"/>
        <v>0</v>
      </c>
      <c r="G40" s="96"/>
      <c r="H40" s="96"/>
      <c r="I40" s="96"/>
      <c r="J40" s="61">
        <f t="shared" si="22"/>
        <v>0</v>
      </c>
      <c r="K40" s="59">
        <f t="shared" si="23"/>
        <v>0</v>
      </c>
      <c r="L40" s="59">
        <f t="shared" si="24"/>
        <v>0</v>
      </c>
      <c r="M40" s="60">
        <f t="shared" si="25"/>
        <v>7.9649999999999999E-2</v>
      </c>
      <c r="N40" s="54">
        <f t="shared" si="26"/>
        <v>0</v>
      </c>
      <c r="O40" s="55">
        <f t="shared" si="27"/>
        <v>0</v>
      </c>
      <c r="P40" s="55">
        <f t="shared" si="28"/>
        <v>0</v>
      </c>
      <c r="Q40" s="56">
        <f t="shared" si="29"/>
        <v>6.0399999999999995E-2</v>
      </c>
      <c r="R40" s="44">
        <f t="shared" si="30"/>
        <v>0</v>
      </c>
      <c r="S40" s="24">
        <f t="shared" si="31"/>
        <v>0</v>
      </c>
      <c r="T40" s="25">
        <f t="shared" si="32"/>
        <v>0</v>
      </c>
      <c r="U40" s="53">
        <f t="shared" si="33"/>
        <v>0.33984000000000003</v>
      </c>
    </row>
    <row r="41" spans="1:21" x14ac:dyDescent="0.2">
      <c r="A41" s="11">
        <f t="shared" ref="A41:A54" si="34">+A40+1</f>
        <v>2028</v>
      </c>
      <c r="B41" s="93"/>
      <c r="C41" s="64">
        <f t="shared" si="2"/>
        <v>1447</v>
      </c>
      <c r="D41" s="63">
        <f t="shared" si="19"/>
        <v>0</v>
      </c>
      <c r="E41" s="63">
        <f t="shared" si="20"/>
        <v>0</v>
      </c>
      <c r="F41" s="63">
        <f t="shared" si="21"/>
        <v>0</v>
      </c>
      <c r="G41" s="96"/>
      <c r="H41" s="96"/>
      <c r="I41" s="96"/>
      <c r="J41" s="61">
        <f t="shared" si="22"/>
        <v>0</v>
      </c>
      <c r="K41" s="59">
        <f t="shared" si="23"/>
        <v>0</v>
      </c>
      <c r="L41" s="59">
        <f t="shared" si="24"/>
        <v>0</v>
      </c>
      <c r="M41" s="60">
        <f t="shared" si="25"/>
        <v>7.9649999999999999E-2</v>
      </c>
      <c r="N41" s="54">
        <f t="shared" si="26"/>
        <v>0</v>
      </c>
      <c r="O41" s="55">
        <f t="shared" si="27"/>
        <v>0</v>
      </c>
      <c r="P41" s="55">
        <f t="shared" si="28"/>
        <v>0</v>
      </c>
      <c r="Q41" s="56">
        <f t="shared" si="29"/>
        <v>6.0399999999999995E-2</v>
      </c>
      <c r="R41" s="44">
        <f t="shared" si="30"/>
        <v>0</v>
      </c>
      <c r="S41" s="24">
        <f t="shared" si="31"/>
        <v>0</v>
      </c>
      <c r="T41" s="25">
        <f t="shared" si="32"/>
        <v>0</v>
      </c>
      <c r="U41" s="53">
        <f t="shared" si="33"/>
        <v>0.33984000000000003</v>
      </c>
    </row>
    <row r="42" spans="1:21" x14ac:dyDescent="0.2">
      <c r="A42" s="11">
        <f t="shared" si="34"/>
        <v>2029</v>
      </c>
      <c r="B42" s="93"/>
      <c r="C42" s="64">
        <f t="shared" si="2"/>
        <v>1447</v>
      </c>
      <c r="D42" s="63">
        <f t="shared" si="19"/>
        <v>0</v>
      </c>
      <c r="E42" s="63">
        <f t="shared" si="20"/>
        <v>0</v>
      </c>
      <c r="F42" s="63">
        <f t="shared" si="21"/>
        <v>0</v>
      </c>
      <c r="G42" s="96"/>
      <c r="H42" s="96"/>
      <c r="I42" s="96"/>
      <c r="J42" s="61">
        <f t="shared" si="22"/>
        <v>0</v>
      </c>
      <c r="K42" s="59">
        <f t="shared" si="23"/>
        <v>0</v>
      </c>
      <c r="L42" s="59">
        <f t="shared" si="24"/>
        <v>0</v>
      </c>
      <c r="M42" s="60">
        <f t="shared" si="25"/>
        <v>7.9649999999999999E-2</v>
      </c>
      <c r="N42" s="54">
        <f t="shared" si="26"/>
        <v>0</v>
      </c>
      <c r="O42" s="55">
        <f t="shared" si="27"/>
        <v>0</v>
      </c>
      <c r="P42" s="55">
        <f t="shared" si="28"/>
        <v>0</v>
      </c>
      <c r="Q42" s="56">
        <f t="shared" si="29"/>
        <v>6.0399999999999995E-2</v>
      </c>
      <c r="R42" s="44">
        <f t="shared" si="30"/>
        <v>0</v>
      </c>
      <c r="S42" s="24">
        <f t="shared" si="31"/>
        <v>0</v>
      </c>
      <c r="T42" s="25">
        <f t="shared" si="32"/>
        <v>0</v>
      </c>
      <c r="U42" s="53">
        <f t="shared" si="33"/>
        <v>0.33984000000000003</v>
      </c>
    </row>
    <row r="43" spans="1:21" x14ac:dyDescent="0.2">
      <c r="A43" s="11">
        <f t="shared" si="34"/>
        <v>2030</v>
      </c>
      <c r="B43" s="93"/>
      <c r="C43" s="64">
        <f t="shared" si="2"/>
        <v>1447</v>
      </c>
      <c r="D43" s="63">
        <f t="shared" si="19"/>
        <v>0</v>
      </c>
      <c r="E43" s="63">
        <f t="shared" si="20"/>
        <v>0</v>
      </c>
      <c r="F43" s="63">
        <f t="shared" si="21"/>
        <v>0</v>
      </c>
      <c r="G43" s="96"/>
      <c r="H43" s="96"/>
      <c r="I43" s="96"/>
      <c r="J43" s="61">
        <f t="shared" ref="J43:J47" si="35">+(B43+B42)/2</f>
        <v>0</v>
      </c>
      <c r="K43" s="59">
        <f t="shared" ref="K43:K47" si="36">+D43</f>
        <v>0</v>
      </c>
      <c r="L43" s="59">
        <f t="shared" ref="L43:L47" si="37">+J43*K43/1000</f>
        <v>0</v>
      </c>
      <c r="M43" s="60">
        <f t="shared" ref="M43:M47" si="38">+M42+L43</f>
        <v>7.9649999999999999E-2</v>
      </c>
      <c r="N43" s="54">
        <f t="shared" ref="N43:N47" si="39">+B42</f>
        <v>0</v>
      </c>
      <c r="O43" s="55">
        <f t="shared" ref="O43:O47" si="40">+E43</f>
        <v>0</v>
      </c>
      <c r="P43" s="55">
        <f t="shared" ref="P43:P47" si="41">+N43*O43/1000</f>
        <v>0</v>
      </c>
      <c r="Q43" s="56">
        <f t="shared" ref="Q43:Q47" si="42">+Q42+P43</f>
        <v>6.0399999999999995E-2</v>
      </c>
      <c r="R43" s="44">
        <f t="shared" ref="R43:R47" si="43">+(B43+B42)/2</f>
        <v>0</v>
      </c>
      <c r="S43" s="24">
        <f t="shared" ref="S43:S47" si="44">+F43</f>
        <v>0</v>
      </c>
      <c r="T43" s="25">
        <f t="shared" ref="T43:T47" si="45">+R43*S43/1000000</f>
        <v>0</v>
      </c>
      <c r="U43" s="53">
        <f t="shared" ref="U43:U47" si="46">+U42+T43</f>
        <v>0.33984000000000003</v>
      </c>
    </row>
    <row r="44" spans="1:21" x14ac:dyDescent="0.2">
      <c r="A44" s="11">
        <f t="shared" si="34"/>
        <v>2031</v>
      </c>
      <c r="B44" s="93"/>
      <c r="C44" s="64">
        <f t="shared" si="2"/>
        <v>1447</v>
      </c>
      <c r="D44" s="63">
        <f t="shared" si="19"/>
        <v>0</v>
      </c>
      <c r="E44" s="63">
        <f t="shared" si="20"/>
        <v>0</v>
      </c>
      <c r="F44" s="63">
        <f t="shared" si="21"/>
        <v>0</v>
      </c>
      <c r="G44" s="96"/>
      <c r="H44" s="96"/>
      <c r="I44" s="96"/>
      <c r="J44" s="61">
        <f t="shared" si="35"/>
        <v>0</v>
      </c>
      <c r="K44" s="59">
        <f t="shared" si="36"/>
        <v>0</v>
      </c>
      <c r="L44" s="59">
        <f t="shared" si="37"/>
        <v>0</v>
      </c>
      <c r="M44" s="60">
        <f t="shared" si="38"/>
        <v>7.9649999999999999E-2</v>
      </c>
      <c r="N44" s="54">
        <f t="shared" si="39"/>
        <v>0</v>
      </c>
      <c r="O44" s="55">
        <f t="shared" si="40"/>
        <v>0</v>
      </c>
      <c r="P44" s="55">
        <f t="shared" si="41"/>
        <v>0</v>
      </c>
      <c r="Q44" s="56">
        <f t="shared" si="42"/>
        <v>6.0399999999999995E-2</v>
      </c>
      <c r="R44" s="44">
        <f t="shared" si="43"/>
        <v>0</v>
      </c>
      <c r="S44" s="24">
        <f t="shared" si="44"/>
        <v>0</v>
      </c>
      <c r="T44" s="25">
        <f t="shared" si="45"/>
        <v>0</v>
      </c>
      <c r="U44" s="53">
        <f t="shared" si="46"/>
        <v>0.33984000000000003</v>
      </c>
    </row>
    <row r="45" spans="1:21" x14ac:dyDescent="0.2">
      <c r="A45" s="11">
        <f t="shared" si="34"/>
        <v>2032</v>
      </c>
      <c r="B45" s="93"/>
      <c r="C45" s="64">
        <f t="shared" si="2"/>
        <v>1447</v>
      </c>
      <c r="D45" s="63">
        <f t="shared" si="19"/>
        <v>0</v>
      </c>
      <c r="E45" s="63">
        <f t="shared" si="20"/>
        <v>0</v>
      </c>
      <c r="F45" s="63">
        <f t="shared" si="21"/>
        <v>0</v>
      </c>
      <c r="G45" s="96"/>
      <c r="H45" s="96"/>
      <c r="I45" s="96"/>
      <c r="J45" s="61">
        <f t="shared" si="35"/>
        <v>0</v>
      </c>
      <c r="K45" s="59">
        <f t="shared" si="36"/>
        <v>0</v>
      </c>
      <c r="L45" s="59">
        <f t="shared" si="37"/>
        <v>0</v>
      </c>
      <c r="M45" s="60">
        <f t="shared" si="38"/>
        <v>7.9649999999999999E-2</v>
      </c>
      <c r="N45" s="54">
        <f t="shared" si="39"/>
        <v>0</v>
      </c>
      <c r="O45" s="55">
        <f t="shared" si="40"/>
        <v>0</v>
      </c>
      <c r="P45" s="55">
        <f t="shared" si="41"/>
        <v>0</v>
      </c>
      <c r="Q45" s="56">
        <f t="shared" si="42"/>
        <v>6.0399999999999995E-2</v>
      </c>
      <c r="R45" s="44">
        <f t="shared" si="43"/>
        <v>0</v>
      </c>
      <c r="S45" s="24">
        <f t="shared" si="44"/>
        <v>0</v>
      </c>
      <c r="T45" s="25">
        <f t="shared" si="45"/>
        <v>0</v>
      </c>
      <c r="U45" s="53">
        <f t="shared" si="46"/>
        <v>0.33984000000000003</v>
      </c>
    </row>
    <row r="46" spans="1:21" x14ac:dyDescent="0.2">
      <c r="A46" s="11">
        <f t="shared" si="34"/>
        <v>2033</v>
      </c>
      <c r="B46" s="93"/>
      <c r="C46" s="64">
        <f t="shared" si="2"/>
        <v>1447</v>
      </c>
      <c r="D46" s="63">
        <f t="shared" si="19"/>
        <v>0</v>
      </c>
      <c r="E46" s="63">
        <f t="shared" si="20"/>
        <v>0</v>
      </c>
      <c r="F46" s="63">
        <f t="shared" si="21"/>
        <v>0</v>
      </c>
      <c r="G46" s="96"/>
      <c r="H46" s="96"/>
      <c r="I46" s="96"/>
      <c r="J46" s="61">
        <f t="shared" si="35"/>
        <v>0</v>
      </c>
      <c r="K46" s="59">
        <f t="shared" si="36"/>
        <v>0</v>
      </c>
      <c r="L46" s="59">
        <f t="shared" si="37"/>
        <v>0</v>
      </c>
      <c r="M46" s="60">
        <f t="shared" si="38"/>
        <v>7.9649999999999999E-2</v>
      </c>
      <c r="N46" s="54">
        <f t="shared" si="39"/>
        <v>0</v>
      </c>
      <c r="O46" s="55">
        <f t="shared" si="40"/>
        <v>0</v>
      </c>
      <c r="P46" s="55">
        <f t="shared" si="41"/>
        <v>0</v>
      </c>
      <c r="Q46" s="56">
        <f t="shared" si="42"/>
        <v>6.0399999999999995E-2</v>
      </c>
      <c r="R46" s="44">
        <f t="shared" si="43"/>
        <v>0</v>
      </c>
      <c r="S46" s="24">
        <f t="shared" si="44"/>
        <v>0</v>
      </c>
      <c r="T46" s="25">
        <f t="shared" si="45"/>
        <v>0</v>
      </c>
      <c r="U46" s="53">
        <f t="shared" si="46"/>
        <v>0.33984000000000003</v>
      </c>
    </row>
    <row r="47" spans="1:21" x14ac:dyDescent="0.2">
      <c r="A47" s="11">
        <f t="shared" si="34"/>
        <v>2034</v>
      </c>
      <c r="B47" s="93"/>
      <c r="C47" s="64">
        <f t="shared" si="2"/>
        <v>1447</v>
      </c>
      <c r="D47" s="63">
        <f t="shared" si="19"/>
        <v>0</v>
      </c>
      <c r="E47" s="63">
        <f t="shared" si="20"/>
        <v>0</v>
      </c>
      <c r="F47" s="63">
        <f t="shared" si="21"/>
        <v>0</v>
      </c>
      <c r="G47" s="96"/>
      <c r="H47" s="96"/>
      <c r="I47" s="96"/>
      <c r="J47" s="61">
        <f t="shared" si="35"/>
        <v>0</v>
      </c>
      <c r="K47" s="59">
        <f t="shared" si="36"/>
        <v>0</v>
      </c>
      <c r="L47" s="59">
        <f t="shared" si="37"/>
        <v>0</v>
      </c>
      <c r="M47" s="60">
        <f t="shared" si="38"/>
        <v>7.9649999999999999E-2</v>
      </c>
      <c r="N47" s="54">
        <f t="shared" si="39"/>
        <v>0</v>
      </c>
      <c r="O47" s="55">
        <f t="shared" si="40"/>
        <v>0</v>
      </c>
      <c r="P47" s="55">
        <f t="shared" si="41"/>
        <v>0</v>
      </c>
      <c r="Q47" s="56">
        <f t="shared" si="42"/>
        <v>6.0399999999999995E-2</v>
      </c>
      <c r="R47" s="44">
        <f t="shared" si="43"/>
        <v>0</v>
      </c>
      <c r="S47" s="24">
        <f t="shared" si="44"/>
        <v>0</v>
      </c>
      <c r="T47" s="25">
        <f t="shared" si="45"/>
        <v>0</v>
      </c>
      <c r="U47" s="53">
        <f t="shared" si="46"/>
        <v>0.33984000000000003</v>
      </c>
    </row>
    <row r="48" spans="1:21" x14ac:dyDescent="0.2">
      <c r="A48" s="11">
        <f t="shared" si="34"/>
        <v>2035</v>
      </c>
      <c r="B48" s="93">
        <f>B47</f>
        <v>0</v>
      </c>
      <c r="C48" s="64">
        <f t="shared" ref="C48:C54" si="47">+C47+B48</f>
        <v>1447</v>
      </c>
      <c r="D48" s="63">
        <f t="shared" ref="D48:D54" si="48">IF($B48=0,0,(G48*1000)/$B48)</f>
        <v>0</v>
      </c>
      <c r="E48" s="63">
        <f t="shared" ref="E48:E54" si="49">IF($B48=0,0,(H48*1000)/$B48)</f>
        <v>0</v>
      </c>
      <c r="F48" s="63">
        <f t="shared" ref="F48:F54" si="50">IF($B48=0,0,(I48*1000000)/$B48)</f>
        <v>0</v>
      </c>
      <c r="G48" s="96"/>
      <c r="H48" s="96"/>
      <c r="I48" s="96"/>
      <c r="J48" s="61">
        <f t="shared" ref="J48:J54" si="51">+(B48+B47)/2</f>
        <v>0</v>
      </c>
      <c r="K48" s="59">
        <f t="shared" ref="K48:K54" si="52">+D48</f>
        <v>0</v>
      </c>
      <c r="L48" s="59">
        <f t="shared" ref="L48:L54" si="53">+J48*K48/1000</f>
        <v>0</v>
      </c>
      <c r="M48" s="60">
        <f t="shared" ref="M48:M54" si="54">+M47+L48</f>
        <v>7.9649999999999999E-2</v>
      </c>
      <c r="N48" s="54">
        <f t="shared" ref="N48:N54" si="55">+B47</f>
        <v>0</v>
      </c>
      <c r="O48" s="55">
        <f t="shared" ref="O48:O54" si="56">+E48</f>
        <v>0</v>
      </c>
      <c r="P48" s="55">
        <f t="shared" ref="P48:P54" si="57">+N48*O48/1000</f>
        <v>0</v>
      </c>
      <c r="Q48" s="56">
        <f t="shared" ref="Q48:Q54" si="58">+Q47+P48</f>
        <v>6.0399999999999995E-2</v>
      </c>
      <c r="R48" s="44">
        <f t="shared" ref="R48:R54" si="59">+(B48+B47)/2</f>
        <v>0</v>
      </c>
      <c r="S48" s="24">
        <f t="shared" ref="S48:S54" si="60">+F48</f>
        <v>0</v>
      </c>
      <c r="T48" s="25">
        <f t="shared" ref="T48:T54" si="61">+R48*S48/1000000</f>
        <v>0</v>
      </c>
      <c r="U48" s="53">
        <f t="shared" ref="U48:U54" si="62">+U47+T48</f>
        <v>0.33984000000000003</v>
      </c>
    </row>
    <row r="49" spans="1:21" x14ac:dyDescent="0.2">
      <c r="A49" s="11">
        <f t="shared" si="34"/>
        <v>2036</v>
      </c>
      <c r="B49" s="93">
        <f t="shared" ref="B49:B54" si="63">B48</f>
        <v>0</v>
      </c>
      <c r="C49" s="64">
        <f t="shared" si="47"/>
        <v>1447</v>
      </c>
      <c r="D49" s="63">
        <f t="shared" si="48"/>
        <v>0</v>
      </c>
      <c r="E49" s="63">
        <f t="shared" si="49"/>
        <v>0</v>
      </c>
      <c r="F49" s="63">
        <f t="shared" si="50"/>
        <v>0</v>
      </c>
      <c r="G49" s="96"/>
      <c r="H49" s="96"/>
      <c r="I49" s="96"/>
      <c r="J49" s="61">
        <f t="shared" si="51"/>
        <v>0</v>
      </c>
      <c r="K49" s="59">
        <f t="shared" si="52"/>
        <v>0</v>
      </c>
      <c r="L49" s="59">
        <f t="shared" si="53"/>
        <v>0</v>
      </c>
      <c r="M49" s="60">
        <f t="shared" si="54"/>
        <v>7.9649999999999999E-2</v>
      </c>
      <c r="N49" s="54">
        <f t="shared" si="55"/>
        <v>0</v>
      </c>
      <c r="O49" s="55">
        <f t="shared" si="56"/>
        <v>0</v>
      </c>
      <c r="P49" s="55">
        <f t="shared" si="57"/>
        <v>0</v>
      </c>
      <c r="Q49" s="56">
        <f t="shared" si="58"/>
        <v>6.0399999999999995E-2</v>
      </c>
      <c r="R49" s="44">
        <f t="shared" si="59"/>
        <v>0</v>
      </c>
      <c r="S49" s="24">
        <f t="shared" si="60"/>
        <v>0</v>
      </c>
      <c r="T49" s="25">
        <f t="shared" si="61"/>
        <v>0</v>
      </c>
      <c r="U49" s="53">
        <f t="shared" si="62"/>
        <v>0.33984000000000003</v>
      </c>
    </row>
    <row r="50" spans="1:21" x14ac:dyDescent="0.2">
      <c r="A50" s="11">
        <f t="shared" si="34"/>
        <v>2037</v>
      </c>
      <c r="B50" s="93">
        <f t="shared" si="63"/>
        <v>0</v>
      </c>
      <c r="C50" s="64">
        <f t="shared" si="47"/>
        <v>1447</v>
      </c>
      <c r="D50" s="63">
        <f t="shared" si="48"/>
        <v>0</v>
      </c>
      <c r="E50" s="63">
        <f t="shared" si="49"/>
        <v>0</v>
      </c>
      <c r="F50" s="63">
        <f t="shared" si="50"/>
        <v>0</v>
      </c>
      <c r="G50" s="96"/>
      <c r="H50" s="96"/>
      <c r="I50" s="96"/>
      <c r="J50" s="61">
        <f t="shared" si="51"/>
        <v>0</v>
      </c>
      <c r="K50" s="59">
        <f t="shared" si="52"/>
        <v>0</v>
      </c>
      <c r="L50" s="59">
        <f t="shared" si="53"/>
        <v>0</v>
      </c>
      <c r="M50" s="60">
        <f t="shared" si="54"/>
        <v>7.9649999999999999E-2</v>
      </c>
      <c r="N50" s="54">
        <f t="shared" si="55"/>
        <v>0</v>
      </c>
      <c r="O50" s="55">
        <f t="shared" si="56"/>
        <v>0</v>
      </c>
      <c r="P50" s="55">
        <f t="shared" si="57"/>
        <v>0</v>
      </c>
      <c r="Q50" s="56">
        <f t="shared" si="58"/>
        <v>6.0399999999999995E-2</v>
      </c>
      <c r="R50" s="44">
        <f t="shared" si="59"/>
        <v>0</v>
      </c>
      <c r="S50" s="24">
        <f t="shared" si="60"/>
        <v>0</v>
      </c>
      <c r="T50" s="25">
        <f t="shared" si="61"/>
        <v>0</v>
      </c>
      <c r="U50" s="53">
        <f t="shared" si="62"/>
        <v>0.33984000000000003</v>
      </c>
    </row>
    <row r="51" spans="1:21" x14ac:dyDescent="0.2">
      <c r="A51" s="11">
        <f t="shared" si="34"/>
        <v>2038</v>
      </c>
      <c r="B51" s="93">
        <f t="shared" si="63"/>
        <v>0</v>
      </c>
      <c r="C51" s="64">
        <f t="shared" si="47"/>
        <v>1447</v>
      </c>
      <c r="D51" s="63">
        <f t="shared" si="48"/>
        <v>0</v>
      </c>
      <c r="E51" s="63">
        <f t="shared" si="49"/>
        <v>0</v>
      </c>
      <c r="F51" s="63">
        <f t="shared" si="50"/>
        <v>0</v>
      </c>
      <c r="G51" s="96"/>
      <c r="H51" s="96"/>
      <c r="I51" s="96"/>
      <c r="J51" s="61">
        <f t="shared" si="51"/>
        <v>0</v>
      </c>
      <c r="K51" s="59">
        <f t="shared" si="52"/>
        <v>0</v>
      </c>
      <c r="L51" s="59">
        <f t="shared" si="53"/>
        <v>0</v>
      </c>
      <c r="M51" s="60">
        <f t="shared" si="54"/>
        <v>7.9649999999999999E-2</v>
      </c>
      <c r="N51" s="54">
        <f t="shared" si="55"/>
        <v>0</v>
      </c>
      <c r="O51" s="55">
        <f t="shared" si="56"/>
        <v>0</v>
      </c>
      <c r="P51" s="55">
        <f t="shared" si="57"/>
        <v>0</v>
      </c>
      <c r="Q51" s="56">
        <f t="shared" si="58"/>
        <v>6.0399999999999995E-2</v>
      </c>
      <c r="R51" s="44">
        <f t="shared" si="59"/>
        <v>0</v>
      </c>
      <c r="S51" s="24">
        <f t="shared" si="60"/>
        <v>0</v>
      </c>
      <c r="T51" s="25">
        <f t="shared" si="61"/>
        <v>0</v>
      </c>
      <c r="U51" s="53">
        <f t="shared" si="62"/>
        <v>0.33984000000000003</v>
      </c>
    </row>
    <row r="52" spans="1:21" x14ac:dyDescent="0.2">
      <c r="A52" s="11">
        <f t="shared" si="34"/>
        <v>2039</v>
      </c>
      <c r="B52" s="93">
        <f t="shared" si="63"/>
        <v>0</v>
      </c>
      <c r="C52" s="64">
        <f t="shared" si="47"/>
        <v>1447</v>
      </c>
      <c r="D52" s="63">
        <f t="shared" si="48"/>
        <v>0</v>
      </c>
      <c r="E52" s="63">
        <f t="shared" si="49"/>
        <v>0</v>
      </c>
      <c r="F52" s="63">
        <f t="shared" si="50"/>
        <v>0</v>
      </c>
      <c r="G52" s="96"/>
      <c r="H52" s="96"/>
      <c r="I52" s="96"/>
      <c r="J52" s="61">
        <f t="shared" si="51"/>
        <v>0</v>
      </c>
      <c r="K52" s="59">
        <f t="shared" si="52"/>
        <v>0</v>
      </c>
      <c r="L52" s="59">
        <f t="shared" si="53"/>
        <v>0</v>
      </c>
      <c r="M52" s="60">
        <f t="shared" si="54"/>
        <v>7.9649999999999999E-2</v>
      </c>
      <c r="N52" s="54">
        <f t="shared" si="55"/>
        <v>0</v>
      </c>
      <c r="O52" s="55">
        <f t="shared" si="56"/>
        <v>0</v>
      </c>
      <c r="P52" s="55">
        <f t="shared" si="57"/>
        <v>0</v>
      </c>
      <c r="Q52" s="56">
        <f t="shared" si="58"/>
        <v>6.0399999999999995E-2</v>
      </c>
      <c r="R52" s="44">
        <f t="shared" si="59"/>
        <v>0</v>
      </c>
      <c r="S52" s="24">
        <f t="shared" si="60"/>
        <v>0</v>
      </c>
      <c r="T52" s="25">
        <f t="shared" si="61"/>
        <v>0</v>
      </c>
      <c r="U52" s="53">
        <f t="shared" si="62"/>
        <v>0.33984000000000003</v>
      </c>
    </row>
    <row r="53" spans="1:21" x14ac:dyDescent="0.2">
      <c r="A53" s="11">
        <f t="shared" si="34"/>
        <v>2040</v>
      </c>
      <c r="B53" s="93">
        <f t="shared" si="63"/>
        <v>0</v>
      </c>
      <c r="C53" s="64">
        <f t="shared" si="47"/>
        <v>1447</v>
      </c>
      <c r="D53" s="63">
        <f t="shared" si="48"/>
        <v>0</v>
      </c>
      <c r="E53" s="63">
        <f t="shared" si="49"/>
        <v>0</v>
      </c>
      <c r="F53" s="63">
        <f t="shared" si="50"/>
        <v>0</v>
      </c>
      <c r="G53" s="96"/>
      <c r="H53" s="96"/>
      <c r="I53" s="96"/>
      <c r="J53" s="61">
        <f t="shared" si="51"/>
        <v>0</v>
      </c>
      <c r="K53" s="59">
        <f t="shared" si="52"/>
        <v>0</v>
      </c>
      <c r="L53" s="59">
        <f t="shared" si="53"/>
        <v>0</v>
      </c>
      <c r="M53" s="60">
        <f t="shared" si="54"/>
        <v>7.9649999999999999E-2</v>
      </c>
      <c r="N53" s="54">
        <f t="shared" si="55"/>
        <v>0</v>
      </c>
      <c r="O53" s="55">
        <f t="shared" si="56"/>
        <v>0</v>
      </c>
      <c r="P53" s="55">
        <f t="shared" si="57"/>
        <v>0</v>
      </c>
      <c r="Q53" s="56">
        <f t="shared" si="58"/>
        <v>6.0399999999999995E-2</v>
      </c>
      <c r="R53" s="44">
        <f t="shared" si="59"/>
        <v>0</v>
      </c>
      <c r="S53" s="24">
        <f t="shared" si="60"/>
        <v>0</v>
      </c>
      <c r="T53" s="25">
        <f t="shared" si="61"/>
        <v>0</v>
      </c>
      <c r="U53" s="53">
        <f t="shared" si="62"/>
        <v>0.33984000000000003</v>
      </c>
    </row>
    <row r="54" spans="1:21" x14ac:dyDescent="0.2">
      <c r="A54" s="11">
        <f t="shared" si="34"/>
        <v>2041</v>
      </c>
      <c r="B54" s="93">
        <f t="shared" si="63"/>
        <v>0</v>
      </c>
      <c r="C54" s="64">
        <f t="shared" si="47"/>
        <v>1447</v>
      </c>
      <c r="D54" s="63">
        <f t="shared" si="48"/>
        <v>0</v>
      </c>
      <c r="E54" s="63">
        <f t="shared" si="49"/>
        <v>0</v>
      </c>
      <c r="F54" s="63">
        <f t="shared" si="50"/>
        <v>0</v>
      </c>
      <c r="G54" s="96"/>
      <c r="H54" s="96"/>
      <c r="I54" s="96"/>
      <c r="J54" s="61">
        <f t="shared" si="51"/>
        <v>0</v>
      </c>
      <c r="K54" s="59">
        <f t="shared" si="52"/>
        <v>0</v>
      </c>
      <c r="L54" s="59">
        <f t="shared" si="53"/>
        <v>0</v>
      </c>
      <c r="M54" s="60">
        <f t="shared" si="54"/>
        <v>7.9649999999999999E-2</v>
      </c>
      <c r="N54" s="54">
        <f t="shared" si="55"/>
        <v>0</v>
      </c>
      <c r="O54" s="55">
        <f t="shared" si="56"/>
        <v>0</v>
      </c>
      <c r="P54" s="55">
        <f t="shared" si="57"/>
        <v>0</v>
      </c>
      <c r="Q54" s="56">
        <f t="shared" si="58"/>
        <v>6.0399999999999995E-2</v>
      </c>
      <c r="R54" s="44">
        <f t="shared" si="59"/>
        <v>0</v>
      </c>
      <c r="S54" s="24">
        <f t="shared" si="60"/>
        <v>0</v>
      </c>
      <c r="T54" s="25">
        <f t="shared" si="61"/>
        <v>0</v>
      </c>
      <c r="U54" s="53">
        <f t="shared" si="62"/>
        <v>0.33984000000000003</v>
      </c>
    </row>
    <row r="55" spans="1:21" s="2" customFormat="1" x14ac:dyDescent="0.2">
      <c r="A55" s="491"/>
      <c r="B55" s="1071"/>
      <c r="C55" s="493"/>
      <c r="D55" s="1072"/>
      <c r="E55" s="1072"/>
      <c r="F55" s="1072"/>
      <c r="G55" s="495"/>
      <c r="H55" s="495"/>
      <c r="I55" s="495"/>
      <c r="J55" s="498"/>
      <c r="K55" s="497"/>
      <c r="L55" s="497"/>
      <c r="M55" s="497"/>
      <c r="N55" s="498"/>
      <c r="O55" s="497"/>
      <c r="P55" s="497"/>
      <c r="Q55" s="497"/>
      <c r="R55" s="9"/>
      <c r="S55" s="499"/>
      <c r="T55" s="500"/>
      <c r="U55" s="497"/>
    </row>
    <row r="56" spans="1:21" x14ac:dyDescent="0.2">
      <c r="A56" s="69" t="s">
        <v>38</v>
      </c>
    </row>
    <row r="57" spans="1:21" x14ac:dyDescent="0.2">
      <c r="A57" s="69" t="s">
        <v>39</v>
      </c>
    </row>
    <row r="58" spans="1:21" x14ac:dyDescent="0.2">
      <c r="A58" s="69" t="s">
        <v>60</v>
      </c>
    </row>
    <row r="59" spans="1:21" x14ac:dyDescent="0.2">
      <c r="A59" s="86" t="s">
        <v>57</v>
      </c>
    </row>
    <row r="60" spans="1:21" x14ac:dyDescent="0.2">
      <c r="A60" s="86" t="s">
        <v>58</v>
      </c>
    </row>
  </sheetData>
  <mergeCells count="5">
    <mergeCell ref="R4:U4"/>
    <mergeCell ref="G3:I3"/>
    <mergeCell ref="B4:I4"/>
    <mergeCell ref="J4:M4"/>
    <mergeCell ref="N4:Q4"/>
  </mergeCells>
  <phoneticPr fontId="7" type="noConversion"/>
  <pageMargins left="0.75" right="0.75" top="1" bottom="1" header="0.5" footer="0.5"/>
  <pageSetup scale="5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tabColor rgb="FF00CC00"/>
    <pageSetUpPr fitToPage="1"/>
  </sheetPr>
  <dimension ref="A1:DB135"/>
  <sheetViews>
    <sheetView topLeftCell="AV1" zoomScale="89" zoomScaleNormal="89" workbookViewId="0">
      <selection activeCell="BP27" sqref="BP27"/>
    </sheetView>
  </sheetViews>
  <sheetFormatPr defaultRowHeight="12.75" x14ac:dyDescent="0.2"/>
  <cols>
    <col min="1" max="1" width="10.42578125" style="269" bestFit="1" customWidth="1"/>
    <col min="2" max="2" width="8.28515625" bestFit="1" customWidth="1"/>
    <col min="3" max="3" width="9.28515625" bestFit="1" customWidth="1"/>
    <col min="4" max="4" width="9.42578125" bestFit="1" customWidth="1"/>
    <col min="5" max="5" width="7.28515625" customWidth="1"/>
    <col min="6" max="6" width="8.7109375" bestFit="1" customWidth="1"/>
    <col min="7" max="7" width="7.42578125" bestFit="1" customWidth="1"/>
    <col min="8" max="9" width="7.28515625" customWidth="1"/>
    <col min="10" max="10" width="8.42578125" bestFit="1" customWidth="1"/>
    <col min="11" max="11" width="6.28515625" bestFit="1" customWidth="1"/>
    <col min="12" max="12" width="10.28515625" bestFit="1" customWidth="1"/>
    <col min="13" max="13" width="6.28515625" bestFit="1" customWidth="1"/>
    <col min="14" max="14" width="7.28515625" bestFit="1" customWidth="1"/>
    <col min="15" max="15" width="6.5703125" bestFit="1" customWidth="1"/>
    <col min="16" max="17" width="6.28515625" customWidth="1"/>
    <col min="18" max="18" width="8.7109375" bestFit="1" customWidth="1"/>
    <col min="19" max="19" width="8.5703125" customWidth="1"/>
    <col min="20" max="20" width="7.42578125" customWidth="1"/>
    <col min="21" max="21" width="7.7109375" customWidth="1"/>
    <col min="22" max="23" width="8.42578125" customWidth="1"/>
    <col min="24" max="24" width="10.5703125" customWidth="1"/>
    <col min="25" max="27" width="6.7109375" customWidth="1"/>
    <col min="28" max="28" width="10.42578125" customWidth="1"/>
    <col min="29" max="29" width="10" customWidth="1"/>
    <col min="30" max="30" width="8.7109375" customWidth="1"/>
    <col min="31" max="31" width="6.7109375" bestFit="1" customWidth="1"/>
    <col min="32" max="32" width="8.28515625" bestFit="1" customWidth="1"/>
    <col min="33" max="33" width="6.28515625" customWidth="1"/>
    <col min="35" max="35" width="15.28515625" customWidth="1"/>
    <col min="36" max="36" width="10.42578125" bestFit="1" customWidth="1"/>
    <col min="37" max="37" width="8.28515625" bestFit="1" customWidth="1"/>
    <col min="38" max="38" width="7.7109375" bestFit="1" customWidth="1"/>
    <col min="39" max="39" width="9.28515625" bestFit="1" customWidth="1"/>
    <col min="40" max="40" width="6" bestFit="1" customWidth="1"/>
    <col min="41" max="41" width="8.5703125" bestFit="1" customWidth="1"/>
    <col min="42" max="42" width="7.28515625" bestFit="1" customWidth="1"/>
    <col min="43" max="44" width="7.28515625" customWidth="1"/>
    <col min="45" max="45" width="8.28515625" bestFit="1" customWidth="1"/>
    <col min="46" max="46" width="6" bestFit="1" customWidth="1"/>
    <col min="47" max="47" width="10.28515625" bestFit="1" customWidth="1"/>
    <col min="48" max="48" width="6" bestFit="1" customWidth="1"/>
    <col min="49" max="49" width="7" bestFit="1" customWidth="1"/>
    <col min="50" max="50" width="7" customWidth="1"/>
    <col min="51" max="52" width="6.28515625" customWidth="1"/>
    <col min="53" max="53" width="8.5703125" bestFit="1" customWidth="1"/>
    <col min="54" max="54" width="8.5703125" customWidth="1"/>
    <col min="55" max="55" width="6.7109375" bestFit="1" customWidth="1"/>
    <col min="56" max="56" width="6.7109375" customWidth="1"/>
    <col min="57" max="57" width="8.7109375" bestFit="1" customWidth="1"/>
    <col min="58" max="58" width="6.7109375" customWidth="1"/>
    <col min="59" max="59" width="10.42578125" bestFit="1" customWidth="1"/>
    <col min="60" max="62" width="6.7109375" customWidth="1"/>
    <col min="63" max="63" width="12" bestFit="1" customWidth="1"/>
    <col min="64" max="64" width="6" bestFit="1" customWidth="1"/>
    <col min="65" max="65" width="5.5703125" bestFit="1" customWidth="1"/>
    <col min="66" max="66" width="6.7109375" bestFit="1" customWidth="1"/>
    <col min="67" max="67" width="8.28515625" bestFit="1" customWidth="1"/>
    <col min="68" max="68" width="6.28515625" customWidth="1"/>
    <col min="69" max="69" width="7.28515625" bestFit="1" customWidth="1"/>
    <col min="71" max="71" width="11.42578125" customWidth="1"/>
    <col min="72" max="72" width="8.28515625" bestFit="1" customWidth="1"/>
    <col min="73" max="73" width="7.7109375" bestFit="1" customWidth="1"/>
    <col min="74" max="74" width="9.28515625" bestFit="1" customWidth="1"/>
    <col min="75" max="75" width="6" bestFit="1" customWidth="1"/>
    <col min="76" max="76" width="8.5703125" bestFit="1" customWidth="1"/>
    <col min="77" max="77" width="7.28515625" bestFit="1" customWidth="1"/>
    <col min="78" max="79" width="7.28515625" customWidth="1"/>
    <col min="80" max="80" width="8.28515625" bestFit="1" customWidth="1"/>
    <col min="81" max="81" width="6" bestFit="1" customWidth="1"/>
    <col min="82" max="82" width="10.28515625" bestFit="1" customWidth="1"/>
    <col min="83" max="83" width="6" bestFit="1" customWidth="1"/>
    <col min="84" max="84" width="7" bestFit="1" customWidth="1"/>
    <col min="85" max="85" width="7.28515625" bestFit="1" customWidth="1"/>
    <col min="86" max="87" width="6.28515625" customWidth="1"/>
    <col min="88" max="88" width="8.5703125" bestFit="1" customWidth="1"/>
    <col min="89" max="89" width="8.5703125" customWidth="1"/>
    <col min="90" max="90" width="6.7109375" bestFit="1" customWidth="1"/>
    <col min="91" max="91" width="7.5703125" customWidth="1"/>
    <col min="92" max="92" width="9.7109375" customWidth="1"/>
    <col min="93" max="93" width="6.7109375" customWidth="1"/>
    <col min="94" max="94" width="9.7109375" customWidth="1"/>
    <col min="95" max="97" width="6.7109375" customWidth="1"/>
    <col min="98" max="98" width="12" bestFit="1" customWidth="1"/>
    <col min="99" max="99" width="8.5703125" customWidth="1"/>
    <col min="100" max="100" width="5.5703125" bestFit="1" customWidth="1"/>
    <col min="101" max="101" width="6.7109375" bestFit="1" customWidth="1"/>
    <col min="102" max="102" width="8.28515625" bestFit="1" customWidth="1"/>
    <col min="103" max="103" width="7.7109375" customWidth="1"/>
    <col min="104" max="104" width="8.42578125" customWidth="1"/>
  </cols>
  <sheetData>
    <row r="1" spans="1:106" ht="13.5" thickBot="1" x14ac:dyDescent="0.25">
      <c r="A1" s="1083" t="s">
        <v>344</v>
      </c>
      <c r="B1" s="1431" t="s">
        <v>171</v>
      </c>
      <c r="C1" s="1431"/>
      <c r="D1" s="1431"/>
      <c r="E1" s="1431"/>
      <c r="F1" s="1431"/>
      <c r="G1" s="1431"/>
      <c r="H1" s="1431"/>
      <c r="I1" s="1431"/>
      <c r="J1" s="1431"/>
      <c r="K1" s="1431"/>
      <c r="L1" s="1431"/>
      <c r="M1" s="1431"/>
      <c r="N1" s="1431"/>
      <c r="O1" s="1431"/>
      <c r="P1" s="1431"/>
      <c r="Q1" s="1431"/>
      <c r="R1" s="1431"/>
      <c r="S1" s="1431"/>
      <c r="T1" s="1431"/>
      <c r="U1" s="1431"/>
      <c r="V1" s="1431"/>
      <c r="W1" s="1431"/>
      <c r="X1" s="1431"/>
      <c r="Y1" s="1431"/>
      <c r="Z1" s="1431"/>
      <c r="AA1" s="1431"/>
      <c r="AB1" s="1431"/>
      <c r="AC1" s="1431"/>
      <c r="AD1" s="1431"/>
      <c r="AE1" s="1431"/>
      <c r="AF1" s="1431"/>
      <c r="AG1" s="1431"/>
      <c r="AJ1" s="269"/>
      <c r="AK1" s="1431" t="s">
        <v>284</v>
      </c>
      <c r="AL1" s="1431"/>
      <c r="AM1" s="1431"/>
      <c r="AN1" s="1431"/>
      <c r="AO1" s="1431"/>
      <c r="AP1" s="1431"/>
      <c r="AQ1" s="1431"/>
      <c r="AR1" s="1431"/>
      <c r="AS1" s="1431"/>
      <c r="AT1" s="1431"/>
      <c r="AU1" s="1431"/>
      <c r="AV1" s="1431"/>
      <c r="AW1" s="1431"/>
      <c r="AX1" s="1431"/>
      <c r="AY1" s="1431"/>
      <c r="AZ1" s="1431"/>
      <c r="BA1" s="1431"/>
      <c r="BB1" s="1431"/>
      <c r="BC1" s="1431"/>
      <c r="BD1" s="1431"/>
      <c r="BE1" s="1431"/>
      <c r="BF1" s="1431"/>
      <c r="BG1" s="1431"/>
      <c r="BH1" s="1431"/>
      <c r="BI1" s="1431"/>
      <c r="BJ1" s="1431"/>
      <c r="BK1" s="1431"/>
      <c r="BL1" s="1431"/>
      <c r="BM1" s="1431"/>
      <c r="BN1" s="1431"/>
      <c r="BO1" s="1431"/>
      <c r="BP1" s="1431"/>
      <c r="BS1" s="269"/>
      <c r="BT1" s="1431" t="s">
        <v>173</v>
      </c>
      <c r="BU1" s="1431"/>
      <c r="BV1" s="1431"/>
      <c r="BW1" s="1431"/>
      <c r="BX1" s="1431"/>
      <c r="BY1" s="1431"/>
      <c r="BZ1" s="1431"/>
      <c r="CA1" s="1431"/>
      <c r="CB1" s="1431"/>
      <c r="CC1" s="1431"/>
      <c r="CD1" s="1431"/>
      <c r="CE1" s="1431"/>
      <c r="CF1" s="1431"/>
      <c r="CG1" s="1431"/>
      <c r="CH1" s="1431"/>
      <c r="CI1" s="1431"/>
      <c r="CJ1" s="1431"/>
      <c r="CK1" s="1431"/>
      <c r="CL1" s="1431"/>
      <c r="CM1" s="1431"/>
      <c r="CN1" s="1431"/>
      <c r="CO1" s="1431"/>
      <c r="CP1" s="1431"/>
      <c r="CQ1" s="1431"/>
      <c r="CR1" s="1431"/>
      <c r="CS1" s="1431"/>
      <c r="CT1" s="1431"/>
      <c r="CU1" s="1431"/>
      <c r="CV1" s="1431"/>
      <c r="CW1" s="1431"/>
      <c r="CX1" s="1431"/>
      <c r="CY1" s="1431"/>
    </row>
    <row r="2" spans="1:106" ht="13.5" thickBot="1" x14ac:dyDescent="0.25">
      <c r="A2" s="1084" t="s">
        <v>394</v>
      </c>
      <c r="B2" s="1431" t="s">
        <v>141</v>
      </c>
      <c r="C2" s="1431"/>
      <c r="D2" s="1431"/>
      <c r="E2" s="1431"/>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2" t="s">
        <v>142</v>
      </c>
      <c r="AD2" s="1432"/>
      <c r="AE2" s="1432"/>
      <c r="AF2" s="1432"/>
      <c r="AG2" s="1432"/>
      <c r="AH2" s="726" t="s">
        <v>143</v>
      </c>
      <c r="AJ2" s="269"/>
      <c r="AK2" s="1431" t="s">
        <v>141</v>
      </c>
      <c r="AL2" s="1431"/>
      <c r="AM2" s="1431"/>
      <c r="AN2" s="1431"/>
      <c r="AO2" s="1431"/>
      <c r="AP2" s="1431"/>
      <c r="AQ2" s="1431"/>
      <c r="AR2" s="1431"/>
      <c r="AS2" s="1431"/>
      <c r="AT2" s="1431"/>
      <c r="AU2" s="1431"/>
      <c r="AV2" s="1431"/>
      <c r="AW2" s="1431"/>
      <c r="AX2" s="1431"/>
      <c r="AY2" s="1431"/>
      <c r="AZ2" s="1431"/>
      <c r="BA2" s="1431"/>
      <c r="BB2" s="1431"/>
      <c r="BC2" s="1431"/>
      <c r="BD2" s="1431"/>
      <c r="BE2" s="1431"/>
      <c r="BF2" s="1431"/>
      <c r="BG2" s="1431"/>
      <c r="BH2" s="1431"/>
      <c r="BI2" s="1431"/>
      <c r="BJ2" s="1431"/>
      <c r="BK2" s="1431"/>
      <c r="BL2" s="1432" t="s">
        <v>142</v>
      </c>
      <c r="BM2" s="1432"/>
      <c r="BN2" s="1432"/>
      <c r="BO2" s="1432"/>
      <c r="BP2" s="1432"/>
      <c r="BQ2" s="726" t="s">
        <v>143</v>
      </c>
      <c r="BS2" s="269"/>
      <c r="BT2" s="1431" t="s">
        <v>141</v>
      </c>
      <c r="BU2" s="1431"/>
      <c r="BV2" s="1431"/>
      <c r="BW2" s="1431"/>
      <c r="BX2" s="1431"/>
      <c r="BY2" s="1431"/>
      <c r="BZ2" s="1431"/>
      <c r="CA2" s="1431"/>
      <c r="CB2" s="1431"/>
      <c r="CC2" s="1431"/>
      <c r="CD2" s="1431"/>
      <c r="CE2" s="1431"/>
      <c r="CF2" s="1431"/>
      <c r="CG2" s="1431"/>
      <c r="CH2" s="1431"/>
      <c r="CI2" s="1431"/>
      <c r="CJ2" s="1431"/>
      <c r="CK2" s="1431"/>
      <c r="CL2" s="1431"/>
      <c r="CM2" s="1431"/>
      <c r="CN2" s="1431"/>
      <c r="CO2" s="1431"/>
      <c r="CP2" s="1431"/>
      <c r="CQ2" s="1431"/>
      <c r="CR2" s="1431"/>
      <c r="CS2" s="1431"/>
      <c r="CT2" s="1431"/>
      <c r="CU2" s="1432" t="s">
        <v>199</v>
      </c>
      <c r="CV2" s="1432"/>
      <c r="CW2" s="1432"/>
      <c r="CX2" s="1432"/>
      <c r="CY2" s="1432"/>
      <c r="CZ2" s="726" t="s">
        <v>143</v>
      </c>
    </row>
    <row r="3" spans="1:106" s="269" customFormat="1" ht="13.5" thickBot="1" x14ac:dyDescent="0.25">
      <c r="B3" s="271" t="s">
        <v>144</v>
      </c>
      <c r="C3" s="271" t="s">
        <v>145</v>
      </c>
      <c r="D3" s="986" t="s">
        <v>146</v>
      </c>
      <c r="E3" s="271" t="s">
        <v>147</v>
      </c>
      <c r="F3" s="271" t="s">
        <v>148</v>
      </c>
      <c r="G3" s="986" t="s">
        <v>131</v>
      </c>
      <c r="H3" s="271" t="s">
        <v>342</v>
      </c>
      <c r="I3" s="271" t="s">
        <v>343</v>
      </c>
      <c r="J3" s="986" t="s">
        <v>149</v>
      </c>
      <c r="K3" s="271" t="s">
        <v>150</v>
      </c>
      <c r="L3" s="271" t="s">
        <v>151</v>
      </c>
      <c r="M3" s="271" t="s">
        <v>395</v>
      </c>
      <c r="N3" s="271" t="s">
        <v>354</v>
      </c>
      <c r="O3" s="986" t="s">
        <v>153</v>
      </c>
      <c r="P3" s="271" t="s">
        <v>355</v>
      </c>
      <c r="Q3" s="271" t="s">
        <v>356</v>
      </c>
      <c r="R3" s="271" t="s">
        <v>154</v>
      </c>
      <c r="S3" s="271" t="s">
        <v>349</v>
      </c>
      <c r="T3" s="986" t="s">
        <v>155</v>
      </c>
      <c r="U3" s="477" t="s">
        <v>249</v>
      </c>
      <c r="V3" s="980" t="s">
        <v>253</v>
      </c>
      <c r="W3" s="477" t="s">
        <v>254</v>
      </c>
      <c r="X3" s="980" t="s">
        <v>255</v>
      </c>
      <c r="Y3" s="980" t="s">
        <v>256</v>
      </c>
      <c r="Z3" s="980" t="s">
        <v>334</v>
      </c>
      <c r="AA3" s="1090" t="s">
        <v>252</v>
      </c>
      <c r="AB3" s="272" t="s">
        <v>282</v>
      </c>
      <c r="AC3" s="271" t="s">
        <v>280</v>
      </c>
      <c r="AD3" s="271" t="s">
        <v>281</v>
      </c>
      <c r="AE3" s="271" t="s">
        <v>158</v>
      </c>
      <c r="AF3" s="271" t="s">
        <v>159</v>
      </c>
      <c r="AG3" s="272" t="s">
        <v>135</v>
      </c>
      <c r="AH3" s="725" t="s">
        <v>135</v>
      </c>
      <c r="AJ3" s="747"/>
      <c r="AK3" s="271" t="s">
        <v>144</v>
      </c>
      <c r="AL3" s="271" t="s">
        <v>145</v>
      </c>
      <c r="AM3" s="986" t="s">
        <v>146</v>
      </c>
      <c r="AN3" s="271" t="s">
        <v>147</v>
      </c>
      <c r="AO3" s="271" t="s">
        <v>148</v>
      </c>
      <c r="AP3" s="986" t="s">
        <v>131</v>
      </c>
      <c r="AQ3" s="271" t="s">
        <v>342</v>
      </c>
      <c r="AR3" s="271" t="s">
        <v>343</v>
      </c>
      <c r="AS3" s="986" t="s">
        <v>149</v>
      </c>
      <c r="AT3" s="271" t="s">
        <v>150</v>
      </c>
      <c r="AU3" s="271" t="s">
        <v>151</v>
      </c>
      <c r="AV3" s="271" t="s">
        <v>352</v>
      </c>
      <c r="AW3" s="271" t="s">
        <v>354</v>
      </c>
      <c r="AX3" s="986" t="s">
        <v>153</v>
      </c>
      <c r="AY3" s="271" t="s">
        <v>355</v>
      </c>
      <c r="AZ3" s="271" t="s">
        <v>356</v>
      </c>
      <c r="BA3" s="271" t="s">
        <v>154</v>
      </c>
      <c r="BB3" s="271" t="s">
        <v>349</v>
      </c>
      <c r="BC3" s="986" t="s">
        <v>155</v>
      </c>
      <c r="BD3" s="477" t="s">
        <v>249</v>
      </c>
      <c r="BE3" s="980" t="s">
        <v>253</v>
      </c>
      <c r="BF3" s="477" t="s">
        <v>254</v>
      </c>
      <c r="BG3" s="980" t="s">
        <v>255</v>
      </c>
      <c r="BH3" s="980" t="s">
        <v>256</v>
      </c>
      <c r="BI3" s="477" t="s">
        <v>334</v>
      </c>
      <c r="BJ3" s="503" t="s">
        <v>252</v>
      </c>
      <c r="BK3" s="272" t="s">
        <v>132</v>
      </c>
      <c r="BL3" s="271" t="s">
        <v>156</v>
      </c>
      <c r="BM3" s="271" t="s">
        <v>157</v>
      </c>
      <c r="BN3" s="271" t="s">
        <v>158</v>
      </c>
      <c r="BO3" s="271" t="s">
        <v>159</v>
      </c>
      <c r="BP3" s="272" t="s">
        <v>135</v>
      </c>
      <c r="BQ3" s="725" t="s">
        <v>135</v>
      </c>
      <c r="BT3" s="271" t="s">
        <v>144</v>
      </c>
      <c r="BU3" s="271" t="s">
        <v>145</v>
      </c>
      <c r="BV3" s="986" t="s">
        <v>146</v>
      </c>
      <c r="BW3" s="271" t="s">
        <v>147</v>
      </c>
      <c r="BX3" s="271" t="s">
        <v>148</v>
      </c>
      <c r="BY3" s="986" t="s">
        <v>131</v>
      </c>
      <c r="BZ3" s="271" t="s">
        <v>342</v>
      </c>
      <c r="CA3" s="271" t="s">
        <v>343</v>
      </c>
      <c r="CB3" s="986" t="s">
        <v>149</v>
      </c>
      <c r="CC3" s="271" t="s">
        <v>150</v>
      </c>
      <c r="CD3" s="271" t="s">
        <v>151</v>
      </c>
      <c r="CE3" s="271" t="s">
        <v>352</v>
      </c>
      <c r="CF3" s="271" t="s">
        <v>354</v>
      </c>
      <c r="CG3" s="986" t="s">
        <v>153</v>
      </c>
      <c r="CH3" s="271" t="s">
        <v>355</v>
      </c>
      <c r="CI3" s="271" t="s">
        <v>356</v>
      </c>
      <c r="CJ3" s="271" t="s">
        <v>154</v>
      </c>
      <c r="CK3" s="271" t="s">
        <v>349</v>
      </c>
      <c r="CL3" s="986" t="s">
        <v>155</v>
      </c>
      <c r="CM3" s="477" t="s">
        <v>249</v>
      </c>
      <c r="CN3" s="980" t="s">
        <v>253</v>
      </c>
      <c r="CO3" s="477" t="s">
        <v>254</v>
      </c>
      <c r="CP3" s="980" t="s">
        <v>255</v>
      </c>
      <c r="CQ3" s="980" t="s">
        <v>256</v>
      </c>
      <c r="CR3" s="477" t="s">
        <v>334</v>
      </c>
      <c r="CS3" s="503" t="s">
        <v>252</v>
      </c>
      <c r="CT3" s="272" t="s">
        <v>132</v>
      </c>
      <c r="CU3" s="737" t="s">
        <v>156</v>
      </c>
      <c r="CV3" s="737" t="s">
        <v>157</v>
      </c>
      <c r="CW3" s="737" t="s">
        <v>158</v>
      </c>
      <c r="CX3" s="737" t="s">
        <v>159</v>
      </c>
      <c r="CY3" s="272" t="s">
        <v>135</v>
      </c>
      <c r="CZ3" s="725" t="s">
        <v>135</v>
      </c>
    </row>
    <row r="4" spans="1:106" x14ac:dyDescent="0.2">
      <c r="A4" s="281" t="s">
        <v>136</v>
      </c>
      <c r="B4" s="279">
        <f>+'C-I FREE'!M6</f>
        <v>10.6</v>
      </c>
      <c r="C4" s="280">
        <f>+'C-I Paid'!M6</f>
        <v>0.39</v>
      </c>
      <c r="D4" s="987">
        <f>+'C-I Mail-In'!M6</f>
        <v>0</v>
      </c>
      <c r="E4" s="280">
        <f>+'COM Cooling'!M6</f>
        <v>0</v>
      </c>
      <c r="F4" s="280">
        <f>+'COM Duct'!M6</f>
        <v>0</v>
      </c>
      <c r="G4" s="1160">
        <f>+'COM Bldg Envel'!M6</f>
        <v>0</v>
      </c>
      <c r="H4" s="280">
        <f>'COM CI'!M6</f>
        <v>0</v>
      </c>
      <c r="I4" s="280">
        <f>'COM WI'!M6</f>
        <v>0</v>
      </c>
      <c r="J4" s="1160">
        <f>+'COM EEMotors'!M6</f>
        <v>0</v>
      </c>
      <c r="K4" s="280">
        <f>+'COM Chillers'!M6</f>
        <v>0</v>
      </c>
      <c r="L4" s="280">
        <f>+'COM Occ. Sens.'!M6</f>
        <v>0</v>
      </c>
      <c r="M4" s="280">
        <f>+'COM Ref'!M6</f>
        <v>0</v>
      </c>
      <c r="N4" s="280">
        <f>+'COM WH'!M6</f>
        <v>0</v>
      </c>
      <c r="O4" s="1160">
        <f>+'COM Lighting'!M6</f>
        <v>0</v>
      </c>
      <c r="P4" s="280">
        <f>'COM Cond. Light'!M6</f>
        <v>0</v>
      </c>
      <c r="Q4" s="280">
        <f>'COM Non Cond. Light'!M6</f>
        <v>0</v>
      </c>
      <c r="R4" s="280">
        <f>+'COM CV'!M6</f>
        <v>0</v>
      </c>
      <c r="S4" s="280">
        <f>'COM TES'!M6</f>
        <v>0</v>
      </c>
      <c r="T4" s="987">
        <f>+'Street Light Conv'!M6</f>
        <v>0</v>
      </c>
      <c r="U4" s="276">
        <f>'COM ECM'!M6</f>
        <v>0</v>
      </c>
      <c r="V4" s="738">
        <f>'COM ECM HVAC'!M6</f>
        <v>0</v>
      </c>
      <c r="W4" s="276">
        <f>'COM Cool Roof'!M6</f>
        <v>0</v>
      </c>
      <c r="X4" s="724">
        <f>'COM HVAC ReCommissioning'!M6</f>
        <v>0</v>
      </c>
      <c r="Y4" s="724">
        <f>'COM ERV'!M6</f>
        <v>0</v>
      </c>
      <c r="Z4" s="724">
        <f>'COM School PV'!M6</f>
        <v>0</v>
      </c>
      <c r="AA4" s="724">
        <f>'COM PV'!M6</f>
        <v>0</v>
      </c>
      <c r="AB4" s="278">
        <f>SUM(B4:T4)</f>
        <v>10.99</v>
      </c>
      <c r="AC4" s="280">
        <f>+'COM LM (cyc)'!N6</f>
        <v>1.34</v>
      </c>
      <c r="AD4" s="280">
        <f>+'COM LM (ext)'!N6</f>
        <v>0.23</v>
      </c>
      <c r="AE4" s="280">
        <f>+'COM SB Gen'!N6</f>
        <v>0</v>
      </c>
      <c r="AF4" s="280">
        <f>+'COM DMD Response'!M6</f>
        <v>0</v>
      </c>
      <c r="AG4" s="277">
        <f>+AC4+AD4+AE4+AF4</f>
        <v>1.57</v>
      </c>
      <c r="AH4" s="718">
        <f t="shared" ref="AH4:AH35" si="0">+AG4+AB4</f>
        <v>12.56</v>
      </c>
      <c r="AJ4" s="748" t="s">
        <v>136</v>
      </c>
      <c r="AK4" s="280">
        <f>+'C-I FREE'!Q6</f>
        <v>22.94</v>
      </c>
      <c r="AL4" s="280">
        <f>+'C-I Paid'!Q6</f>
        <v>0.85</v>
      </c>
      <c r="AM4" s="987">
        <f>+'C-I Mail-In'!Q6</f>
        <v>0</v>
      </c>
      <c r="AN4" s="280">
        <f>+'COM Cooling'!Q6</f>
        <v>0</v>
      </c>
      <c r="AO4" s="280">
        <f>+'COM Duct'!Q6</f>
        <v>0</v>
      </c>
      <c r="AP4" s="987">
        <f>+'COM Bldg Envel'!Q6</f>
        <v>0</v>
      </c>
      <c r="AQ4" s="280">
        <f>'COM CI'!Q6</f>
        <v>0</v>
      </c>
      <c r="AR4" s="280">
        <f>'COM WI'!Q6</f>
        <v>0</v>
      </c>
      <c r="AS4" s="987">
        <f>+'COM EEMotors'!Q6</f>
        <v>0</v>
      </c>
      <c r="AT4" s="280">
        <f>+'COM Chillers'!Q6</f>
        <v>0</v>
      </c>
      <c r="AU4" s="280">
        <f>+'COM Occ. Sens.'!Q6</f>
        <v>0</v>
      </c>
      <c r="AV4" s="280">
        <f>+'COM Ref'!Q6</f>
        <v>0</v>
      </c>
      <c r="AW4" s="280">
        <f>+'COM WH'!Q6</f>
        <v>0</v>
      </c>
      <c r="AX4" s="987">
        <f>+'COM Lighting'!Q6</f>
        <v>0</v>
      </c>
      <c r="AY4" s="280">
        <f>'COM Cond. Light'!Q6</f>
        <v>0</v>
      </c>
      <c r="AZ4" s="280">
        <f>'COM Non Cond. Light'!Q6</f>
        <v>0</v>
      </c>
      <c r="BA4" s="280">
        <f>+'COM CV'!Q6</f>
        <v>0</v>
      </c>
      <c r="BB4" s="280">
        <f>'COM TES'!Q6</f>
        <v>0</v>
      </c>
      <c r="BC4" s="987">
        <f>+'Street Light Conv'!Q6</f>
        <v>0</v>
      </c>
      <c r="BD4" s="276">
        <f>'COM ECM'!Q6</f>
        <v>0</v>
      </c>
      <c r="BE4" s="738">
        <f>'COM HVAC ReCommissioning'!Q6</f>
        <v>0</v>
      </c>
      <c r="BF4" s="276">
        <f>'COM Cool Roof'!Q6</f>
        <v>0</v>
      </c>
      <c r="BG4" s="738">
        <f>'COM HVAC ReCommissioning'!Q6</f>
        <v>0</v>
      </c>
      <c r="BH4" s="738">
        <f>'COM ERV'!Q6</f>
        <v>0</v>
      </c>
      <c r="BI4" s="738">
        <f>'COM School PV'!Q6</f>
        <v>0</v>
      </c>
      <c r="BJ4" s="276">
        <f>'COM PV'!Q6</f>
        <v>0</v>
      </c>
      <c r="BK4" s="278">
        <f>SUM(AK4:BJ4)</f>
        <v>23.790000000000003</v>
      </c>
      <c r="BL4" s="280">
        <f>+'COM LM (cyc)'!T6</f>
        <v>0</v>
      </c>
      <c r="BM4" s="280">
        <f>+'COM LM (ext)'!T6</f>
        <v>0.23</v>
      </c>
      <c r="BN4" s="280">
        <f>+'COM SB Gen'!T6</f>
        <v>0</v>
      </c>
      <c r="BO4" s="280">
        <f>+'COM DMD Response'!Q6</f>
        <v>0</v>
      </c>
      <c r="BP4" s="1106">
        <f>+BL4+BM4+BN4+BO4</f>
        <v>0.23</v>
      </c>
      <c r="BQ4" s="718">
        <f t="shared" ref="BQ4:BQ35" si="1">+BP4+BK4</f>
        <v>24.020000000000003</v>
      </c>
      <c r="BS4" s="281" t="s">
        <v>136</v>
      </c>
      <c r="BT4" s="279">
        <f>+'C-I FREE'!U6</f>
        <v>3.67</v>
      </c>
      <c r="BU4" s="280">
        <f>+'C-I Paid'!U6</f>
        <v>0.14000000000000001</v>
      </c>
      <c r="BV4" s="987">
        <f>+'C-I Mail-In'!U6</f>
        <v>0</v>
      </c>
      <c r="BW4" s="280">
        <f>+'COM Cooling'!U6</f>
        <v>0</v>
      </c>
      <c r="BX4" s="280">
        <f>+'COM Duct'!U6</f>
        <v>0</v>
      </c>
      <c r="BY4" s="987">
        <f>+'COM Bldg Envel'!U6</f>
        <v>0</v>
      </c>
      <c r="BZ4" s="280">
        <f>'COM CI'!U6</f>
        <v>0</v>
      </c>
      <c r="CA4" s="280">
        <f>'COM WI'!U6</f>
        <v>0</v>
      </c>
      <c r="CB4" s="987">
        <f>+'COM EEMotors'!U6</f>
        <v>0</v>
      </c>
      <c r="CC4" s="280">
        <f>+'COM Chillers'!U6</f>
        <v>0</v>
      </c>
      <c r="CD4" s="280">
        <f>+'COM Occ. Sens.'!U6</f>
        <v>0</v>
      </c>
      <c r="CE4" s="280">
        <f>+'COM Ref'!U6</f>
        <v>0</v>
      </c>
      <c r="CF4" s="280">
        <f>+'COM WH'!U6</f>
        <v>0</v>
      </c>
      <c r="CG4" s="987">
        <f>+'COM Lighting'!U6</f>
        <v>0</v>
      </c>
      <c r="CH4" s="280">
        <f>'COM Cond. Light'!U6</f>
        <v>0</v>
      </c>
      <c r="CI4" s="280">
        <f>'COM Non Cond. Light'!U6</f>
        <v>0</v>
      </c>
      <c r="CJ4" s="280">
        <f>+'COM CV'!U6</f>
        <v>0</v>
      </c>
      <c r="CK4" s="280">
        <f>'COM TES'!U6</f>
        <v>0</v>
      </c>
      <c r="CL4" s="987">
        <f>+'Street Light Conv'!U6</f>
        <v>16</v>
      </c>
      <c r="CM4" s="276">
        <f>'COM ECM'!U6</f>
        <v>0</v>
      </c>
      <c r="CN4" s="738">
        <f>'COM HVAC ReCommissioning'!U6</f>
        <v>0</v>
      </c>
      <c r="CO4" s="276">
        <f>'COM Cool Roof'!U6</f>
        <v>0</v>
      </c>
      <c r="CP4" s="738">
        <f>'COM HVAC ReCommissioning'!U6</f>
        <v>0</v>
      </c>
      <c r="CQ4" s="738">
        <f>'COM ERV'!U6</f>
        <v>0</v>
      </c>
      <c r="CR4" s="276">
        <f>'COM School PV'!U6</f>
        <v>0</v>
      </c>
      <c r="CS4" s="276">
        <f>'COM PV'!U6</f>
        <v>0</v>
      </c>
      <c r="CT4" s="734">
        <f>SUM(BT4:CS4)-CL4</f>
        <v>3.8099999999999987</v>
      </c>
      <c r="CU4" s="739">
        <f>+'COM LM (cyc)'!Z6</f>
        <v>0</v>
      </c>
      <c r="CV4" s="740">
        <f>+'COM LM (ext)'!Z6</f>
        <v>0</v>
      </c>
      <c r="CW4" s="740">
        <f>+'COM SB Gen'!Z6</f>
        <v>0</v>
      </c>
      <c r="CX4" s="740">
        <f>+'COM DMD Response'!U6</f>
        <v>0</v>
      </c>
      <c r="CY4" s="277">
        <f t="shared" ref="CY4:CY35" si="2">+CU4+CV4+CX4+CW4</f>
        <v>0</v>
      </c>
      <c r="CZ4" s="744">
        <f t="shared" ref="CZ4:CZ35" si="3">+CY4+CT4</f>
        <v>3.8099999999999987</v>
      </c>
      <c r="DB4" s="162"/>
    </row>
    <row r="5" spans="1:106" x14ac:dyDescent="0.2">
      <c r="A5" s="281" t="s">
        <v>137</v>
      </c>
      <c r="B5" s="275">
        <f>+'C-I FREE'!M7</f>
        <v>12.23</v>
      </c>
      <c r="C5" s="276">
        <f>+'C-I Paid'!M7</f>
        <v>0.39</v>
      </c>
      <c r="D5" s="738">
        <f>+'C-I Mail-In'!M7</f>
        <v>0</v>
      </c>
      <c r="E5" s="276">
        <f>+'COM Cooling'!M7</f>
        <v>0</v>
      </c>
      <c r="F5" s="276">
        <f>+'COM Duct'!M7</f>
        <v>0</v>
      </c>
      <c r="G5" s="724">
        <f>+'COM Bldg Envel'!M7</f>
        <v>0</v>
      </c>
      <c r="H5" s="276">
        <f>'COM CI'!M7</f>
        <v>0</v>
      </c>
      <c r="I5" s="276">
        <f>'COM WI'!M7</f>
        <v>0</v>
      </c>
      <c r="J5" s="724">
        <f>+'COM EEMotors'!M7</f>
        <v>0</v>
      </c>
      <c r="K5" s="276">
        <f>+'COM Chillers'!M7</f>
        <v>0</v>
      </c>
      <c r="L5" s="276">
        <f>+'COM Occ. Sens.'!M7</f>
        <v>0</v>
      </c>
      <c r="M5" s="276">
        <f>+'COM Ref'!M7</f>
        <v>0</v>
      </c>
      <c r="N5" s="276">
        <f>+'COM WH'!M7</f>
        <v>0</v>
      </c>
      <c r="O5" s="724">
        <f>+'COM Lighting'!M7</f>
        <v>0.6</v>
      </c>
      <c r="P5" s="276">
        <f>'COM Cond. Light'!M7</f>
        <v>0</v>
      </c>
      <c r="Q5" s="276">
        <f>'COM Non Cond. Light'!M7</f>
        <v>0</v>
      </c>
      <c r="R5" s="276">
        <f>+'COM CV'!M7</f>
        <v>0.4</v>
      </c>
      <c r="S5" s="276">
        <f>'COM TES'!M7</f>
        <v>0</v>
      </c>
      <c r="T5" s="738">
        <f>+'Street Light Conv'!M7</f>
        <v>0</v>
      </c>
      <c r="U5" s="276">
        <f>'COM ECM'!M7</f>
        <v>0</v>
      </c>
      <c r="V5" s="738">
        <f>'COM ECM HVAC'!M7</f>
        <v>0</v>
      </c>
      <c r="W5" s="276">
        <f>'COM Cool Roof'!M7</f>
        <v>0</v>
      </c>
      <c r="X5" s="724">
        <f>'COM HVAC ReCommissioning'!M7</f>
        <v>0</v>
      </c>
      <c r="Y5" s="724">
        <f>'COM ERV'!M7</f>
        <v>0</v>
      </c>
      <c r="Z5" s="724">
        <f>'COM School PV'!M7</f>
        <v>0</v>
      </c>
      <c r="AA5" s="724">
        <f>'COM PV'!M7</f>
        <v>0</v>
      </c>
      <c r="AB5" s="277">
        <f t="shared" ref="AB5:AB38" si="4">SUM(B5:T5)</f>
        <v>13.620000000000001</v>
      </c>
      <c r="AC5" s="276">
        <f>+'COM LM (cyc)'!N7</f>
        <v>0</v>
      </c>
      <c r="AD5" s="276">
        <f>+'COM LM (ext)'!N7</f>
        <v>0.5</v>
      </c>
      <c r="AE5" s="276">
        <f>+'COM SB Gen'!N7</f>
        <v>6.18</v>
      </c>
      <c r="AF5" s="276">
        <f>+'COM DMD Response'!M7</f>
        <v>0</v>
      </c>
      <c r="AG5" s="277">
        <f t="shared" ref="AG5:AG52" si="5">+AC5+AD5+AE5+AF5</f>
        <v>6.68</v>
      </c>
      <c r="AH5" s="718">
        <f t="shared" si="0"/>
        <v>20.3</v>
      </c>
      <c r="AJ5" s="748" t="s">
        <v>137</v>
      </c>
      <c r="AK5" s="276">
        <f>+'C-I FREE'!Q7</f>
        <v>30.270000000000003</v>
      </c>
      <c r="AL5" s="276">
        <f>+'C-I Paid'!Q7</f>
        <v>0.89</v>
      </c>
      <c r="AM5" s="738">
        <f>+'C-I Mail-In'!Q7</f>
        <v>0</v>
      </c>
      <c r="AN5" s="276">
        <f>+'COM Cooling'!Q7</f>
        <v>0</v>
      </c>
      <c r="AO5" s="276">
        <f>+'COM Duct'!Q7</f>
        <v>0</v>
      </c>
      <c r="AP5" s="738">
        <f>+'COM Bldg Envel'!Q7</f>
        <v>0</v>
      </c>
      <c r="AQ5" s="276">
        <f>'COM CI'!Q7</f>
        <v>0</v>
      </c>
      <c r="AR5" s="276">
        <f>'COM WI'!Q7</f>
        <v>0</v>
      </c>
      <c r="AS5" s="738">
        <f>+'COM EEMotors'!Q7</f>
        <v>0</v>
      </c>
      <c r="AT5" s="276">
        <f>+'COM Chillers'!Q7</f>
        <v>0</v>
      </c>
      <c r="AU5" s="276">
        <f>+'COM Occ. Sens.'!Q7</f>
        <v>0</v>
      </c>
      <c r="AV5" s="276">
        <f>+'COM Ref'!Q7</f>
        <v>0</v>
      </c>
      <c r="AW5" s="276">
        <f>+'COM WH'!Q7</f>
        <v>0</v>
      </c>
      <c r="AX5" s="738">
        <f>+'COM Lighting'!Q7</f>
        <v>0.22</v>
      </c>
      <c r="AY5" s="276">
        <f>'COM Cond. Light'!Q7</f>
        <v>0</v>
      </c>
      <c r="AZ5" s="276">
        <f>'COM Non Cond. Light'!Q7</f>
        <v>0</v>
      </c>
      <c r="BA5" s="276">
        <f>+'COM CV'!Q7</f>
        <v>0.1</v>
      </c>
      <c r="BB5" s="276">
        <f>'COM TES'!Q7</f>
        <v>0</v>
      </c>
      <c r="BC5" s="738">
        <f>+'Street Light Conv'!Q7</f>
        <v>0</v>
      </c>
      <c r="BD5" s="276">
        <f>'COM ECM'!Q7</f>
        <v>0</v>
      </c>
      <c r="BE5" s="738">
        <f>'COM HVAC ReCommissioning'!Q7</f>
        <v>0</v>
      </c>
      <c r="BF5" s="276">
        <f>'COM Cool Roof'!Q7</f>
        <v>0</v>
      </c>
      <c r="BG5" s="738">
        <f>'COM HVAC ReCommissioning'!Q7</f>
        <v>0</v>
      </c>
      <c r="BH5" s="738">
        <f>'COM ERV'!Q7</f>
        <v>0</v>
      </c>
      <c r="BI5" s="738">
        <f>'COM School PV'!Q7</f>
        <v>0</v>
      </c>
      <c r="BJ5" s="276">
        <f>'COM PV'!Q7</f>
        <v>0</v>
      </c>
      <c r="BK5" s="277">
        <f t="shared" ref="BK5:BK36" si="6">SUM(AK5:BJ5)</f>
        <v>31.480000000000004</v>
      </c>
      <c r="BL5" s="276">
        <f>+'COM LM (cyc)'!T7</f>
        <v>0</v>
      </c>
      <c r="BM5" s="276">
        <f>+'COM LM (ext)'!T7</f>
        <v>0.69000000000000006</v>
      </c>
      <c r="BN5" s="276">
        <f>+'COM SB Gen'!T7</f>
        <v>6</v>
      </c>
      <c r="BO5" s="276">
        <f>+'COM DMD Response'!Q7</f>
        <v>0</v>
      </c>
      <c r="BP5" s="1106">
        <f t="shared" ref="BP5:BP52" si="7">+BL5+BM5+BN5+BO5</f>
        <v>6.69</v>
      </c>
      <c r="BQ5" s="718">
        <f t="shared" si="1"/>
        <v>38.17</v>
      </c>
      <c r="BS5" s="281" t="s">
        <v>137</v>
      </c>
      <c r="BT5" s="275">
        <f>+'C-I FREE'!U7</f>
        <v>14.75</v>
      </c>
      <c r="BU5" s="276">
        <f>+'C-I Paid'!U7</f>
        <v>0.19</v>
      </c>
      <c r="BV5" s="738">
        <f>+'C-I Mail-In'!U7</f>
        <v>0</v>
      </c>
      <c r="BW5" s="276">
        <f>+'COM Cooling'!U7</f>
        <v>0</v>
      </c>
      <c r="BX5" s="276">
        <f>+'COM Duct'!U7</f>
        <v>0</v>
      </c>
      <c r="BY5" s="738">
        <f>+'COM Bldg Envel'!U7</f>
        <v>0</v>
      </c>
      <c r="BZ5" s="276">
        <f>'COM CI'!U7</f>
        <v>0</v>
      </c>
      <c r="CA5" s="276">
        <f>'COM WI'!U7</f>
        <v>0</v>
      </c>
      <c r="CB5" s="738">
        <f>+'COM EEMotors'!U7</f>
        <v>0</v>
      </c>
      <c r="CC5" s="276">
        <f>+'COM Chillers'!U7</f>
        <v>0</v>
      </c>
      <c r="CD5" s="276">
        <f>+'COM Occ. Sens.'!U7</f>
        <v>0</v>
      </c>
      <c r="CE5" s="276">
        <f>+'COM Ref'!U7</f>
        <v>0</v>
      </c>
      <c r="CF5" s="276">
        <f>+'COM WH'!U7</f>
        <v>0</v>
      </c>
      <c r="CG5" s="738">
        <f>+'COM Lighting'!U7</f>
        <v>1.98</v>
      </c>
      <c r="CH5" s="276">
        <f>'COM Cond. Light'!U7</f>
        <v>0</v>
      </c>
      <c r="CI5" s="276">
        <f>'COM Non Cond. Light'!U7</f>
        <v>0</v>
      </c>
      <c r="CJ5" s="276">
        <f>+'COM CV'!U7</f>
        <v>0.64</v>
      </c>
      <c r="CK5" s="276">
        <f>'COM TES'!U7</f>
        <v>0</v>
      </c>
      <c r="CL5" s="738">
        <f>+'Street Light Conv'!U7</f>
        <v>16</v>
      </c>
      <c r="CM5" s="276">
        <f>'COM ECM'!U7</f>
        <v>0</v>
      </c>
      <c r="CN5" s="738">
        <f>'COM HVAC ReCommissioning'!U7</f>
        <v>0</v>
      </c>
      <c r="CO5" s="276">
        <f>'COM Cool Roof'!U7</f>
        <v>0</v>
      </c>
      <c r="CP5" s="738">
        <f>'COM HVAC ReCommissioning'!U7</f>
        <v>0</v>
      </c>
      <c r="CQ5" s="738">
        <f>'COM ERV'!U7</f>
        <v>0</v>
      </c>
      <c r="CR5" s="276">
        <f>'COM School PV'!U7</f>
        <v>0</v>
      </c>
      <c r="CS5" s="276">
        <f>'COM PV'!U7</f>
        <v>0</v>
      </c>
      <c r="CT5" s="735">
        <f t="shared" ref="CT5:CT32" si="8">SUM(BT5:CS5)-CL5</f>
        <v>17.560000000000002</v>
      </c>
      <c r="CU5" s="741">
        <f>+'COM LM (cyc)'!Z7</f>
        <v>0</v>
      </c>
      <c r="CV5" s="276">
        <f>+'COM LM (ext)'!Z7</f>
        <v>0</v>
      </c>
      <c r="CW5" s="276">
        <f>+'COM SB Gen'!Z7</f>
        <v>0.4</v>
      </c>
      <c r="CX5" s="276">
        <f>+'COM DMD Response'!U7</f>
        <v>0</v>
      </c>
      <c r="CY5" s="277">
        <f t="shared" si="2"/>
        <v>0.4</v>
      </c>
      <c r="CZ5" s="744">
        <f t="shared" si="3"/>
        <v>17.96</v>
      </c>
      <c r="DB5" s="162"/>
    </row>
    <row r="6" spans="1:106" x14ac:dyDescent="0.2">
      <c r="A6" s="269">
        <v>1995</v>
      </c>
      <c r="B6" s="275">
        <f>+'C-I FREE'!M8</f>
        <v>12.730047732696898</v>
      </c>
      <c r="C6" s="276">
        <f>+'C-I Paid'!M8</f>
        <v>0.39418000000000003</v>
      </c>
      <c r="D6" s="738">
        <f>+'C-I Mail-In'!M8</f>
        <v>0</v>
      </c>
      <c r="E6" s="276">
        <f>+'COM Cooling'!M8</f>
        <v>0</v>
      </c>
      <c r="F6" s="276">
        <f>+'COM Duct'!M8</f>
        <v>0</v>
      </c>
      <c r="G6" s="724">
        <f>+'COM Bldg Envel'!M8</f>
        <v>0</v>
      </c>
      <c r="H6" s="276">
        <f>'COM CI'!M8</f>
        <v>0</v>
      </c>
      <c r="I6" s="276">
        <f>'COM WI'!M8</f>
        <v>0</v>
      </c>
      <c r="J6" s="724">
        <f>+'COM EEMotors'!M8</f>
        <v>0</v>
      </c>
      <c r="K6" s="276">
        <f>+'COM Chillers'!M8</f>
        <v>0</v>
      </c>
      <c r="L6" s="276">
        <f>+'COM Occ. Sens.'!M8</f>
        <v>0</v>
      </c>
      <c r="M6" s="276">
        <f>+'COM Ref'!M8</f>
        <v>0</v>
      </c>
      <c r="N6" s="276">
        <f>+'COM WH'!M8</f>
        <v>0</v>
      </c>
      <c r="O6" s="724">
        <f>+'COM Lighting'!M8</f>
        <v>1.7650523560209423</v>
      </c>
      <c r="P6" s="276">
        <f>'COM Cond. Light'!M8</f>
        <v>0</v>
      </c>
      <c r="Q6" s="276">
        <f>'COM Non Cond. Light'!M8</f>
        <v>0</v>
      </c>
      <c r="R6" s="276">
        <f>+'COM CV'!M8</f>
        <v>0.60000000000000009</v>
      </c>
      <c r="S6" s="276">
        <f>'COM TES'!M8</f>
        <v>0</v>
      </c>
      <c r="T6" s="738">
        <f>+'Street Light Conv'!M8</f>
        <v>0</v>
      </c>
      <c r="U6" s="276">
        <f>'COM ECM'!M8</f>
        <v>0</v>
      </c>
      <c r="V6" s="738">
        <f>'COM ECM HVAC'!M8</f>
        <v>0</v>
      </c>
      <c r="W6" s="276">
        <f>'COM Cool Roof'!M8</f>
        <v>0</v>
      </c>
      <c r="X6" s="724">
        <f>'COM HVAC ReCommissioning'!M8</f>
        <v>0</v>
      </c>
      <c r="Y6" s="724">
        <f>'COM ERV'!M8</f>
        <v>0</v>
      </c>
      <c r="Z6" s="724">
        <f>'COM School PV'!M8</f>
        <v>0</v>
      </c>
      <c r="AA6" s="724">
        <f>'COM PV'!M8</f>
        <v>0</v>
      </c>
      <c r="AB6" s="277">
        <f t="shared" si="4"/>
        <v>15.489280088717839</v>
      </c>
      <c r="AC6" s="276">
        <f>+'COM LM (cyc)'!N8</f>
        <v>0</v>
      </c>
      <c r="AD6" s="276">
        <f>+'COM LM (ext)'!N8</f>
        <v>2.7</v>
      </c>
      <c r="AE6" s="276">
        <f>+'COM SB Gen'!N8</f>
        <v>7</v>
      </c>
      <c r="AF6" s="276">
        <f>+'COM DMD Response'!M8</f>
        <v>0</v>
      </c>
      <c r="AG6" s="277">
        <f t="shared" si="5"/>
        <v>9.6999999999999993</v>
      </c>
      <c r="AH6" s="718">
        <f t="shared" si="0"/>
        <v>25.189280088717837</v>
      </c>
      <c r="AJ6" s="748">
        <v>1995</v>
      </c>
      <c r="AK6" s="276">
        <f>+'C-I FREE'!Q8</f>
        <v>31.884803102625302</v>
      </c>
      <c r="AL6" s="276">
        <f>+'C-I Paid'!Q8</f>
        <v>0.91393999999999997</v>
      </c>
      <c r="AM6" s="738">
        <f>+'C-I Mail-In'!Q8</f>
        <v>0</v>
      </c>
      <c r="AN6" s="276">
        <f>+'COM Cooling'!Q8</f>
        <v>0</v>
      </c>
      <c r="AO6" s="276">
        <f>+'COM Duct'!Q8</f>
        <v>0</v>
      </c>
      <c r="AP6" s="738">
        <f>+'COM Bldg Envel'!Q8</f>
        <v>0</v>
      </c>
      <c r="AQ6" s="276">
        <f>'COM CI'!Q8</f>
        <v>0</v>
      </c>
      <c r="AR6" s="276">
        <f>'COM WI'!Q8</f>
        <v>0</v>
      </c>
      <c r="AS6" s="738">
        <f>+'COM EEMotors'!Q8</f>
        <v>0</v>
      </c>
      <c r="AT6" s="276">
        <f>+'COM Chillers'!Q8</f>
        <v>0</v>
      </c>
      <c r="AU6" s="276">
        <f>+'COM Occ. Sens.'!Q8</f>
        <v>0</v>
      </c>
      <c r="AV6" s="276">
        <f>+'COM Ref'!Q8</f>
        <v>0</v>
      </c>
      <c r="AW6" s="276">
        <f>+'COM WH'!Q8</f>
        <v>0</v>
      </c>
      <c r="AX6" s="738">
        <f>+'COM Lighting'!Q8</f>
        <v>0.3142408376963351</v>
      </c>
      <c r="AY6" s="276">
        <f>'COM Cond. Light'!Q8</f>
        <v>0</v>
      </c>
      <c r="AZ6" s="276">
        <f>'COM Non Cond. Light'!Q8</f>
        <v>0</v>
      </c>
      <c r="BA6" s="276">
        <f>+'COM CV'!Q8</f>
        <v>0.15000000000000002</v>
      </c>
      <c r="BB6" s="276">
        <f>'COM TES'!Q8</f>
        <v>0</v>
      </c>
      <c r="BC6" s="738">
        <f>+'Street Light Conv'!Q8</f>
        <v>0</v>
      </c>
      <c r="BD6" s="276">
        <f>'COM ECM'!Q8</f>
        <v>0</v>
      </c>
      <c r="BE6" s="738">
        <f>'COM HVAC ReCommissioning'!Q8</f>
        <v>0</v>
      </c>
      <c r="BF6" s="276">
        <f>'COM Cool Roof'!Q8</f>
        <v>0</v>
      </c>
      <c r="BG6" s="738">
        <f>'COM HVAC ReCommissioning'!Q8</f>
        <v>0</v>
      </c>
      <c r="BH6" s="738">
        <f>'COM ERV'!Q8</f>
        <v>0</v>
      </c>
      <c r="BI6" s="738">
        <f>'COM School PV'!Q8</f>
        <v>0</v>
      </c>
      <c r="BJ6" s="276">
        <f>'COM PV'!Q8</f>
        <v>0</v>
      </c>
      <c r="BK6" s="277">
        <f t="shared" si="6"/>
        <v>33.262983940321632</v>
      </c>
      <c r="BL6" s="276">
        <f>+'COM LM (cyc)'!T8</f>
        <v>0</v>
      </c>
      <c r="BM6" s="276">
        <f>+'COM LM (ext)'!T8</f>
        <v>2.7</v>
      </c>
      <c r="BN6" s="276">
        <f>+'COM SB Gen'!T8</f>
        <v>7</v>
      </c>
      <c r="BO6" s="276">
        <f>+'COM DMD Response'!Q8</f>
        <v>0</v>
      </c>
      <c r="BP6" s="1106">
        <f t="shared" si="7"/>
        <v>9.6999999999999993</v>
      </c>
      <c r="BQ6" s="718">
        <f t="shared" si="1"/>
        <v>42.962983940321635</v>
      </c>
      <c r="BS6" s="269">
        <v>1995</v>
      </c>
      <c r="BT6" s="275">
        <f>+'C-I FREE'!U8</f>
        <v>18.10969570405728</v>
      </c>
      <c r="BU6" s="276">
        <f>+'C-I Paid'!U8</f>
        <v>0.218468</v>
      </c>
      <c r="BV6" s="738">
        <f>+'C-I Mail-In'!U8</f>
        <v>0</v>
      </c>
      <c r="BW6" s="276">
        <f>+'COM Cooling'!U8</f>
        <v>0</v>
      </c>
      <c r="BX6" s="276">
        <f>+'COM Duct'!U8</f>
        <v>0</v>
      </c>
      <c r="BY6" s="738">
        <f>+'COM Bldg Envel'!U8</f>
        <v>0</v>
      </c>
      <c r="BZ6" s="276">
        <f>'COM CI'!U8</f>
        <v>0</v>
      </c>
      <c r="CA6" s="276">
        <f>'COM WI'!U8</f>
        <v>0</v>
      </c>
      <c r="CB6" s="738">
        <f>+'COM EEMotors'!U8</f>
        <v>0</v>
      </c>
      <c r="CC6" s="276">
        <f>+'COM Chillers'!U8</f>
        <v>0</v>
      </c>
      <c r="CD6" s="276">
        <f>+'COM Occ. Sens.'!U8</f>
        <v>0</v>
      </c>
      <c r="CE6" s="276">
        <f>+'COM Ref'!U8</f>
        <v>0</v>
      </c>
      <c r="CF6" s="276">
        <f>+'COM WH'!U8</f>
        <v>0</v>
      </c>
      <c r="CG6" s="738">
        <f>+'COM Lighting'!U8</f>
        <v>5.8635078534031422</v>
      </c>
      <c r="CH6" s="276">
        <f>'COM Cond. Light'!U8</f>
        <v>0</v>
      </c>
      <c r="CI6" s="276">
        <f>'COM Non Cond. Light'!U8</f>
        <v>0</v>
      </c>
      <c r="CJ6" s="276">
        <f>+'COM CV'!U8</f>
        <v>0.94</v>
      </c>
      <c r="CK6" s="276">
        <f>'COM TES'!U8</f>
        <v>0</v>
      </c>
      <c r="CL6" s="738">
        <f>+'Street Light Conv'!U8</f>
        <v>16</v>
      </c>
      <c r="CM6" s="276">
        <f>'COM ECM'!U8</f>
        <v>0</v>
      </c>
      <c r="CN6" s="738">
        <f>'COM HVAC ReCommissioning'!U8</f>
        <v>0</v>
      </c>
      <c r="CO6" s="276">
        <f>'COM Cool Roof'!U8</f>
        <v>0</v>
      </c>
      <c r="CP6" s="738">
        <f>'COM HVAC ReCommissioning'!U8</f>
        <v>0</v>
      </c>
      <c r="CQ6" s="738">
        <f>'COM ERV'!U8</f>
        <v>0</v>
      </c>
      <c r="CR6" s="276">
        <f>'COM School PV'!U8</f>
        <v>0</v>
      </c>
      <c r="CS6" s="276">
        <f>'COM PV'!U8</f>
        <v>0</v>
      </c>
      <c r="CT6" s="735">
        <f t="shared" si="8"/>
        <v>25.131671557460422</v>
      </c>
      <c r="CU6" s="741">
        <f>+'COM LM (cyc)'!Z8</f>
        <v>0</v>
      </c>
      <c r="CV6" s="276">
        <f>+'COM LM (ext)'!Z8</f>
        <v>0</v>
      </c>
      <c r="CW6" s="276">
        <f>+'COM SB Gen'!Z8</f>
        <v>0.7</v>
      </c>
      <c r="CX6" s="276">
        <f>+'COM DMD Response'!U8</f>
        <v>0</v>
      </c>
      <c r="CY6" s="277">
        <f t="shared" si="2"/>
        <v>0.7</v>
      </c>
      <c r="CZ6" s="744">
        <f t="shared" si="3"/>
        <v>25.831671557460421</v>
      </c>
      <c r="DB6" s="162"/>
    </row>
    <row r="7" spans="1:106" x14ac:dyDescent="0.2">
      <c r="A7" s="269">
        <v>1996</v>
      </c>
      <c r="B7" s="275">
        <f>+'C-I FREE'!M9</f>
        <v>12.826247732696897</v>
      </c>
      <c r="C7" s="276">
        <f>+'C-I Paid'!M9</f>
        <v>0.39458000000000004</v>
      </c>
      <c r="D7" s="738">
        <f>+'C-I Mail-In'!M9</f>
        <v>3.0000000000000001E-3</v>
      </c>
      <c r="E7" s="276">
        <f>+'COM Cooling'!M9</f>
        <v>0</v>
      </c>
      <c r="F7" s="276">
        <f>+'COM Duct'!M9</f>
        <v>0</v>
      </c>
      <c r="G7" s="724">
        <f>+'COM Bldg Envel'!M9</f>
        <v>0</v>
      </c>
      <c r="H7" s="276">
        <f>'COM CI'!M9</f>
        <v>0</v>
      </c>
      <c r="I7" s="276">
        <f>'COM WI'!M9</f>
        <v>0</v>
      </c>
      <c r="J7" s="724">
        <f>+'COM EEMotors'!M9</f>
        <v>0</v>
      </c>
      <c r="K7" s="276">
        <f>+'COM Chillers'!M9</f>
        <v>0</v>
      </c>
      <c r="L7" s="276">
        <f>+'COM Occ. Sens.'!M9</f>
        <v>0</v>
      </c>
      <c r="M7" s="276">
        <f>+'COM Ref'!M9</f>
        <v>0</v>
      </c>
      <c r="N7" s="276">
        <f>+'COM WH'!M9</f>
        <v>0</v>
      </c>
      <c r="O7" s="724">
        <f>+'COM Lighting'!M9</f>
        <v>4.8993223560209422</v>
      </c>
      <c r="P7" s="276">
        <f>'COM Cond. Light'!M9</f>
        <v>0</v>
      </c>
      <c r="Q7" s="276">
        <f>'COM Non Cond. Light'!M9</f>
        <v>0</v>
      </c>
      <c r="R7" s="276">
        <f>+'COM CV'!M9</f>
        <v>0.67300000000000004</v>
      </c>
      <c r="S7" s="276">
        <f>'COM TES'!M9</f>
        <v>0</v>
      </c>
      <c r="T7" s="738">
        <f>+'Street Light Conv'!M9</f>
        <v>0</v>
      </c>
      <c r="U7" s="276">
        <f>'COM ECM'!M9</f>
        <v>0</v>
      </c>
      <c r="V7" s="738">
        <f>'COM ECM HVAC'!M9</f>
        <v>0</v>
      </c>
      <c r="W7" s="276">
        <f>'COM Cool Roof'!M9</f>
        <v>0</v>
      </c>
      <c r="X7" s="724">
        <f>'COM HVAC ReCommissioning'!M9</f>
        <v>0</v>
      </c>
      <c r="Y7" s="724">
        <f>'COM ERV'!M9</f>
        <v>0</v>
      </c>
      <c r="Z7" s="724">
        <f>'COM School PV'!M9</f>
        <v>0</v>
      </c>
      <c r="AA7" s="724">
        <f>'COM PV'!M9</f>
        <v>0</v>
      </c>
      <c r="AB7" s="277">
        <f t="shared" si="4"/>
        <v>18.796150088717837</v>
      </c>
      <c r="AC7" s="276">
        <f>+'COM LM (cyc)'!N9</f>
        <v>0</v>
      </c>
      <c r="AD7" s="276">
        <f>+'COM LM (ext)'!N9</f>
        <v>2.7</v>
      </c>
      <c r="AE7" s="276">
        <f>+'COM SB Gen'!N9</f>
        <v>10.199999999999999</v>
      </c>
      <c r="AF7" s="276">
        <f>+'COM DMD Response'!M9</f>
        <v>0</v>
      </c>
      <c r="AG7" s="277">
        <f t="shared" si="5"/>
        <v>12.899999999999999</v>
      </c>
      <c r="AH7" s="718">
        <f t="shared" si="0"/>
        <v>31.696150088717836</v>
      </c>
      <c r="AJ7" s="748">
        <v>1996</v>
      </c>
      <c r="AK7" s="276">
        <f>+'C-I FREE'!Q9</f>
        <v>31.985363102625303</v>
      </c>
      <c r="AL7" s="276">
        <f>+'C-I Paid'!Q9</f>
        <v>0.91442000000000001</v>
      </c>
      <c r="AM7" s="738">
        <f>+'C-I Mail-In'!Q9</f>
        <v>0</v>
      </c>
      <c r="AN7" s="276">
        <f>+'COM Cooling'!Q9</f>
        <v>0</v>
      </c>
      <c r="AO7" s="276">
        <f>+'COM Duct'!Q9</f>
        <v>0</v>
      </c>
      <c r="AP7" s="738">
        <f>+'COM Bldg Envel'!Q9</f>
        <v>0</v>
      </c>
      <c r="AQ7" s="276">
        <f>'COM CI'!Q9</f>
        <v>0</v>
      </c>
      <c r="AR7" s="276">
        <f>'COM WI'!Q9</f>
        <v>0</v>
      </c>
      <c r="AS7" s="738">
        <f>+'COM EEMotors'!Q9</f>
        <v>0</v>
      </c>
      <c r="AT7" s="276">
        <f>+'COM Chillers'!Q9</f>
        <v>0</v>
      </c>
      <c r="AU7" s="276">
        <f>+'COM Occ. Sens.'!Q9</f>
        <v>0</v>
      </c>
      <c r="AV7" s="276">
        <f>+'COM Ref'!Q9</f>
        <v>0</v>
      </c>
      <c r="AW7" s="276">
        <f>+'COM WH'!Q9</f>
        <v>0</v>
      </c>
      <c r="AX7" s="738">
        <f>+'COM Lighting'!Q9</f>
        <v>1.368560837696335</v>
      </c>
      <c r="AY7" s="276">
        <f>'COM Cond. Light'!Q9</f>
        <v>0</v>
      </c>
      <c r="AZ7" s="276">
        <f>'COM Non Cond. Light'!Q9</f>
        <v>0</v>
      </c>
      <c r="BA7" s="276">
        <f>+'COM CV'!Q9</f>
        <v>0.15000000000000002</v>
      </c>
      <c r="BB7" s="276">
        <f>'COM TES'!Q9</f>
        <v>0</v>
      </c>
      <c r="BC7" s="738">
        <f>+'Street Light Conv'!Q9</f>
        <v>0</v>
      </c>
      <c r="BD7" s="276">
        <f>'COM ECM'!Q9</f>
        <v>0</v>
      </c>
      <c r="BE7" s="738">
        <f>'COM HVAC ReCommissioning'!Q9</f>
        <v>0</v>
      </c>
      <c r="BF7" s="276">
        <f>'COM Cool Roof'!Q9</f>
        <v>0</v>
      </c>
      <c r="BG7" s="738">
        <f>'COM HVAC ReCommissioning'!Q9</f>
        <v>0</v>
      </c>
      <c r="BH7" s="738">
        <f>'COM ERV'!Q9</f>
        <v>0</v>
      </c>
      <c r="BI7" s="738">
        <f>'COM School PV'!Q9</f>
        <v>0</v>
      </c>
      <c r="BJ7" s="276">
        <f>'COM PV'!Q9</f>
        <v>0</v>
      </c>
      <c r="BK7" s="277">
        <f t="shared" si="6"/>
        <v>34.418343940321641</v>
      </c>
      <c r="BL7" s="276">
        <f>+'COM LM (cyc)'!T9</f>
        <v>0</v>
      </c>
      <c r="BM7" s="276">
        <f>+'COM LM (ext)'!T9</f>
        <v>2.7</v>
      </c>
      <c r="BN7" s="276">
        <f>+'COM SB Gen'!T9</f>
        <v>7</v>
      </c>
      <c r="BO7" s="276">
        <f>+'COM DMD Response'!Q9</f>
        <v>0</v>
      </c>
      <c r="BP7" s="1106">
        <f t="shared" si="7"/>
        <v>9.6999999999999993</v>
      </c>
      <c r="BQ7" s="718">
        <f t="shared" si="1"/>
        <v>44.118343940321637</v>
      </c>
      <c r="BS7" s="269">
        <v>1996</v>
      </c>
      <c r="BT7" s="275">
        <f>+'C-I FREE'!U9</f>
        <v>18.519748204057279</v>
      </c>
      <c r="BU7" s="276">
        <f>+'C-I Paid'!U9</f>
        <v>0.22017300000000001</v>
      </c>
      <c r="BV7" s="738">
        <f>+'C-I Mail-In'!U9</f>
        <v>1.2800000000000001E-2</v>
      </c>
      <c r="BW7" s="276">
        <f>+'COM Cooling'!U9</f>
        <v>0</v>
      </c>
      <c r="BX7" s="276">
        <f>+'COM Duct'!U9</f>
        <v>0</v>
      </c>
      <c r="BY7" s="738">
        <f>+'COM Bldg Envel'!U9</f>
        <v>0</v>
      </c>
      <c r="BZ7" s="276">
        <f>'COM CI'!U9</f>
        <v>0</v>
      </c>
      <c r="CA7" s="276">
        <f>'COM WI'!U9</f>
        <v>0</v>
      </c>
      <c r="CB7" s="738">
        <f>+'COM EEMotors'!U9</f>
        <v>0</v>
      </c>
      <c r="CC7" s="276">
        <f>+'COM Chillers'!U9</f>
        <v>0</v>
      </c>
      <c r="CD7" s="276">
        <f>+'COM Occ. Sens.'!U9</f>
        <v>0</v>
      </c>
      <c r="CE7" s="276">
        <f>+'COM Ref'!U9</f>
        <v>0</v>
      </c>
      <c r="CF7" s="276">
        <f>+'COM WH'!U9</f>
        <v>0</v>
      </c>
      <c r="CG7" s="738">
        <f>+'COM Lighting'!U9</f>
        <v>20.181467853403142</v>
      </c>
      <c r="CH7" s="276">
        <f>'COM Cond. Light'!U9</f>
        <v>0</v>
      </c>
      <c r="CI7" s="276">
        <f>'COM Non Cond. Light'!U9</f>
        <v>0</v>
      </c>
      <c r="CJ7" s="276">
        <f>+'COM CV'!U9</f>
        <v>1.262035</v>
      </c>
      <c r="CK7" s="276">
        <f>'COM TES'!U9</f>
        <v>0</v>
      </c>
      <c r="CL7" s="738">
        <f>+'Street Light Conv'!U9</f>
        <v>16</v>
      </c>
      <c r="CM7" s="276">
        <f>'COM ECM'!U9</f>
        <v>0</v>
      </c>
      <c r="CN7" s="738">
        <f>'COM HVAC ReCommissioning'!U9</f>
        <v>0</v>
      </c>
      <c r="CO7" s="276">
        <f>'COM Cool Roof'!U9</f>
        <v>0</v>
      </c>
      <c r="CP7" s="738">
        <f>'COM HVAC ReCommissioning'!U9</f>
        <v>0</v>
      </c>
      <c r="CQ7" s="738">
        <f>'COM ERV'!U9</f>
        <v>0</v>
      </c>
      <c r="CR7" s="276">
        <f>'COM School PV'!U9</f>
        <v>0</v>
      </c>
      <c r="CS7" s="276">
        <f>'COM PV'!U9</f>
        <v>0</v>
      </c>
      <c r="CT7" s="735">
        <f t="shared" si="8"/>
        <v>40.196224057460412</v>
      </c>
      <c r="CU7" s="741">
        <f>+'COM LM (cyc)'!Z9</f>
        <v>0</v>
      </c>
      <c r="CV7" s="276">
        <f>+'COM LM (ext)'!Z9</f>
        <v>0</v>
      </c>
      <c r="CW7" s="276">
        <f>+'COM SB Gen'!Z9</f>
        <v>0.88666666666666649</v>
      </c>
      <c r="CX7" s="276">
        <f>+'COM DMD Response'!U9</f>
        <v>0</v>
      </c>
      <c r="CY7" s="277">
        <f t="shared" si="2"/>
        <v>0.88666666666666649</v>
      </c>
      <c r="CZ7" s="744">
        <f t="shared" si="3"/>
        <v>41.082890724127076</v>
      </c>
      <c r="DB7" s="162"/>
    </row>
    <row r="8" spans="1:106" x14ac:dyDescent="0.2">
      <c r="A8" s="269">
        <v>1997</v>
      </c>
      <c r="B8" s="275">
        <f>+'C-I FREE'!M10</f>
        <v>12.865927732696898</v>
      </c>
      <c r="C8" s="276">
        <f>+'C-I Paid'!M10</f>
        <v>0.39458000000000004</v>
      </c>
      <c r="D8" s="738">
        <f>+'C-I Mail-In'!M10</f>
        <v>2.3189999999999999E-2</v>
      </c>
      <c r="E8" s="276">
        <f>+'COM Cooling'!M10</f>
        <v>0</v>
      </c>
      <c r="F8" s="276">
        <f>+'COM Duct'!M10</f>
        <v>0</v>
      </c>
      <c r="G8" s="724">
        <f>+'COM Bldg Envel'!M10</f>
        <v>0</v>
      </c>
      <c r="H8" s="276">
        <f>'COM CI'!M10</f>
        <v>0</v>
      </c>
      <c r="I8" s="276">
        <f>'COM WI'!M10</f>
        <v>0</v>
      </c>
      <c r="J8" s="724">
        <f>+'COM EEMotors'!M10</f>
        <v>0</v>
      </c>
      <c r="K8" s="276">
        <f>+'COM Chillers'!M10</f>
        <v>0</v>
      </c>
      <c r="L8" s="276">
        <f>+'COM Occ. Sens.'!M10</f>
        <v>0</v>
      </c>
      <c r="M8" s="276">
        <f>+'COM Ref'!M10</f>
        <v>0</v>
      </c>
      <c r="N8" s="276">
        <f>+'COM WH'!M10</f>
        <v>0</v>
      </c>
      <c r="O8" s="724">
        <f>+'COM Lighting'!M10</f>
        <v>9.1014924379881563</v>
      </c>
      <c r="P8" s="276">
        <f>'COM Cond. Light'!M10</f>
        <v>0</v>
      </c>
      <c r="Q8" s="276">
        <f>'COM Non Cond. Light'!M10</f>
        <v>0</v>
      </c>
      <c r="R8" s="276">
        <f>+'COM CV'!M10</f>
        <v>0.67300000000000004</v>
      </c>
      <c r="S8" s="276">
        <f>'COM TES'!M10</f>
        <v>0</v>
      </c>
      <c r="T8" s="738">
        <f>+'Street Light Conv'!M10</f>
        <v>0</v>
      </c>
      <c r="U8" s="276">
        <f>'COM ECM'!M10</f>
        <v>0</v>
      </c>
      <c r="V8" s="738">
        <f>'COM ECM HVAC'!M10</f>
        <v>0</v>
      </c>
      <c r="W8" s="276">
        <f>'COM Cool Roof'!M10</f>
        <v>0</v>
      </c>
      <c r="X8" s="724">
        <f>'COM HVAC ReCommissioning'!M10</f>
        <v>0</v>
      </c>
      <c r="Y8" s="724">
        <f>'COM ERV'!M10</f>
        <v>0</v>
      </c>
      <c r="Z8" s="724">
        <f>'COM School PV'!M10</f>
        <v>0</v>
      </c>
      <c r="AA8" s="724">
        <f>'COM PV'!M10</f>
        <v>0</v>
      </c>
      <c r="AB8" s="277">
        <f t="shared" si="4"/>
        <v>23.058190170685052</v>
      </c>
      <c r="AC8" s="276">
        <f>+'COM LM (cyc)'!N10</f>
        <v>0</v>
      </c>
      <c r="AD8" s="276">
        <f>+'COM LM (ext)'!N10</f>
        <v>2.7</v>
      </c>
      <c r="AE8" s="276">
        <f>+'COM SB Gen'!N10</f>
        <v>17.3</v>
      </c>
      <c r="AF8" s="276">
        <f>+'COM DMD Response'!M10</f>
        <v>0</v>
      </c>
      <c r="AG8" s="277">
        <f t="shared" si="5"/>
        <v>20</v>
      </c>
      <c r="AH8" s="718">
        <f t="shared" si="0"/>
        <v>43.058190170685052</v>
      </c>
      <c r="AJ8" s="748">
        <v>1997</v>
      </c>
      <c r="AK8" s="276">
        <f>+'C-I FREE'!Q10</f>
        <v>32.029103102625307</v>
      </c>
      <c r="AL8" s="276">
        <f>+'C-I Paid'!Q10</f>
        <v>0.91442000000000001</v>
      </c>
      <c r="AM8" s="738">
        <f>+'C-I Mail-In'!Q10</f>
        <v>5.0000000000000001E-3</v>
      </c>
      <c r="AN8" s="276">
        <f>+'COM Cooling'!Q10</f>
        <v>0</v>
      </c>
      <c r="AO8" s="276">
        <f>+'COM Duct'!Q10</f>
        <v>0</v>
      </c>
      <c r="AP8" s="738">
        <f>+'COM Bldg Envel'!Q10</f>
        <v>0</v>
      </c>
      <c r="AQ8" s="276">
        <f>'COM CI'!Q10</f>
        <v>0</v>
      </c>
      <c r="AR8" s="276">
        <f>'COM WI'!Q10</f>
        <v>0</v>
      </c>
      <c r="AS8" s="738">
        <f>+'COM EEMotors'!Q10</f>
        <v>0</v>
      </c>
      <c r="AT8" s="276">
        <f>+'COM Chillers'!Q10</f>
        <v>0</v>
      </c>
      <c r="AU8" s="276">
        <f>+'COM Occ. Sens.'!Q10</f>
        <v>0</v>
      </c>
      <c r="AV8" s="276">
        <f>+'COM Ref'!Q10</f>
        <v>0</v>
      </c>
      <c r="AW8" s="276">
        <f>+'COM WH'!Q10</f>
        <v>0</v>
      </c>
      <c r="AX8" s="738">
        <f>+'COM Lighting'!Q10</f>
        <v>3.1898868213028919</v>
      </c>
      <c r="AY8" s="276">
        <f>'COM Cond. Light'!Q10</f>
        <v>0</v>
      </c>
      <c r="AZ8" s="276">
        <f>'COM Non Cond. Light'!Q10</f>
        <v>0</v>
      </c>
      <c r="BA8" s="276">
        <f>+'COM CV'!Q10</f>
        <v>0.15000000000000002</v>
      </c>
      <c r="BB8" s="276">
        <f>'COM TES'!Q10</f>
        <v>0</v>
      </c>
      <c r="BC8" s="738">
        <f>+'Street Light Conv'!Q10</f>
        <v>0</v>
      </c>
      <c r="BD8" s="276">
        <f>'COM ECM'!Q10</f>
        <v>0</v>
      </c>
      <c r="BE8" s="738">
        <f>'COM HVAC ReCommissioning'!Q10</f>
        <v>0</v>
      </c>
      <c r="BF8" s="276">
        <f>'COM Cool Roof'!Q10</f>
        <v>0</v>
      </c>
      <c r="BG8" s="738">
        <f>'COM HVAC ReCommissioning'!Q10</f>
        <v>0</v>
      </c>
      <c r="BH8" s="738">
        <f>'COM ERV'!Q10</f>
        <v>0</v>
      </c>
      <c r="BI8" s="738">
        <f>'COM School PV'!Q10</f>
        <v>0</v>
      </c>
      <c r="BJ8" s="276">
        <f>'COM PV'!Q10</f>
        <v>0</v>
      </c>
      <c r="BK8" s="277">
        <f t="shared" si="6"/>
        <v>36.288409923928199</v>
      </c>
      <c r="BL8" s="276">
        <f>+'COM LM (cyc)'!T10</f>
        <v>0</v>
      </c>
      <c r="BM8" s="276">
        <f>+'COM LM (ext)'!T10</f>
        <v>2.7</v>
      </c>
      <c r="BN8" s="276">
        <f>+'COM SB Gen'!T10</f>
        <v>17.3</v>
      </c>
      <c r="BO8" s="276">
        <f>+'COM DMD Response'!Q10</f>
        <v>0</v>
      </c>
      <c r="BP8" s="1106">
        <f t="shared" si="7"/>
        <v>20</v>
      </c>
      <c r="BQ8" s="718">
        <f t="shared" si="1"/>
        <v>56.288409923928199</v>
      </c>
      <c r="BS8" s="269">
        <v>1997</v>
      </c>
      <c r="BT8" s="275">
        <f>+'C-I FREE'!U10</f>
        <v>18.688884204057281</v>
      </c>
      <c r="BU8" s="276">
        <f>+'C-I Paid'!U10</f>
        <v>0.22017300000000001</v>
      </c>
      <c r="BV8" s="738">
        <f>+'C-I Mail-In'!U10</f>
        <v>9.8944000000000004E-2</v>
      </c>
      <c r="BW8" s="276">
        <f>+'COM Cooling'!U10</f>
        <v>0</v>
      </c>
      <c r="BX8" s="276">
        <f>+'COM Duct'!U10</f>
        <v>0</v>
      </c>
      <c r="BY8" s="738">
        <f>+'COM Bldg Envel'!U10</f>
        <v>0</v>
      </c>
      <c r="BZ8" s="276">
        <f>'COM CI'!U10</f>
        <v>0</v>
      </c>
      <c r="CA8" s="276">
        <f>'COM WI'!U10</f>
        <v>0</v>
      </c>
      <c r="CB8" s="738">
        <f>+'COM EEMotors'!U10</f>
        <v>0</v>
      </c>
      <c r="CC8" s="276">
        <f>+'COM Chillers'!U10</f>
        <v>0</v>
      </c>
      <c r="CD8" s="276">
        <f>+'COM Occ. Sens.'!U10</f>
        <v>0</v>
      </c>
      <c r="CE8" s="276">
        <f>+'COM Ref'!U10</f>
        <v>0</v>
      </c>
      <c r="CF8" s="276">
        <f>+'COM WH'!U10</f>
        <v>0</v>
      </c>
      <c r="CG8" s="738">
        <f>+'COM Lighting'!U10</f>
        <v>39.314747976353956</v>
      </c>
      <c r="CH8" s="276">
        <f>'COM Cond. Light'!U10</f>
        <v>0</v>
      </c>
      <c r="CI8" s="276">
        <f>'COM Non Cond. Light'!U10</f>
        <v>0</v>
      </c>
      <c r="CJ8" s="276">
        <f>+'COM CV'!U10</f>
        <v>1.262035</v>
      </c>
      <c r="CK8" s="276">
        <f>'COM TES'!U10</f>
        <v>0</v>
      </c>
      <c r="CL8" s="738">
        <f>+'Street Light Conv'!U10</f>
        <v>16</v>
      </c>
      <c r="CM8" s="276">
        <f>'COM ECM'!U10</f>
        <v>0</v>
      </c>
      <c r="CN8" s="738">
        <f>'COM HVAC ReCommissioning'!U10</f>
        <v>0</v>
      </c>
      <c r="CO8" s="276">
        <f>'COM Cool Roof'!U10</f>
        <v>0</v>
      </c>
      <c r="CP8" s="738">
        <f>'COM HVAC ReCommissioning'!U10</f>
        <v>0</v>
      </c>
      <c r="CQ8" s="738">
        <f>'COM ERV'!U10</f>
        <v>0</v>
      </c>
      <c r="CR8" s="276">
        <f>'COM School PV'!U10</f>
        <v>0</v>
      </c>
      <c r="CS8" s="276">
        <f>'COM PV'!U10</f>
        <v>0</v>
      </c>
      <c r="CT8" s="735">
        <f t="shared" si="8"/>
        <v>59.584784180411233</v>
      </c>
      <c r="CU8" s="741">
        <f>+'COM LM (cyc)'!Z10</f>
        <v>0</v>
      </c>
      <c r="CV8" s="276">
        <f>+'COM LM (ext)'!Z10</f>
        <v>0</v>
      </c>
      <c r="CW8" s="276">
        <f>+'COM SB Gen'!Z10</f>
        <v>1.73</v>
      </c>
      <c r="CX8" s="276">
        <f>+'COM DMD Response'!U10</f>
        <v>0</v>
      </c>
      <c r="CY8" s="277">
        <f t="shared" si="2"/>
        <v>1.73</v>
      </c>
      <c r="CZ8" s="744">
        <f t="shared" si="3"/>
        <v>61.31478418041123</v>
      </c>
      <c r="DB8" s="162"/>
    </row>
    <row r="9" spans="1:106" x14ac:dyDescent="0.2">
      <c r="A9" s="269">
        <v>1998</v>
      </c>
      <c r="B9" s="275">
        <f>+'C-I FREE'!M11</f>
        <v>12.886807732696898</v>
      </c>
      <c r="C9" s="276">
        <f>+'C-I Paid'!M11</f>
        <v>0.39458000000000004</v>
      </c>
      <c r="D9" s="738">
        <f>+'C-I Mail-In'!M11</f>
        <v>5.6429999999999994E-2</v>
      </c>
      <c r="E9" s="276">
        <f>+'COM Cooling'!M11</f>
        <v>0</v>
      </c>
      <c r="F9" s="276">
        <f>+'COM Duct'!M11</f>
        <v>0</v>
      </c>
      <c r="G9" s="724">
        <f>+'COM Bldg Envel'!M11</f>
        <v>0</v>
      </c>
      <c r="H9" s="276">
        <f>'COM CI'!M11</f>
        <v>0</v>
      </c>
      <c r="I9" s="276">
        <f>'COM WI'!M11</f>
        <v>0</v>
      </c>
      <c r="J9" s="724">
        <f>+'COM EEMotors'!M11</f>
        <v>0</v>
      </c>
      <c r="K9" s="276">
        <f>+'COM Chillers'!M11</f>
        <v>0</v>
      </c>
      <c r="L9" s="276">
        <f>+'COM Occ. Sens.'!M11</f>
        <v>0</v>
      </c>
      <c r="M9" s="276">
        <f>+'COM Ref'!M11</f>
        <v>0</v>
      </c>
      <c r="N9" s="276">
        <f>+'COM WH'!M11</f>
        <v>0</v>
      </c>
      <c r="O9" s="724">
        <f>+'COM Lighting'!M11</f>
        <v>12.114512437988157</v>
      </c>
      <c r="P9" s="276">
        <f>'COM Cond. Light'!M11</f>
        <v>0</v>
      </c>
      <c r="Q9" s="276">
        <f>'COM Non Cond. Light'!M11</f>
        <v>0</v>
      </c>
      <c r="R9" s="276">
        <f>+'COM CV'!M11</f>
        <v>0.69137999999999999</v>
      </c>
      <c r="S9" s="276">
        <f>'COM TES'!M11</f>
        <v>0</v>
      </c>
      <c r="T9" s="738">
        <f>+'Street Light Conv'!M11</f>
        <v>0</v>
      </c>
      <c r="U9" s="276">
        <f>'COM ECM'!M11</f>
        <v>0</v>
      </c>
      <c r="V9" s="738">
        <f>'COM ECM HVAC'!M11</f>
        <v>0</v>
      </c>
      <c r="W9" s="276">
        <f>'COM Cool Roof'!M11</f>
        <v>0</v>
      </c>
      <c r="X9" s="724">
        <f>'COM HVAC ReCommissioning'!M11</f>
        <v>0</v>
      </c>
      <c r="Y9" s="724">
        <f>'COM ERV'!M11</f>
        <v>0</v>
      </c>
      <c r="Z9" s="724">
        <f>'COM School PV'!M11</f>
        <v>0</v>
      </c>
      <c r="AA9" s="724">
        <f>'COM PV'!M11</f>
        <v>0</v>
      </c>
      <c r="AB9" s="277">
        <f t="shared" si="4"/>
        <v>26.143710170685054</v>
      </c>
      <c r="AC9" s="276">
        <f>+'COM LM (cyc)'!N11</f>
        <v>0</v>
      </c>
      <c r="AD9" s="276">
        <f>+'COM LM (ext)'!N11</f>
        <v>2.7</v>
      </c>
      <c r="AE9" s="276">
        <f>+'COM SB Gen'!N11</f>
        <v>17.3</v>
      </c>
      <c r="AF9" s="276">
        <f>+'COM DMD Response'!M11</f>
        <v>0</v>
      </c>
      <c r="AG9" s="277">
        <f t="shared" si="5"/>
        <v>20</v>
      </c>
      <c r="AH9" s="718">
        <f t="shared" si="0"/>
        <v>46.143710170685054</v>
      </c>
      <c r="AJ9" s="748">
        <v>1998</v>
      </c>
      <c r="AK9" s="276">
        <f>+'C-I FREE'!Q11</f>
        <v>32.044883102625306</v>
      </c>
      <c r="AL9" s="276">
        <f>+'C-I Paid'!Q11</f>
        <v>0.91442000000000001</v>
      </c>
      <c r="AM9" s="738">
        <f>+'C-I Mail-In'!Q11</f>
        <v>3.3649999999999999E-2</v>
      </c>
      <c r="AN9" s="276">
        <f>+'COM Cooling'!Q11</f>
        <v>0</v>
      </c>
      <c r="AO9" s="276">
        <f>+'COM Duct'!Q11</f>
        <v>0</v>
      </c>
      <c r="AP9" s="738">
        <f>+'COM Bldg Envel'!Q11</f>
        <v>0</v>
      </c>
      <c r="AQ9" s="276">
        <f>'COM CI'!Q11</f>
        <v>0</v>
      </c>
      <c r="AR9" s="276">
        <f>'COM WI'!Q11</f>
        <v>0</v>
      </c>
      <c r="AS9" s="738">
        <f>+'COM EEMotors'!Q11</f>
        <v>0</v>
      </c>
      <c r="AT9" s="276">
        <f>+'COM Chillers'!Q11</f>
        <v>0</v>
      </c>
      <c r="AU9" s="276">
        <f>+'COM Occ. Sens.'!Q11</f>
        <v>0</v>
      </c>
      <c r="AV9" s="276">
        <f>+'COM Ref'!Q11</f>
        <v>0</v>
      </c>
      <c r="AW9" s="276">
        <f>+'COM WH'!Q11</f>
        <v>0</v>
      </c>
      <c r="AX9" s="738">
        <f>+'COM Lighting'!Q11</f>
        <v>4.3086268213028918</v>
      </c>
      <c r="AY9" s="276">
        <f>'COM Cond. Light'!Q11</f>
        <v>0</v>
      </c>
      <c r="AZ9" s="276">
        <f>'COM Non Cond. Light'!Q11</f>
        <v>0</v>
      </c>
      <c r="BA9" s="276">
        <f>+'COM CV'!Q11</f>
        <v>0.15000000000000002</v>
      </c>
      <c r="BB9" s="276">
        <f>'COM TES'!Q11</f>
        <v>0</v>
      </c>
      <c r="BC9" s="738">
        <f>+'Street Light Conv'!Q11</f>
        <v>0</v>
      </c>
      <c r="BD9" s="276">
        <f>'COM ECM'!Q11</f>
        <v>0</v>
      </c>
      <c r="BE9" s="738">
        <f>'COM HVAC ReCommissioning'!Q11</f>
        <v>0</v>
      </c>
      <c r="BF9" s="276">
        <f>'COM Cool Roof'!Q11</f>
        <v>0</v>
      </c>
      <c r="BG9" s="738">
        <f>'COM HVAC ReCommissioning'!Q11</f>
        <v>0</v>
      </c>
      <c r="BH9" s="738">
        <f>'COM ERV'!Q11</f>
        <v>0</v>
      </c>
      <c r="BI9" s="738">
        <f>'COM School PV'!Q11</f>
        <v>0</v>
      </c>
      <c r="BJ9" s="276">
        <f>'COM PV'!Q11</f>
        <v>0</v>
      </c>
      <c r="BK9" s="277">
        <f t="shared" si="6"/>
        <v>37.4515799239282</v>
      </c>
      <c r="BL9" s="276">
        <f>+'COM LM (cyc)'!T11</f>
        <v>0</v>
      </c>
      <c r="BM9" s="276">
        <f>+'COM LM (ext)'!T11</f>
        <v>2.7</v>
      </c>
      <c r="BN9" s="276">
        <f>+'COM SB Gen'!T11</f>
        <v>17.3</v>
      </c>
      <c r="BO9" s="276">
        <f>+'COM DMD Response'!Q11</f>
        <v>0</v>
      </c>
      <c r="BP9" s="1106">
        <f t="shared" si="7"/>
        <v>20</v>
      </c>
      <c r="BQ9" s="718">
        <f t="shared" si="1"/>
        <v>57.4515799239282</v>
      </c>
      <c r="BS9" s="269">
        <v>1998</v>
      </c>
      <c r="BT9" s="275">
        <f>+'C-I FREE'!U11</f>
        <v>18.777885204057281</v>
      </c>
      <c r="BU9" s="276">
        <f>+'C-I Paid'!U11</f>
        <v>0.22017300000000001</v>
      </c>
      <c r="BV9" s="738">
        <f>+'C-I Mail-In'!U11</f>
        <v>0.24076800000000001</v>
      </c>
      <c r="BW9" s="276">
        <f>+'COM Cooling'!U11</f>
        <v>0</v>
      </c>
      <c r="BX9" s="276">
        <f>+'COM Duct'!U11</f>
        <v>0</v>
      </c>
      <c r="BY9" s="738">
        <f>+'COM Bldg Envel'!U11</f>
        <v>0</v>
      </c>
      <c r="BZ9" s="276">
        <f>'COM CI'!U11</f>
        <v>0</v>
      </c>
      <c r="CA9" s="276">
        <f>'COM WI'!U11</f>
        <v>0</v>
      </c>
      <c r="CB9" s="738">
        <f>+'COM EEMotors'!U11</f>
        <v>0</v>
      </c>
      <c r="CC9" s="276">
        <f>+'COM Chillers'!U11</f>
        <v>0</v>
      </c>
      <c r="CD9" s="276">
        <f>+'COM Occ. Sens.'!U11</f>
        <v>0</v>
      </c>
      <c r="CE9" s="276">
        <f>+'COM Ref'!U11</f>
        <v>0</v>
      </c>
      <c r="CF9" s="276">
        <f>+'COM WH'!U11</f>
        <v>0</v>
      </c>
      <c r="CG9" s="738">
        <f>+'COM Lighting'!U11</f>
        <v>53.186495976353953</v>
      </c>
      <c r="CH9" s="276">
        <f>'COM Cond. Light'!U11</f>
        <v>0</v>
      </c>
      <c r="CI9" s="276">
        <f>'COM Non Cond. Light'!U11</f>
        <v>0</v>
      </c>
      <c r="CJ9" s="276">
        <f>+'COM CV'!U11</f>
        <v>1.3179784999999999</v>
      </c>
      <c r="CK9" s="276">
        <f>'COM TES'!U11</f>
        <v>0</v>
      </c>
      <c r="CL9" s="738">
        <f>+'Street Light Conv'!U11</f>
        <v>16</v>
      </c>
      <c r="CM9" s="276">
        <f>'COM ECM'!U11</f>
        <v>0</v>
      </c>
      <c r="CN9" s="738">
        <f>'COM HVAC ReCommissioning'!U11</f>
        <v>0</v>
      </c>
      <c r="CO9" s="276">
        <f>'COM Cool Roof'!U11</f>
        <v>0</v>
      </c>
      <c r="CP9" s="738">
        <f>'COM HVAC ReCommissioning'!U11</f>
        <v>0</v>
      </c>
      <c r="CQ9" s="738">
        <f>'COM ERV'!U11</f>
        <v>0</v>
      </c>
      <c r="CR9" s="276">
        <f>'COM School PV'!U11</f>
        <v>0</v>
      </c>
      <c r="CS9" s="276">
        <f>'COM PV'!U11</f>
        <v>0</v>
      </c>
      <c r="CT9" s="735">
        <f t="shared" si="8"/>
        <v>73.743300680411224</v>
      </c>
      <c r="CU9" s="741">
        <f>+'COM LM (cyc)'!Z11</f>
        <v>0</v>
      </c>
      <c r="CV9" s="276">
        <f>+'COM LM (ext)'!Z11</f>
        <v>0</v>
      </c>
      <c r="CW9" s="276">
        <f>+'COM SB Gen'!Z11</f>
        <v>1.73</v>
      </c>
      <c r="CX9" s="276">
        <f>+'COM DMD Response'!U11</f>
        <v>0</v>
      </c>
      <c r="CY9" s="277">
        <f t="shared" si="2"/>
        <v>1.73</v>
      </c>
      <c r="CZ9" s="744">
        <f t="shared" si="3"/>
        <v>75.473300680411228</v>
      </c>
      <c r="DB9" s="162"/>
    </row>
    <row r="10" spans="1:106" x14ac:dyDescent="0.2">
      <c r="A10" s="269">
        <v>1999</v>
      </c>
      <c r="B10" s="275">
        <f>+'C-I FREE'!M12</f>
        <v>12.914407732696898</v>
      </c>
      <c r="C10" s="276">
        <f>+'C-I Paid'!M12</f>
        <v>0.39458000000000004</v>
      </c>
      <c r="D10" s="738">
        <f>+'C-I Mail-In'!M12</f>
        <v>7.9649999999999999E-2</v>
      </c>
      <c r="E10" s="276">
        <f>+'COM Cooling'!M12</f>
        <v>0</v>
      </c>
      <c r="F10" s="276">
        <f>+'COM Duct'!M12</f>
        <v>0</v>
      </c>
      <c r="G10" s="724">
        <f>+'COM Bldg Envel'!M12</f>
        <v>0</v>
      </c>
      <c r="H10" s="276">
        <f>'COM CI'!M12</f>
        <v>0</v>
      </c>
      <c r="I10" s="276">
        <f>'COM WI'!M12</f>
        <v>0</v>
      </c>
      <c r="J10" s="724">
        <f>+'COM EEMotors'!M12</f>
        <v>0</v>
      </c>
      <c r="K10" s="276">
        <f>+'COM Chillers'!M12</f>
        <v>0</v>
      </c>
      <c r="L10" s="276">
        <f>+'COM Occ. Sens.'!M12</f>
        <v>0</v>
      </c>
      <c r="M10" s="276">
        <f>+'COM Ref'!M12</f>
        <v>0</v>
      </c>
      <c r="N10" s="276">
        <f>+'COM WH'!M12</f>
        <v>0</v>
      </c>
      <c r="O10" s="724">
        <f>+'COM Lighting'!M12</f>
        <v>15.510652437988156</v>
      </c>
      <c r="P10" s="276">
        <f>'COM Cond. Light'!M12</f>
        <v>0</v>
      </c>
      <c r="Q10" s="276">
        <f>'COM Non Cond. Light'!M12</f>
        <v>0</v>
      </c>
      <c r="R10" s="276">
        <f>+'COM CV'!M12</f>
        <v>0.69137999999999999</v>
      </c>
      <c r="S10" s="276">
        <f>'COM TES'!M12</f>
        <v>0</v>
      </c>
      <c r="T10" s="738">
        <f>+'Street Light Conv'!M12</f>
        <v>0</v>
      </c>
      <c r="U10" s="276">
        <f>'COM ECM'!M12</f>
        <v>0</v>
      </c>
      <c r="V10" s="738">
        <f>'COM ECM HVAC'!M12</f>
        <v>0</v>
      </c>
      <c r="W10" s="276">
        <f>'COM Cool Roof'!M12</f>
        <v>0</v>
      </c>
      <c r="X10" s="724">
        <f>'COM HVAC ReCommissioning'!M12</f>
        <v>0</v>
      </c>
      <c r="Y10" s="724">
        <f>'COM ERV'!M12</f>
        <v>0</v>
      </c>
      <c r="Z10" s="724">
        <f>'COM School PV'!M12</f>
        <v>0</v>
      </c>
      <c r="AA10" s="724">
        <f>'COM PV'!M12</f>
        <v>0</v>
      </c>
      <c r="AB10" s="277">
        <f t="shared" si="4"/>
        <v>29.590670170685051</v>
      </c>
      <c r="AC10" s="276">
        <f>+'COM LM (cyc)'!N12</f>
        <v>0.2</v>
      </c>
      <c r="AD10" s="276">
        <f>+'COM LM (ext)'!N12</f>
        <v>0.2</v>
      </c>
      <c r="AE10" s="276">
        <f>+'COM SB Gen'!N12</f>
        <v>17.899999999999999</v>
      </c>
      <c r="AF10" s="276">
        <f>+'COM DMD Response'!M12</f>
        <v>0</v>
      </c>
      <c r="AG10" s="277">
        <f t="shared" si="5"/>
        <v>18.299999999999997</v>
      </c>
      <c r="AH10" s="718">
        <f t="shared" si="0"/>
        <v>47.890670170685048</v>
      </c>
      <c r="AJ10" s="748">
        <v>1999</v>
      </c>
      <c r="AK10" s="276">
        <f>+'C-I FREE'!Q12</f>
        <v>32.060423102625307</v>
      </c>
      <c r="AL10" s="276">
        <f>+'C-I Paid'!Q12</f>
        <v>0.91442000000000001</v>
      </c>
      <c r="AM10" s="738">
        <f>+'C-I Mail-In'!Q12</f>
        <v>6.0399999999999995E-2</v>
      </c>
      <c r="AN10" s="276">
        <f>+'COM Cooling'!Q12</f>
        <v>0</v>
      </c>
      <c r="AO10" s="276">
        <f>+'COM Duct'!Q12</f>
        <v>0</v>
      </c>
      <c r="AP10" s="738">
        <f>+'COM Bldg Envel'!Q12</f>
        <v>0</v>
      </c>
      <c r="AQ10" s="276">
        <f>'COM CI'!Q12</f>
        <v>0</v>
      </c>
      <c r="AR10" s="276">
        <f>'COM WI'!Q12</f>
        <v>0</v>
      </c>
      <c r="AS10" s="738">
        <f>+'COM EEMotors'!Q12</f>
        <v>0</v>
      </c>
      <c r="AT10" s="276">
        <f>+'COM Chillers'!Q12</f>
        <v>0</v>
      </c>
      <c r="AU10" s="276">
        <f>+'COM Occ. Sens.'!Q12</f>
        <v>0</v>
      </c>
      <c r="AV10" s="276">
        <f>+'COM Ref'!Q12</f>
        <v>0</v>
      </c>
      <c r="AW10" s="276">
        <f>+'COM WH'!Q12</f>
        <v>0</v>
      </c>
      <c r="AX10" s="738">
        <f>+'COM Lighting'!Q12</f>
        <v>5.7608268213028921</v>
      </c>
      <c r="AY10" s="276">
        <f>'COM Cond. Light'!Q12</f>
        <v>0</v>
      </c>
      <c r="AZ10" s="276">
        <f>'COM Non Cond. Light'!Q12</f>
        <v>0</v>
      </c>
      <c r="BA10" s="276">
        <f>+'COM CV'!Q12</f>
        <v>0.15000000000000002</v>
      </c>
      <c r="BB10" s="276">
        <f>'COM TES'!Q12</f>
        <v>0</v>
      </c>
      <c r="BC10" s="738">
        <f>+'Street Light Conv'!Q12</f>
        <v>0</v>
      </c>
      <c r="BD10" s="276">
        <f>'COM ECM'!Q12</f>
        <v>0</v>
      </c>
      <c r="BE10" s="738">
        <f>'COM HVAC ReCommissioning'!Q12</f>
        <v>0</v>
      </c>
      <c r="BF10" s="276">
        <f>'COM Cool Roof'!Q12</f>
        <v>0</v>
      </c>
      <c r="BG10" s="738">
        <f>'COM HVAC ReCommissioning'!Q12</f>
        <v>0</v>
      </c>
      <c r="BH10" s="738">
        <f>'COM ERV'!Q12</f>
        <v>0</v>
      </c>
      <c r="BI10" s="738">
        <f>'COM School PV'!Q12</f>
        <v>0</v>
      </c>
      <c r="BJ10" s="276">
        <f>'COM PV'!Q12</f>
        <v>0</v>
      </c>
      <c r="BK10" s="277">
        <f t="shared" si="6"/>
        <v>38.946069923928199</v>
      </c>
      <c r="BL10" s="276">
        <f>+'COM LM (cyc)'!T12</f>
        <v>0</v>
      </c>
      <c r="BM10" s="276">
        <f>+'COM LM (ext)'!T12</f>
        <v>0.21980000000000002</v>
      </c>
      <c r="BN10" s="276">
        <f>+'COM SB Gen'!T12</f>
        <v>17.600000000000001</v>
      </c>
      <c r="BO10" s="276">
        <f>+'COM DMD Response'!Q12</f>
        <v>0</v>
      </c>
      <c r="BP10" s="1106">
        <f t="shared" si="7"/>
        <v>17.819800000000001</v>
      </c>
      <c r="BQ10" s="718">
        <f t="shared" si="1"/>
        <v>56.7658699239282</v>
      </c>
      <c r="BS10" s="269">
        <v>1999</v>
      </c>
      <c r="BT10" s="275">
        <f>+'C-I FREE'!U12</f>
        <v>18.89553020405728</v>
      </c>
      <c r="BU10" s="276">
        <f>+'C-I Paid'!U12</f>
        <v>0.22017300000000001</v>
      </c>
      <c r="BV10" s="738">
        <f>+'C-I Mail-In'!U12</f>
        <v>0.33984000000000003</v>
      </c>
      <c r="BW10" s="276">
        <f>+'COM Cooling'!U12</f>
        <v>0</v>
      </c>
      <c r="BX10" s="276">
        <f>+'COM Duct'!U12</f>
        <v>0</v>
      </c>
      <c r="BY10" s="738">
        <f>+'COM Bldg Envel'!U12</f>
        <v>0</v>
      </c>
      <c r="BZ10" s="276">
        <f>'COM CI'!U12</f>
        <v>0</v>
      </c>
      <c r="CA10" s="276">
        <f>'COM WI'!U12</f>
        <v>0</v>
      </c>
      <c r="CB10" s="738">
        <f>+'COM EEMotors'!U12</f>
        <v>0</v>
      </c>
      <c r="CC10" s="276">
        <f>+'COM Chillers'!U12</f>
        <v>0</v>
      </c>
      <c r="CD10" s="276">
        <f>+'COM Occ. Sens.'!U12</f>
        <v>0</v>
      </c>
      <c r="CE10" s="276">
        <f>+'COM Ref'!U12</f>
        <v>0</v>
      </c>
      <c r="CF10" s="276">
        <f>+'COM WH'!U12</f>
        <v>0</v>
      </c>
      <c r="CG10" s="738">
        <f>+'COM Lighting'!U12</f>
        <v>69.100967976353957</v>
      </c>
      <c r="CH10" s="276">
        <f>'COM Cond. Light'!U12</f>
        <v>0</v>
      </c>
      <c r="CI10" s="276">
        <f>'COM Non Cond. Light'!U12</f>
        <v>0</v>
      </c>
      <c r="CJ10" s="276">
        <f>+'COM CV'!U12</f>
        <v>1.3179784999999999</v>
      </c>
      <c r="CK10" s="276">
        <f>'COM TES'!U12</f>
        <v>0</v>
      </c>
      <c r="CL10" s="738">
        <f>+'Street Light Conv'!U12</f>
        <v>16</v>
      </c>
      <c r="CM10" s="276">
        <f>'COM ECM'!U12</f>
        <v>0</v>
      </c>
      <c r="CN10" s="738">
        <f>'COM HVAC ReCommissioning'!U12</f>
        <v>0</v>
      </c>
      <c r="CO10" s="276">
        <f>'COM Cool Roof'!U12</f>
        <v>0</v>
      </c>
      <c r="CP10" s="738">
        <f>'COM HVAC ReCommissioning'!U12</f>
        <v>0</v>
      </c>
      <c r="CQ10" s="738">
        <f>'COM ERV'!U12</f>
        <v>0</v>
      </c>
      <c r="CR10" s="276">
        <f>'COM School PV'!U12</f>
        <v>0</v>
      </c>
      <c r="CS10" s="276">
        <f>'COM PV'!U12</f>
        <v>0</v>
      </c>
      <c r="CT10" s="735">
        <f t="shared" si="8"/>
        <v>89.87448968041123</v>
      </c>
      <c r="CU10" s="741">
        <f>+'COM LM (cyc)'!Z12</f>
        <v>0</v>
      </c>
      <c r="CV10" s="276">
        <f>+'COM LM (ext)'!Z12</f>
        <v>0</v>
      </c>
      <c r="CW10" s="276">
        <f>+'COM SB Gen'!Z12</f>
        <v>1.7774999999999999</v>
      </c>
      <c r="CX10" s="276">
        <f>+'COM DMD Response'!U12</f>
        <v>0</v>
      </c>
      <c r="CY10" s="277">
        <f t="shared" si="2"/>
        <v>1.7774999999999999</v>
      </c>
      <c r="CZ10" s="744">
        <f t="shared" si="3"/>
        <v>91.651989680411234</v>
      </c>
      <c r="DB10" s="162"/>
    </row>
    <row r="11" spans="1:106" x14ac:dyDescent="0.2">
      <c r="A11" s="269">
        <v>2000</v>
      </c>
      <c r="B11" s="275">
        <f>+'C-I FREE'!M13</f>
        <v>12.948167732696897</v>
      </c>
      <c r="C11" s="276">
        <f>+'C-I Paid'!M13</f>
        <v>0.39458000000000004</v>
      </c>
      <c r="D11" s="738">
        <f>+'C-I Mail-In'!M13</f>
        <v>7.9649999999999999E-2</v>
      </c>
      <c r="E11" s="276">
        <f>+'COM Cooling'!M13</f>
        <v>1.1800000000000001E-3</v>
      </c>
      <c r="F11" s="276">
        <f>+'COM Duct'!M13</f>
        <v>0</v>
      </c>
      <c r="G11" s="724">
        <f>+'COM Bldg Envel'!M13</f>
        <v>0</v>
      </c>
      <c r="H11" s="276">
        <f>'COM CI'!M13</f>
        <v>0</v>
      </c>
      <c r="I11" s="276">
        <f>'COM WI'!M13</f>
        <v>0</v>
      </c>
      <c r="J11" s="724">
        <f>+'COM EEMotors'!M13</f>
        <v>0</v>
      </c>
      <c r="K11" s="276">
        <f>+'COM Chillers'!M13</f>
        <v>0</v>
      </c>
      <c r="L11" s="276">
        <f>+'COM Occ. Sens.'!M13</f>
        <v>0</v>
      </c>
      <c r="M11" s="276">
        <f>+'COM Ref'!M13</f>
        <v>0</v>
      </c>
      <c r="N11" s="276">
        <f>+'COM WH'!M13</f>
        <v>0</v>
      </c>
      <c r="O11" s="724">
        <f>+'COM Lighting'!M13</f>
        <v>20.918426351031634</v>
      </c>
      <c r="P11" s="276">
        <f>'COM Cond. Light'!M13</f>
        <v>0</v>
      </c>
      <c r="Q11" s="276">
        <f>'COM Non Cond. Light'!M13</f>
        <v>0</v>
      </c>
      <c r="R11" s="276">
        <f>+'COM CV'!M13</f>
        <v>1.0311300000000001</v>
      </c>
      <c r="S11" s="276">
        <f>'COM TES'!M13</f>
        <v>0</v>
      </c>
      <c r="T11" s="738">
        <f>+'Street Light Conv'!M13</f>
        <v>0</v>
      </c>
      <c r="U11" s="276">
        <f>'COM ECM'!M13</f>
        <v>0</v>
      </c>
      <c r="V11" s="738">
        <f>'COM ECM HVAC'!M13</f>
        <v>0</v>
      </c>
      <c r="W11" s="276">
        <f>'COM Cool Roof'!M13</f>
        <v>0</v>
      </c>
      <c r="X11" s="724">
        <f>'COM HVAC ReCommissioning'!M13</f>
        <v>0</v>
      </c>
      <c r="Y11" s="724">
        <f>'COM ERV'!M13</f>
        <v>0</v>
      </c>
      <c r="Z11" s="724">
        <f>'COM School PV'!M13</f>
        <v>0</v>
      </c>
      <c r="AA11" s="724">
        <f>'COM PV'!M13</f>
        <v>0</v>
      </c>
      <c r="AB11" s="277">
        <f t="shared" si="4"/>
        <v>35.37313408372853</v>
      </c>
      <c r="AC11" s="276">
        <f>+'COM LM (cyc)'!N13</f>
        <v>0.1</v>
      </c>
      <c r="AD11" s="276">
        <f>+'COM LM (ext)'!N13</f>
        <v>0.2</v>
      </c>
      <c r="AE11" s="276">
        <f>+'COM SB Gen'!N13</f>
        <v>19.2</v>
      </c>
      <c r="AF11" s="276">
        <f>+'COM DMD Response'!M13</f>
        <v>0</v>
      </c>
      <c r="AG11" s="277">
        <f t="shared" si="5"/>
        <v>19.5</v>
      </c>
      <c r="AH11" s="718">
        <f t="shared" si="0"/>
        <v>54.87313408372853</v>
      </c>
      <c r="AJ11" s="748">
        <v>2000</v>
      </c>
      <c r="AK11" s="276">
        <f>+'C-I FREE'!Q13</f>
        <v>32.086283102625309</v>
      </c>
      <c r="AL11" s="276">
        <f>+'C-I Paid'!Q13</f>
        <v>0.91442000000000001</v>
      </c>
      <c r="AM11" s="738">
        <f>+'C-I Mail-In'!Q13</f>
        <v>6.0399999999999995E-2</v>
      </c>
      <c r="AN11" s="276">
        <f>+'COM Cooling'!Q13</f>
        <v>0</v>
      </c>
      <c r="AO11" s="276">
        <f>+'COM Duct'!Q13</f>
        <v>0</v>
      </c>
      <c r="AP11" s="738">
        <f>+'COM Bldg Envel'!Q13</f>
        <v>0</v>
      </c>
      <c r="AQ11" s="276">
        <f>'COM CI'!Q13</f>
        <v>0</v>
      </c>
      <c r="AR11" s="276">
        <f>'COM WI'!Q13</f>
        <v>0</v>
      </c>
      <c r="AS11" s="738">
        <f>+'COM EEMotors'!Q13</f>
        <v>0</v>
      </c>
      <c r="AT11" s="276">
        <f>+'COM Chillers'!Q13</f>
        <v>0</v>
      </c>
      <c r="AU11" s="276">
        <f>+'COM Occ. Sens.'!Q13</f>
        <v>0</v>
      </c>
      <c r="AV11" s="276">
        <f>+'COM Ref'!Q13</f>
        <v>0</v>
      </c>
      <c r="AW11" s="276">
        <f>+'COM WH'!Q13</f>
        <v>0</v>
      </c>
      <c r="AX11" s="738">
        <f>+'COM Lighting'!Q13</f>
        <v>7.9722285604333276</v>
      </c>
      <c r="AY11" s="276">
        <f>'COM Cond. Light'!Q13</f>
        <v>0</v>
      </c>
      <c r="AZ11" s="276">
        <f>'COM Non Cond. Light'!Q13</f>
        <v>0</v>
      </c>
      <c r="BA11" s="276">
        <f>+'COM CV'!Q13</f>
        <v>0.15000000000000002</v>
      </c>
      <c r="BB11" s="276">
        <f>'COM TES'!Q13</f>
        <v>0</v>
      </c>
      <c r="BC11" s="738">
        <f>+'Street Light Conv'!Q13</f>
        <v>0</v>
      </c>
      <c r="BD11" s="276">
        <f>'COM ECM'!Q13</f>
        <v>0</v>
      </c>
      <c r="BE11" s="738">
        <f>'COM HVAC ReCommissioning'!Q13</f>
        <v>0</v>
      </c>
      <c r="BF11" s="276">
        <f>'COM Cool Roof'!Q13</f>
        <v>0</v>
      </c>
      <c r="BG11" s="738">
        <f>'COM HVAC ReCommissioning'!Q13</f>
        <v>0</v>
      </c>
      <c r="BH11" s="738">
        <f>'COM ERV'!Q13</f>
        <v>0</v>
      </c>
      <c r="BI11" s="738">
        <f>'COM School PV'!Q13</f>
        <v>0</v>
      </c>
      <c r="BJ11" s="276">
        <f>'COM PV'!Q13</f>
        <v>0</v>
      </c>
      <c r="BK11" s="277">
        <f t="shared" si="6"/>
        <v>41.183331663058638</v>
      </c>
      <c r="BL11" s="276">
        <f>+'COM LM (cyc)'!T13</f>
        <v>0</v>
      </c>
      <c r="BM11" s="276">
        <f>+'COM LM (ext)'!T13</f>
        <v>0.17</v>
      </c>
      <c r="BN11" s="276">
        <f>+'COM SB Gen'!T13</f>
        <v>17.899999999999999</v>
      </c>
      <c r="BO11" s="276">
        <f>+'COM DMD Response'!Q13</f>
        <v>0</v>
      </c>
      <c r="BP11" s="1106">
        <f t="shared" si="7"/>
        <v>18.07</v>
      </c>
      <c r="BQ11" s="718">
        <f t="shared" si="1"/>
        <v>59.253331663058638</v>
      </c>
      <c r="BS11" s="269">
        <v>2000</v>
      </c>
      <c r="BT11" s="275">
        <f>+'C-I FREE'!U13</f>
        <v>19.039432204057281</v>
      </c>
      <c r="BU11" s="276">
        <f>+'C-I Paid'!U13</f>
        <v>0.22017300000000001</v>
      </c>
      <c r="BV11" s="738">
        <f>+'C-I Mail-In'!U13</f>
        <v>0.33984000000000003</v>
      </c>
      <c r="BW11" s="276">
        <f>+'COM Cooling'!U13</f>
        <v>4.7914999999999998E-3</v>
      </c>
      <c r="BX11" s="276">
        <f>+'COM Duct'!U13</f>
        <v>0</v>
      </c>
      <c r="BY11" s="738">
        <f>+'COM Bldg Envel'!U13</f>
        <v>0</v>
      </c>
      <c r="BZ11" s="276">
        <f>'COM CI'!U13</f>
        <v>0</v>
      </c>
      <c r="CA11" s="276">
        <f>'COM WI'!U13</f>
        <v>0</v>
      </c>
      <c r="CB11" s="738">
        <f>+'COM EEMotors'!U13</f>
        <v>0</v>
      </c>
      <c r="CC11" s="276">
        <f>+'COM Chillers'!U13</f>
        <v>0</v>
      </c>
      <c r="CD11" s="276">
        <f>+'COM Occ. Sens.'!U13</f>
        <v>0</v>
      </c>
      <c r="CE11" s="276">
        <f>+'COM Ref'!U13</f>
        <v>0</v>
      </c>
      <c r="CF11" s="276">
        <f>+'COM WH'!U13</f>
        <v>0</v>
      </c>
      <c r="CG11" s="738">
        <f>+'COM Lighting'!U13</f>
        <v>87.344299802440915</v>
      </c>
      <c r="CH11" s="276">
        <f>'COM Cond. Light'!U13</f>
        <v>0</v>
      </c>
      <c r="CI11" s="276">
        <f>'COM Non Cond. Light'!U13</f>
        <v>0</v>
      </c>
      <c r="CJ11" s="276">
        <f>+'COM CV'!U13</f>
        <v>3.2333585</v>
      </c>
      <c r="CK11" s="276">
        <f>'COM TES'!U13</f>
        <v>0</v>
      </c>
      <c r="CL11" s="738">
        <f>+'Street Light Conv'!U13</f>
        <v>16</v>
      </c>
      <c r="CM11" s="276">
        <f>'COM ECM'!U13</f>
        <v>0</v>
      </c>
      <c r="CN11" s="738">
        <f>'COM HVAC ReCommissioning'!U13</f>
        <v>0</v>
      </c>
      <c r="CO11" s="276">
        <f>'COM Cool Roof'!U13</f>
        <v>0</v>
      </c>
      <c r="CP11" s="738">
        <f>'COM HVAC ReCommissioning'!U13</f>
        <v>0</v>
      </c>
      <c r="CQ11" s="738">
        <f>'COM ERV'!U13</f>
        <v>0</v>
      </c>
      <c r="CR11" s="276">
        <f>'COM School PV'!U13</f>
        <v>0</v>
      </c>
      <c r="CS11" s="276">
        <f>'COM PV'!U13</f>
        <v>0</v>
      </c>
      <c r="CT11" s="735">
        <f t="shared" si="8"/>
        <v>110.18189500649818</v>
      </c>
      <c r="CU11" s="741">
        <f>+'COM LM (cyc)'!Z13</f>
        <v>0</v>
      </c>
      <c r="CV11" s="276">
        <f>+'COM LM (ext)'!Z13</f>
        <v>0</v>
      </c>
      <c r="CW11" s="276">
        <f>+'COM SB Gen'!Z13</f>
        <v>1.8658333333333335</v>
      </c>
      <c r="CX11" s="276">
        <f>+'COM DMD Response'!U13</f>
        <v>0</v>
      </c>
      <c r="CY11" s="277">
        <f t="shared" si="2"/>
        <v>1.8658333333333335</v>
      </c>
      <c r="CZ11" s="744">
        <f t="shared" si="3"/>
        <v>112.04772833983151</v>
      </c>
      <c r="DB11" s="162"/>
    </row>
    <row r="12" spans="1:106" x14ac:dyDescent="0.2">
      <c r="A12" s="269">
        <v>2001</v>
      </c>
      <c r="B12" s="275">
        <f>+'C-I FREE'!M14</f>
        <v>12.987687732696896</v>
      </c>
      <c r="C12" s="276">
        <f>+'C-I Paid'!M14</f>
        <v>0.39470000000000005</v>
      </c>
      <c r="D12" s="738">
        <f>+'C-I Mail-In'!M14</f>
        <v>7.9649999999999999E-2</v>
      </c>
      <c r="E12" s="276">
        <f>+'COM Cooling'!M14</f>
        <v>3.7643571428571429E-2</v>
      </c>
      <c r="F12" s="276">
        <f>+'COM Duct'!M14</f>
        <v>0</v>
      </c>
      <c r="G12" s="724">
        <f>+'COM Bldg Envel'!M14</f>
        <v>0</v>
      </c>
      <c r="H12" s="276">
        <f>'COM CI'!M14</f>
        <v>0</v>
      </c>
      <c r="I12" s="276">
        <f>'COM WI'!M14</f>
        <v>0</v>
      </c>
      <c r="J12" s="724">
        <f>+'COM EEMotors'!M14</f>
        <v>0</v>
      </c>
      <c r="K12" s="276">
        <f>+'COM Chillers'!M14</f>
        <v>0</v>
      </c>
      <c r="L12" s="276">
        <f>+'COM Occ. Sens.'!M14</f>
        <v>0</v>
      </c>
      <c r="M12" s="276">
        <f>+'COM Ref'!M14</f>
        <v>0</v>
      </c>
      <c r="N12" s="276">
        <f>+'COM WH'!M14</f>
        <v>0</v>
      </c>
      <c r="O12" s="724">
        <f>+'COM Lighting'!M14</f>
        <v>23.200706351031634</v>
      </c>
      <c r="P12" s="276">
        <f>'COM Cond. Light'!M14</f>
        <v>0</v>
      </c>
      <c r="Q12" s="276">
        <f>'COM Non Cond. Light'!M14</f>
        <v>0</v>
      </c>
      <c r="R12" s="276">
        <f>+'COM CV'!M14</f>
        <v>1.4249100000000001</v>
      </c>
      <c r="S12" s="276">
        <f>'COM TES'!M14</f>
        <v>0</v>
      </c>
      <c r="T12" s="738">
        <f>+'Street Light Conv'!M14</f>
        <v>0</v>
      </c>
      <c r="U12" s="276">
        <f>'COM ECM'!M14</f>
        <v>0</v>
      </c>
      <c r="V12" s="738">
        <f>'COM ECM HVAC'!M14</f>
        <v>0</v>
      </c>
      <c r="W12" s="276">
        <f>'COM Cool Roof'!M14</f>
        <v>0</v>
      </c>
      <c r="X12" s="724">
        <f>'COM HVAC ReCommissioning'!M14</f>
        <v>0</v>
      </c>
      <c r="Y12" s="724">
        <f>'COM ERV'!M14</f>
        <v>0</v>
      </c>
      <c r="Z12" s="724">
        <f>'COM School PV'!M14</f>
        <v>0</v>
      </c>
      <c r="AA12" s="724">
        <f>'COM PV'!M14</f>
        <v>0</v>
      </c>
      <c r="AB12" s="277">
        <f t="shared" si="4"/>
        <v>38.125297655157098</v>
      </c>
      <c r="AC12" s="276">
        <f>+'COM LM (cyc)'!N14</f>
        <v>8.5000000000000006E-2</v>
      </c>
      <c r="AD12" s="276">
        <f>+'COM LM (ext)'!N14</f>
        <v>0.115</v>
      </c>
      <c r="AE12" s="276">
        <f>+'COM SB Gen'!N14</f>
        <v>19.100000000000001</v>
      </c>
      <c r="AF12" s="276">
        <f>+'COM DMD Response'!M14</f>
        <v>0</v>
      </c>
      <c r="AG12" s="277">
        <f t="shared" si="5"/>
        <v>19.3</v>
      </c>
      <c r="AH12" s="718">
        <f t="shared" si="0"/>
        <v>57.425297655157095</v>
      </c>
      <c r="AJ12" s="748">
        <v>2001</v>
      </c>
      <c r="AK12" s="276">
        <f>+'C-I FREE'!Q14</f>
        <v>32.111063102625309</v>
      </c>
      <c r="AL12" s="276">
        <f>+'C-I Paid'!Q14</f>
        <v>0.91442000000000001</v>
      </c>
      <c r="AM12" s="738">
        <f>+'C-I Mail-In'!Q14</f>
        <v>6.0399999999999995E-2</v>
      </c>
      <c r="AN12" s="276">
        <f>+'COM Cooling'!Q14</f>
        <v>0</v>
      </c>
      <c r="AO12" s="276">
        <f>+'COM Duct'!Q14</f>
        <v>0</v>
      </c>
      <c r="AP12" s="738">
        <f>+'COM Bldg Envel'!Q14</f>
        <v>0</v>
      </c>
      <c r="AQ12" s="276">
        <f>'COM CI'!Q14</f>
        <v>0</v>
      </c>
      <c r="AR12" s="276">
        <f>'COM WI'!Q14</f>
        <v>0</v>
      </c>
      <c r="AS12" s="738">
        <f>+'COM EEMotors'!Q14</f>
        <v>0</v>
      </c>
      <c r="AT12" s="276">
        <f>+'COM Chillers'!Q14</f>
        <v>0</v>
      </c>
      <c r="AU12" s="276">
        <f>+'COM Occ. Sens.'!Q14</f>
        <v>0</v>
      </c>
      <c r="AV12" s="276">
        <f>+'COM Ref'!Q14</f>
        <v>0</v>
      </c>
      <c r="AW12" s="276">
        <f>+'COM WH'!Q14</f>
        <v>0</v>
      </c>
      <c r="AX12" s="738">
        <f>+'COM Lighting'!Q14</f>
        <v>8.672808560433328</v>
      </c>
      <c r="AY12" s="276">
        <f>'COM Cond. Light'!Q14</f>
        <v>0</v>
      </c>
      <c r="AZ12" s="276">
        <f>'COM Non Cond. Light'!Q14</f>
        <v>0</v>
      </c>
      <c r="BA12" s="276">
        <f>+'COM CV'!Q14</f>
        <v>0.23759000000000002</v>
      </c>
      <c r="BB12" s="276">
        <f>'COM TES'!Q14</f>
        <v>0</v>
      </c>
      <c r="BC12" s="738">
        <f>+'Street Light Conv'!Q14</f>
        <v>0</v>
      </c>
      <c r="BD12" s="276">
        <f>'COM ECM'!Q14</f>
        <v>0</v>
      </c>
      <c r="BE12" s="738">
        <f>'COM HVAC ReCommissioning'!Q14</f>
        <v>0</v>
      </c>
      <c r="BF12" s="276">
        <f>'COM Cool Roof'!Q14</f>
        <v>0</v>
      </c>
      <c r="BG12" s="738">
        <f>'COM HVAC ReCommissioning'!Q14</f>
        <v>0</v>
      </c>
      <c r="BH12" s="738">
        <f>'COM ERV'!Q14</f>
        <v>0</v>
      </c>
      <c r="BI12" s="738">
        <f>'COM School PV'!Q14</f>
        <v>0</v>
      </c>
      <c r="BJ12" s="276">
        <f>'COM PV'!Q14</f>
        <v>0</v>
      </c>
      <c r="BK12" s="277">
        <f t="shared" si="6"/>
        <v>41.996281663058639</v>
      </c>
      <c r="BL12" s="276">
        <f>+'COM LM (cyc)'!T14</f>
        <v>0</v>
      </c>
      <c r="BM12" s="276">
        <f>+'COM LM (ext)'!T14</f>
        <v>0.17</v>
      </c>
      <c r="BN12" s="276">
        <f>+'COM SB Gen'!T14</f>
        <v>19.2</v>
      </c>
      <c r="BO12" s="276">
        <f>+'COM DMD Response'!Q14</f>
        <v>0</v>
      </c>
      <c r="BP12" s="1106">
        <f t="shared" si="7"/>
        <v>19.37</v>
      </c>
      <c r="BQ12" s="718">
        <f t="shared" si="1"/>
        <v>61.366281663058643</v>
      </c>
      <c r="BS12" s="269">
        <v>2001</v>
      </c>
      <c r="BT12" s="275">
        <f>+'C-I FREE'!U14</f>
        <v>19.207886204057282</v>
      </c>
      <c r="BU12" s="276">
        <f>+'C-I Paid'!U14</f>
        <v>0.22068450000000001</v>
      </c>
      <c r="BV12" s="738">
        <f>+'C-I Mail-In'!U14</f>
        <v>0.33984000000000003</v>
      </c>
      <c r="BW12" s="276">
        <f>+'COM Cooling'!U14</f>
        <v>0.15179345</v>
      </c>
      <c r="BX12" s="276">
        <f>+'COM Duct'!U14</f>
        <v>0</v>
      </c>
      <c r="BY12" s="738">
        <f>+'COM Bldg Envel'!U14</f>
        <v>0</v>
      </c>
      <c r="BZ12" s="276">
        <f>'COM CI'!U14</f>
        <v>0</v>
      </c>
      <c r="CA12" s="276">
        <f>'COM WI'!U14</f>
        <v>0</v>
      </c>
      <c r="CB12" s="738">
        <f>+'COM EEMotors'!U14</f>
        <v>0</v>
      </c>
      <c r="CC12" s="276">
        <f>+'COM Chillers'!U14</f>
        <v>0</v>
      </c>
      <c r="CD12" s="276">
        <f>+'COM Occ. Sens.'!U14</f>
        <v>0</v>
      </c>
      <c r="CE12" s="276">
        <f>+'COM Ref'!U14</f>
        <v>0</v>
      </c>
      <c r="CF12" s="276">
        <f>+'COM WH'!U14</f>
        <v>0</v>
      </c>
      <c r="CG12" s="738">
        <f>+'COM Lighting'!U14</f>
        <v>92.909963802440913</v>
      </c>
      <c r="CH12" s="276">
        <f>'COM Cond. Light'!U14</f>
        <v>0</v>
      </c>
      <c r="CI12" s="276">
        <f>'COM Non Cond. Light'!U14</f>
        <v>0</v>
      </c>
      <c r="CJ12" s="276">
        <f>+'COM CV'!U14</f>
        <v>4.7963465000000003</v>
      </c>
      <c r="CK12" s="276">
        <f>'COM TES'!U14</f>
        <v>0</v>
      </c>
      <c r="CL12" s="738">
        <f>+'Street Light Conv'!U14</f>
        <v>16</v>
      </c>
      <c r="CM12" s="276">
        <f>'COM ECM'!U14</f>
        <v>0</v>
      </c>
      <c r="CN12" s="738">
        <f>'COM HVAC ReCommissioning'!U14</f>
        <v>0</v>
      </c>
      <c r="CO12" s="276">
        <f>'COM Cool Roof'!U14</f>
        <v>0</v>
      </c>
      <c r="CP12" s="738">
        <f>'COM HVAC ReCommissioning'!U14</f>
        <v>0</v>
      </c>
      <c r="CQ12" s="738">
        <f>'COM ERV'!U14</f>
        <v>0</v>
      </c>
      <c r="CR12" s="276">
        <f>'COM School PV'!U14</f>
        <v>0</v>
      </c>
      <c r="CS12" s="276">
        <f>'COM PV'!U14</f>
        <v>0</v>
      </c>
      <c r="CT12" s="735">
        <f t="shared" si="8"/>
        <v>117.6265144564982</v>
      </c>
      <c r="CU12" s="741">
        <f>+'COM LM (cyc)'!Z14</f>
        <v>0</v>
      </c>
      <c r="CV12" s="276">
        <f>+'COM LM (ext)'!Z14</f>
        <v>0</v>
      </c>
      <c r="CW12" s="276">
        <f>+'COM SB Gen'!Z14</f>
        <v>1.914166666666667</v>
      </c>
      <c r="CX12" s="276">
        <f>+'COM DMD Response'!U14</f>
        <v>0</v>
      </c>
      <c r="CY12" s="277">
        <f t="shared" si="2"/>
        <v>1.914166666666667</v>
      </c>
      <c r="CZ12" s="744">
        <f t="shared" si="3"/>
        <v>119.54068112316487</v>
      </c>
      <c r="DB12" s="162"/>
    </row>
    <row r="13" spans="1:106" x14ac:dyDescent="0.2">
      <c r="A13" s="269">
        <v>2002</v>
      </c>
      <c r="B13" s="275">
        <f>+'C-I FREE'!M15</f>
        <v>13.031087732696896</v>
      </c>
      <c r="C13" s="276">
        <f>+'C-I Paid'!M15</f>
        <v>0.39470000000000005</v>
      </c>
      <c r="D13" s="738">
        <f>+'C-I Mail-In'!M15</f>
        <v>7.9649999999999999E-2</v>
      </c>
      <c r="E13" s="276">
        <f>+'COM Cooling'!M15</f>
        <v>0.11413322055137845</v>
      </c>
      <c r="F13" s="276">
        <f>+'COM Duct'!M15</f>
        <v>0</v>
      </c>
      <c r="G13" s="724">
        <f>+'COM Bldg Envel'!M15</f>
        <v>0</v>
      </c>
      <c r="H13" s="276">
        <f>'COM CI'!M15</f>
        <v>0</v>
      </c>
      <c r="I13" s="276">
        <f>'COM WI'!M15</f>
        <v>0</v>
      </c>
      <c r="J13" s="724">
        <f>+'COM EEMotors'!M15</f>
        <v>0</v>
      </c>
      <c r="K13" s="276">
        <f>+'COM Chillers'!M15</f>
        <v>0</v>
      </c>
      <c r="L13" s="276">
        <f>+'COM Occ. Sens.'!M15</f>
        <v>0</v>
      </c>
      <c r="M13" s="276">
        <f>+'COM Ref'!M15</f>
        <v>0</v>
      </c>
      <c r="N13" s="276">
        <f>+'COM WH'!M15</f>
        <v>0</v>
      </c>
      <c r="O13" s="724">
        <f>+'COM Lighting'!M15</f>
        <v>24.302151351031632</v>
      </c>
      <c r="P13" s="276">
        <f>'COM Cond. Light'!M15</f>
        <v>0</v>
      </c>
      <c r="Q13" s="276">
        <f>'COM Non Cond. Light'!M15</f>
        <v>0</v>
      </c>
      <c r="R13" s="276">
        <f>+'COM CV'!M15</f>
        <v>2.7694299999999998</v>
      </c>
      <c r="S13" s="276">
        <f>'COM TES'!M15</f>
        <v>0</v>
      </c>
      <c r="T13" s="738">
        <f>+'Street Light Conv'!M15</f>
        <v>0</v>
      </c>
      <c r="U13" s="276">
        <f>'COM ECM'!M15</f>
        <v>0</v>
      </c>
      <c r="V13" s="738">
        <f>'COM ECM HVAC'!M15</f>
        <v>0</v>
      </c>
      <c r="W13" s="276">
        <f>'COM Cool Roof'!M15</f>
        <v>0</v>
      </c>
      <c r="X13" s="724">
        <f>'COM HVAC ReCommissioning'!M15</f>
        <v>0</v>
      </c>
      <c r="Y13" s="724">
        <f>'COM ERV'!M15</f>
        <v>0</v>
      </c>
      <c r="Z13" s="724">
        <f>'COM School PV'!M15</f>
        <v>0</v>
      </c>
      <c r="AA13" s="724">
        <f>'COM PV'!M15</f>
        <v>0</v>
      </c>
      <c r="AB13" s="277">
        <f t="shared" si="4"/>
        <v>40.69115230427991</v>
      </c>
      <c r="AC13" s="276">
        <f>+'COM LM (cyc)'!N15</f>
        <v>0.15</v>
      </c>
      <c r="AD13" s="276">
        <f>+'COM LM (ext)'!N15</f>
        <v>0.15</v>
      </c>
      <c r="AE13" s="276">
        <f>+'COM SB Gen'!N15</f>
        <v>18.899999999999999</v>
      </c>
      <c r="AF13" s="276">
        <f>+'COM DMD Response'!M15</f>
        <v>0</v>
      </c>
      <c r="AG13" s="277">
        <f t="shared" si="5"/>
        <v>19.2</v>
      </c>
      <c r="AH13" s="718">
        <f t="shared" si="0"/>
        <v>59.891152304279913</v>
      </c>
      <c r="AJ13" s="748">
        <v>2002</v>
      </c>
      <c r="AK13" s="276">
        <f>+'C-I FREE'!Q15</f>
        <v>32.14556310262531</v>
      </c>
      <c r="AL13" s="276">
        <f>+'C-I Paid'!Q15</f>
        <v>0.91442000000000001</v>
      </c>
      <c r="AM13" s="738">
        <f>+'C-I Mail-In'!Q15</f>
        <v>6.0399999999999995E-2</v>
      </c>
      <c r="AN13" s="276">
        <f>+'COM Cooling'!Q15</f>
        <v>0</v>
      </c>
      <c r="AO13" s="276">
        <f>+'COM Duct'!Q15</f>
        <v>0</v>
      </c>
      <c r="AP13" s="738">
        <f>+'COM Bldg Envel'!Q15</f>
        <v>0</v>
      </c>
      <c r="AQ13" s="276">
        <f>'COM CI'!Q15</f>
        <v>0</v>
      </c>
      <c r="AR13" s="276">
        <f>'COM WI'!Q15</f>
        <v>0</v>
      </c>
      <c r="AS13" s="738">
        <f>+'COM EEMotors'!Q15</f>
        <v>0</v>
      </c>
      <c r="AT13" s="276">
        <f>+'COM Chillers'!Q15</f>
        <v>0</v>
      </c>
      <c r="AU13" s="276">
        <f>+'COM Occ. Sens.'!Q15</f>
        <v>0</v>
      </c>
      <c r="AV13" s="276">
        <f>+'COM Ref'!Q15</f>
        <v>0</v>
      </c>
      <c r="AW13" s="276">
        <f>+'COM WH'!Q15</f>
        <v>0</v>
      </c>
      <c r="AX13" s="738">
        <f>+'COM Lighting'!Q15</f>
        <v>9.079388560433328</v>
      </c>
      <c r="AY13" s="276">
        <f>'COM Cond. Light'!Q15</f>
        <v>0</v>
      </c>
      <c r="AZ13" s="276">
        <f>'COM Non Cond. Light'!Q15</f>
        <v>0</v>
      </c>
      <c r="BA13" s="276">
        <f>+'COM CV'!Q15</f>
        <v>1.02461</v>
      </c>
      <c r="BB13" s="276">
        <f>'COM TES'!Q15</f>
        <v>0</v>
      </c>
      <c r="BC13" s="738">
        <f>+'Street Light Conv'!Q15</f>
        <v>0</v>
      </c>
      <c r="BD13" s="276">
        <f>'COM ECM'!Q15</f>
        <v>0</v>
      </c>
      <c r="BE13" s="738">
        <f>'COM HVAC ReCommissioning'!Q15</f>
        <v>0</v>
      </c>
      <c r="BF13" s="276">
        <f>'COM Cool Roof'!Q15</f>
        <v>0</v>
      </c>
      <c r="BG13" s="738">
        <f>'COM HVAC ReCommissioning'!Q15</f>
        <v>0</v>
      </c>
      <c r="BH13" s="738">
        <f>'COM ERV'!Q15</f>
        <v>0</v>
      </c>
      <c r="BI13" s="738">
        <f>'COM School PV'!Q15</f>
        <v>0</v>
      </c>
      <c r="BJ13" s="276">
        <f>'COM PV'!Q15</f>
        <v>0</v>
      </c>
      <c r="BK13" s="277">
        <f t="shared" si="6"/>
        <v>43.224381663058644</v>
      </c>
      <c r="BL13" s="276">
        <f>+'COM LM (cyc)'!T15</f>
        <v>0</v>
      </c>
      <c r="BM13" s="276">
        <f>+'COM LM (ext)'!T15</f>
        <v>0.22600000000000001</v>
      </c>
      <c r="BN13" s="276">
        <f>+'COM SB Gen'!T15</f>
        <v>20.2</v>
      </c>
      <c r="BO13" s="276">
        <f>+'COM DMD Response'!Q15</f>
        <v>0</v>
      </c>
      <c r="BP13" s="1106">
        <f t="shared" si="7"/>
        <v>20.425999999999998</v>
      </c>
      <c r="BQ13" s="718">
        <f t="shared" si="1"/>
        <v>63.650381663058639</v>
      </c>
      <c r="BS13" s="269">
        <v>2002</v>
      </c>
      <c r="BT13" s="275">
        <f>+'C-I FREE'!U15</f>
        <v>19.392878704057281</v>
      </c>
      <c r="BU13" s="276">
        <f>+'C-I Paid'!U15</f>
        <v>0.22068450000000001</v>
      </c>
      <c r="BV13" s="738">
        <f>+'C-I Mail-In'!U15</f>
        <v>0.33984000000000003</v>
      </c>
      <c r="BW13" s="276">
        <f>+'COM Cooling'!U15</f>
        <v>0.46131695877192985</v>
      </c>
      <c r="BX13" s="276">
        <f>+'COM Duct'!U15</f>
        <v>0</v>
      </c>
      <c r="BY13" s="738">
        <f>+'COM Bldg Envel'!U15</f>
        <v>0</v>
      </c>
      <c r="BZ13" s="276">
        <f>'COM CI'!U15</f>
        <v>0</v>
      </c>
      <c r="CA13" s="276">
        <f>'COM WI'!U15</f>
        <v>0</v>
      </c>
      <c r="CB13" s="738">
        <f>+'COM EEMotors'!U15</f>
        <v>0</v>
      </c>
      <c r="CC13" s="276">
        <f>+'COM Chillers'!U15</f>
        <v>0</v>
      </c>
      <c r="CD13" s="276">
        <f>+'COM Occ. Sens.'!U15</f>
        <v>0</v>
      </c>
      <c r="CE13" s="276">
        <f>+'COM Ref'!U15</f>
        <v>0</v>
      </c>
      <c r="CF13" s="276">
        <f>+'COM WH'!U15</f>
        <v>0</v>
      </c>
      <c r="CG13" s="738">
        <f>+'COM Lighting'!U15</f>
        <v>100.95923230244091</v>
      </c>
      <c r="CH13" s="276">
        <f>'COM Cond. Light'!U15</f>
        <v>0</v>
      </c>
      <c r="CI13" s="276">
        <f>'COM Non Cond. Light'!U15</f>
        <v>0</v>
      </c>
      <c r="CJ13" s="276">
        <f>+'COM CV'!U15</f>
        <v>11.083546500000001</v>
      </c>
      <c r="CK13" s="276">
        <f>'COM TES'!U15</f>
        <v>0</v>
      </c>
      <c r="CL13" s="738">
        <f>+'Street Light Conv'!U15</f>
        <v>16</v>
      </c>
      <c r="CM13" s="276">
        <f>'COM ECM'!U15</f>
        <v>0</v>
      </c>
      <c r="CN13" s="738">
        <f>'COM HVAC ReCommissioning'!U15</f>
        <v>0</v>
      </c>
      <c r="CO13" s="276">
        <f>'COM Cool Roof'!U15</f>
        <v>0</v>
      </c>
      <c r="CP13" s="738">
        <f>'COM HVAC ReCommissioning'!U15</f>
        <v>0</v>
      </c>
      <c r="CQ13" s="738">
        <f>'COM ERV'!U15</f>
        <v>0</v>
      </c>
      <c r="CR13" s="276">
        <f>'COM School PV'!U15</f>
        <v>0</v>
      </c>
      <c r="CS13" s="276">
        <f>'COM PV'!U15</f>
        <v>0</v>
      </c>
      <c r="CT13" s="735">
        <f t="shared" si="8"/>
        <v>132.45749896527013</v>
      </c>
      <c r="CU13" s="741">
        <f>+'COM LM (cyc)'!Z15</f>
        <v>0</v>
      </c>
      <c r="CV13" s="276">
        <f>+'COM LM (ext)'!Z15</f>
        <v>0</v>
      </c>
      <c r="CW13" s="276">
        <f>+'COM SB Gen'!Z15</f>
        <v>1.9441666666666668</v>
      </c>
      <c r="CX13" s="276">
        <f>+'COM DMD Response'!U15</f>
        <v>0</v>
      </c>
      <c r="CY13" s="277">
        <f t="shared" si="2"/>
        <v>1.9441666666666668</v>
      </c>
      <c r="CZ13" s="744">
        <f t="shared" si="3"/>
        <v>134.40166563193679</v>
      </c>
      <c r="DB13" s="162"/>
    </row>
    <row r="14" spans="1:106" x14ac:dyDescent="0.2">
      <c r="A14" s="269">
        <v>2003</v>
      </c>
      <c r="B14" s="275">
        <f>+'C-I FREE'!M16</f>
        <v>13.070247732696897</v>
      </c>
      <c r="C14" s="276">
        <f>+'C-I Paid'!M16</f>
        <v>0.39470000000000005</v>
      </c>
      <c r="D14" s="738">
        <f>+'C-I Mail-In'!M16</f>
        <v>7.9649999999999999E-2</v>
      </c>
      <c r="E14" s="276">
        <f>+'COM Cooling'!M16</f>
        <v>0.28772451684767475</v>
      </c>
      <c r="F14" s="276">
        <f>+'COM Duct'!M16</f>
        <v>0</v>
      </c>
      <c r="G14" s="724">
        <f>+'COM Bldg Envel'!M16</f>
        <v>0</v>
      </c>
      <c r="H14" s="276">
        <f>'COM CI'!M16</f>
        <v>0</v>
      </c>
      <c r="I14" s="276">
        <f>'COM WI'!M16</f>
        <v>0</v>
      </c>
      <c r="J14" s="724">
        <f>+'COM EEMotors'!M16</f>
        <v>0</v>
      </c>
      <c r="K14" s="276">
        <f>+'COM Chillers'!M16</f>
        <v>0</v>
      </c>
      <c r="L14" s="276">
        <f>+'COM Occ. Sens.'!M16</f>
        <v>0</v>
      </c>
      <c r="M14" s="276">
        <f>+'COM Ref'!M16</f>
        <v>0</v>
      </c>
      <c r="N14" s="276">
        <f>+'COM WH'!M16</f>
        <v>0</v>
      </c>
      <c r="O14" s="724">
        <f>+'COM Lighting'!M16</f>
        <v>25.721751351031632</v>
      </c>
      <c r="P14" s="276">
        <f>'COM Cond. Light'!M16</f>
        <v>0</v>
      </c>
      <c r="Q14" s="276">
        <f>'COM Non Cond. Light'!M16</f>
        <v>0</v>
      </c>
      <c r="R14" s="276">
        <f>+'COM CV'!M16</f>
        <v>2.8297466666666664</v>
      </c>
      <c r="S14" s="276">
        <f>'COM TES'!M16</f>
        <v>0</v>
      </c>
      <c r="T14" s="738">
        <f>+'Street Light Conv'!M16</f>
        <v>0</v>
      </c>
      <c r="U14" s="276">
        <f>'COM ECM'!M16</f>
        <v>0</v>
      </c>
      <c r="V14" s="738">
        <f>'COM ECM HVAC'!M16</f>
        <v>0</v>
      </c>
      <c r="W14" s="276">
        <f>'COM Cool Roof'!M16</f>
        <v>0</v>
      </c>
      <c r="X14" s="724">
        <f>'COM HVAC ReCommissioning'!M16</f>
        <v>0</v>
      </c>
      <c r="Y14" s="724">
        <f>'COM ERV'!M16</f>
        <v>0</v>
      </c>
      <c r="Z14" s="724">
        <f>'COM School PV'!M16</f>
        <v>0</v>
      </c>
      <c r="AA14" s="724">
        <f>'COM PV'!M16</f>
        <v>0</v>
      </c>
      <c r="AB14" s="277">
        <f t="shared" si="4"/>
        <v>42.383820267242868</v>
      </c>
      <c r="AC14" s="276">
        <f>+'COM LM (cyc)'!N16</f>
        <v>0.19</v>
      </c>
      <c r="AD14" s="276">
        <f>+'COM LM (ext)'!N16</f>
        <v>0.11</v>
      </c>
      <c r="AE14" s="276">
        <f>+'COM SB Gen'!N16</f>
        <v>19.100000000000001</v>
      </c>
      <c r="AF14" s="276">
        <f>+'COM DMD Response'!M16</f>
        <v>0</v>
      </c>
      <c r="AG14" s="277">
        <f t="shared" si="5"/>
        <v>19.400000000000002</v>
      </c>
      <c r="AH14" s="718">
        <f t="shared" si="0"/>
        <v>61.783820267242874</v>
      </c>
      <c r="AJ14" s="748">
        <v>2003</v>
      </c>
      <c r="AK14" s="276">
        <f>+'C-I FREE'!Q16</f>
        <v>32.17616310262531</v>
      </c>
      <c r="AL14" s="276">
        <f>+'C-I Paid'!Q16</f>
        <v>0.91442000000000001</v>
      </c>
      <c r="AM14" s="738">
        <f>+'C-I Mail-In'!Q16</f>
        <v>6.0399999999999995E-2</v>
      </c>
      <c r="AN14" s="276">
        <f>+'COM Cooling'!Q16</f>
        <v>0</v>
      </c>
      <c r="AO14" s="276">
        <f>+'COM Duct'!Q16</f>
        <v>0</v>
      </c>
      <c r="AP14" s="738">
        <f>+'COM Bldg Envel'!Q16</f>
        <v>0</v>
      </c>
      <c r="AQ14" s="276">
        <f>'COM CI'!Q16</f>
        <v>0</v>
      </c>
      <c r="AR14" s="276">
        <f>'COM WI'!Q16</f>
        <v>0</v>
      </c>
      <c r="AS14" s="738">
        <f>+'COM EEMotors'!Q16</f>
        <v>0</v>
      </c>
      <c r="AT14" s="276">
        <f>+'COM Chillers'!Q16</f>
        <v>0</v>
      </c>
      <c r="AU14" s="276">
        <f>+'COM Occ. Sens.'!Q16</f>
        <v>0</v>
      </c>
      <c r="AV14" s="276">
        <f>+'COM Ref'!Q16</f>
        <v>0</v>
      </c>
      <c r="AW14" s="276">
        <f>+'COM WH'!Q16</f>
        <v>0</v>
      </c>
      <c r="AX14" s="738">
        <f>+'COM Lighting'!Q16</f>
        <v>9.6312085604333273</v>
      </c>
      <c r="AY14" s="276">
        <f>'COM Cond. Light'!Q16</f>
        <v>0</v>
      </c>
      <c r="AZ14" s="276">
        <f>'COM Non Cond. Light'!Q16</f>
        <v>0</v>
      </c>
      <c r="BA14" s="276">
        <f>+'COM CV'!Q16</f>
        <v>1.0507766666666667</v>
      </c>
      <c r="BB14" s="276">
        <f>'COM TES'!Q16</f>
        <v>0</v>
      </c>
      <c r="BC14" s="738">
        <f>+'Street Light Conv'!Q16</f>
        <v>0</v>
      </c>
      <c r="BD14" s="276">
        <f>'COM ECM'!Q16</f>
        <v>0</v>
      </c>
      <c r="BE14" s="738">
        <f>'COM HVAC ReCommissioning'!Q16</f>
        <v>0</v>
      </c>
      <c r="BF14" s="276">
        <f>'COM Cool Roof'!Q16</f>
        <v>0</v>
      </c>
      <c r="BG14" s="738">
        <f>'COM HVAC ReCommissioning'!Q16</f>
        <v>0</v>
      </c>
      <c r="BH14" s="738">
        <f>'COM ERV'!Q16</f>
        <v>0</v>
      </c>
      <c r="BI14" s="738">
        <f>'COM School PV'!Q16</f>
        <v>0</v>
      </c>
      <c r="BJ14" s="276">
        <f>'COM PV'!Q16</f>
        <v>0</v>
      </c>
      <c r="BK14" s="277">
        <f t="shared" si="6"/>
        <v>43.832968329725304</v>
      </c>
      <c r="BL14" s="276">
        <f>+'COM LM (cyc)'!T16</f>
        <v>0</v>
      </c>
      <c r="BM14" s="276">
        <f>+'COM LM (ext)'!T16</f>
        <v>0.2</v>
      </c>
      <c r="BN14" s="276">
        <f>+'COM SB Gen'!T16</f>
        <v>19.5</v>
      </c>
      <c r="BO14" s="276">
        <f>+'COM DMD Response'!Q16</f>
        <v>0</v>
      </c>
      <c r="BP14" s="1106">
        <f t="shared" si="7"/>
        <v>19.7</v>
      </c>
      <c r="BQ14" s="718">
        <f t="shared" si="1"/>
        <v>63.532968329725307</v>
      </c>
      <c r="BS14" s="269">
        <v>2003</v>
      </c>
      <c r="BT14" s="275">
        <f>+'C-I FREE'!U16</f>
        <v>19.55979820405728</v>
      </c>
      <c r="BU14" s="276">
        <f>+'C-I Paid'!U16</f>
        <v>0.22068450000000001</v>
      </c>
      <c r="BV14" s="738">
        <f>+'C-I Mail-In'!U16</f>
        <v>0.33984000000000003</v>
      </c>
      <c r="BW14" s="276">
        <f>+'COM Cooling'!U16</f>
        <v>1.1486863106237815</v>
      </c>
      <c r="BX14" s="276">
        <f>+'COM Duct'!U16</f>
        <v>0</v>
      </c>
      <c r="BY14" s="738">
        <f>+'COM Bldg Envel'!U16</f>
        <v>0</v>
      </c>
      <c r="BZ14" s="276">
        <f>'COM CI'!U16</f>
        <v>0</v>
      </c>
      <c r="CA14" s="276">
        <f>'COM WI'!U16</f>
        <v>0</v>
      </c>
      <c r="CB14" s="738">
        <f>+'COM EEMotors'!U16</f>
        <v>0</v>
      </c>
      <c r="CC14" s="276">
        <f>+'COM Chillers'!U16</f>
        <v>0</v>
      </c>
      <c r="CD14" s="276">
        <f>+'COM Occ. Sens.'!U16</f>
        <v>0</v>
      </c>
      <c r="CE14" s="276">
        <f>+'COM Ref'!U16</f>
        <v>0</v>
      </c>
      <c r="CF14" s="276">
        <f>+'COM WH'!U16</f>
        <v>0</v>
      </c>
      <c r="CG14" s="738">
        <f>+'COM Lighting'!U16</f>
        <v>113.56523480244091</v>
      </c>
      <c r="CH14" s="276">
        <f>'COM Cond. Light'!U16</f>
        <v>0</v>
      </c>
      <c r="CI14" s="276">
        <f>'COM Non Cond. Light'!U16</f>
        <v>0</v>
      </c>
      <c r="CJ14" s="276">
        <f>+'COM CV'!U16</f>
        <v>11.373155666666667</v>
      </c>
      <c r="CK14" s="276">
        <f>'COM TES'!U16</f>
        <v>0</v>
      </c>
      <c r="CL14" s="738">
        <f>+'Street Light Conv'!U16</f>
        <v>16</v>
      </c>
      <c r="CM14" s="276">
        <f>'COM ECM'!U16</f>
        <v>0</v>
      </c>
      <c r="CN14" s="738">
        <f>'COM HVAC ReCommissioning'!U16</f>
        <v>0</v>
      </c>
      <c r="CO14" s="276">
        <f>'COM Cool Roof'!U16</f>
        <v>0</v>
      </c>
      <c r="CP14" s="738">
        <f>'COM HVAC ReCommissioning'!U16</f>
        <v>0</v>
      </c>
      <c r="CQ14" s="738">
        <f>'COM ERV'!U16</f>
        <v>0</v>
      </c>
      <c r="CR14" s="276">
        <f>'COM School PV'!U16</f>
        <v>0</v>
      </c>
      <c r="CS14" s="276">
        <f>'COM PV'!U16</f>
        <v>0</v>
      </c>
      <c r="CT14" s="735">
        <f t="shared" si="8"/>
        <v>146.20739948378863</v>
      </c>
      <c r="CU14" s="741">
        <f>+'COM LM (cyc)'!Z16</f>
        <v>0</v>
      </c>
      <c r="CV14" s="276">
        <f>+'COM LM (ext)'!Z16</f>
        <v>0</v>
      </c>
      <c r="CW14" s="276">
        <f>+'COM SB Gen'!Z16</f>
        <v>1.926666666666667</v>
      </c>
      <c r="CX14" s="276">
        <f>+'COM DMD Response'!U16</f>
        <v>0</v>
      </c>
      <c r="CY14" s="277">
        <f t="shared" si="2"/>
        <v>1.926666666666667</v>
      </c>
      <c r="CZ14" s="744">
        <f t="shared" si="3"/>
        <v>148.13406615045531</v>
      </c>
      <c r="DB14" s="162"/>
    </row>
    <row r="15" spans="1:106" x14ac:dyDescent="0.2">
      <c r="A15" s="269">
        <v>2004</v>
      </c>
      <c r="B15" s="275">
        <f>+'C-I FREE'!M17</f>
        <v>13.114887732696896</v>
      </c>
      <c r="C15" s="276">
        <f>+'C-I Paid'!M17</f>
        <v>0.39470000000000005</v>
      </c>
      <c r="D15" s="738">
        <f>+'C-I Mail-In'!M17</f>
        <v>7.9649999999999999E-2</v>
      </c>
      <c r="E15" s="276">
        <f>+'COM Cooling'!M17</f>
        <v>0.45480951684767473</v>
      </c>
      <c r="F15" s="276">
        <f>+'COM Duct'!M17</f>
        <v>0</v>
      </c>
      <c r="G15" s="724">
        <f>+'COM Bldg Envel'!M17</f>
        <v>0</v>
      </c>
      <c r="H15" s="276">
        <f>'COM CI'!M17</f>
        <v>0</v>
      </c>
      <c r="I15" s="276">
        <f>'COM WI'!M17</f>
        <v>0</v>
      </c>
      <c r="J15" s="724">
        <f>+'COM EEMotors'!M17</f>
        <v>0</v>
      </c>
      <c r="K15" s="276">
        <f>+'COM Chillers'!M17</f>
        <v>0</v>
      </c>
      <c r="L15" s="276">
        <f>+'COM Occ. Sens.'!M17</f>
        <v>0</v>
      </c>
      <c r="M15" s="276">
        <f>+'COM Ref'!M17</f>
        <v>0</v>
      </c>
      <c r="N15" s="276">
        <f>+'COM WH'!M17</f>
        <v>0</v>
      </c>
      <c r="O15" s="724">
        <f>+'COM Lighting'!M17</f>
        <v>27.405881351031631</v>
      </c>
      <c r="P15" s="276">
        <f>'COM Cond. Light'!M17</f>
        <v>0</v>
      </c>
      <c r="Q15" s="276">
        <f>'COM Non Cond. Light'!M17</f>
        <v>0</v>
      </c>
      <c r="R15" s="276">
        <f>+'COM CV'!M17</f>
        <v>3.2987066666666665</v>
      </c>
      <c r="S15" s="276">
        <f>'COM TES'!M17</f>
        <v>0</v>
      </c>
      <c r="T15" s="738">
        <f>+'Street Light Conv'!M17</f>
        <v>0</v>
      </c>
      <c r="U15" s="276">
        <f>'COM ECM'!M17</f>
        <v>0</v>
      </c>
      <c r="V15" s="738">
        <f>'COM ECM HVAC'!M17</f>
        <v>0</v>
      </c>
      <c r="W15" s="276">
        <f>'COM Cool Roof'!M17</f>
        <v>0</v>
      </c>
      <c r="X15" s="724">
        <f>'COM HVAC ReCommissioning'!M17</f>
        <v>0</v>
      </c>
      <c r="Y15" s="724">
        <f>'COM ERV'!M17</f>
        <v>0</v>
      </c>
      <c r="Z15" s="724">
        <f>'COM School PV'!M17</f>
        <v>0</v>
      </c>
      <c r="AA15" s="724">
        <f>'COM PV'!M17</f>
        <v>0</v>
      </c>
      <c r="AB15" s="277">
        <f t="shared" si="4"/>
        <v>44.748635267242868</v>
      </c>
      <c r="AC15" s="276">
        <f>+'COM LM (cyc)'!N17</f>
        <v>0.185</v>
      </c>
      <c r="AD15" s="276">
        <f>+'COM LM (ext)'!N17</f>
        <v>0.115</v>
      </c>
      <c r="AE15" s="276">
        <f>+'COM SB Gen'!N17</f>
        <v>18.899999999999999</v>
      </c>
      <c r="AF15" s="276">
        <f>+'COM DMD Response'!M17</f>
        <v>0</v>
      </c>
      <c r="AG15" s="277">
        <f t="shared" si="5"/>
        <v>19.2</v>
      </c>
      <c r="AH15" s="718">
        <f t="shared" si="0"/>
        <v>63.948635267242864</v>
      </c>
      <c r="AJ15" s="748">
        <v>2004</v>
      </c>
      <c r="AK15" s="276">
        <f>+'C-I FREE'!Q17</f>
        <v>32.20430310262531</v>
      </c>
      <c r="AL15" s="276">
        <f>+'C-I Paid'!Q17</f>
        <v>0.91442000000000001</v>
      </c>
      <c r="AM15" s="738">
        <f>+'C-I Mail-In'!Q17</f>
        <v>6.0399999999999995E-2</v>
      </c>
      <c r="AN15" s="276">
        <f>+'COM Cooling'!Q17</f>
        <v>0</v>
      </c>
      <c r="AO15" s="276">
        <f>+'COM Duct'!Q17</f>
        <v>0</v>
      </c>
      <c r="AP15" s="738">
        <f>+'COM Bldg Envel'!Q17</f>
        <v>0</v>
      </c>
      <c r="AQ15" s="276">
        <f>'COM CI'!Q17</f>
        <v>0</v>
      </c>
      <c r="AR15" s="276">
        <f>'COM WI'!Q17</f>
        <v>0</v>
      </c>
      <c r="AS15" s="738">
        <f>+'COM EEMotors'!Q17</f>
        <v>0</v>
      </c>
      <c r="AT15" s="276">
        <f>+'COM Chillers'!Q17</f>
        <v>0</v>
      </c>
      <c r="AU15" s="276">
        <f>+'COM Occ. Sens.'!Q17</f>
        <v>0</v>
      </c>
      <c r="AV15" s="276">
        <f>+'COM Ref'!Q17</f>
        <v>0</v>
      </c>
      <c r="AW15" s="276">
        <f>+'COM WH'!Q17</f>
        <v>0</v>
      </c>
      <c r="AX15" s="738">
        <f>+'COM Lighting'!Q17</f>
        <v>10.108008560433328</v>
      </c>
      <c r="AY15" s="276">
        <f>'COM Cond. Light'!Q17</f>
        <v>0</v>
      </c>
      <c r="AZ15" s="276">
        <f>'COM Non Cond. Light'!Q17</f>
        <v>0</v>
      </c>
      <c r="BA15" s="276">
        <f>+'COM CV'!Q17</f>
        <v>2.4490466666666668</v>
      </c>
      <c r="BB15" s="276">
        <f>'COM TES'!Q17</f>
        <v>0</v>
      </c>
      <c r="BC15" s="738">
        <f>+'Street Light Conv'!Q17</f>
        <v>0</v>
      </c>
      <c r="BD15" s="276">
        <f>'COM ECM'!Q17</f>
        <v>0</v>
      </c>
      <c r="BE15" s="738">
        <f>'COM HVAC ReCommissioning'!Q17</f>
        <v>0</v>
      </c>
      <c r="BF15" s="276">
        <f>'COM Cool Roof'!Q17</f>
        <v>0</v>
      </c>
      <c r="BG15" s="738">
        <f>'COM HVAC ReCommissioning'!Q17</f>
        <v>0</v>
      </c>
      <c r="BH15" s="738">
        <f>'COM ERV'!Q17</f>
        <v>0</v>
      </c>
      <c r="BI15" s="738">
        <f>'COM School PV'!Q17</f>
        <v>0</v>
      </c>
      <c r="BJ15" s="276">
        <f>'COM PV'!Q17</f>
        <v>0</v>
      </c>
      <c r="BK15" s="277">
        <f t="shared" si="6"/>
        <v>45.736178329725306</v>
      </c>
      <c r="BL15" s="276">
        <f>+'COM LM (cyc)'!T17</f>
        <v>0</v>
      </c>
      <c r="BM15" s="276">
        <f>+'COM LM (ext)'!T17</f>
        <v>0.2</v>
      </c>
      <c r="BN15" s="276">
        <f>+'COM SB Gen'!T17</f>
        <v>17.100000000000001</v>
      </c>
      <c r="BO15" s="276">
        <f>+'COM DMD Response'!Q17</f>
        <v>0</v>
      </c>
      <c r="BP15" s="1106">
        <f t="shared" si="7"/>
        <v>17.3</v>
      </c>
      <c r="BQ15" s="718">
        <f t="shared" si="1"/>
        <v>63.036178329725303</v>
      </c>
      <c r="BS15" s="269">
        <v>2004</v>
      </c>
      <c r="BT15" s="275">
        <f>+'C-I FREE'!U17</f>
        <v>19.750076204057279</v>
      </c>
      <c r="BU15" s="276">
        <f>+'C-I Paid'!U17</f>
        <v>0.22068450000000001</v>
      </c>
      <c r="BV15" s="738">
        <f>+'C-I Mail-In'!U17</f>
        <v>0.33984000000000003</v>
      </c>
      <c r="BW15" s="276">
        <f>+'COM Cooling'!U17</f>
        <v>1.8138268106237816</v>
      </c>
      <c r="BX15" s="276">
        <f>+'COM Duct'!U17</f>
        <v>0</v>
      </c>
      <c r="BY15" s="738">
        <f>+'COM Bldg Envel'!U17</f>
        <v>0</v>
      </c>
      <c r="BZ15" s="276">
        <f>'COM CI'!U17</f>
        <v>0</v>
      </c>
      <c r="CA15" s="276">
        <f>'COM WI'!U17</f>
        <v>0</v>
      </c>
      <c r="CB15" s="738">
        <f>+'COM EEMotors'!U17</f>
        <v>0</v>
      </c>
      <c r="CC15" s="276">
        <f>+'COM Chillers'!U17</f>
        <v>0</v>
      </c>
      <c r="CD15" s="276">
        <f>+'COM Occ. Sens.'!U17</f>
        <v>0</v>
      </c>
      <c r="CE15" s="276">
        <f>+'COM Ref'!U17</f>
        <v>0</v>
      </c>
      <c r="CF15" s="276">
        <f>+'COM WH'!U17</f>
        <v>0</v>
      </c>
      <c r="CG15" s="738">
        <f>+'COM Lighting'!U17</f>
        <v>123.23724680244091</v>
      </c>
      <c r="CH15" s="276">
        <f>'COM Cond. Light'!U17</f>
        <v>0</v>
      </c>
      <c r="CI15" s="276">
        <f>'COM Non Cond. Light'!U17</f>
        <v>0</v>
      </c>
      <c r="CJ15" s="276">
        <f>+'COM CV'!U17</f>
        <v>15.730283666666669</v>
      </c>
      <c r="CK15" s="276">
        <f>'COM TES'!U17</f>
        <v>0</v>
      </c>
      <c r="CL15" s="738">
        <f>+'Street Light Conv'!U17</f>
        <v>16</v>
      </c>
      <c r="CM15" s="276">
        <f>'COM ECM'!U17</f>
        <v>0</v>
      </c>
      <c r="CN15" s="738">
        <f>'COM HVAC ReCommissioning'!U17</f>
        <v>0</v>
      </c>
      <c r="CO15" s="276">
        <f>'COM Cool Roof'!U17</f>
        <v>0</v>
      </c>
      <c r="CP15" s="738">
        <f>'COM HVAC ReCommissioning'!U17</f>
        <v>0</v>
      </c>
      <c r="CQ15" s="738">
        <f>'COM ERV'!U17</f>
        <v>0</v>
      </c>
      <c r="CR15" s="276">
        <f>'COM School PV'!U17</f>
        <v>0</v>
      </c>
      <c r="CS15" s="276">
        <f>'COM PV'!U17</f>
        <v>0</v>
      </c>
      <c r="CT15" s="735">
        <f t="shared" si="8"/>
        <v>161.09195798378866</v>
      </c>
      <c r="CU15" s="741">
        <f>+'COM LM (cyc)'!Z17</f>
        <v>0</v>
      </c>
      <c r="CV15" s="276">
        <f>+'COM LM (ext)'!Z17</f>
        <v>0</v>
      </c>
      <c r="CW15" s="276">
        <f>+'COM SB Gen'!Z17</f>
        <v>1.8149999999999997</v>
      </c>
      <c r="CX15" s="276">
        <f>+'COM DMD Response'!U17</f>
        <v>0</v>
      </c>
      <c r="CY15" s="277">
        <f t="shared" si="2"/>
        <v>1.8149999999999997</v>
      </c>
      <c r="CZ15" s="744">
        <f t="shared" si="3"/>
        <v>162.90695798378866</v>
      </c>
      <c r="DB15" s="162"/>
    </row>
    <row r="16" spans="1:106" x14ac:dyDescent="0.2">
      <c r="A16" s="269">
        <v>2005</v>
      </c>
      <c r="B16" s="275">
        <f>+'C-I FREE'!M18</f>
        <v>13.160487732696897</v>
      </c>
      <c r="C16" s="276">
        <f>+'C-I Paid'!M18</f>
        <v>0.39470000000000005</v>
      </c>
      <c r="D16" s="738">
        <f>+'C-I Mail-In'!M18</f>
        <v>7.9649999999999999E-2</v>
      </c>
      <c r="E16" s="276">
        <f>+'COM Cooling'!M18</f>
        <v>0.55967443488046165</v>
      </c>
      <c r="F16" s="276">
        <f>+'COM Duct'!M18</f>
        <v>0</v>
      </c>
      <c r="G16" s="724">
        <f>+'COM Bldg Envel'!M18</f>
        <v>0</v>
      </c>
      <c r="H16" s="276">
        <f>'COM CI'!M18</f>
        <v>0</v>
      </c>
      <c r="I16" s="276">
        <f>'COM WI'!M18</f>
        <v>0</v>
      </c>
      <c r="J16" s="724">
        <f>+'COM EEMotors'!M18</f>
        <v>0</v>
      </c>
      <c r="K16" s="276">
        <f>+'COM Chillers'!M18</f>
        <v>0</v>
      </c>
      <c r="L16" s="276">
        <f>+'COM Occ. Sens.'!M18</f>
        <v>0</v>
      </c>
      <c r="M16" s="276">
        <f>+'COM Ref'!M18</f>
        <v>0</v>
      </c>
      <c r="N16" s="276">
        <f>+'COM WH'!M18</f>
        <v>0</v>
      </c>
      <c r="O16" s="724">
        <f>+'COM Lighting'!M18</f>
        <v>28.703051351031633</v>
      </c>
      <c r="P16" s="276">
        <f>'COM Cond. Light'!M18</f>
        <v>0</v>
      </c>
      <c r="Q16" s="276">
        <f>'COM Non Cond. Light'!M18</f>
        <v>0</v>
      </c>
      <c r="R16" s="276">
        <f>+'COM CV'!M18</f>
        <v>3.3904766666666664</v>
      </c>
      <c r="S16" s="276">
        <f>'COM TES'!M18</f>
        <v>0</v>
      </c>
      <c r="T16" s="738">
        <f>+'Street Light Conv'!M18</f>
        <v>0</v>
      </c>
      <c r="U16" s="276">
        <f>'COM ECM'!M18</f>
        <v>0</v>
      </c>
      <c r="V16" s="738">
        <f>'COM ECM HVAC'!M18</f>
        <v>0</v>
      </c>
      <c r="W16" s="276">
        <f>'COM Cool Roof'!M18</f>
        <v>0</v>
      </c>
      <c r="X16" s="724">
        <f>'COM HVAC ReCommissioning'!M18</f>
        <v>0</v>
      </c>
      <c r="Y16" s="724">
        <f>'COM ERV'!M18</f>
        <v>0</v>
      </c>
      <c r="Z16" s="724">
        <f>'COM School PV'!M18</f>
        <v>0</v>
      </c>
      <c r="AA16" s="724">
        <f>'COM PV'!M18</f>
        <v>0</v>
      </c>
      <c r="AB16" s="277">
        <f t="shared" si="4"/>
        <v>46.288040185275655</v>
      </c>
      <c r="AC16" s="276">
        <f>+'COM LM (cyc)'!N18</f>
        <v>0.3</v>
      </c>
      <c r="AD16" s="276">
        <f>+'COM LM (ext)'!N18</f>
        <v>0.5</v>
      </c>
      <c r="AE16" s="276">
        <f>+'COM SB Gen'!N18</f>
        <v>17.7</v>
      </c>
      <c r="AF16" s="276">
        <f>+'COM DMD Response'!M18</f>
        <v>0</v>
      </c>
      <c r="AG16" s="277">
        <f t="shared" si="5"/>
        <v>18.5</v>
      </c>
      <c r="AH16" s="718">
        <f t="shared" si="0"/>
        <v>64.788040185275662</v>
      </c>
      <c r="AJ16" s="748">
        <v>2005</v>
      </c>
      <c r="AK16" s="276">
        <f>+'C-I FREE'!Q18</f>
        <v>32.243123102625312</v>
      </c>
      <c r="AL16" s="276">
        <f>+'C-I Paid'!Q18</f>
        <v>0.91442000000000001</v>
      </c>
      <c r="AM16" s="738">
        <f>+'C-I Mail-In'!Q18</f>
        <v>6.0399999999999995E-2</v>
      </c>
      <c r="AN16" s="276">
        <f>+'COM Cooling'!Q18</f>
        <v>0</v>
      </c>
      <c r="AO16" s="276">
        <f>+'COM Duct'!Q18</f>
        <v>0</v>
      </c>
      <c r="AP16" s="738">
        <f>+'COM Bldg Envel'!Q18</f>
        <v>0</v>
      </c>
      <c r="AQ16" s="276">
        <f>'COM CI'!Q18</f>
        <v>0</v>
      </c>
      <c r="AR16" s="276">
        <f>'COM WI'!Q18</f>
        <v>0</v>
      </c>
      <c r="AS16" s="738">
        <f>+'COM EEMotors'!Q18</f>
        <v>0</v>
      </c>
      <c r="AT16" s="276">
        <f>+'COM Chillers'!Q18</f>
        <v>0</v>
      </c>
      <c r="AU16" s="276">
        <f>+'COM Occ. Sens.'!Q18</f>
        <v>0</v>
      </c>
      <c r="AV16" s="276">
        <f>+'COM Ref'!Q18</f>
        <v>0</v>
      </c>
      <c r="AW16" s="276">
        <f>+'COM WH'!Q18</f>
        <v>0</v>
      </c>
      <c r="AX16" s="738">
        <f>+'COM Lighting'!Q18</f>
        <v>10.707728560433328</v>
      </c>
      <c r="AY16" s="276">
        <f>'COM Cond. Light'!Q18</f>
        <v>0</v>
      </c>
      <c r="AZ16" s="276">
        <f>'COM Non Cond. Light'!Q18</f>
        <v>0</v>
      </c>
      <c r="BA16" s="276">
        <f>+'COM CV'!Q18</f>
        <v>2.5102266666666666</v>
      </c>
      <c r="BB16" s="276">
        <f>'COM TES'!Q18</f>
        <v>0</v>
      </c>
      <c r="BC16" s="738">
        <f>+'Street Light Conv'!Q18</f>
        <v>0</v>
      </c>
      <c r="BD16" s="276">
        <f>'COM ECM'!Q18</f>
        <v>0</v>
      </c>
      <c r="BE16" s="738">
        <f>'COM HVAC ReCommissioning'!Q18</f>
        <v>0</v>
      </c>
      <c r="BF16" s="276">
        <f>'COM Cool Roof'!Q18</f>
        <v>0</v>
      </c>
      <c r="BG16" s="738">
        <f>'COM HVAC ReCommissioning'!Q18</f>
        <v>0</v>
      </c>
      <c r="BH16" s="738">
        <f>'COM ERV'!Q18</f>
        <v>0</v>
      </c>
      <c r="BI16" s="738">
        <f>'COM School PV'!Q18</f>
        <v>0</v>
      </c>
      <c r="BJ16" s="276">
        <f>'COM PV'!Q18</f>
        <v>0</v>
      </c>
      <c r="BK16" s="277">
        <f t="shared" si="6"/>
        <v>46.435898329725305</v>
      </c>
      <c r="BL16" s="276">
        <f>+'COM LM (cyc)'!T18</f>
        <v>0</v>
      </c>
      <c r="BM16" s="276">
        <f>+'COM LM (ext)'!T18</f>
        <v>0.1</v>
      </c>
      <c r="BN16" s="276">
        <f>+'COM SB Gen'!T18</f>
        <v>15.4</v>
      </c>
      <c r="BO16" s="276">
        <f>+'COM DMD Response'!Q18</f>
        <v>0</v>
      </c>
      <c r="BP16" s="1106">
        <f t="shared" si="7"/>
        <v>15.5</v>
      </c>
      <c r="BQ16" s="718">
        <f t="shared" si="1"/>
        <v>61.935898329725305</v>
      </c>
      <c r="BS16" s="269">
        <v>2005</v>
      </c>
      <c r="BT16" s="275">
        <f>+'C-I FREE'!U18</f>
        <v>19.944446204057279</v>
      </c>
      <c r="BU16" s="276">
        <f>+'C-I Paid'!U18</f>
        <v>0.22068450000000001</v>
      </c>
      <c r="BV16" s="738">
        <f>+'C-I Mail-In'!U18</f>
        <v>0.33984000000000003</v>
      </c>
      <c r="BW16" s="276">
        <f>+'COM Cooling'!U18</f>
        <v>2.2281764499680441</v>
      </c>
      <c r="BX16" s="276">
        <f>+'COM Duct'!U18</f>
        <v>0</v>
      </c>
      <c r="BY16" s="738">
        <f>+'COM Bldg Envel'!U18</f>
        <v>0</v>
      </c>
      <c r="BZ16" s="276">
        <f>'COM CI'!U18</f>
        <v>0</v>
      </c>
      <c r="CA16" s="276">
        <f>'COM WI'!U18</f>
        <v>0</v>
      </c>
      <c r="CB16" s="738">
        <f>+'COM EEMotors'!U18</f>
        <v>0</v>
      </c>
      <c r="CC16" s="276">
        <f>+'COM Chillers'!U18</f>
        <v>0</v>
      </c>
      <c r="CD16" s="276">
        <f>+'COM Occ. Sens.'!U18</f>
        <v>0</v>
      </c>
      <c r="CE16" s="276">
        <f>+'COM Ref'!U18</f>
        <v>0</v>
      </c>
      <c r="CF16" s="276">
        <f>+'COM WH'!U18</f>
        <v>0</v>
      </c>
      <c r="CG16" s="738">
        <f>+'COM Lighting'!U18</f>
        <v>132.93800780244089</v>
      </c>
      <c r="CH16" s="276">
        <f>'COM Cond. Light'!U18</f>
        <v>0</v>
      </c>
      <c r="CI16" s="276">
        <f>'COM Non Cond. Light'!U18</f>
        <v>0</v>
      </c>
      <c r="CJ16" s="276">
        <f>+'COM CV'!U18</f>
        <v>16.161034916666669</v>
      </c>
      <c r="CK16" s="276">
        <f>'COM TES'!U18</f>
        <v>0</v>
      </c>
      <c r="CL16" s="738">
        <f>+'Street Light Conv'!U18</f>
        <v>16</v>
      </c>
      <c r="CM16" s="276">
        <f>'COM ECM'!U18</f>
        <v>0</v>
      </c>
      <c r="CN16" s="738">
        <f>'COM HVAC ReCommissioning'!U18</f>
        <v>0</v>
      </c>
      <c r="CO16" s="276">
        <f>'COM Cool Roof'!U18</f>
        <v>0</v>
      </c>
      <c r="CP16" s="738">
        <f>'COM HVAC ReCommissioning'!U18</f>
        <v>0</v>
      </c>
      <c r="CQ16" s="738">
        <f>'COM ERV'!U18</f>
        <v>0</v>
      </c>
      <c r="CR16" s="276">
        <f>'COM School PV'!U18</f>
        <v>0</v>
      </c>
      <c r="CS16" s="276">
        <f>'COM PV'!U18</f>
        <v>0</v>
      </c>
      <c r="CT16" s="735">
        <f t="shared" si="8"/>
        <v>171.83218987313288</v>
      </c>
      <c r="CU16" s="741">
        <f>+'COM LM (cyc)'!Z18</f>
        <v>0</v>
      </c>
      <c r="CV16" s="276">
        <f>+'COM LM (ext)'!Z18</f>
        <v>0</v>
      </c>
      <c r="CW16" s="276">
        <f>+'COM SB Gen'!Z18</f>
        <v>1.6741666666666664</v>
      </c>
      <c r="CX16" s="276">
        <f>+'COM DMD Response'!U18</f>
        <v>0</v>
      </c>
      <c r="CY16" s="277">
        <f t="shared" si="2"/>
        <v>1.6741666666666664</v>
      </c>
      <c r="CZ16" s="744">
        <f t="shared" si="3"/>
        <v>173.50635653979955</v>
      </c>
      <c r="DB16" s="162"/>
    </row>
    <row r="17" spans="1:106" x14ac:dyDescent="0.2">
      <c r="A17" s="269">
        <v>2006</v>
      </c>
      <c r="B17" s="275">
        <f>+'C-I FREE'!M19</f>
        <v>13.204167732696897</v>
      </c>
      <c r="C17" s="276">
        <f>+'C-I Paid'!M19</f>
        <v>0.39470000000000005</v>
      </c>
      <c r="D17" s="738">
        <f>+'C-I Mail-In'!M19</f>
        <v>7.9649999999999999E-2</v>
      </c>
      <c r="E17" s="276">
        <f>+'COM Cooling'!M19</f>
        <v>0.66922394876935054</v>
      </c>
      <c r="F17" s="276">
        <f>+'COM Duct'!M19</f>
        <v>0</v>
      </c>
      <c r="G17" s="724">
        <f>+'COM Bldg Envel'!M19</f>
        <v>0</v>
      </c>
      <c r="H17" s="276">
        <f>'COM CI'!M19</f>
        <v>0</v>
      </c>
      <c r="I17" s="276">
        <f>'COM WI'!M19</f>
        <v>0</v>
      </c>
      <c r="J17" s="724">
        <f>+'COM EEMotors'!M19</f>
        <v>0</v>
      </c>
      <c r="K17" s="276">
        <f>+'COM Chillers'!M19</f>
        <v>0</v>
      </c>
      <c r="L17" s="276">
        <f>+'COM Occ. Sens.'!M19</f>
        <v>0</v>
      </c>
      <c r="M17" s="276">
        <f>+'COM Ref'!M19</f>
        <v>0</v>
      </c>
      <c r="N17" s="276">
        <f>+'COM WH'!M19</f>
        <v>0</v>
      </c>
      <c r="O17" s="724">
        <f>+'COM Lighting'!M19</f>
        <v>29.936136351031632</v>
      </c>
      <c r="P17" s="276">
        <f>'COM Cond. Light'!M19</f>
        <v>0</v>
      </c>
      <c r="Q17" s="276">
        <f>'COM Non Cond. Light'!M19</f>
        <v>0</v>
      </c>
      <c r="R17" s="276">
        <f>+'COM CV'!M19</f>
        <v>3.644918333333333</v>
      </c>
      <c r="S17" s="276">
        <f>'COM TES'!M19</f>
        <v>0</v>
      </c>
      <c r="T17" s="738">
        <f>+'Street Light Conv'!M19</f>
        <v>0</v>
      </c>
      <c r="U17" s="276">
        <f>'COM ECM'!M19</f>
        <v>0</v>
      </c>
      <c r="V17" s="738">
        <f>'COM ECM HVAC'!M19</f>
        <v>0</v>
      </c>
      <c r="W17" s="276">
        <f>'COM Cool Roof'!M19</f>
        <v>0</v>
      </c>
      <c r="X17" s="724">
        <f>'COM HVAC ReCommissioning'!M19</f>
        <v>0</v>
      </c>
      <c r="Y17" s="724">
        <f>'COM ERV'!M19</f>
        <v>0</v>
      </c>
      <c r="Z17" s="724">
        <f>'COM School PV'!M19</f>
        <v>0</v>
      </c>
      <c r="AA17" s="724">
        <f>'COM PV'!M19</f>
        <v>0</v>
      </c>
      <c r="AB17" s="277">
        <f t="shared" si="4"/>
        <v>47.928796365831218</v>
      </c>
      <c r="AC17" s="276">
        <f>+'COM LM (cyc)'!N19</f>
        <v>0.53795000000000004</v>
      </c>
      <c r="AD17" s="276">
        <f>+'COM LM (ext)'!N19</f>
        <v>0</v>
      </c>
      <c r="AE17" s="276">
        <f>+'COM SB Gen'!N19</f>
        <v>16.600000000000001</v>
      </c>
      <c r="AF17" s="276">
        <f>+'COM DMD Response'!M19</f>
        <v>0</v>
      </c>
      <c r="AG17" s="277">
        <f t="shared" si="5"/>
        <v>17.13795</v>
      </c>
      <c r="AH17" s="718">
        <f t="shared" si="0"/>
        <v>65.066746365831222</v>
      </c>
      <c r="AJ17" s="748">
        <v>2006</v>
      </c>
      <c r="AK17" s="276">
        <f>+'C-I FREE'!Q19</f>
        <v>32.272703102625314</v>
      </c>
      <c r="AL17" s="276">
        <f>+'C-I Paid'!Q19</f>
        <v>0.91442000000000001</v>
      </c>
      <c r="AM17" s="738">
        <f>+'C-I Mail-In'!Q19</f>
        <v>6.0399999999999995E-2</v>
      </c>
      <c r="AN17" s="276">
        <f>+'COM Cooling'!Q19</f>
        <v>0</v>
      </c>
      <c r="AO17" s="276">
        <f>+'COM Duct'!Q19</f>
        <v>0</v>
      </c>
      <c r="AP17" s="738">
        <f>+'COM Bldg Envel'!Q19</f>
        <v>0</v>
      </c>
      <c r="AQ17" s="276">
        <f>'COM CI'!Q19</f>
        <v>0</v>
      </c>
      <c r="AR17" s="276">
        <f>'COM WI'!Q19</f>
        <v>0</v>
      </c>
      <c r="AS17" s="738">
        <f>+'COM EEMotors'!Q19</f>
        <v>0</v>
      </c>
      <c r="AT17" s="276">
        <f>+'COM Chillers'!Q19</f>
        <v>0</v>
      </c>
      <c r="AU17" s="276">
        <f>+'COM Occ. Sens.'!Q19</f>
        <v>0</v>
      </c>
      <c r="AV17" s="276">
        <f>+'COM Ref'!Q19</f>
        <v>0</v>
      </c>
      <c r="AW17" s="276">
        <f>+'COM WH'!Q19</f>
        <v>0</v>
      </c>
      <c r="AX17" s="738">
        <f>+'COM Lighting'!Q19</f>
        <v>11.214068560433327</v>
      </c>
      <c r="AY17" s="276">
        <f>'COM Cond. Light'!Q19</f>
        <v>0</v>
      </c>
      <c r="AZ17" s="276">
        <f>'COM Non Cond. Light'!Q19</f>
        <v>0</v>
      </c>
      <c r="BA17" s="276">
        <f>+'COM CV'!Q19</f>
        <v>2.5503999999999998</v>
      </c>
      <c r="BB17" s="276">
        <f>'COM TES'!Q19</f>
        <v>0</v>
      </c>
      <c r="BC17" s="738">
        <f>+'Street Light Conv'!Q19</f>
        <v>0</v>
      </c>
      <c r="BD17" s="276">
        <f>'COM ECM'!Q19</f>
        <v>0</v>
      </c>
      <c r="BE17" s="738">
        <f>'COM HVAC ReCommissioning'!Q19</f>
        <v>0</v>
      </c>
      <c r="BF17" s="276">
        <f>'COM Cool Roof'!Q19</f>
        <v>0</v>
      </c>
      <c r="BG17" s="738">
        <f>'COM HVAC ReCommissioning'!Q19</f>
        <v>0</v>
      </c>
      <c r="BH17" s="738">
        <f>'COM ERV'!Q19</f>
        <v>0</v>
      </c>
      <c r="BI17" s="738">
        <f>'COM School PV'!Q19</f>
        <v>0</v>
      </c>
      <c r="BJ17" s="276">
        <f>'COM PV'!Q19</f>
        <v>0</v>
      </c>
      <c r="BK17" s="277">
        <f t="shared" si="6"/>
        <v>47.011991663058637</v>
      </c>
      <c r="BL17" s="276">
        <f>+'COM LM (cyc)'!T19</f>
        <v>0</v>
      </c>
      <c r="BM17" s="276">
        <f>+'COM LM (ext)'!T19</f>
        <v>0</v>
      </c>
      <c r="BN17" s="276">
        <f>+'COM SB Gen'!T19</f>
        <v>16.399999999999999</v>
      </c>
      <c r="BO17" s="276">
        <f>+'COM DMD Response'!Q19</f>
        <v>0</v>
      </c>
      <c r="BP17" s="1106">
        <f t="shared" si="7"/>
        <v>16.399999999999999</v>
      </c>
      <c r="BQ17" s="718">
        <f t="shared" si="1"/>
        <v>63.411991663058636</v>
      </c>
      <c r="BS17" s="269">
        <v>2006</v>
      </c>
      <c r="BT17" s="275">
        <f>+'C-I FREE'!U19</f>
        <v>20.130632204057278</v>
      </c>
      <c r="BU17" s="276">
        <f>+'C-I Paid'!U19</f>
        <v>0.22068450000000001</v>
      </c>
      <c r="BV17" s="738">
        <f>+'C-I Mail-In'!U19</f>
        <v>0.33984000000000003</v>
      </c>
      <c r="BW17" s="276">
        <f>+'COM Cooling'!U19</f>
        <v>2.6604984916347107</v>
      </c>
      <c r="BX17" s="276">
        <f>+'COM Duct'!U19</f>
        <v>0</v>
      </c>
      <c r="BY17" s="738">
        <f>+'COM Bldg Envel'!U19</f>
        <v>0</v>
      </c>
      <c r="BZ17" s="276">
        <f>'COM CI'!U19</f>
        <v>0</v>
      </c>
      <c r="CA17" s="276">
        <f>'COM WI'!U19</f>
        <v>0</v>
      </c>
      <c r="CB17" s="738">
        <f>+'COM EEMotors'!U19</f>
        <v>0</v>
      </c>
      <c r="CC17" s="276">
        <f>+'COM Chillers'!U19</f>
        <v>0</v>
      </c>
      <c r="CD17" s="276">
        <f>+'COM Occ. Sens.'!U19</f>
        <v>0</v>
      </c>
      <c r="CE17" s="276">
        <f>+'COM Ref'!U19</f>
        <v>0</v>
      </c>
      <c r="CF17" s="276">
        <f>+'COM WH'!U19</f>
        <v>0</v>
      </c>
      <c r="CG17" s="738">
        <f>+'COM Lighting'!U19</f>
        <v>139.90350480244089</v>
      </c>
      <c r="CH17" s="276">
        <f>'COM Cond. Light'!U19</f>
        <v>0</v>
      </c>
      <c r="CI17" s="276">
        <f>'COM Non Cond. Light'!U19</f>
        <v>0</v>
      </c>
      <c r="CJ17" s="276">
        <f>+'COM CV'!U19</f>
        <v>17.042479083333337</v>
      </c>
      <c r="CK17" s="276">
        <f>'COM TES'!U19</f>
        <v>0</v>
      </c>
      <c r="CL17" s="738">
        <f>+'Street Light Conv'!U19</f>
        <v>16</v>
      </c>
      <c r="CM17" s="276">
        <f>'COM ECM'!U19</f>
        <v>0</v>
      </c>
      <c r="CN17" s="738">
        <f>'COM HVAC ReCommissioning'!U19</f>
        <v>0</v>
      </c>
      <c r="CO17" s="276">
        <f>'COM Cool Roof'!U19</f>
        <v>0</v>
      </c>
      <c r="CP17" s="738">
        <f>'COM HVAC ReCommissioning'!U19</f>
        <v>0</v>
      </c>
      <c r="CQ17" s="738">
        <f>'COM ERV'!U19</f>
        <v>0</v>
      </c>
      <c r="CR17" s="276">
        <f>'COM School PV'!U19</f>
        <v>0</v>
      </c>
      <c r="CS17" s="276">
        <f>'COM PV'!U19</f>
        <v>0</v>
      </c>
      <c r="CT17" s="735">
        <f t="shared" si="8"/>
        <v>180.29763908146623</v>
      </c>
      <c r="CU17" s="741">
        <f>+'COM LM (cyc)'!Z19</f>
        <v>0</v>
      </c>
      <c r="CV17" s="276">
        <f>+'COM LM (ext)'!Z19</f>
        <v>0</v>
      </c>
      <c r="CW17" s="276">
        <f>+'COM SB Gen'!Z19</f>
        <v>1.6516666666666671</v>
      </c>
      <c r="CX17" s="276">
        <f>+'COM DMD Response'!U19</f>
        <v>0</v>
      </c>
      <c r="CY17" s="277">
        <f t="shared" si="2"/>
        <v>1.6516666666666671</v>
      </c>
      <c r="CZ17" s="744">
        <f t="shared" si="3"/>
        <v>181.9493057481329</v>
      </c>
      <c r="DB17" s="162"/>
    </row>
    <row r="18" spans="1:106" x14ac:dyDescent="0.2">
      <c r="A18" s="269">
        <v>2007</v>
      </c>
      <c r="B18" s="275">
        <f>+'C-I FREE'!M20</f>
        <v>13.252847732696896</v>
      </c>
      <c r="C18" s="276">
        <f>+'C-I Paid'!M20</f>
        <v>0.39470000000000005</v>
      </c>
      <c r="D18" s="738">
        <f>+'C-I Mail-In'!M20</f>
        <v>7.9649999999999999E-2</v>
      </c>
      <c r="E18" s="276">
        <f>+'COM Cooling'!M20</f>
        <v>0.85837394876935058</v>
      </c>
      <c r="F18" s="276">
        <f>+'COM Duct'!M20</f>
        <v>0</v>
      </c>
      <c r="G18" s="724">
        <f>+'COM Bldg Envel'!M20</f>
        <v>0</v>
      </c>
      <c r="H18" s="276">
        <f>'COM CI'!M20</f>
        <v>0</v>
      </c>
      <c r="I18" s="276">
        <f>'COM WI'!M20</f>
        <v>0</v>
      </c>
      <c r="J18" s="724">
        <f>+'COM EEMotors'!M20</f>
        <v>0</v>
      </c>
      <c r="K18" s="276">
        <f>+'COM Chillers'!M20</f>
        <v>0</v>
      </c>
      <c r="L18" s="276">
        <f>+'COM Occ. Sens.'!M20</f>
        <v>0</v>
      </c>
      <c r="M18" s="276">
        <f>+'COM Ref'!M20</f>
        <v>0</v>
      </c>
      <c r="N18" s="276">
        <f>+'COM WH'!M20</f>
        <v>0</v>
      </c>
      <c r="O18" s="724">
        <f>+'COM Lighting'!M20</f>
        <v>30.977096351031634</v>
      </c>
      <c r="P18" s="276">
        <f>'COM Cond. Light'!M20</f>
        <v>0</v>
      </c>
      <c r="Q18" s="276">
        <f>'COM Non Cond. Light'!M20</f>
        <v>0</v>
      </c>
      <c r="R18" s="276">
        <f>+'COM CV'!M20</f>
        <v>4.9303883333333332</v>
      </c>
      <c r="S18" s="276">
        <f>'COM TES'!M20</f>
        <v>0</v>
      </c>
      <c r="T18" s="738">
        <f>+'Street Light Conv'!M20</f>
        <v>0</v>
      </c>
      <c r="U18" s="276">
        <f>'COM ECM'!M20</f>
        <v>0</v>
      </c>
      <c r="V18" s="738">
        <f>'COM ECM HVAC'!M20</f>
        <v>0</v>
      </c>
      <c r="W18" s="276">
        <f>'COM Cool Roof'!M20</f>
        <v>0</v>
      </c>
      <c r="X18" s="724">
        <f>'COM HVAC ReCommissioning'!M20</f>
        <v>0</v>
      </c>
      <c r="Y18" s="724">
        <f>'COM ERV'!M20</f>
        <v>0</v>
      </c>
      <c r="Z18" s="724">
        <f>'COM School PV'!M20</f>
        <v>0</v>
      </c>
      <c r="AA18" s="724">
        <f>'COM PV'!M20</f>
        <v>0</v>
      </c>
      <c r="AB18" s="277">
        <f t="shared" si="4"/>
        <v>50.493056365831215</v>
      </c>
      <c r="AC18" s="276">
        <f>+'COM LM (cyc)'!N20</f>
        <v>0.41990000000000005</v>
      </c>
      <c r="AD18" s="276">
        <f>+'COM LM (ext)'!N20</f>
        <v>0</v>
      </c>
      <c r="AE18" s="276">
        <f>+'COM SB Gen'!N20</f>
        <v>16.600000000000001</v>
      </c>
      <c r="AF18" s="276">
        <f>+'COM DMD Response'!M20</f>
        <v>0</v>
      </c>
      <c r="AG18" s="277">
        <f t="shared" si="5"/>
        <v>17.0199</v>
      </c>
      <c r="AH18" s="718">
        <f t="shared" si="0"/>
        <v>67.512956365831215</v>
      </c>
      <c r="AJ18" s="748">
        <v>2007</v>
      </c>
      <c r="AK18" s="276">
        <f>+'C-I FREE'!Q20</f>
        <v>32.308643102625311</v>
      </c>
      <c r="AL18" s="276">
        <f>+'C-I Paid'!Q20</f>
        <v>0.91442000000000001</v>
      </c>
      <c r="AM18" s="738">
        <f>+'C-I Mail-In'!Q20</f>
        <v>6.0399999999999995E-2</v>
      </c>
      <c r="AN18" s="276">
        <f>+'COM Cooling'!Q20</f>
        <v>0</v>
      </c>
      <c r="AO18" s="276">
        <f>+'COM Duct'!Q20</f>
        <v>0</v>
      </c>
      <c r="AP18" s="738">
        <f>+'COM Bldg Envel'!Q20</f>
        <v>0</v>
      </c>
      <c r="AQ18" s="276">
        <f>'COM CI'!Q20</f>
        <v>0</v>
      </c>
      <c r="AR18" s="276">
        <f>'COM WI'!Q20</f>
        <v>0</v>
      </c>
      <c r="AS18" s="738">
        <f>+'COM EEMotors'!Q20</f>
        <v>0</v>
      </c>
      <c r="AT18" s="276">
        <f>+'COM Chillers'!Q20</f>
        <v>0</v>
      </c>
      <c r="AU18" s="276">
        <f>+'COM Occ. Sens.'!Q20</f>
        <v>0</v>
      </c>
      <c r="AV18" s="276">
        <f>+'COM Ref'!Q20</f>
        <v>0</v>
      </c>
      <c r="AW18" s="276">
        <f>+'COM WH'!Q20</f>
        <v>0</v>
      </c>
      <c r="AX18" s="738">
        <f>+'COM Lighting'!Q20</f>
        <v>11.439868560433327</v>
      </c>
      <c r="AY18" s="276">
        <f>'COM Cond. Light'!Q20</f>
        <v>0</v>
      </c>
      <c r="AZ18" s="276">
        <f>'COM Non Cond. Light'!Q20</f>
        <v>0</v>
      </c>
      <c r="BA18" s="276">
        <f>+'COM CV'!Q20</f>
        <v>3.1268499999999997</v>
      </c>
      <c r="BB18" s="276">
        <f>'COM TES'!Q20</f>
        <v>0</v>
      </c>
      <c r="BC18" s="738">
        <f>+'Street Light Conv'!Q20</f>
        <v>0</v>
      </c>
      <c r="BD18" s="276">
        <f>'COM ECM'!Q20</f>
        <v>0</v>
      </c>
      <c r="BE18" s="738">
        <f>'COM HVAC ReCommissioning'!Q20</f>
        <v>0</v>
      </c>
      <c r="BF18" s="276">
        <f>'COM Cool Roof'!Q20</f>
        <v>0</v>
      </c>
      <c r="BG18" s="738">
        <f>'COM HVAC ReCommissioning'!Q20</f>
        <v>0</v>
      </c>
      <c r="BH18" s="738">
        <f>'COM ERV'!Q20</f>
        <v>0</v>
      </c>
      <c r="BI18" s="738">
        <f>'COM School PV'!Q20</f>
        <v>0</v>
      </c>
      <c r="BJ18" s="276">
        <f>'COM PV'!Q20</f>
        <v>0</v>
      </c>
      <c r="BK18" s="277">
        <f t="shared" si="6"/>
        <v>47.850181663058635</v>
      </c>
      <c r="BL18" s="276">
        <f>+'COM LM (cyc)'!T20</f>
        <v>0</v>
      </c>
      <c r="BM18" s="276">
        <f>+'COM LM (ext)'!T20</f>
        <v>0</v>
      </c>
      <c r="BN18" s="276">
        <f>+'COM SB Gen'!T20</f>
        <v>16.899999999999999</v>
      </c>
      <c r="BO18" s="276">
        <f>+'COM DMD Response'!Q20</f>
        <v>0</v>
      </c>
      <c r="BP18" s="1106">
        <f t="shared" si="7"/>
        <v>16.899999999999999</v>
      </c>
      <c r="BQ18" s="718">
        <f t="shared" si="1"/>
        <v>64.75018166305864</v>
      </c>
      <c r="BS18" s="269">
        <v>2007</v>
      </c>
      <c r="BT18" s="275">
        <f>+'C-I FREE'!U20</f>
        <v>20.338130704057278</v>
      </c>
      <c r="BU18" s="276">
        <f>+'C-I Paid'!U20</f>
        <v>0.22068450000000001</v>
      </c>
      <c r="BV18" s="738">
        <f>+'C-I Mail-In'!U20</f>
        <v>0.33984000000000003</v>
      </c>
      <c r="BW18" s="276">
        <f>+'COM Cooling'!U20</f>
        <v>3.4039064916347108</v>
      </c>
      <c r="BX18" s="276">
        <f>+'COM Duct'!U20</f>
        <v>0</v>
      </c>
      <c r="BY18" s="738">
        <f>+'COM Bldg Envel'!U20</f>
        <v>0</v>
      </c>
      <c r="BZ18" s="276">
        <f>'COM CI'!U20</f>
        <v>0</v>
      </c>
      <c r="CA18" s="276">
        <f>'COM WI'!U20</f>
        <v>0</v>
      </c>
      <c r="CB18" s="738">
        <f>+'COM EEMotors'!U20</f>
        <v>0</v>
      </c>
      <c r="CC18" s="276">
        <f>+'COM Chillers'!U20</f>
        <v>0</v>
      </c>
      <c r="CD18" s="276">
        <f>+'COM Occ. Sens.'!U20</f>
        <v>0</v>
      </c>
      <c r="CE18" s="276">
        <f>+'COM Ref'!U20</f>
        <v>0</v>
      </c>
      <c r="CF18" s="276">
        <f>+'COM WH'!U20</f>
        <v>0</v>
      </c>
      <c r="CG18" s="738">
        <f>+'COM Lighting'!U20</f>
        <v>146.3468008024409</v>
      </c>
      <c r="CH18" s="276">
        <f>'COM Cond. Light'!U20</f>
        <v>0</v>
      </c>
      <c r="CI18" s="276">
        <f>'COM Non Cond. Light'!U20</f>
        <v>0</v>
      </c>
      <c r="CJ18" s="276">
        <f>+'COM CV'!U20</f>
        <v>19.188553083333336</v>
      </c>
      <c r="CK18" s="276">
        <f>'COM TES'!U20</f>
        <v>0</v>
      </c>
      <c r="CL18" s="738">
        <f>+'Street Light Conv'!U20</f>
        <v>16</v>
      </c>
      <c r="CM18" s="276">
        <f>'COM ECM'!U20</f>
        <v>0</v>
      </c>
      <c r="CN18" s="738">
        <f>'COM HVAC ReCommissioning'!U20</f>
        <v>0</v>
      </c>
      <c r="CO18" s="276">
        <f>'COM Cool Roof'!U20</f>
        <v>0</v>
      </c>
      <c r="CP18" s="738">
        <f>'COM HVAC ReCommissioning'!U20</f>
        <v>0</v>
      </c>
      <c r="CQ18" s="738">
        <f>'COM ERV'!U20</f>
        <v>0</v>
      </c>
      <c r="CR18" s="276">
        <f>'COM School PV'!U20</f>
        <v>0</v>
      </c>
      <c r="CS18" s="276">
        <f>'COM PV'!U20</f>
        <v>0</v>
      </c>
      <c r="CT18" s="735">
        <f t="shared" si="8"/>
        <v>189.83791558146623</v>
      </c>
      <c r="CU18" s="741">
        <f>+'COM LM (cyc)'!Z20</f>
        <v>0</v>
      </c>
      <c r="CV18" s="276">
        <f>+'COM LM (ext)'!Z20</f>
        <v>0</v>
      </c>
      <c r="CW18" s="276">
        <f>+'COM SB Gen'!Z20</f>
        <v>1.6725000000000003</v>
      </c>
      <c r="CX18" s="276">
        <f>+'COM DMD Response'!U20</f>
        <v>0</v>
      </c>
      <c r="CY18" s="277">
        <f t="shared" si="2"/>
        <v>1.6725000000000003</v>
      </c>
      <c r="CZ18" s="744">
        <f t="shared" si="3"/>
        <v>191.51041558146625</v>
      </c>
      <c r="DA18" s="162"/>
      <c r="DB18" s="162"/>
    </row>
    <row r="19" spans="1:106" x14ac:dyDescent="0.2">
      <c r="A19" s="269">
        <v>2008</v>
      </c>
      <c r="B19" s="275">
        <f>+'C-I FREE'!M21</f>
        <v>13.316367732696897</v>
      </c>
      <c r="C19" s="276">
        <f>+'C-I Paid'!M21</f>
        <v>0.39470000000000005</v>
      </c>
      <c r="D19" s="738">
        <f>+'C-I Mail-In'!M21</f>
        <v>7.9649999999999999E-2</v>
      </c>
      <c r="E19" s="276">
        <f>+'COM Cooling'!M21</f>
        <v>0.96610394876935057</v>
      </c>
      <c r="F19" s="276">
        <f>+'COM Duct'!M21</f>
        <v>1.2219999999999998E-2</v>
      </c>
      <c r="G19" s="724">
        <f>+'COM Bldg Envel'!M21</f>
        <v>1.825E-3</v>
      </c>
      <c r="H19" s="276">
        <f>'COM CI'!M21</f>
        <v>0</v>
      </c>
      <c r="I19" s="276">
        <f>'COM WI'!M21</f>
        <v>0</v>
      </c>
      <c r="J19" s="724">
        <f>+'COM EEMotors'!M21</f>
        <v>0</v>
      </c>
      <c r="K19" s="276">
        <f>+'COM Chillers'!M21</f>
        <v>9.4754999999999992E-2</v>
      </c>
      <c r="L19" s="276">
        <f>+'COM Occ. Sens.'!M21</f>
        <v>4.9109999999999996E-3</v>
      </c>
      <c r="M19" s="276">
        <f>+'COM Ref'!M21</f>
        <v>0</v>
      </c>
      <c r="N19" s="276">
        <f>+'COM WH'!M21</f>
        <v>0</v>
      </c>
      <c r="O19" s="724">
        <f>+'COM Lighting'!M21</f>
        <v>32.727705351031631</v>
      </c>
      <c r="P19" s="276">
        <f>'COM Cond. Light'!M21</f>
        <v>0</v>
      </c>
      <c r="Q19" s="276">
        <f>'COM Non Cond. Light'!M21</f>
        <v>0</v>
      </c>
      <c r="R19" s="276">
        <f>+'COM CV'!M21</f>
        <v>4.9303883333333332</v>
      </c>
      <c r="S19" s="276">
        <f>'COM TES'!M21</f>
        <v>0</v>
      </c>
      <c r="T19" s="738">
        <f>+'Street Light Conv'!M21</f>
        <v>0</v>
      </c>
      <c r="U19" s="276">
        <f>'COM ECM'!M21</f>
        <v>0</v>
      </c>
      <c r="V19" s="738">
        <f>'COM ECM HVAC'!M21</f>
        <v>0</v>
      </c>
      <c r="W19" s="276">
        <f>'COM Cool Roof'!M21</f>
        <v>0</v>
      </c>
      <c r="X19" s="724">
        <f>'COM HVAC ReCommissioning'!M21</f>
        <v>0</v>
      </c>
      <c r="Y19" s="724">
        <f>'COM ERV'!M21</f>
        <v>0</v>
      </c>
      <c r="Z19" s="724">
        <f>'COM School PV'!M21</f>
        <v>0</v>
      </c>
      <c r="AA19" s="724">
        <f>'COM PV'!M21</f>
        <v>0</v>
      </c>
      <c r="AB19" s="277">
        <f t="shared" si="4"/>
        <v>52.528626365831208</v>
      </c>
      <c r="AC19" s="276">
        <f>+'COM LM (cyc)'!N21</f>
        <v>0.41990000000000005</v>
      </c>
      <c r="AD19" s="276">
        <f>+'COM LM (ext)'!N21</f>
        <v>0</v>
      </c>
      <c r="AE19" s="276">
        <f>+'COM SB Gen'!N21</f>
        <v>16.600000000000001</v>
      </c>
      <c r="AF19" s="276">
        <f>+'COM DMD Response'!M21</f>
        <v>34.852125000000001</v>
      </c>
      <c r="AG19" s="277">
        <f t="shared" si="5"/>
        <v>51.872025000000001</v>
      </c>
      <c r="AH19" s="718">
        <f t="shared" si="0"/>
        <v>104.40065136583121</v>
      </c>
      <c r="AJ19" s="748">
        <v>2008</v>
      </c>
      <c r="AK19" s="276">
        <f>+'C-I FREE'!Q21</f>
        <v>32.345723102625314</v>
      </c>
      <c r="AL19" s="276">
        <f>+'C-I Paid'!Q21</f>
        <v>0.91442000000000001</v>
      </c>
      <c r="AM19" s="738">
        <f>+'C-I Mail-In'!Q21</f>
        <v>6.0399999999999995E-2</v>
      </c>
      <c r="AN19" s="276">
        <f>+'COM Cooling'!Q21</f>
        <v>0</v>
      </c>
      <c r="AO19" s="276">
        <f>+'COM Duct'!Q21</f>
        <v>0</v>
      </c>
      <c r="AP19" s="738">
        <f>+'COM Bldg Envel'!Q21</f>
        <v>0</v>
      </c>
      <c r="AQ19" s="276">
        <f>'COM CI'!Q21</f>
        <v>0</v>
      </c>
      <c r="AR19" s="276">
        <f>'COM WI'!Q21</f>
        <v>0</v>
      </c>
      <c r="AS19" s="738">
        <f>+'COM EEMotors'!Q21</f>
        <v>0</v>
      </c>
      <c r="AT19" s="276">
        <f>+'COM Chillers'!Q21</f>
        <v>0</v>
      </c>
      <c r="AU19" s="276">
        <f>+'COM Occ. Sens.'!Q21</f>
        <v>0</v>
      </c>
      <c r="AV19" s="276">
        <f>+'COM Ref'!Q21</f>
        <v>0</v>
      </c>
      <c r="AW19" s="276">
        <f>+'COM WH'!Q21</f>
        <v>0</v>
      </c>
      <c r="AX19" s="738">
        <f>+'COM Lighting'!Q21</f>
        <v>12.339228560433327</v>
      </c>
      <c r="AY19" s="276">
        <f>'COM Cond. Light'!Q21</f>
        <v>0</v>
      </c>
      <c r="AZ19" s="276">
        <f>'COM Non Cond. Light'!Q21</f>
        <v>0</v>
      </c>
      <c r="BA19" s="276">
        <f>+'COM CV'!Q21</f>
        <v>3.1268499999999997</v>
      </c>
      <c r="BB19" s="276">
        <f>'COM TES'!Q21</f>
        <v>0</v>
      </c>
      <c r="BC19" s="738">
        <f>+'Street Light Conv'!Q21</f>
        <v>0</v>
      </c>
      <c r="BD19" s="276">
        <f>'COM ECM'!Q21</f>
        <v>0</v>
      </c>
      <c r="BE19" s="738">
        <f>'COM HVAC ReCommissioning'!Q21</f>
        <v>0</v>
      </c>
      <c r="BF19" s="276">
        <f>'COM Cool Roof'!Q21</f>
        <v>0</v>
      </c>
      <c r="BG19" s="738">
        <f>'COM HVAC ReCommissioning'!Q21</f>
        <v>0</v>
      </c>
      <c r="BH19" s="738">
        <f>'COM ERV'!Q21</f>
        <v>0</v>
      </c>
      <c r="BI19" s="738">
        <f>'COM School PV'!Q21</f>
        <v>0</v>
      </c>
      <c r="BJ19" s="276">
        <f>'COM PV'!Q21</f>
        <v>0</v>
      </c>
      <c r="BK19" s="277">
        <f t="shared" si="6"/>
        <v>48.786621663058639</v>
      </c>
      <c r="BL19" s="276">
        <f>+'COM LM (cyc)'!T21</f>
        <v>0</v>
      </c>
      <c r="BM19" s="276">
        <f>+'COM LM (ext)'!T21</f>
        <v>0</v>
      </c>
      <c r="BN19" s="276">
        <f>+'COM SB Gen'!T21</f>
        <v>22.8</v>
      </c>
      <c r="BO19" s="276">
        <f>+'COM DMD Response'!Q21</f>
        <v>34.852125000000001</v>
      </c>
      <c r="BP19" s="1106">
        <f t="shared" si="7"/>
        <v>57.652124999999998</v>
      </c>
      <c r="BQ19" s="718">
        <f t="shared" si="1"/>
        <v>106.43874666305864</v>
      </c>
      <c r="BS19" s="269">
        <v>2008</v>
      </c>
      <c r="BT19" s="275">
        <f>+'C-I FREE'!U21</f>
        <v>20.608884704057278</v>
      </c>
      <c r="BU19" s="276">
        <f>+'C-I Paid'!U21</f>
        <v>0.22068450000000001</v>
      </c>
      <c r="BV19" s="738">
        <f>+'C-I Mail-In'!U21</f>
        <v>0.33984000000000003</v>
      </c>
      <c r="BW19" s="276">
        <f>+'COM Cooling'!U21</f>
        <v>3.8325584916347109</v>
      </c>
      <c r="BX19" s="276">
        <f>+'COM Duct'!U21</f>
        <v>1.7784000000000001E-2</v>
      </c>
      <c r="BY19" s="738">
        <f>+'COM Bldg Envel'!U21</f>
        <v>6.4000000000000003E-3</v>
      </c>
      <c r="BZ19" s="276">
        <f>'COM CI'!U21</f>
        <v>0</v>
      </c>
      <c r="CA19" s="276">
        <f>'COM WI'!U21</f>
        <v>0</v>
      </c>
      <c r="CB19" s="738">
        <f>+'COM EEMotors'!U21</f>
        <v>0</v>
      </c>
      <c r="CC19" s="276">
        <f>+'COM Chillers'!U21</f>
        <v>0.32481749999999998</v>
      </c>
      <c r="CD19" s="276">
        <f>+'COM Occ. Sens.'!U21</f>
        <v>1.0954500000000001E-2</v>
      </c>
      <c r="CE19" s="276">
        <f>+'COM Ref'!U21</f>
        <v>0</v>
      </c>
      <c r="CF19" s="276">
        <f>+'COM WH'!U21</f>
        <v>0</v>
      </c>
      <c r="CG19" s="738">
        <f>+'COM Lighting'!U21</f>
        <v>158.7769895024409</v>
      </c>
      <c r="CH19" s="276">
        <f>'COM Cond. Light'!U21</f>
        <v>0</v>
      </c>
      <c r="CI19" s="276">
        <f>'COM Non Cond. Light'!U21</f>
        <v>0</v>
      </c>
      <c r="CJ19" s="276">
        <f>+'COM CV'!U21</f>
        <v>19.188553083333336</v>
      </c>
      <c r="CK19" s="276">
        <f>'COM TES'!U21</f>
        <v>0</v>
      </c>
      <c r="CL19" s="738">
        <f>+'Street Light Conv'!U21</f>
        <v>16</v>
      </c>
      <c r="CM19" s="276">
        <f>'COM ECM'!U21</f>
        <v>0</v>
      </c>
      <c r="CN19" s="738">
        <f>'COM HVAC ReCommissioning'!U21</f>
        <v>0</v>
      </c>
      <c r="CO19" s="276">
        <f>'COM Cool Roof'!U21</f>
        <v>0</v>
      </c>
      <c r="CP19" s="738">
        <f>'COM HVAC ReCommissioning'!U21</f>
        <v>0</v>
      </c>
      <c r="CQ19" s="738">
        <f>'COM ERV'!U21</f>
        <v>0</v>
      </c>
      <c r="CR19" s="276">
        <f>'COM School PV'!U21</f>
        <v>0</v>
      </c>
      <c r="CS19" s="276">
        <f>'COM PV'!U21</f>
        <v>0</v>
      </c>
      <c r="CT19" s="735">
        <f t="shared" si="8"/>
        <v>203.32746628146623</v>
      </c>
      <c r="CU19" s="741">
        <f>+'COM LM (cyc)'!Z21</f>
        <v>0</v>
      </c>
      <c r="CV19" s="276">
        <f>+'COM LM (ext)'!Z21</f>
        <v>0</v>
      </c>
      <c r="CW19" s="276">
        <f>+'COM SB Gen'!Z21</f>
        <v>1.9183333333333332</v>
      </c>
      <c r="CX19" s="276">
        <f>+'COM DMD Response'!U21</f>
        <v>1.0999890000000001</v>
      </c>
      <c r="CY19" s="277">
        <f t="shared" si="2"/>
        <v>3.0183223333333333</v>
      </c>
      <c r="CZ19" s="744">
        <f t="shared" si="3"/>
        <v>206.34578861479957</v>
      </c>
      <c r="DA19" s="162"/>
    </row>
    <row r="20" spans="1:106" x14ac:dyDescent="0.2">
      <c r="A20" s="269">
        <v>2009</v>
      </c>
      <c r="B20" s="275">
        <f>+'C-I FREE'!M22</f>
        <v>13.395527732696896</v>
      </c>
      <c r="C20" s="276">
        <f>+'C-I Paid'!M22</f>
        <v>0.39470000000000005</v>
      </c>
      <c r="D20" s="738">
        <f>+'C-I Mail-In'!M22</f>
        <v>7.9649999999999999E-2</v>
      </c>
      <c r="E20" s="276">
        <f>+'COM Cooling'!M22</f>
        <v>1.213557050810167</v>
      </c>
      <c r="F20" s="276">
        <f>+'COM Duct'!M22</f>
        <v>0.30291499999999999</v>
      </c>
      <c r="G20" s="724">
        <f>+'COM Bldg Envel'!M22</f>
        <v>1.6317903225806452E-2</v>
      </c>
      <c r="H20" s="276">
        <f>'COM CI'!M22</f>
        <v>0</v>
      </c>
      <c r="I20" s="276">
        <f>'COM WI'!M22</f>
        <v>0</v>
      </c>
      <c r="J20" s="724">
        <f>+'COM EEMotors'!M22</f>
        <v>1.1000000000000001E-3</v>
      </c>
      <c r="K20" s="276">
        <f>+'COM Chillers'!M22</f>
        <v>0.58335500000000007</v>
      </c>
      <c r="L20" s="276">
        <f>+'COM Occ. Sens.'!M22</f>
        <v>4.5135699999999994E-2</v>
      </c>
      <c r="M20" s="276">
        <f>+'COM Ref'!M22</f>
        <v>0</v>
      </c>
      <c r="N20" s="276">
        <f>+'COM WH'!M22</f>
        <v>0</v>
      </c>
      <c r="O20" s="724">
        <f>+'COM Lighting'!M22</f>
        <v>34.890095351031633</v>
      </c>
      <c r="P20" s="276">
        <f>'COM Cond. Light'!M22</f>
        <v>0</v>
      </c>
      <c r="Q20" s="276">
        <f>'COM Non Cond. Light'!M22</f>
        <v>0</v>
      </c>
      <c r="R20" s="276">
        <f>+'COM CV'!M22</f>
        <v>4.9303883333333332</v>
      </c>
      <c r="S20" s="276">
        <f>'COM TES'!M22</f>
        <v>0</v>
      </c>
      <c r="T20" s="738">
        <f>+'Street Light Conv'!M22</f>
        <v>0</v>
      </c>
      <c r="U20" s="276">
        <f>'COM ECM'!M22</f>
        <v>0</v>
      </c>
      <c r="V20" s="738">
        <f>'COM ECM HVAC'!M22</f>
        <v>0</v>
      </c>
      <c r="W20" s="276">
        <f>'COM Cool Roof'!M22</f>
        <v>0</v>
      </c>
      <c r="X20" s="724">
        <f>'COM HVAC ReCommissioning'!M22</f>
        <v>0</v>
      </c>
      <c r="Y20" s="724">
        <f>'COM ERV'!M22</f>
        <v>0</v>
      </c>
      <c r="Z20" s="724">
        <f>'COM School PV'!M22</f>
        <v>0</v>
      </c>
      <c r="AA20" s="724">
        <f>'COM PV'!M22</f>
        <v>0</v>
      </c>
      <c r="AB20" s="277">
        <f t="shared" si="4"/>
        <v>55.852742071097829</v>
      </c>
      <c r="AC20" s="276">
        <f>+'COM LM (cyc)'!N22</f>
        <v>0.20200000000000001</v>
      </c>
      <c r="AD20" s="276">
        <f>+'COM LM (ext)'!N22</f>
        <v>0</v>
      </c>
      <c r="AE20" s="276">
        <f>+'COM SB Gen'!N22</f>
        <v>37.700000000000003</v>
      </c>
      <c r="AF20" s="724">
        <f>+'COM DMD Response'!M22</f>
        <v>34.852125000000001</v>
      </c>
      <c r="AG20" s="277">
        <f t="shared" si="5"/>
        <v>72.754125000000002</v>
      </c>
      <c r="AH20" s="719">
        <f t="shared" si="0"/>
        <v>128.60686707109784</v>
      </c>
      <c r="AI20" s="162"/>
      <c r="AJ20" s="748">
        <v>2009</v>
      </c>
      <c r="AK20" s="276">
        <f>+'C-I FREE'!Q22</f>
        <v>32.403923102625313</v>
      </c>
      <c r="AL20" s="276">
        <f>+'C-I Paid'!Q22</f>
        <v>0.91442000000000001</v>
      </c>
      <c r="AM20" s="738">
        <f>+'C-I Mail-In'!Q22</f>
        <v>6.0399999999999995E-2</v>
      </c>
      <c r="AN20" s="276">
        <f>+'COM Cooling'!Q22</f>
        <v>0</v>
      </c>
      <c r="AO20" s="276">
        <f>+'COM Duct'!Q22</f>
        <v>8.8400000000000006E-3</v>
      </c>
      <c r="AP20" s="738">
        <f>+'COM Bldg Envel'!Q22</f>
        <v>1.161290322580645E-4</v>
      </c>
      <c r="AQ20" s="276">
        <f>'COM CI'!Q22</f>
        <v>0</v>
      </c>
      <c r="AR20" s="276">
        <f>'COM WI'!Q22</f>
        <v>0</v>
      </c>
      <c r="AS20" s="738">
        <f>+'COM EEMotors'!Q22</f>
        <v>0</v>
      </c>
      <c r="AT20" s="276">
        <f>+'COM Chillers'!Q22</f>
        <v>0.1073294117647059</v>
      </c>
      <c r="AU20" s="276">
        <f>+'COM Occ. Sens.'!Q22</f>
        <v>1.04934E-2</v>
      </c>
      <c r="AV20" s="276">
        <f>+'COM Ref'!Q22</f>
        <v>0</v>
      </c>
      <c r="AW20" s="276">
        <f>+'COM WH'!Q22</f>
        <v>0</v>
      </c>
      <c r="AX20" s="738">
        <f>+'COM Lighting'!Q22</f>
        <v>12.976949989004755</v>
      </c>
      <c r="AY20" s="276">
        <f>'COM Cond. Light'!Q22</f>
        <v>0</v>
      </c>
      <c r="AZ20" s="276">
        <f>'COM Non Cond. Light'!Q22</f>
        <v>0</v>
      </c>
      <c r="BA20" s="276">
        <f>+'COM CV'!Q22</f>
        <v>3.1268499999999997</v>
      </c>
      <c r="BB20" s="276">
        <f>'COM TES'!Q22</f>
        <v>0</v>
      </c>
      <c r="BC20" s="738">
        <f>+'Street Light Conv'!Q22</f>
        <v>0</v>
      </c>
      <c r="BD20" s="276">
        <f>'COM ECM'!Q22</f>
        <v>0</v>
      </c>
      <c r="BE20" s="738">
        <f>'COM HVAC ReCommissioning'!Q22</f>
        <v>0</v>
      </c>
      <c r="BF20" s="276">
        <f>'COM Cool Roof'!Q22</f>
        <v>0</v>
      </c>
      <c r="BG20" s="738">
        <f>'COM HVAC ReCommissioning'!Q22</f>
        <v>0</v>
      </c>
      <c r="BH20" s="738">
        <f>'COM ERV'!Q22</f>
        <v>0</v>
      </c>
      <c r="BI20" s="738">
        <f>'COM School PV'!Q22</f>
        <v>0</v>
      </c>
      <c r="BJ20" s="276">
        <f>'COM PV'!Q22</f>
        <v>0</v>
      </c>
      <c r="BK20" s="277">
        <f t="shared" si="6"/>
        <v>49.609322032427023</v>
      </c>
      <c r="BL20" s="276">
        <f>+'COM LM (cyc)'!T22</f>
        <v>0</v>
      </c>
      <c r="BM20" s="276">
        <f>+'COM LM (ext)'!T22</f>
        <v>0</v>
      </c>
      <c r="BN20" s="276">
        <f>+'COM SB Gen'!T22</f>
        <v>16.87</v>
      </c>
      <c r="BO20" s="738">
        <f>+'COM DMD Response'!Q22</f>
        <v>34.852125000000001</v>
      </c>
      <c r="BP20" s="1106">
        <f t="shared" si="7"/>
        <v>51.722125000000005</v>
      </c>
      <c r="BQ20" s="719">
        <f t="shared" si="1"/>
        <v>101.33144703242704</v>
      </c>
      <c r="BS20" s="269">
        <v>2009</v>
      </c>
      <c r="BT20" s="275">
        <f>+'C-I FREE'!U22</f>
        <v>20.946304204057277</v>
      </c>
      <c r="BU20" s="276">
        <f>+'C-I Paid'!U22</f>
        <v>0.22068450000000001</v>
      </c>
      <c r="BV20" s="738">
        <f>+'C-I Mail-In'!U22</f>
        <v>0.33984000000000003</v>
      </c>
      <c r="BW20" s="276">
        <f>+'COM Cooling'!U22</f>
        <v>4.8158999947893024</v>
      </c>
      <c r="BX20" s="276">
        <f>+'COM Duct'!U22</f>
        <v>0.44083800000000001</v>
      </c>
      <c r="BY20" s="738">
        <f>+'COM Bldg Envel'!U22</f>
        <v>6.6017161290322576E-2</v>
      </c>
      <c r="BZ20" s="276">
        <f>'COM CI'!U22</f>
        <v>0</v>
      </c>
      <c r="CA20" s="276">
        <f>'COM WI'!U22</f>
        <v>0</v>
      </c>
      <c r="CB20" s="738">
        <f>+'COM EEMotors'!U22</f>
        <v>2.7302000000000003E-3</v>
      </c>
      <c r="CC20" s="276">
        <f>+'COM Chillers'!U22</f>
        <v>1.6833769117647059</v>
      </c>
      <c r="CD20" s="276">
        <f>+'COM Occ. Sens.'!U22</f>
        <v>4.2461280000000004E-2</v>
      </c>
      <c r="CE20" s="276">
        <f>+'COM Ref'!U22</f>
        <v>0</v>
      </c>
      <c r="CF20" s="276">
        <f>+'COM WH'!U22</f>
        <v>0</v>
      </c>
      <c r="CG20" s="738">
        <f>+'COM Lighting'!U22</f>
        <v>173.3243042167266</v>
      </c>
      <c r="CH20" s="276">
        <f>'COM Cond. Light'!U22</f>
        <v>0</v>
      </c>
      <c r="CI20" s="276">
        <f>'COM Non Cond. Light'!U22</f>
        <v>0</v>
      </c>
      <c r="CJ20" s="276">
        <f>+'COM CV'!U22</f>
        <v>19.188553083333336</v>
      </c>
      <c r="CK20" s="276">
        <f>'COM TES'!U22</f>
        <v>0</v>
      </c>
      <c r="CL20" s="738">
        <f>+'Street Light Conv'!U22</f>
        <v>16</v>
      </c>
      <c r="CM20" s="276">
        <f>'COM ECM'!U22</f>
        <v>0</v>
      </c>
      <c r="CN20" s="738">
        <f>'COM HVAC ReCommissioning'!U22</f>
        <v>0</v>
      </c>
      <c r="CO20" s="276">
        <f>'COM Cool Roof'!U22</f>
        <v>0</v>
      </c>
      <c r="CP20" s="738">
        <f>'COM HVAC ReCommissioning'!U22</f>
        <v>0</v>
      </c>
      <c r="CQ20" s="738">
        <f>'COM ERV'!U22</f>
        <v>0</v>
      </c>
      <c r="CR20" s="276">
        <f>'COM School PV'!U22</f>
        <v>0</v>
      </c>
      <c r="CS20" s="276">
        <f>'COM PV'!U22</f>
        <v>0</v>
      </c>
      <c r="CT20" s="735">
        <f t="shared" si="8"/>
        <v>221.07100955196157</v>
      </c>
      <c r="CU20" s="741">
        <f>+'COM LM (cyc)'!Z22</f>
        <v>0</v>
      </c>
      <c r="CV20" s="276">
        <f>+'COM LM (ext)'!Z22</f>
        <v>0</v>
      </c>
      <c r="CW20" s="276">
        <f>+'COM SB Gen'!Z22</f>
        <v>2.902083333333334</v>
      </c>
      <c r="CX20" s="738">
        <f>+'COM DMD Response'!U22</f>
        <v>2.2536360000000002</v>
      </c>
      <c r="CY20" s="277">
        <f t="shared" si="2"/>
        <v>5.1557193333333338</v>
      </c>
      <c r="CZ20" s="745">
        <f t="shared" si="3"/>
        <v>226.2267288852949</v>
      </c>
      <c r="DA20" s="162"/>
    </row>
    <row r="21" spans="1:106" x14ac:dyDescent="0.2">
      <c r="A21" s="269">
        <v>2010</v>
      </c>
      <c r="B21" s="275">
        <f>+'C-I FREE'!M23</f>
        <v>13.461967732696897</v>
      </c>
      <c r="C21" s="276">
        <f>+'C-I Paid'!M23</f>
        <v>0.39470000000000005</v>
      </c>
      <c r="D21" s="738">
        <f>+'C-I Mail-In'!M23</f>
        <v>7.9649999999999999E-2</v>
      </c>
      <c r="E21" s="276">
        <f>+'COM Cooling'!M23</f>
        <v>1.4523300508101669</v>
      </c>
      <c r="F21" s="276">
        <f>+'COM Duct'!M23</f>
        <v>1.8724799999999999</v>
      </c>
      <c r="G21" s="724">
        <f>+'COM Bldg Envel'!M23</f>
        <v>0.13424190322580642</v>
      </c>
      <c r="H21" s="276">
        <f>'COM CI'!M23</f>
        <v>0</v>
      </c>
      <c r="I21" s="276">
        <f>'COM WI'!M23</f>
        <v>0</v>
      </c>
      <c r="J21" s="724">
        <f>+'COM EEMotors'!M23</f>
        <v>2.6579999999999999E-2</v>
      </c>
      <c r="K21" s="276">
        <f>+'COM Chillers'!M23</f>
        <v>0.89919499999999997</v>
      </c>
      <c r="L21" s="276">
        <f>+'COM Occ. Sens.'!M23</f>
        <v>0.71008570000000004</v>
      </c>
      <c r="M21" s="276">
        <f>+'COM Ref'!M23</f>
        <v>0</v>
      </c>
      <c r="N21" s="276">
        <f>+'COM WH'!M23</f>
        <v>0</v>
      </c>
      <c r="O21" s="724">
        <f>+'COM Lighting'!M23</f>
        <v>35.842095351031631</v>
      </c>
      <c r="P21" s="276">
        <f>'COM Cond. Light'!M23</f>
        <v>0</v>
      </c>
      <c r="Q21" s="276">
        <f>'COM Non Cond. Light'!M23</f>
        <v>0</v>
      </c>
      <c r="R21" s="276">
        <f>+'COM CV'!M23</f>
        <v>5.1949883333333329</v>
      </c>
      <c r="S21" s="276">
        <f>'COM TES'!M23</f>
        <v>0</v>
      </c>
      <c r="T21" s="738">
        <f>+'Street Light Conv'!M23</f>
        <v>0</v>
      </c>
      <c r="U21" s="276">
        <f>'COM ECM'!M23</f>
        <v>0</v>
      </c>
      <c r="V21" s="738">
        <f>'COM ECM HVAC'!M23</f>
        <v>0</v>
      </c>
      <c r="W21" s="276">
        <f>'COM Cool Roof'!M23</f>
        <v>0</v>
      </c>
      <c r="X21" s="724">
        <f>'COM HVAC ReCommissioning'!M23</f>
        <v>0</v>
      </c>
      <c r="Y21" s="724">
        <f>'COM ERV'!M23</f>
        <v>0</v>
      </c>
      <c r="Z21" s="724">
        <f>'COM School PV'!M23</f>
        <v>0</v>
      </c>
      <c r="AA21" s="724">
        <f>'COM PV'!M23</f>
        <v>0</v>
      </c>
      <c r="AB21" s="282">
        <f t="shared" si="4"/>
        <v>60.068314071097838</v>
      </c>
      <c r="AC21" s="299">
        <f>+'COM LM (cyc)'!N23</f>
        <v>0.20160000000000003</v>
      </c>
      <c r="AD21" s="299">
        <f>+'COM LM (ext)'!N23</f>
        <v>0</v>
      </c>
      <c r="AE21" s="299">
        <f>+'COM SB Gen'!N23</f>
        <v>37.700000000000003</v>
      </c>
      <c r="AF21" s="299">
        <f>+'COM DMD Response'!M23</f>
        <v>34.852125000000001</v>
      </c>
      <c r="AG21" s="277">
        <f t="shared" si="5"/>
        <v>72.753725000000003</v>
      </c>
      <c r="AH21" s="719">
        <f t="shared" si="0"/>
        <v>132.82203907109783</v>
      </c>
      <c r="AJ21" s="748">
        <v>2010</v>
      </c>
      <c r="AK21" s="276">
        <f>+'C-I FREE'!Q23</f>
        <v>32.464463102625317</v>
      </c>
      <c r="AL21" s="276">
        <f>+'C-I Paid'!Q23</f>
        <v>0.91442000000000001</v>
      </c>
      <c r="AM21" s="738">
        <f>+'C-I Mail-In'!Q23</f>
        <v>6.0399999999999995E-2</v>
      </c>
      <c r="AN21" s="276">
        <f>+'COM Cooling'!Q23</f>
        <v>0</v>
      </c>
      <c r="AO21" s="276">
        <f>+'COM Duct'!Q23</f>
        <v>0.21029000000000003</v>
      </c>
      <c r="AP21" s="738">
        <f>+'COM Bldg Envel'!Q23</f>
        <v>5.7581290322580641E-3</v>
      </c>
      <c r="AQ21" s="276">
        <f>'COM CI'!Q23</f>
        <v>0</v>
      </c>
      <c r="AR21" s="276">
        <f>'COM WI'!Q23</f>
        <v>0</v>
      </c>
      <c r="AS21" s="738">
        <f>+'COM EEMotors'!Q23</f>
        <v>6.3699999999999998E-3</v>
      </c>
      <c r="AT21" s="276">
        <f>+'COM Chillers'!Q23</f>
        <v>0.46857941176470591</v>
      </c>
      <c r="AU21" s="276">
        <f>+'COM Occ. Sens.'!Q23</f>
        <v>0.32909340000000004</v>
      </c>
      <c r="AV21" s="276">
        <f>+'COM Ref'!Q23</f>
        <v>0</v>
      </c>
      <c r="AW21" s="276">
        <f>+'COM WH'!Q23</f>
        <v>0</v>
      </c>
      <c r="AX21" s="738">
        <f>+'COM Lighting'!Q23</f>
        <v>14.922949989004755</v>
      </c>
      <c r="AY21" s="276">
        <f>'COM Cond. Light'!Q23</f>
        <v>0</v>
      </c>
      <c r="AZ21" s="276">
        <f>'COM Non Cond. Light'!Q23</f>
        <v>0</v>
      </c>
      <c r="BA21" s="276">
        <f>+'COM CV'!Q23</f>
        <v>3.1268499999999997</v>
      </c>
      <c r="BB21" s="276">
        <f>'COM TES'!Q23</f>
        <v>0</v>
      </c>
      <c r="BC21" s="738">
        <f>+'Street Light Conv'!Q23</f>
        <v>0</v>
      </c>
      <c r="BD21" s="276">
        <f>'COM ECM'!Q23</f>
        <v>0</v>
      </c>
      <c r="BE21" s="738">
        <f>'COM HVAC ReCommissioning'!Q23</f>
        <v>0</v>
      </c>
      <c r="BF21" s="276">
        <f>'COM Cool Roof'!Q23</f>
        <v>0</v>
      </c>
      <c r="BG21" s="738">
        <f>'COM HVAC ReCommissioning'!Q23</f>
        <v>0</v>
      </c>
      <c r="BH21" s="738">
        <f>'COM ERV'!Q23</f>
        <v>0</v>
      </c>
      <c r="BI21" s="738">
        <f>'COM School PV'!Q23</f>
        <v>0</v>
      </c>
      <c r="BJ21" s="276">
        <f>'COM PV'!Q23</f>
        <v>0</v>
      </c>
      <c r="BK21" s="282">
        <f t="shared" si="6"/>
        <v>52.509174032427033</v>
      </c>
      <c r="BL21" s="299">
        <f>+'COM LM (cyc)'!T23</f>
        <v>0</v>
      </c>
      <c r="BM21" s="299">
        <f>+'COM LM (ext)'!T23</f>
        <v>0</v>
      </c>
      <c r="BN21" s="299">
        <f>+'COM SB Gen'!T23</f>
        <v>37.700000000000003</v>
      </c>
      <c r="BO21" s="299">
        <f>+'COM DMD Response'!Q23</f>
        <v>34.852125000000001</v>
      </c>
      <c r="BP21" s="1106">
        <f t="shared" si="7"/>
        <v>72.552125000000004</v>
      </c>
      <c r="BQ21" s="719">
        <f t="shared" si="1"/>
        <v>125.06129903242703</v>
      </c>
      <c r="BS21" s="269">
        <v>2010</v>
      </c>
      <c r="BT21" s="275">
        <f>+'C-I FREE'!U23</f>
        <v>21.229504704057277</v>
      </c>
      <c r="BU21" s="276">
        <f>+'C-I Paid'!U23</f>
        <v>0.22068450000000001</v>
      </c>
      <c r="BV21" s="738">
        <f>+'C-I Mail-In'!U23</f>
        <v>0.33984000000000003</v>
      </c>
      <c r="BW21" s="276">
        <f>+'COM Cooling'!U23</f>
        <v>5.7571859947893023</v>
      </c>
      <c r="BX21" s="276">
        <f>+'COM Duct'!U23</f>
        <v>2.7250559999999999</v>
      </c>
      <c r="BY21" s="738">
        <f>+'COM Bldg Envel'!U23</f>
        <v>0.1603966612903226</v>
      </c>
      <c r="BZ21" s="276">
        <f>'COM CI'!U23</f>
        <v>0</v>
      </c>
      <c r="CA21" s="276">
        <f>'COM WI'!U23</f>
        <v>0</v>
      </c>
      <c r="CB21" s="738">
        <f>+'COM EEMotors'!U23</f>
        <v>0.23608219999999999</v>
      </c>
      <c r="CC21" s="276">
        <f>+'COM Chillers'!U23</f>
        <v>2.4942814117647059</v>
      </c>
      <c r="CD21" s="276">
        <f>+'COM Occ. Sens.'!U23</f>
        <v>0.24870628</v>
      </c>
      <c r="CE21" s="276">
        <f>+'COM Ref'!U23</f>
        <v>0</v>
      </c>
      <c r="CF21" s="276">
        <f>+'COM WH'!U23</f>
        <v>0</v>
      </c>
      <c r="CG21" s="738">
        <f>+'COM Lighting'!U23</f>
        <v>179.20178421672659</v>
      </c>
      <c r="CH21" s="276">
        <f>'COM Cond. Light'!U23</f>
        <v>0</v>
      </c>
      <c r="CI21" s="276">
        <f>'COM Non Cond. Light'!U23</f>
        <v>0</v>
      </c>
      <c r="CJ21" s="276">
        <f>+'COM CV'!U23</f>
        <v>19.404863083333336</v>
      </c>
      <c r="CK21" s="276">
        <f>'COM TES'!U23</f>
        <v>0</v>
      </c>
      <c r="CL21" s="738">
        <f>+'Street Light Conv'!U23</f>
        <v>16</v>
      </c>
      <c r="CM21" s="276">
        <f>'COM ECM'!U23</f>
        <v>0</v>
      </c>
      <c r="CN21" s="738">
        <f>'COM HVAC ReCommissioning'!U23</f>
        <v>0</v>
      </c>
      <c r="CO21" s="276">
        <f>'COM Cool Roof'!U23</f>
        <v>0</v>
      </c>
      <c r="CP21" s="738">
        <f>'COM HVAC ReCommissioning'!U23</f>
        <v>0</v>
      </c>
      <c r="CQ21" s="738">
        <f>'COM ERV'!U23</f>
        <v>0</v>
      </c>
      <c r="CR21" s="276">
        <f>'COM School PV'!U23</f>
        <v>0</v>
      </c>
      <c r="CS21" s="276">
        <f>'COM PV'!U23</f>
        <v>0</v>
      </c>
      <c r="CT21" s="736">
        <f t="shared" si="8"/>
        <v>232.01838505196153</v>
      </c>
      <c r="CU21" s="742">
        <f>+'COM LM (cyc)'!Z23</f>
        <v>0</v>
      </c>
      <c r="CV21" s="299">
        <f>+'COM LM (ext)'!Z23</f>
        <v>0</v>
      </c>
      <c r="CW21" s="299">
        <f>+'COM SB Gen'!Z23</f>
        <v>3.7700000000000005</v>
      </c>
      <c r="CX21" s="299">
        <f>+'COM DMD Response'!U23</f>
        <v>2.647386</v>
      </c>
      <c r="CY21" s="282">
        <f t="shared" si="2"/>
        <v>6.4173860000000005</v>
      </c>
      <c r="CZ21" s="745">
        <f t="shared" si="3"/>
        <v>238.43577105196152</v>
      </c>
      <c r="DA21" s="162"/>
    </row>
    <row r="22" spans="1:106" x14ac:dyDescent="0.2">
      <c r="A22" s="269">
        <v>2011</v>
      </c>
      <c r="B22" s="275">
        <f>+'C-I FREE'!M24</f>
        <v>13.514032732696897</v>
      </c>
      <c r="C22" s="276">
        <f>+'C-I Paid'!M24</f>
        <v>0.39470000000000005</v>
      </c>
      <c r="D22" s="738">
        <f>+'C-I Mail-In'!M24</f>
        <v>7.9649999999999999E-2</v>
      </c>
      <c r="E22" s="276">
        <f>+'COM Cooling'!M24</f>
        <v>1.7973700508101669</v>
      </c>
      <c r="F22" s="276">
        <f>+'COM Duct'!M24</f>
        <v>4.520905</v>
      </c>
      <c r="G22" s="724">
        <f>+'COM Bldg Envel'!M24</f>
        <v>0.13424190322580642</v>
      </c>
      <c r="H22" s="276">
        <f>'COM CI'!M24</f>
        <v>0</v>
      </c>
      <c r="I22" s="276">
        <f>'COM WI'!M24</f>
        <v>0</v>
      </c>
      <c r="J22" s="724">
        <f>+'COM EEMotors'!M24</f>
        <v>3.6299999999999999E-2</v>
      </c>
      <c r="K22" s="276">
        <f>+'COM Chillers'!M24</f>
        <v>1.01949</v>
      </c>
      <c r="L22" s="276">
        <f>+'COM Occ. Sens.'!M24</f>
        <v>1.8970607000000002</v>
      </c>
      <c r="M22" s="276">
        <f>+'COM Ref'!M24</f>
        <v>0</v>
      </c>
      <c r="N22" s="276">
        <f>+'COM WH'!M24</f>
        <v>0</v>
      </c>
      <c r="O22" s="724">
        <f>+'COM Lighting'!M24</f>
        <v>35.842095351031631</v>
      </c>
      <c r="P22" s="276">
        <f>'COM Cond. Light'!M24</f>
        <v>0</v>
      </c>
      <c r="Q22" s="276">
        <f>'COM Non Cond. Light'!M24</f>
        <v>0</v>
      </c>
      <c r="R22" s="276">
        <f>+'COM CV'!M24</f>
        <v>5.279443333333333</v>
      </c>
      <c r="S22" s="276">
        <f>'COM TES'!M24</f>
        <v>0</v>
      </c>
      <c r="T22" s="738">
        <f>+'Street Light Conv'!M24</f>
        <v>0</v>
      </c>
      <c r="U22" s="276">
        <f>'COM ECM'!M24</f>
        <v>0</v>
      </c>
      <c r="V22" s="738">
        <f>'COM ECM HVAC'!M24</f>
        <v>0</v>
      </c>
      <c r="W22" s="276">
        <f>'COM Cool Roof'!M24</f>
        <v>7.3374999999999996E-2</v>
      </c>
      <c r="X22" s="724">
        <f>'COM HVAC ReCommissioning'!M24</f>
        <v>0</v>
      </c>
      <c r="Y22" s="724">
        <f>'COM ERV'!M24</f>
        <v>0</v>
      </c>
      <c r="Z22" s="724">
        <f>'COM School PV'!M24</f>
        <v>2.8E-3</v>
      </c>
      <c r="AA22" s="724">
        <f>'COM PV'!M24</f>
        <v>2.0760000000000001E-2</v>
      </c>
      <c r="AB22" s="282">
        <f t="shared" si="4"/>
        <v>64.51528907109784</v>
      </c>
      <c r="AC22" s="299">
        <f>+'COM LM (cyc)'!N24</f>
        <v>0.20160000000000003</v>
      </c>
      <c r="AD22" s="299">
        <f>+'COM LM (ext)'!N24</f>
        <v>0</v>
      </c>
      <c r="AE22" s="299">
        <f>+'COM SB Gen'!N24</f>
        <v>37.700000000000003</v>
      </c>
      <c r="AF22" s="299">
        <f>+'COM DMD Response'!M24</f>
        <v>36.843675000000005</v>
      </c>
      <c r="AG22" s="277">
        <f t="shared" si="5"/>
        <v>74.745275000000007</v>
      </c>
      <c r="AH22" s="719">
        <f t="shared" si="0"/>
        <v>139.26056407109786</v>
      </c>
      <c r="AJ22" s="748">
        <v>2011</v>
      </c>
      <c r="AK22" s="276">
        <f>+'C-I FREE'!Q24</f>
        <v>32.516623102625317</v>
      </c>
      <c r="AL22" s="276">
        <f>+'C-I Paid'!Q24</f>
        <v>0.91442000000000001</v>
      </c>
      <c r="AM22" s="738">
        <f>+'C-I Mail-In'!Q24</f>
        <v>6.0399999999999995E-2</v>
      </c>
      <c r="AN22" s="276">
        <f>+'COM Cooling'!Q24</f>
        <v>0</v>
      </c>
      <c r="AO22" s="276">
        <f>+'COM Duct'!Q24</f>
        <v>0.75968999999999998</v>
      </c>
      <c r="AP22" s="738">
        <f>+'COM Bldg Envel'!Q24</f>
        <v>5.7581290322580641E-3</v>
      </c>
      <c r="AQ22" s="276">
        <f>'COM CI'!Q24</f>
        <v>0</v>
      </c>
      <c r="AR22" s="276">
        <f>'COM WI'!Q24</f>
        <v>0</v>
      </c>
      <c r="AS22" s="738">
        <f>+'COM EEMotors'!Q24</f>
        <v>1.372E-2</v>
      </c>
      <c r="AT22" s="276">
        <f>+'COM Chillers'!Q24</f>
        <v>0.58857941176470585</v>
      </c>
      <c r="AU22" s="276">
        <f>+'COM Occ. Sens.'!Q24</f>
        <v>1.3937934000000001</v>
      </c>
      <c r="AV22" s="276">
        <f>+'COM Ref'!Q24</f>
        <v>0</v>
      </c>
      <c r="AW22" s="276">
        <f>+'COM WH'!Q24</f>
        <v>0</v>
      </c>
      <c r="AX22" s="738">
        <f>+'COM Lighting'!Q24</f>
        <v>14.922949989004755</v>
      </c>
      <c r="AY22" s="276">
        <f>'COM Cond. Light'!Q24</f>
        <v>0</v>
      </c>
      <c r="AZ22" s="276">
        <f>'COM Non Cond. Light'!Q24</f>
        <v>0</v>
      </c>
      <c r="BA22" s="276">
        <f>+'COM CV'!Q24</f>
        <v>3.1922499999999996</v>
      </c>
      <c r="BB22" s="276">
        <f>'COM TES'!Q24</f>
        <v>0</v>
      </c>
      <c r="BC22" s="738">
        <f>+'Street Light Conv'!Q24</f>
        <v>0</v>
      </c>
      <c r="BD22" s="276">
        <f>'COM ECM'!Q24</f>
        <v>0</v>
      </c>
      <c r="BE22" s="738">
        <f>'COM HVAC ReCommissioning'!Q24</f>
        <v>0</v>
      </c>
      <c r="BF22" s="276">
        <f>'COM Cool Roof'!Q24</f>
        <v>0</v>
      </c>
      <c r="BG22" s="738">
        <f>'COM HVAC ReCommissioning'!Q24</f>
        <v>0</v>
      </c>
      <c r="BH22" s="738">
        <f>'COM ERV'!Q24</f>
        <v>0</v>
      </c>
      <c r="BI22" s="738">
        <f>'COM School PV'!Q24</f>
        <v>0</v>
      </c>
      <c r="BJ22" s="276">
        <f>'COM PV'!Q24</f>
        <v>0</v>
      </c>
      <c r="BK22" s="282">
        <f t="shared" si="6"/>
        <v>54.368184032427038</v>
      </c>
      <c r="BL22" s="299">
        <f>+'COM LM (cyc)'!T24</f>
        <v>0</v>
      </c>
      <c r="BM22" s="299">
        <f>+'COM LM (ext)'!T24</f>
        <v>0</v>
      </c>
      <c r="BN22" s="299">
        <f>+'COM SB Gen'!T24</f>
        <v>37.700000000000003</v>
      </c>
      <c r="BO22" s="299">
        <f>+'COM DMD Response'!Q24</f>
        <v>36.843675000000005</v>
      </c>
      <c r="BP22" s="1106">
        <f t="shared" si="7"/>
        <v>74.543675000000007</v>
      </c>
      <c r="BQ22" s="719">
        <f t="shared" si="1"/>
        <v>128.91185903242706</v>
      </c>
      <c r="BS22" s="269">
        <v>2011</v>
      </c>
      <c r="BT22" s="275">
        <f>+'C-I FREE'!U24</f>
        <v>21.574869204057276</v>
      </c>
      <c r="BU22" s="276">
        <f>+'C-I Paid'!U24</f>
        <v>0.22068450000000001</v>
      </c>
      <c r="BV22" s="738">
        <f>+'C-I Mail-In'!U24</f>
        <v>0.33984000000000003</v>
      </c>
      <c r="BW22" s="276">
        <f>+'COM Cooling'!U24</f>
        <v>6.4021219947893027</v>
      </c>
      <c r="BX22" s="276">
        <f>+'COM Duct'!U24</f>
        <v>12.609793</v>
      </c>
      <c r="BY22" s="738">
        <f>+'COM Bldg Envel'!U24</f>
        <v>0.1603966612903226</v>
      </c>
      <c r="BZ22" s="276">
        <f>'COM CI'!U24</f>
        <v>0</v>
      </c>
      <c r="CA22" s="276">
        <f>'COM WI'!U24</f>
        <v>0</v>
      </c>
      <c r="CB22" s="738">
        <f>+'COM EEMotors'!U24</f>
        <v>0.26702419999999999</v>
      </c>
      <c r="CC22" s="276">
        <f>+'COM Chillers'!U24</f>
        <v>2.9619164117647059</v>
      </c>
      <c r="CD22" s="276">
        <f>+'COM Occ. Sens.'!U24</f>
        <v>1.7205552799999999</v>
      </c>
      <c r="CE22" s="276">
        <f>+'COM Ref'!U24</f>
        <v>0</v>
      </c>
      <c r="CF22" s="276">
        <f>+'COM WH'!U24</f>
        <v>0</v>
      </c>
      <c r="CG22" s="738">
        <f>+'COM Lighting'!U24</f>
        <v>179.20178421672659</v>
      </c>
      <c r="CH22" s="276">
        <f>'COM Cond. Light'!U24</f>
        <v>0</v>
      </c>
      <c r="CI22" s="276">
        <f>'COM Non Cond. Light'!U24</f>
        <v>0</v>
      </c>
      <c r="CJ22" s="276">
        <f>+'COM CV'!U24</f>
        <v>19.810317083333334</v>
      </c>
      <c r="CK22" s="276">
        <f>'COM TES'!U24</f>
        <v>0</v>
      </c>
      <c r="CL22" s="738">
        <f>+'Street Light Conv'!U24</f>
        <v>16</v>
      </c>
      <c r="CM22" s="276">
        <f>'COM ECM'!U24</f>
        <v>0</v>
      </c>
      <c r="CN22" s="738">
        <f>'COM HVAC ReCommissioning'!U24</f>
        <v>0</v>
      </c>
      <c r="CO22" s="276">
        <f>'COM Cool Roof'!U24</f>
        <v>0.42933749999999998</v>
      </c>
      <c r="CP22" s="738">
        <f>'COM HVAC ReCommissioning'!U24</f>
        <v>0</v>
      </c>
      <c r="CQ22" s="738">
        <f>'COM ERV'!U24</f>
        <v>0</v>
      </c>
      <c r="CR22" s="276">
        <f>'COM School PV'!U24</f>
        <v>7.8840000000000004E-3</v>
      </c>
      <c r="CS22" s="276">
        <f>'COM PV'!U24</f>
        <v>5.8467999999999999E-2</v>
      </c>
      <c r="CT22" s="736">
        <f t="shared" si="8"/>
        <v>245.76499205196149</v>
      </c>
      <c r="CU22" s="742">
        <f>+'COM LM (cyc)'!Z24</f>
        <v>0</v>
      </c>
      <c r="CV22" s="299">
        <f>+'COM LM (ext)'!Z24</f>
        <v>0</v>
      </c>
      <c r="CW22" s="299">
        <f>+'COM SB Gen'!Z24</f>
        <v>3.7700000000000005</v>
      </c>
      <c r="CX22" s="299">
        <f>+'COM DMD Response'!U24</f>
        <v>2.7841835000000001</v>
      </c>
      <c r="CY22" s="282">
        <f t="shared" si="2"/>
        <v>6.5541835000000006</v>
      </c>
      <c r="CZ22" s="745">
        <f t="shared" si="3"/>
        <v>252.31917555196148</v>
      </c>
      <c r="DA22" s="162"/>
    </row>
    <row r="23" spans="1:106" x14ac:dyDescent="0.2">
      <c r="A23" s="269">
        <v>2012</v>
      </c>
      <c r="B23" s="275">
        <f>+'C-I FREE'!M25</f>
        <v>13.568632732696898</v>
      </c>
      <c r="C23" s="276">
        <f>+'C-I Paid'!M25</f>
        <v>0.39470000000000005</v>
      </c>
      <c r="D23" s="738">
        <f>+'C-I Mail-In'!M25</f>
        <v>7.9649999999999999E-2</v>
      </c>
      <c r="E23" s="276">
        <f>+'COM Cooling'!M25</f>
        <v>1.9436738439136152</v>
      </c>
      <c r="F23" s="276">
        <f>+'COM Duct'!M25</f>
        <v>5.032095</v>
      </c>
      <c r="G23" s="724">
        <f>+'COM Bldg Envel'!M25</f>
        <v>0.23845690322580643</v>
      </c>
      <c r="H23" s="276">
        <f>'COM CI'!M25</f>
        <v>0</v>
      </c>
      <c r="I23" s="276">
        <f>'COM WI'!M25</f>
        <v>0</v>
      </c>
      <c r="J23" s="724">
        <f>+'COM EEMotors'!M25</f>
        <v>4.8299999999999996E-2</v>
      </c>
      <c r="K23" s="276">
        <f>+'COM Chillers'!M25</f>
        <v>1.15669</v>
      </c>
      <c r="L23" s="276">
        <f>+'COM Occ. Sens.'!M25</f>
        <v>2.4215357000000002</v>
      </c>
      <c r="M23" s="276">
        <f>+'COM Ref'!M25</f>
        <v>0</v>
      </c>
      <c r="N23" s="276">
        <f>+'COM WH'!M25</f>
        <v>0</v>
      </c>
      <c r="O23" s="724">
        <f>+'COM Lighting'!M25</f>
        <v>37.018110351031631</v>
      </c>
      <c r="P23" s="276">
        <f>'COM Cond. Light'!M25</f>
        <v>0</v>
      </c>
      <c r="Q23" s="276">
        <f>'COM Non Cond. Light'!M25</f>
        <v>0</v>
      </c>
      <c r="R23" s="276">
        <f>+'COM CV'!M25</f>
        <v>6.1153633333333328</v>
      </c>
      <c r="S23" s="276">
        <f>'COM TES'!M25</f>
        <v>0</v>
      </c>
      <c r="T23" s="738">
        <f>+'Street Light Conv'!M25</f>
        <v>0</v>
      </c>
      <c r="U23" s="276">
        <f>'COM ECM'!M25</f>
        <v>0</v>
      </c>
      <c r="V23" s="738">
        <f>'COM ECM HVAC'!M25</f>
        <v>0</v>
      </c>
      <c r="W23" s="276">
        <f>'COM Cool Roof'!M25</f>
        <v>0.36826499999999995</v>
      </c>
      <c r="X23" s="724">
        <f>'COM HVAC ReCommissioning'!M25</f>
        <v>3.4800000000000005E-2</v>
      </c>
      <c r="Y23" s="724">
        <f>'COM ERV'!M25</f>
        <v>0</v>
      </c>
      <c r="Z23" s="724">
        <f>'COM School PV'!M25</f>
        <v>8.3999999999999995E-3</v>
      </c>
      <c r="AA23" s="724">
        <f>'COM PV'!M25</f>
        <v>5.7360000000000001E-2</v>
      </c>
      <c r="AB23" s="282">
        <f t="shared" si="4"/>
        <v>68.017207864201282</v>
      </c>
      <c r="AC23" s="299">
        <f>+'COM LM (cyc)'!N25</f>
        <v>0.33137999999999995</v>
      </c>
      <c r="AD23" s="299">
        <f>+'COM LM (ext)'!N25</f>
        <v>0</v>
      </c>
      <c r="AE23" s="299">
        <f>+'COM SB Gen'!N25</f>
        <v>48.030999999999999</v>
      </c>
      <c r="AF23" s="299">
        <f>+'COM DMD Response'!M25</f>
        <v>37.839449999999999</v>
      </c>
      <c r="AG23" s="277">
        <f t="shared" si="5"/>
        <v>86.201830000000001</v>
      </c>
      <c r="AH23" s="719">
        <f t="shared" si="0"/>
        <v>154.21903786420128</v>
      </c>
      <c r="AJ23" s="748">
        <v>2012</v>
      </c>
      <c r="AK23" s="276">
        <f>+'C-I FREE'!Q25</f>
        <v>32.56207310262532</v>
      </c>
      <c r="AL23" s="276">
        <f>+'C-I Paid'!Q25</f>
        <v>0.91442000000000001</v>
      </c>
      <c r="AM23" s="738">
        <f>+'C-I Mail-In'!Q25</f>
        <v>6.0399999999999995E-2</v>
      </c>
      <c r="AN23" s="276">
        <f>+'COM Cooling'!Q25</f>
        <v>0</v>
      </c>
      <c r="AO23" s="276">
        <f>+'COM Duct'!Q25</f>
        <v>0.75968999999999998</v>
      </c>
      <c r="AP23" s="738">
        <f>+'COM Bldg Envel'!Q25</f>
        <v>5.7581290322580641E-3</v>
      </c>
      <c r="AQ23" s="276">
        <f>'COM CI'!Q25</f>
        <v>0</v>
      </c>
      <c r="AR23" s="276">
        <f>'COM WI'!Q25</f>
        <v>0</v>
      </c>
      <c r="AS23" s="738">
        <f>+'COM EEMotors'!Q25</f>
        <v>3.7320000000000006E-2</v>
      </c>
      <c r="AT23" s="276">
        <f>+'COM Chillers'!Q25</f>
        <v>0.58857941176470585</v>
      </c>
      <c r="AU23" s="276">
        <f>+'COM Occ. Sens.'!Q25</f>
        <v>2.0374134000000002</v>
      </c>
      <c r="AV23" s="276">
        <f>+'COM Ref'!Q25</f>
        <v>0</v>
      </c>
      <c r="AW23" s="276">
        <f>+'COM WH'!Q25</f>
        <v>0</v>
      </c>
      <c r="AX23" s="738">
        <f>+'COM Lighting'!Q25</f>
        <v>14.922949989004755</v>
      </c>
      <c r="AY23" s="276">
        <f>'COM Cond. Light'!Q25</f>
        <v>0</v>
      </c>
      <c r="AZ23" s="276">
        <f>'COM Non Cond. Light'!Q25</f>
        <v>0</v>
      </c>
      <c r="BA23" s="276">
        <f>+'COM CV'!Q25</f>
        <v>3.1922499999999996</v>
      </c>
      <c r="BB23" s="276">
        <f>'COM TES'!Q25</f>
        <v>0</v>
      </c>
      <c r="BC23" s="738">
        <f>+'Street Light Conv'!Q25</f>
        <v>0</v>
      </c>
      <c r="BD23" s="276">
        <f>'COM ECM'!Q25</f>
        <v>0</v>
      </c>
      <c r="BE23" s="738">
        <f>'COM HVAC ReCommissioning'!Q25</f>
        <v>0</v>
      </c>
      <c r="BF23" s="276">
        <f>'COM Cool Roof'!Q25</f>
        <v>0</v>
      </c>
      <c r="BG23" s="738">
        <f>'COM HVAC ReCommissioning'!Q25</f>
        <v>0</v>
      </c>
      <c r="BH23" s="738">
        <f>'COM ERV'!Q25</f>
        <v>0</v>
      </c>
      <c r="BI23" s="738">
        <f>'COM School PV'!Q25</f>
        <v>0</v>
      </c>
      <c r="BJ23" s="276">
        <f>'COM PV'!Q25</f>
        <v>0</v>
      </c>
      <c r="BK23" s="282">
        <f t="shared" si="6"/>
        <v>55.080854032427041</v>
      </c>
      <c r="BL23" s="299">
        <f>+'COM LM (cyc)'!T25</f>
        <v>0</v>
      </c>
      <c r="BM23" s="299">
        <f>+'COM LM (ext)'!T25</f>
        <v>0</v>
      </c>
      <c r="BN23" s="299">
        <f>+'COM SB Gen'!T25</f>
        <v>45.578400000000002</v>
      </c>
      <c r="BO23" s="299">
        <f>+'COM DMD Response'!Q25</f>
        <v>37.839449999999999</v>
      </c>
      <c r="BP23" s="1106">
        <f t="shared" si="7"/>
        <v>83.417850000000001</v>
      </c>
      <c r="BQ23" s="719">
        <f t="shared" si="1"/>
        <v>138.49870403242704</v>
      </c>
      <c r="BS23" s="269">
        <v>2012</v>
      </c>
      <c r="BT23" s="275">
        <f>+'C-I FREE'!U25</f>
        <v>21.983277204057277</v>
      </c>
      <c r="BU23" s="276">
        <f>+'C-I Paid'!U25</f>
        <v>0.22068450000000001</v>
      </c>
      <c r="BV23" s="738">
        <f>+'C-I Mail-In'!U25</f>
        <v>0.33984000000000003</v>
      </c>
      <c r="BW23" s="276">
        <f>+'COM Cooling'!U25</f>
        <v>6.6853554947893024</v>
      </c>
      <c r="BX23" s="276">
        <f>+'COM Duct'!U25</f>
        <v>15.000843</v>
      </c>
      <c r="BY23" s="738">
        <f>+'COM Bldg Envel'!U25</f>
        <v>0.45604516129032258</v>
      </c>
      <c r="BZ23" s="276">
        <f>'COM CI'!U25</f>
        <v>0</v>
      </c>
      <c r="CA23" s="276">
        <f>'COM WI'!U25</f>
        <v>0</v>
      </c>
      <c r="CB23" s="738">
        <f>+'COM EEMotors'!U25</f>
        <v>0.29615419999999998</v>
      </c>
      <c r="CC23" s="276">
        <f>+'COM Chillers'!U25</f>
        <v>3.175031411764706</v>
      </c>
      <c r="CD23" s="276">
        <f>+'COM Occ. Sens.'!U25</f>
        <v>2.3490702799999998</v>
      </c>
      <c r="CE23" s="276">
        <f>+'COM Ref'!U25</f>
        <v>0</v>
      </c>
      <c r="CF23" s="276">
        <f>+'COM WH'!U25</f>
        <v>0</v>
      </c>
      <c r="CG23" s="738">
        <f>+'COM Lighting'!U25</f>
        <v>186.31421521672658</v>
      </c>
      <c r="CH23" s="276">
        <f>'COM Cond. Light'!U25</f>
        <v>0</v>
      </c>
      <c r="CI23" s="276">
        <f>'COM Non Cond. Light'!U25</f>
        <v>0</v>
      </c>
      <c r="CJ23" s="276">
        <f>+'COM CV'!U25</f>
        <v>19.962633083333333</v>
      </c>
      <c r="CK23" s="276">
        <f>'COM TES'!U25</f>
        <v>0</v>
      </c>
      <c r="CL23" s="738">
        <f>+'Street Light Conv'!U25</f>
        <v>16</v>
      </c>
      <c r="CM23" s="276">
        <f>'COM ECM'!U25</f>
        <v>0</v>
      </c>
      <c r="CN23" s="738">
        <f>'COM HVAC ReCommissioning'!U25</f>
        <v>0.13463249999999999</v>
      </c>
      <c r="CO23" s="276">
        <f>'COM Cool Roof'!U25</f>
        <v>1.9285774999999998</v>
      </c>
      <c r="CP23" s="738">
        <f>'COM HVAC ReCommissioning'!U25</f>
        <v>0.13463249999999999</v>
      </c>
      <c r="CQ23" s="738">
        <f>'COM ERV'!U25</f>
        <v>0</v>
      </c>
      <c r="CR23" s="276">
        <f>'COM School PV'!U25</f>
        <v>2.3651999999999999E-2</v>
      </c>
      <c r="CS23" s="276">
        <f>'COM PV'!U25</f>
        <v>0.16152549999999999</v>
      </c>
      <c r="CT23" s="736">
        <f t="shared" si="8"/>
        <v>259.16616955196156</v>
      </c>
      <c r="CU23" s="742">
        <f>+'COM LM (cyc)'!Z25</f>
        <v>0</v>
      </c>
      <c r="CV23" s="299">
        <f>+'COM LM (ext)'!Z25</f>
        <v>0</v>
      </c>
      <c r="CW23" s="299">
        <f>+'COM SB Gen'!Z25</f>
        <v>4.7009083333333326</v>
      </c>
      <c r="CX23" s="299">
        <f>+'COM DMD Response'!U25</f>
        <v>2.9181085000000002</v>
      </c>
      <c r="CY23" s="282">
        <f t="shared" si="2"/>
        <v>7.6190168333333332</v>
      </c>
      <c r="CZ23" s="745">
        <f t="shared" si="3"/>
        <v>266.78518638529488</v>
      </c>
      <c r="DA23" s="162"/>
    </row>
    <row r="24" spans="1:106" s="211" customFormat="1" x14ac:dyDescent="0.2">
      <c r="A24" s="588">
        <v>2013</v>
      </c>
      <c r="B24" s="720">
        <f>+'C-I FREE'!M26</f>
        <v>13.642832732696897</v>
      </c>
      <c r="C24" s="497">
        <f>+'C-I Paid'!M26</f>
        <v>0.39485000000000003</v>
      </c>
      <c r="D24" s="984">
        <f>+'C-I Mail-In'!M26</f>
        <v>7.9649999999999999E-2</v>
      </c>
      <c r="E24" s="497">
        <f>+'COM Cooling'!M26</f>
        <v>2.1425738439136151</v>
      </c>
      <c r="F24" s="497">
        <f>+'COM Duct'!M26</f>
        <v>5.4741</v>
      </c>
      <c r="G24" s="1161">
        <f>+'COM Bldg Envel'!M26</f>
        <v>0.4288799801488834</v>
      </c>
      <c r="H24" s="497">
        <f>'COM CI'!M26</f>
        <v>0</v>
      </c>
      <c r="I24" s="497">
        <f>'COM WI'!M26</f>
        <v>0</v>
      </c>
      <c r="J24" s="1161">
        <f>+'COM EEMotors'!M26</f>
        <v>4.9249999999999995E-2</v>
      </c>
      <c r="K24" s="497">
        <f>+'COM Chillers'!M26</f>
        <v>1.27075</v>
      </c>
      <c r="L24" s="497">
        <f>+'COM Occ. Sens.'!M26</f>
        <v>2.8336157000000002</v>
      </c>
      <c r="M24" s="497">
        <f>+'COM Ref'!M26</f>
        <v>0</v>
      </c>
      <c r="N24" s="497">
        <f>+'COM WH'!M26</f>
        <v>0</v>
      </c>
      <c r="O24" s="1161">
        <f>+'COM Lighting'!M26</f>
        <v>39.118135165846446</v>
      </c>
      <c r="P24" s="497">
        <f>'COM Cond. Light'!M26</f>
        <v>0</v>
      </c>
      <c r="Q24" s="497">
        <f>'COM Non Cond. Light'!M26</f>
        <v>0</v>
      </c>
      <c r="R24" s="497">
        <f>+'COM CV'!M26</f>
        <v>6.199818333333333</v>
      </c>
      <c r="S24" s="497">
        <f>'COM TES'!M26</f>
        <v>0</v>
      </c>
      <c r="T24" s="984">
        <f>+'Street Light Conv'!M26</f>
        <v>0</v>
      </c>
      <c r="U24" s="497">
        <f>'COM ECM'!M26</f>
        <v>0</v>
      </c>
      <c r="V24" s="984">
        <f>'COM ECM HVAC'!M26</f>
        <v>0</v>
      </c>
      <c r="W24" s="497">
        <f>'COM Cool Roof'!M26</f>
        <v>0.93406500000000003</v>
      </c>
      <c r="X24" s="1161">
        <f>'COM HVAC ReCommissioning'!M26</f>
        <v>0.13740000000000002</v>
      </c>
      <c r="Y24" s="1161">
        <f>'COM ERV'!M26</f>
        <v>1.0004999999999998E-2</v>
      </c>
      <c r="Z24" s="1161">
        <f>'COM School PV'!M26</f>
        <v>1.3999999999999999E-2</v>
      </c>
      <c r="AA24" s="1161">
        <f>'COM PV'!M26</f>
        <v>0.11864</v>
      </c>
      <c r="AB24" s="721">
        <f t="shared" si="4"/>
        <v>71.634455755939172</v>
      </c>
      <c r="AC24" s="497">
        <f>+'COM LM (cyc)'!N26</f>
        <v>0.33600000000000002</v>
      </c>
      <c r="AD24" s="497">
        <f>+'COM LM (ext)'!N26</f>
        <v>0</v>
      </c>
      <c r="AE24" s="497">
        <f>+'COM SB Gen'!N26</f>
        <v>47.4</v>
      </c>
      <c r="AF24" s="497">
        <f>+'COM DMD Response'!M26</f>
        <v>38.835225000000001</v>
      </c>
      <c r="AG24" s="277">
        <f t="shared" si="5"/>
        <v>86.571224999999998</v>
      </c>
      <c r="AH24" s="722">
        <f t="shared" si="0"/>
        <v>158.20568075593917</v>
      </c>
      <c r="AJ24" s="749">
        <v>2013</v>
      </c>
      <c r="AK24" s="497">
        <f>+'C-I FREE'!Q26</f>
        <v>32.61490310262532</v>
      </c>
      <c r="AL24" s="497">
        <f>+'C-I Paid'!Q26</f>
        <v>0.91442000000000001</v>
      </c>
      <c r="AM24" s="984">
        <f>+'C-I Mail-In'!Q26</f>
        <v>6.0399999999999995E-2</v>
      </c>
      <c r="AN24" s="497">
        <f>+'COM Cooling'!Q26</f>
        <v>0</v>
      </c>
      <c r="AO24" s="497">
        <f>+'COM Duct'!Q26</f>
        <v>0.76612000000000002</v>
      </c>
      <c r="AP24" s="984">
        <f>+'COM Bldg Envel'!Q26</f>
        <v>7.4565905707196026E-3</v>
      </c>
      <c r="AQ24" s="497">
        <f>'COM CI'!Q26</f>
        <v>0</v>
      </c>
      <c r="AR24" s="497">
        <f>'COM WI'!Q26</f>
        <v>0</v>
      </c>
      <c r="AS24" s="984">
        <f>+'COM EEMotors'!Q26</f>
        <v>3.7700000000000004E-2</v>
      </c>
      <c r="AT24" s="497">
        <f>+'COM Chillers'!Q26</f>
        <v>0.58857941176470585</v>
      </c>
      <c r="AU24" s="497">
        <f>+'COM Occ. Sens.'!Q26</f>
        <v>2.1844834</v>
      </c>
      <c r="AV24" s="497">
        <f>+'COM Ref'!Q26</f>
        <v>0</v>
      </c>
      <c r="AW24" s="497">
        <f>+'COM WH'!Q26</f>
        <v>0</v>
      </c>
      <c r="AX24" s="984">
        <f>+'COM Lighting'!Q26</f>
        <v>16.624117643325743</v>
      </c>
      <c r="AY24" s="497">
        <f>'COM Cond. Light'!Q26</f>
        <v>0</v>
      </c>
      <c r="AZ24" s="497">
        <f>'COM Non Cond. Light'!Q26</f>
        <v>0</v>
      </c>
      <c r="BA24" s="497">
        <f>+'COM CV'!Q26</f>
        <v>3.2838099999999995</v>
      </c>
      <c r="BB24" s="497">
        <f>'COM TES'!Q26</f>
        <v>0</v>
      </c>
      <c r="BC24" s="984">
        <f>+'Street Light Conv'!Q26</f>
        <v>0</v>
      </c>
      <c r="BD24" s="497">
        <f>'COM ECM'!Q26</f>
        <v>0</v>
      </c>
      <c r="BE24" s="984">
        <f>'COM HVAC ReCommissioning'!Q26</f>
        <v>0</v>
      </c>
      <c r="BF24" s="497">
        <f>'COM Cool Roof'!Q26</f>
        <v>0</v>
      </c>
      <c r="BG24" s="984">
        <f>'COM HVAC ReCommissioning'!Q26</f>
        <v>0</v>
      </c>
      <c r="BH24" s="984">
        <f>'COM ERV'!Q26</f>
        <v>0</v>
      </c>
      <c r="BI24" s="984">
        <f>'COM School PV'!Q26</f>
        <v>0</v>
      </c>
      <c r="BJ24" s="497">
        <f>'COM PV'!Q26</f>
        <v>0</v>
      </c>
      <c r="BK24" s="721">
        <f t="shared" si="6"/>
        <v>57.081990148286494</v>
      </c>
      <c r="BL24" s="497">
        <f>+'COM LM (cyc)'!T26</f>
        <v>0</v>
      </c>
      <c r="BM24" s="497">
        <f>+'COM LM (ext)'!T26</f>
        <v>0</v>
      </c>
      <c r="BN24" s="497">
        <f>+'COM SB Gen'!T26</f>
        <v>48</v>
      </c>
      <c r="BO24" s="497">
        <f>+'COM DMD Response'!Q26</f>
        <v>38.835225000000001</v>
      </c>
      <c r="BP24" s="1106">
        <f t="shared" si="7"/>
        <v>86.835225000000008</v>
      </c>
      <c r="BQ24" s="719">
        <f t="shared" si="1"/>
        <v>143.91721514828652</v>
      </c>
      <c r="BR24" s="723"/>
      <c r="BS24" s="588">
        <v>2013</v>
      </c>
      <c r="BT24" s="720">
        <f>+'C-I FREE'!U26</f>
        <v>22.538293204057275</v>
      </c>
      <c r="BU24" s="497">
        <f>+'C-I Paid'!U26</f>
        <v>0.22180650000000002</v>
      </c>
      <c r="BV24" s="984">
        <f>+'C-I Mail-In'!U26</f>
        <v>0.33984000000000003</v>
      </c>
      <c r="BW24" s="497">
        <f>+'COM Cooling'!U26</f>
        <v>7.0664529947893024</v>
      </c>
      <c r="BX24" s="497">
        <f>+'COM Duct'!U26</f>
        <v>16.928879999999999</v>
      </c>
      <c r="BY24" s="984">
        <f>+'COM Bldg Envel'!U26</f>
        <v>1.0850682382133996</v>
      </c>
      <c r="BZ24" s="497">
        <f>'COM CI'!U26</f>
        <v>0</v>
      </c>
      <c r="CA24" s="497">
        <f>'COM WI'!U26</f>
        <v>0</v>
      </c>
      <c r="CB24" s="984">
        <f>+'COM EEMotors'!U26</f>
        <v>0.29994919999999997</v>
      </c>
      <c r="CC24" s="497">
        <f>+'COM Chillers'!U26</f>
        <v>3.4333674117647059</v>
      </c>
      <c r="CD24" s="497">
        <f>+'COM Occ. Sens.'!U26</f>
        <v>2.7600942799999997</v>
      </c>
      <c r="CE24" s="497">
        <f>+'COM Ref'!U26</f>
        <v>0</v>
      </c>
      <c r="CF24" s="497">
        <f>+'COM WH'!U26</f>
        <v>0</v>
      </c>
      <c r="CG24" s="984">
        <f>+'COM Lighting'!U26</f>
        <v>199.20880588339324</v>
      </c>
      <c r="CH24" s="497">
        <f>'COM Cond. Light'!U26</f>
        <v>0</v>
      </c>
      <c r="CI24" s="497">
        <f>'COM Non Cond. Light'!U26</f>
        <v>0</v>
      </c>
      <c r="CJ24" s="497">
        <f>+'COM CV'!U26</f>
        <v>20.368087083333332</v>
      </c>
      <c r="CK24" s="497">
        <f>'COM TES'!U26</f>
        <v>0</v>
      </c>
      <c r="CL24" s="984">
        <f>+'Street Light Conv'!U26</f>
        <v>16</v>
      </c>
      <c r="CM24" s="497">
        <f>'COM ECM'!U26</f>
        <v>0</v>
      </c>
      <c r="CN24" s="984">
        <f>'COM HVAC ReCommissioning'!U26</f>
        <v>0.43137449999999999</v>
      </c>
      <c r="CO24" s="497">
        <f>'COM Cool Roof'!U26</f>
        <v>5.3096695</v>
      </c>
      <c r="CP24" s="984">
        <f>'COM HVAC ReCommissioning'!U26</f>
        <v>0.43137449999999999</v>
      </c>
      <c r="CQ24" s="984">
        <f>'COM ERV'!U26</f>
        <v>1.5664500000000001E-2</v>
      </c>
      <c r="CR24" s="497">
        <f>'COM School PV'!U26</f>
        <v>3.9419999999999997E-2</v>
      </c>
      <c r="CS24" s="497">
        <f>'COM PV'!U26</f>
        <v>0.33408549999999998</v>
      </c>
      <c r="CT24" s="720">
        <f t="shared" si="8"/>
        <v>280.81223329555127</v>
      </c>
      <c r="CU24" s="743">
        <f>+'COM LM (cyc)'!Z26</f>
        <v>0</v>
      </c>
      <c r="CV24" s="497">
        <f>+'COM LM (ext)'!Z26</f>
        <v>0</v>
      </c>
      <c r="CW24" s="497">
        <f>+'COM SB Gen'!Z26</f>
        <v>4.7649999999999997</v>
      </c>
      <c r="CX24" s="497">
        <f>+'COM DMD Response'!U26</f>
        <v>2.9931065000000001</v>
      </c>
      <c r="CY24" s="282">
        <f t="shared" si="2"/>
        <v>7.7581065000000002</v>
      </c>
      <c r="CZ24" s="745">
        <f t="shared" si="3"/>
        <v>288.57033979555126</v>
      </c>
      <c r="DA24" s="723"/>
    </row>
    <row r="25" spans="1:106" x14ac:dyDescent="0.2">
      <c r="A25" s="269">
        <v>2014</v>
      </c>
      <c r="B25" s="978">
        <f>+'C-I FREE'!M27</f>
        <v>13.723332732696898</v>
      </c>
      <c r="C25" s="979">
        <f>+'C-I Paid'!M27</f>
        <v>0.39515000000000006</v>
      </c>
      <c r="D25" s="738">
        <f>+'C-I Mail-In'!M27</f>
        <v>7.9649999999999999E-2</v>
      </c>
      <c r="E25" s="276">
        <f>+'COM Cooling'!M27</f>
        <v>2.3770938439136149</v>
      </c>
      <c r="F25" s="276">
        <f>+'COM Duct'!M27</f>
        <v>5.5518599999999996</v>
      </c>
      <c r="G25" s="724">
        <f>+'COM Bldg Envel'!M27</f>
        <v>0.98681398014888333</v>
      </c>
      <c r="H25" s="276">
        <f>'COM CI'!M27</f>
        <v>0</v>
      </c>
      <c r="I25" s="276">
        <f>'COM WI'!M27</f>
        <v>0</v>
      </c>
      <c r="J25" s="1156">
        <f>+'COM EEMotors'!M27</f>
        <v>5.6409999999999995E-2</v>
      </c>
      <c r="K25" s="276">
        <f>+'COM Chillers'!M27</f>
        <v>1.40845</v>
      </c>
      <c r="L25" s="276">
        <f>+'COM Occ. Sens.'!M27</f>
        <v>3.2760407000000002</v>
      </c>
      <c r="M25" s="276">
        <f>+'COM Ref'!M27</f>
        <v>0</v>
      </c>
      <c r="N25" s="276">
        <f>+'COM WH'!M27</f>
        <v>0</v>
      </c>
      <c r="O25" s="1156">
        <f>+'COM Lighting'!M27</f>
        <v>42.78797257963955</v>
      </c>
      <c r="P25" s="276">
        <f>'COM Cond. Light'!M27</f>
        <v>0</v>
      </c>
      <c r="Q25" s="276">
        <f>'COM Non Cond. Light'!M27</f>
        <v>0</v>
      </c>
      <c r="R25" s="276">
        <f>+'COM CV'!M27</f>
        <v>6.4443183333333334</v>
      </c>
      <c r="S25" s="276">
        <f>'COM TES'!M27</f>
        <v>0</v>
      </c>
      <c r="T25" s="738">
        <f>+'Street Light Conv'!M27</f>
        <v>0</v>
      </c>
      <c r="U25" s="276">
        <f>'COM ECM'!M27</f>
        <v>0</v>
      </c>
      <c r="V25" s="738">
        <f>'COM ECM HVAC'!M27</f>
        <v>0</v>
      </c>
      <c r="W25" s="276">
        <f>'COM Cool Roof'!M27</f>
        <v>1.122315</v>
      </c>
      <c r="X25" s="1156">
        <f>'COM HVAC ReCommissioning'!M27</f>
        <v>0.15621000000000002</v>
      </c>
      <c r="Y25" s="724">
        <f>'COM ERV'!M27</f>
        <v>2.0009999999999997E-2</v>
      </c>
      <c r="Z25" s="1156">
        <f>'COM School PV'!M27</f>
        <v>1.9599999999999999E-2</v>
      </c>
      <c r="AA25" s="1156">
        <f>'COM PV'!M27</f>
        <v>0.16808999999999999</v>
      </c>
      <c r="AB25" s="282">
        <f t="shared" si="4"/>
        <v>77.087092169732273</v>
      </c>
      <c r="AC25" s="299">
        <f>+'COM LM (cyc)'!N27</f>
        <v>0.2</v>
      </c>
      <c r="AD25" s="299">
        <f>+'COM LM (ext)'!N27</f>
        <v>0</v>
      </c>
      <c r="AE25" s="299">
        <f>+'COM SB Gen'!N27</f>
        <v>48.57</v>
      </c>
      <c r="AF25" s="299">
        <f>+'COM DMD Response'!M27</f>
        <v>40.692405000000001</v>
      </c>
      <c r="AG25" s="277">
        <f t="shared" si="5"/>
        <v>89.462405000000004</v>
      </c>
      <c r="AH25" s="719">
        <f t="shared" si="0"/>
        <v>166.54949716973226</v>
      </c>
      <c r="AJ25" s="748">
        <v>2014</v>
      </c>
      <c r="AK25" s="276">
        <f>+'C-I FREE'!Q27</f>
        <v>32.695633102625322</v>
      </c>
      <c r="AL25" s="276">
        <f>+'C-I Paid'!Q27</f>
        <v>0.91469</v>
      </c>
      <c r="AM25" s="738">
        <f>+'C-I Mail-In'!Q27</f>
        <v>6.0399999999999995E-2</v>
      </c>
      <c r="AN25" s="276">
        <f>+'COM Cooling'!Q27</f>
        <v>0</v>
      </c>
      <c r="AO25" s="276">
        <f>+'COM Duct'!Q27</f>
        <v>0.76612000000000002</v>
      </c>
      <c r="AP25" s="738">
        <f>+'COM Bldg Envel'!Q27</f>
        <v>9.6965905707196015E-3</v>
      </c>
      <c r="AQ25" s="276">
        <f>'COM CI'!Q27</f>
        <v>0</v>
      </c>
      <c r="AR25" s="276">
        <f>'COM WI'!Q27</f>
        <v>0</v>
      </c>
      <c r="AS25" s="738">
        <f>+'COM EEMotors'!Q27</f>
        <v>4.3380000000000002E-2</v>
      </c>
      <c r="AT25" s="276">
        <f>+'COM Chillers'!Q27</f>
        <v>0.67833941176470591</v>
      </c>
      <c r="AU25" s="276">
        <f>+'COM Occ. Sens.'!Q27</f>
        <v>2.4845533999999998</v>
      </c>
      <c r="AV25" s="276">
        <f>+'COM Ref'!Q27</f>
        <v>0</v>
      </c>
      <c r="AW25" s="276">
        <f>+'COM WH'!Q27</f>
        <v>0</v>
      </c>
      <c r="AX25" s="738">
        <f>+'COM Lighting'!Q27</f>
        <v>19.303446815739537</v>
      </c>
      <c r="AY25" s="276">
        <f>'COM Cond. Light'!Q27</f>
        <v>0</v>
      </c>
      <c r="AZ25" s="276">
        <f>'COM Non Cond. Light'!Q27</f>
        <v>0</v>
      </c>
      <c r="BA25" s="276">
        <f>+'COM CV'!Q27</f>
        <v>3.2838099999999995</v>
      </c>
      <c r="BB25" s="276">
        <f>'COM TES'!Q27</f>
        <v>0</v>
      </c>
      <c r="BC25" s="738">
        <f>+'Street Light Conv'!Q27</f>
        <v>0</v>
      </c>
      <c r="BD25" s="276">
        <f>'COM ECM'!Q27</f>
        <v>0</v>
      </c>
      <c r="BE25" s="738">
        <f>'COM HVAC ReCommissioning'!Q27</f>
        <v>0</v>
      </c>
      <c r="BF25" s="276">
        <f>'COM Cool Roof'!Q27</f>
        <v>0</v>
      </c>
      <c r="BG25" s="738">
        <f>'COM HVAC ReCommissioning'!Q27</f>
        <v>0</v>
      </c>
      <c r="BH25" s="738">
        <f>'COM ERV'!Q27</f>
        <v>2.1419999999999998E-2</v>
      </c>
      <c r="BI25" s="738">
        <f>'COM School PV'!Q27</f>
        <v>0</v>
      </c>
      <c r="BJ25" s="276">
        <f>'COM PV'!Q27</f>
        <v>0</v>
      </c>
      <c r="BK25" s="282">
        <f t="shared" si="6"/>
        <v>60.261489320700285</v>
      </c>
      <c r="BL25" s="299">
        <f>+'COM LM (cyc)'!T27</f>
        <v>0</v>
      </c>
      <c r="BM25" s="299">
        <f>+'COM LM (ext)'!T27</f>
        <v>0</v>
      </c>
      <c r="BN25" s="299">
        <f>+'COM SB Gen'!T27</f>
        <v>53.76</v>
      </c>
      <c r="BO25" s="299">
        <f>+'COM DMD Response'!Q27</f>
        <v>39.835245</v>
      </c>
      <c r="BP25" s="1106">
        <f t="shared" si="7"/>
        <v>93.595245000000006</v>
      </c>
      <c r="BQ25" s="719">
        <f t="shared" si="1"/>
        <v>153.8567343207003</v>
      </c>
      <c r="BS25" s="269">
        <v>2014</v>
      </c>
      <c r="BT25" s="275">
        <f>+'C-I FREE'!U27</f>
        <v>23.140433204057274</v>
      </c>
      <c r="BU25" s="276">
        <f>+'C-I Paid'!U27</f>
        <v>0.22405050000000001</v>
      </c>
      <c r="BV25" s="738">
        <f>+'C-I Mail-In'!U27</f>
        <v>0.33984000000000003</v>
      </c>
      <c r="BW25" s="276">
        <f>+'COM Cooling'!U27</f>
        <v>7.5094669947893022</v>
      </c>
      <c r="BX25" s="276">
        <f>+'COM Duct'!U27</f>
        <v>17.307959999999998</v>
      </c>
      <c r="BY25" s="738">
        <f>+'COM Bldg Envel'!U27</f>
        <v>1.6709847382133995</v>
      </c>
      <c r="BZ25" s="276">
        <f>'COM CI'!U27</f>
        <v>0</v>
      </c>
      <c r="CA25" s="276">
        <f>'COM WI'!U27</f>
        <v>0</v>
      </c>
      <c r="CB25" s="738">
        <f>+'COM EEMotors'!U27</f>
        <v>0.30780519999999995</v>
      </c>
      <c r="CC25" s="276">
        <f>+'COM Chillers'!U27</f>
        <v>3.710360411764706</v>
      </c>
      <c r="CD25" s="276">
        <f>+'COM Occ. Sens.'!U27</f>
        <v>3.1706442799999999</v>
      </c>
      <c r="CE25" s="276">
        <f>+'COM Ref'!U27</f>
        <v>0</v>
      </c>
      <c r="CF25" s="276">
        <f>+'COM WH'!U27</f>
        <v>0</v>
      </c>
      <c r="CG25" s="738">
        <f>+'COM Lighting'!U27</f>
        <v>205.6767453902898</v>
      </c>
      <c r="CH25" s="276">
        <f>'COM Cond. Light'!U27</f>
        <v>0</v>
      </c>
      <c r="CI25" s="276">
        <f>'COM Non Cond. Light'!U27</f>
        <v>0</v>
      </c>
      <c r="CJ25" s="276">
        <f>+'COM CV'!U27</f>
        <v>20.393087083333331</v>
      </c>
      <c r="CK25" s="276">
        <f>'COM TES'!U27</f>
        <v>0</v>
      </c>
      <c r="CL25" s="738">
        <f>+'Street Light Conv'!U27</f>
        <v>16</v>
      </c>
      <c r="CM25" s="276">
        <f>'COM ECM'!U27</f>
        <v>0</v>
      </c>
      <c r="CN25" s="738">
        <f>'COM HVAC ReCommissioning'!U27</f>
        <v>0.54277149999999996</v>
      </c>
      <c r="CO25" s="276">
        <f>'COM Cool Roof'!U27</f>
        <v>6.3887695000000004</v>
      </c>
      <c r="CP25" s="738">
        <f>'COM HVAC ReCommissioning'!U27</f>
        <v>0.54277149999999996</v>
      </c>
      <c r="CQ25" s="738">
        <f>'COM ERV'!U27</f>
        <v>3.1329000000000003E-2</v>
      </c>
      <c r="CR25" s="276">
        <f>'COM School PV'!U27</f>
        <v>5.5188000000000001E-2</v>
      </c>
      <c r="CS25" s="276">
        <f>'COM PV'!U27</f>
        <v>0.41249049999999998</v>
      </c>
      <c r="CT25" s="736">
        <f t="shared" si="8"/>
        <v>291.42469780244784</v>
      </c>
      <c r="CU25" s="742">
        <f>+'COM LM (cyc)'!Z27</f>
        <v>0</v>
      </c>
      <c r="CV25" s="299">
        <f>+'COM LM (ext)'!Z27</f>
        <v>0</v>
      </c>
      <c r="CW25" s="299">
        <f>+'COM SB Gen'!Z27</f>
        <v>5.0732499999999989</v>
      </c>
      <c r="CX25" s="299">
        <f>+'COM DMD Response'!U27</f>
        <v>3.1323885000000002</v>
      </c>
      <c r="CY25" s="282">
        <f t="shared" si="2"/>
        <v>8.2056384999999992</v>
      </c>
      <c r="CZ25" s="745">
        <f t="shared" si="3"/>
        <v>299.63033630244786</v>
      </c>
      <c r="DA25" s="162"/>
    </row>
    <row r="26" spans="1:106" s="201" customFormat="1" ht="13.5" thickBot="1" x14ac:dyDescent="0.25">
      <c r="A26" s="1091">
        <v>2015</v>
      </c>
      <c r="B26" s="1162">
        <f>+'C-I FREE'!M28</f>
        <v>13.723332732696898</v>
      </c>
      <c r="C26" s="1163">
        <f>+'C-I Paid'!M28</f>
        <v>0.39515000000000006</v>
      </c>
      <c r="D26" s="1079">
        <f>+'C-I Mail-In'!M28</f>
        <v>7.9649999999999999E-2</v>
      </c>
      <c r="E26" s="1078">
        <f>+'COM Cooling'!M28</f>
        <v>2.671222625964897</v>
      </c>
      <c r="F26" s="1078">
        <f>+'COM Duct'!M28</f>
        <v>5.5997010116731509</v>
      </c>
      <c r="G26" s="1155">
        <f>+'COM Bldg Envel'!M28</f>
        <v>1.5417364801488831</v>
      </c>
      <c r="H26" s="1078">
        <f>'COM CI'!M28</f>
        <v>1.4884999999999999E-2</v>
      </c>
      <c r="I26" s="1078">
        <f>'COM WI'!M28</f>
        <v>0</v>
      </c>
      <c r="J26" s="1155">
        <f>+'COM EEMotors'!M28</f>
        <v>5.9989999999999995E-2</v>
      </c>
      <c r="K26" s="1078">
        <f>+'COM Chillers'!M28</f>
        <v>1.6214599999999999</v>
      </c>
      <c r="L26" s="1078">
        <f>+'COM Occ. Sens.'!M28</f>
        <v>3.6460407000000004</v>
      </c>
      <c r="M26" s="1078">
        <f>+'COM Ref'!M28</f>
        <v>0</v>
      </c>
      <c r="N26" s="1078">
        <f>+'COM WH'!M28</f>
        <v>0</v>
      </c>
      <c r="O26" s="1155">
        <f>+'COM Lighting'!M28</f>
        <v>42.797152579639551</v>
      </c>
      <c r="P26" s="1078">
        <f>'COM Cond. Light'!M28</f>
        <v>0.48547500000000005</v>
      </c>
      <c r="Q26" s="1078">
        <f>'COM Non Cond. Light'!M28</f>
        <v>9.1189999999999993E-2</v>
      </c>
      <c r="R26" s="1078">
        <f>+'COM CV'!M28</f>
        <v>7.8007008333333339</v>
      </c>
      <c r="S26" s="1078">
        <f>'COM TES'!M28</f>
        <v>0</v>
      </c>
      <c r="T26" s="1079">
        <f>+'Street Light Conv'!M28</f>
        <v>0</v>
      </c>
      <c r="U26" s="1078">
        <f>'COM ECM'!M28</f>
        <v>1.6999999999999999E-3</v>
      </c>
      <c r="V26" s="1079">
        <f>'COM ECM HVAC'!M28</f>
        <v>0</v>
      </c>
      <c r="W26" s="1078">
        <f>'COM Cool Roof'!M28</f>
        <v>1.2681444444444443</v>
      </c>
      <c r="X26" s="1155">
        <f>'COM HVAC ReCommissioning'!M28</f>
        <v>0.48852000000000001</v>
      </c>
      <c r="Y26" s="1154">
        <f>'COM ERV'!M28</f>
        <v>2.0009999999999997E-2</v>
      </c>
      <c r="Z26" s="1155">
        <f>'COM School PV'!M28</f>
        <v>2.52E-2</v>
      </c>
      <c r="AA26" s="1155">
        <f>'COM PV'!M28</f>
        <v>0.17368999999999998</v>
      </c>
      <c r="AB26" s="1077">
        <f t="shared" si="4"/>
        <v>80.527686963456716</v>
      </c>
      <c r="AC26" s="1076">
        <f>+'COM LM (cyc)'!N28</f>
        <v>0.2</v>
      </c>
      <c r="AD26" s="1076">
        <f>+'COM LM (ext)'!N28</f>
        <v>0</v>
      </c>
      <c r="AE26" s="1076">
        <f>+'COM SB Gen'!N28</f>
        <v>54.704000000000001</v>
      </c>
      <c r="AF26" s="1076">
        <f>+'COM DMD Response'!M28</f>
        <v>40</v>
      </c>
      <c r="AG26" s="1103">
        <f t="shared" si="5"/>
        <v>94.903999999999996</v>
      </c>
      <c r="AH26" s="1092">
        <f t="shared" si="0"/>
        <v>175.43168696345671</v>
      </c>
      <c r="AJ26" s="1223">
        <v>2015</v>
      </c>
      <c r="AK26" s="1153">
        <f>+'C-I FREE'!Q28</f>
        <v>32.695633102625322</v>
      </c>
      <c r="AL26" s="1153">
        <f>+'C-I Paid'!Q28</f>
        <v>0.91469</v>
      </c>
      <c r="AM26" s="1075">
        <f>+'C-I Mail-In'!Q28</f>
        <v>6.0399999999999995E-2</v>
      </c>
      <c r="AN26" s="1074">
        <f>+'COM Cooling'!Q28</f>
        <v>3.2532051282051278E-3</v>
      </c>
      <c r="AO26" s="1074">
        <f>+'COM Duct'!Q28</f>
        <v>0.76612000000000002</v>
      </c>
      <c r="AP26" s="1075">
        <f>+'COM Bldg Envel'!Q28</f>
        <v>2.2436590570719603E-2</v>
      </c>
      <c r="AQ26" s="1074">
        <f>'COM CI'!Q28</f>
        <v>0</v>
      </c>
      <c r="AR26" s="1074">
        <f>'COM WI'!Q28</f>
        <v>0</v>
      </c>
      <c r="AS26" s="1075">
        <f>+'COM EEMotors'!Q28</f>
        <v>4.9059999999999999E-2</v>
      </c>
      <c r="AT26" s="1074">
        <f>+'COM Chillers'!Q28</f>
        <v>0.86753941176470595</v>
      </c>
      <c r="AU26" s="1074">
        <f>+'COM Occ. Sens.'!Q28</f>
        <v>3.0408733999999997</v>
      </c>
      <c r="AV26" s="1074">
        <f>+'COM Ref'!Q28</f>
        <v>0</v>
      </c>
      <c r="AW26" s="1074">
        <f>+'COM WH'!Q28</f>
        <v>0</v>
      </c>
      <c r="AX26" s="1075">
        <f>+'COM Lighting'!Q28</f>
        <v>19.317446815739537</v>
      </c>
      <c r="AY26" s="1074">
        <f>'COM Cond. Light'!Q28</f>
        <v>0</v>
      </c>
      <c r="AZ26" s="1074">
        <f>'COM Non Cond. Light'!Q28</f>
        <v>0</v>
      </c>
      <c r="BA26" s="1074">
        <f>+'COM CV'!Q28</f>
        <v>3.2838099999999995</v>
      </c>
      <c r="BB26" s="1074">
        <f>'COM TES'!Q28</f>
        <v>0</v>
      </c>
      <c r="BC26" s="1075">
        <f>+'Street Light Conv'!Q28</f>
        <v>0</v>
      </c>
      <c r="BD26" s="1074">
        <f>'COM ECM'!Q28</f>
        <v>0</v>
      </c>
      <c r="BE26" s="1075">
        <f>'COM HVAC ReCommissioning'!Q28</f>
        <v>0</v>
      </c>
      <c r="BF26" s="1074">
        <f>'COM Cool Roof'!Q28</f>
        <v>0</v>
      </c>
      <c r="BG26" s="1075">
        <f>'COM HVAC ReCommissioning'!Q28</f>
        <v>0</v>
      </c>
      <c r="BH26" s="1075">
        <f>'COM ERV'!Q28</f>
        <v>2.1419999999999998E-2</v>
      </c>
      <c r="BI26" s="1075">
        <f>'COM School PV'!Q28</f>
        <v>0</v>
      </c>
      <c r="BJ26" s="1074">
        <f>'COM PV'!Q28</f>
        <v>0</v>
      </c>
      <c r="BK26" s="1222">
        <f t="shared" si="6"/>
        <v>61.042682525828489</v>
      </c>
      <c r="BL26" s="1076">
        <f>+'COM LM (cyc)'!T28</f>
        <v>0</v>
      </c>
      <c r="BM26" s="1076">
        <f>+'COM LM (ext)'!T28</f>
        <v>0</v>
      </c>
      <c r="BN26" s="1076">
        <f>+'COM SB Gen'!T28</f>
        <v>52.757800000000003</v>
      </c>
      <c r="BO26" s="1076">
        <f>+'COM DMD Response'!Q28</f>
        <v>40</v>
      </c>
      <c r="BP26" s="1092">
        <f t="shared" si="7"/>
        <v>92.757800000000003</v>
      </c>
      <c r="BQ26" s="1092">
        <f t="shared" si="1"/>
        <v>153.8004825258285</v>
      </c>
      <c r="BS26" s="1091">
        <v>2015</v>
      </c>
      <c r="BT26" s="1152">
        <f>+'C-I FREE'!U28</f>
        <v>23.140433204057274</v>
      </c>
      <c r="BU26" s="1153">
        <f>+'C-I Paid'!U28</f>
        <v>0.22405050000000001</v>
      </c>
      <c r="BV26" s="1075">
        <f>+'C-I Mail-In'!U28</f>
        <v>0.33984000000000003</v>
      </c>
      <c r="BW26" s="1074">
        <f>+'COM Cooling'!U28</f>
        <v>10.321538314404687</v>
      </c>
      <c r="BX26" s="1074">
        <f>+'COM Duct'!U28</f>
        <v>17.530882630447469</v>
      </c>
      <c r="BY26" s="1075">
        <f>+'COM Bldg Envel'!U28</f>
        <v>2.0868557382133996</v>
      </c>
      <c r="BZ26" s="1074">
        <f>'COM CI'!U28</f>
        <v>0.19463722</v>
      </c>
      <c r="CA26" s="1074">
        <f>'COM WI'!U28</f>
        <v>0</v>
      </c>
      <c r="CB26" s="1075">
        <f>+'COM EEMotors'!U28</f>
        <v>0.31173319999999993</v>
      </c>
      <c r="CC26" s="1074">
        <f>+'COM Chillers'!U28</f>
        <v>4.2059274117647059</v>
      </c>
      <c r="CD26" s="1074">
        <f>+'COM Occ. Sens.'!U28</f>
        <v>3.4721942800000001</v>
      </c>
      <c r="CE26" s="1074">
        <f>+'COM Ref'!U28</f>
        <v>0</v>
      </c>
      <c r="CF26" s="1074">
        <f>+'COM WH'!U28</f>
        <v>0</v>
      </c>
      <c r="CG26" s="1075">
        <f>+'COM Lighting'!U28</f>
        <v>205.6838343902898</v>
      </c>
      <c r="CH26" s="1074">
        <f>'COM Cond. Light'!U28</f>
        <v>1.68476066</v>
      </c>
      <c r="CI26" s="1074">
        <f>'COM Non Cond. Light'!U28</f>
        <v>0.39545043000000002</v>
      </c>
      <c r="CJ26" s="1074">
        <f>+'COM CV'!U28</f>
        <v>21.658511090833329</v>
      </c>
      <c r="CK26" s="1074">
        <f>'COM TES'!U28</f>
        <v>0</v>
      </c>
      <c r="CL26" s="1075">
        <f>+'Street Light Conv'!U28</f>
        <v>16</v>
      </c>
      <c r="CM26" s="1074">
        <f>'COM ECM'!U28</f>
        <v>1.2663850000000001E-2</v>
      </c>
      <c r="CN26" s="1075">
        <f>'COM HVAC ReCommissioning'!U28</f>
        <v>1.1355234999999999</v>
      </c>
      <c r="CO26" s="1074">
        <f>'COM Cool Roof'!U28</f>
        <v>6.9749083096666675</v>
      </c>
      <c r="CP26" s="1075">
        <f>'COM HVAC ReCommissioning'!U28</f>
        <v>1.1355234999999999</v>
      </c>
      <c r="CQ26" s="1075">
        <f>'COM ERV'!U28</f>
        <v>3.1329000000000003E-2</v>
      </c>
      <c r="CR26" s="1074">
        <f>'COM School PV'!U28</f>
        <v>7.0956000000000005E-2</v>
      </c>
      <c r="CS26" s="1074">
        <f>'COM PV'!U28</f>
        <v>0.42825849999999999</v>
      </c>
      <c r="CT26" s="1094">
        <f t="shared" si="8"/>
        <v>301.03981172967735</v>
      </c>
      <c r="CU26" s="1095">
        <f>+'COM LM (cyc)'!Z28</f>
        <v>0</v>
      </c>
      <c r="CV26" s="1076">
        <f>+'COM LM (ext)'!Z28</f>
        <v>0</v>
      </c>
      <c r="CW26" s="1076">
        <f>+'COM SB Gen'!Z28</f>
        <v>5.3893083333333331</v>
      </c>
      <c r="CX26" s="1076">
        <f>+'COM DMD Response'!U28</f>
        <v>3.3577166250000001</v>
      </c>
      <c r="CY26" s="1077">
        <f t="shared" si="2"/>
        <v>8.7470249583333342</v>
      </c>
      <c r="CZ26" s="1096">
        <f t="shared" si="3"/>
        <v>309.78683668801068</v>
      </c>
      <c r="DA26" s="1074"/>
    </row>
    <row r="27" spans="1:106" s="760" customFormat="1" x14ac:dyDescent="0.2">
      <c r="A27" s="1387">
        <v>2016</v>
      </c>
      <c r="B27" s="1388">
        <f>+'C-I FREE'!M29</f>
        <v>13.723332732696898</v>
      </c>
      <c r="C27" s="1389">
        <f>+'C-I Paid'!M29</f>
        <v>0.39515000000000006</v>
      </c>
      <c r="D27" s="1390">
        <f>+'C-I Mail-In'!M29</f>
        <v>7.9649999999999999E-2</v>
      </c>
      <c r="E27" s="1391">
        <f>+'COM Cooling'!M29</f>
        <v>2.7842176259648972</v>
      </c>
      <c r="F27" s="1391">
        <f>+'COM Duct'!M29</f>
        <v>5.6332360116731506</v>
      </c>
      <c r="G27" s="1390">
        <f>+'COM Bldg Envel'!M29</f>
        <v>1.5417364801488831</v>
      </c>
      <c r="H27" s="1391">
        <f>'COM CI'!M29</f>
        <v>3.551E-2</v>
      </c>
      <c r="I27" s="1391">
        <f>'COM WI'!M29</f>
        <v>0</v>
      </c>
      <c r="J27" s="1390">
        <f>+'COM EEMotors'!M29</f>
        <v>5.9989999999999995E-2</v>
      </c>
      <c r="K27" s="1391">
        <f>+'COM Chillers'!M29</f>
        <v>1.72376</v>
      </c>
      <c r="L27" s="1391">
        <f>+'COM Occ. Sens.'!M29</f>
        <v>3.7558707000000005</v>
      </c>
      <c r="M27" s="1391">
        <f>+'COM Ref'!M29</f>
        <v>0</v>
      </c>
      <c r="N27" s="1391">
        <f>+'COM WH'!M29</f>
        <v>0</v>
      </c>
      <c r="O27" s="1390">
        <f>+'COM Lighting'!M29</f>
        <v>42.797152579639551</v>
      </c>
      <c r="P27" s="1391">
        <f>'COM Cond. Light'!M29</f>
        <v>2.3094999999999999</v>
      </c>
      <c r="Q27" s="1391">
        <f>'COM Non Cond. Light'!M29</f>
        <v>0.50729000000000002</v>
      </c>
      <c r="R27" s="1391">
        <f>+'COM CV'!M29</f>
        <v>8.3377008333333347</v>
      </c>
      <c r="S27" s="1391">
        <f>'COM TES'!M29</f>
        <v>0</v>
      </c>
      <c r="T27" s="1390">
        <f>+'Street Light Conv'!M29</f>
        <v>0</v>
      </c>
      <c r="U27" s="1391">
        <f>'COM ECM'!M29</f>
        <v>2.7899999999999998E-2</v>
      </c>
      <c r="V27" s="1390">
        <f>'COM ECM HVAC'!M29</f>
        <v>0</v>
      </c>
      <c r="W27" s="1391">
        <f>'COM Cool Roof'!M29</f>
        <v>1.7805444444444443</v>
      </c>
      <c r="X27" s="1390">
        <f>'COM HVAC ReCommissioning'!M29</f>
        <v>0.48852000000000001</v>
      </c>
      <c r="Y27" s="1390">
        <f>'COM ERV'!M29</f>
        <v>2.0009999999999997E-2</v>
      </c>
      <c r="Z27" s="1390">
        <f>'COM School PV'!M29</f>
        <v>2.52E-2</v>
      </c>
      <c r="AA27" s="1390">
        <f>'COM PV'!M29</f>
        <v>0.17368999999999998</v>
      </c>
      <c r="AB27" s="1220">
        <f t="shared" si="4"/>
        <v>83.684096963456696</v>
      </c>
      <c r="AC27" s="1392">
        <f>+'COM LM (cyc)'!N29</f>
        <v>0.2</v>
      </c>
      <c r="AD27" s="1392">
        <f>+'COM LM (ext)'!N29</f>
        <v>0</v>
      </c>
      <c r="AE27" s="1392">
        <f>+'COM SB Gen'!N29</f>
        <v>53.775066666666667</v>
      </c>
      <c r="AF27" s="1392">
        <f>+'COM DMD Response'!M29</f>
        <v>40</v>
      </c>
      <c r="AG27" s="1220">
        <f t="shared" si="5"/>
        <v>93.975066666666663</v>
      </c>
      <c r="AH27" s="1393">
        <f t="shared" si="0"/>
        <v>177.65916363012337</v>
      </c>
      <c r="AJ27" s="1224">
        <v>2016</v>
      </c>
      <c r="AK27" s="1394">
        <f>+'C-I FREE'!Q29</f>
        <v>32.695633102625322</v>
      </c>
      <c r="AL27" s="1394">
        <f>+'C-I Paid'!Q29</f>
        <v>0.91469</v>
      </c>
      <c r="AM27" s="1395">
        <f>+'C-I Mail-In'!Q29</f>
        <v>6.0399999999999995E-2</v>
      </c>
      <c r="AN27" s="1392">
        <f>+'COM Cooling'!Q29</f>
        <v>3.2532051282051278E-3</v>
      </c>
      <c r="AO27" s="1392">
        <f>+'COM Duct'!Q29</f>
        <v>0.76612000000000002</v>
      </c>
      <c r="AP27" s="1395">
        <f>+'COM Bldg Envel'!Q29</f>
        <v>2.2436590570719603E-2</v>
      </c>
      <c r="AQ27" s="1392">
        <f>'COM CI'!Q29</f>
        <v>8.2000000000000009E-4</v>
      </c>
      <c r="AR27" s="1392">
        <f>'COM WI'!Q29</f>
        <v>0</v>
      </c>
      <c r="AS27" s="1395">
        <f>+'COM EEMotors'!Q29</f>
        <v>4.9059999999999999E-2</v>
      </c>
      <c r="AT27" s="1392">
        <f>+'COM Chillers'!Q29</f>
        <v>0.95706941176470595</v>
      </c>
      <c r="AU27" s="1392">
        <f>+'COM Occ. Sens.'!Q29</f>
        <v>3.0659733999999998</v>
      </c>
      <c r="AV27" s="1392">
        <f>+'COM Ref'!Q29</f>
        <v>0</v>
      </c>
      <c r="AW27" s="1392">
        <f>+'COM WH'!Q29</f>
        <v>0</v>
      </c>
      <c r="AX27" s="1395">
        <f>+'COM Lighting'!Q29</f>
        <v>19.317446815739537</v>
      </c>
      <c r="AY27" s="1392">
        <f>'COM Cond. Light'!Q29</f>
        <v>0.99760000000000004</v>
      </c>
      <c r="AZ27" s="1392">
        <f>'COM Non Cond. Light'!Q29</f>
        <v>0.17519999999999999</v>
      </c>
      <c r="BA27" s="1392">
        <f>+'COM CV'!Q29</f>
        <v>3.2838099999999995</v>
      </c>
      <c r="BB27" s="1392">
        <f>'COM TES'!Q29</f>
        <v>0</v>
      </c>
      <c r="BC27" s="1395">
        <f>+'Street Light Conv'!Q29</f>
        <v>0</v>
      </c>
      <c r="BD27" s="1392">
        <f>'COM ECM'!Q29</f>
        <v>0</v>
      </c>
      <c r="BE27" s="1395">
        <f>'COM HVAC ReCommissioning'!Q29</f>
        <v>0</v>
      </c>
      <c r="BF27" s="1392">
        <f>'COM Cool Roof'!Q29</f>
        <v>0</v>
      </c>
      <c r="BG27" s="1395">
        <f>'COM HVAC ReCommissioning'!Q29</f>
        <v>0</v>
      </c>
      <c r="BH27" s="1395">
        <f>'COM ERV'!Q29</f>
        <v>2.1419999999999998E-2</v>
      </c>
      <c r="BI27" s="1395">
        <f>'COM School PV'!Q29</f>
        <v>0</v>
      </c>
      <c r="BJ27" s="1392">
        <f>'COM PV'!Q29</f>
        <v>0</v>
      </c>
      <c r="BK27" s="1220">
        <f t="shared" si="6"/>
        <v>62.33093252582848</v>
      </c>
      <c r="BL27" s="1392">
        <f>+'COM LM (cyc)'!T29</f>
        <v>0</v>
      </c>
      <c r="BM27" s="1392">
        <f>+'COM LM (ext)'!T29</f>
        <v>0</v>
      </c>
      <c r="BN27" s="1392">
        <f>+'COM SB Gen'!T29</f>
        <v>51.159078787878798</v>
      </c>
      <c r="BO27" s="1392">
        <f>+'COM DMD Response'!Q29</f>
        <v>40</v>
      </c>
      <c r="BP27" s="1396">
        <f t="shared" si="7"/>
        <v>91.159078787878798</v>
      </c>
      <c r="BQ27" s="1393">
        <f t="shared" si="1"/>
        <v>153.49001131370727</v>
      </c>
      <c r="BS27" s="1387">
        <v>2016</v>
      </c>
      <c r="BT27" s="1397">
        <f>+'C-I FREE'!U29</f>
        <v>23.140433204057274</v>
      </c>
      <c r="BU27" s="1394">
        <f>+'C-I Paid'!U29</f>
        <v>0.22405050000000001</v>
      </c>
      <c r="BV27" s="1395">
        <f>+'C-I Mail-In'!U29</f>
        <v>0.33984000000000003</v>
      </c>
      <c r="BW27" s="1392">
        <f>+'COM Cooling'!U29</f>
        <v>10.541939314404688</v>
      </c>
      <c r="BX27" s="1392">
        <f>+'COM Duct'!U29</f>
        <v>17.683908130447467</v>
      </c>
      <c r="BY27" s="1395">
        <f>+'COM Bldg Envel'!U29</f>
        <v>2.0868557382133996</v>
      </c>
      <c r="BZ27" s="1392">
        <f>'COM CI'!U29</f>
        <v>0.45602471999999999</v>
      </c>
      <c r="CA27" s="1392">
        <f>'COM WI'!U29</f>
        <v>0</v>
      </c>
      <c r="CB27" s="1395">
        <f>+'COM EEMotors'!U29</f>
        <v>0.31173319999999993</v>
      </c>
      <c r="CC27" s="1392">
        <f>+'COM Chillers'!U29</f>
        <v>4.4932494117647055</v>
      </c>
      <c r="CD27" s="1392">
        <f>+'COM Occ. Sens.'!U29</f>
        <v>4.1428782799999997</v>
      </c>
      <c r="CE27" s="1392">
        <f>+'COM Ref'!U29</f>
        <v>0</v>
      </c>
      <c r="CF27" s="1392">
        <f>+'COM WH'!U29</f>
        <v>0</v>
      </c>
      <c r="CG27" s="1395">
        <f>+'COM Lighting'!U29</f>
        <v>205.6838343902898</v>
      </c>
      <c r="CH27" s="1392">
        <f>'COM Cond. Light'!U29</f>
        <v>10.26478316</v>
      </c>
      <c r="CI27" s="1392">
        <f>'COM Non Cond. Light'!U29</f>
        <v>2.4605224299999997</v>
      </c>
      <c r="CJ27" s="1392">
        <f>+'COM CV'!U29</f>
        <v>21.673142090833331</v>
      </c>
      <c r="CK27" s="1392">
        <f>'COM TES'!U29</f>
        <v>0</v>
      </c>
      <c r="CL27" s="1395">
        <f>+'Street Light Conv'!U29</f>
        <v>16</v>
      </c>
      <c r="CM27" s="1392">
        <f>'COM ECM'!U29</f>
        <v>2.0523850000000003E-2</v>
      </c>
      <c r="CN27" s="1395">
        <f>'COM HVAC ReCommissioning'!U29</f>
        <v>1.1355234999999999</v>
      </c>
      <c r="CO27" s="1392">
        <f>'COM Cool Roof'!U29</f>
        <v>8.2241283096666677</v>
      </c>
      <c r="CP27" s="1395">
        <f>'COM HVAC ReCommissioning'!U29</f>
        <v>1.1355234999999999</v>
      </c>
      <c r="CQ27" s="1395">
        <f>'COM ERV'!U29</f>
        <v>3.1329000000000003E-2</v>
      </c>
      <c r="CR27" s="1392">
        <f>'COM School PV'!U29</f>
        <v>7.0956000000000005E-2</v>
      </c>
      <c r="CS27" s="1392">
        <f>'COM PV'!U29</f>
        <v>0.42825849999999999</v>
      </c>
      <c r="CT27" s="1242">
        <f t="shared" si="8"/>
        <v>314.54943722967738</v>
      </c>
      <c r="CU27" s="1398">
        <f>+'COM LM (cyc)'!Z29</f>
        <v>0</v>
      </c>
      <c r="CV27" s="1392">
        <f>+'COM LM (ext)'!Z29</f>
        <v>0</v>
      </c>
      <c r="CW27" s="1392">
        <f>+'COM SB Gen'!Z29</f>
        <v>5.2685071717171725</v>
      </c>
      <c r="CX27" s="1392">
        <f>+'COM DMD Response'!U29</f>
        <v>3.428304625</v>
      </c>
      <c r="CY27" s="1220">
        <f t="shared" si="2"/>
        <v>8.6968117967171725</v>
      </c>
      <c r="CZ27" s="1399">
        <f t="shared" si="3"/>
        <v>323.24624902639454</v>
      </c>
      <c r="DA27" s="1400"/>
      <c r="DB27" s="760">
        <f>CY27*1000</f>
        <v>8696.8117967171729</v>
      </c>
    </row>
    <row r="28" spans="1:106" x14ac:dyDescent="0.2">
      <c r="A28" s="269">
        <v>2017</v>
      </c>
      <c r="B28" s="1081">
        <f>+'C-I FREE'!M30</f>
        <v>13.723332732696898</v>
      </c>
      <c r="C28" s="1082">
        <f>+'C-I Paid'!M30</f>
        <v>0.39515000000000006</v>
      </c>
      <c r="D28" s="981">
        <f>+'C-I Mail-In'!M30</f>
        <v>7.9649999999999999E-2</v>
      </c>
      <c r="E28" s="979">
        <f>+'COM Cooling'!M30</f>
        <v>2.860517625964897</v>
      </c>
      <c r="F28" s="979">
        <f>+'COM Duct'!M30</f>
        <v>5.6661060116731505</v>
      </c>
      <c r="G28" s="981">
        <f>+'COM Bldg Envel'!M30</f>
        <v>1.5417364801488831</v>
      </c>
      <c r="H28" s="979">
        <f>'COM CI'!M30</f>
        <v>5.951E-2</v>
      </c>
      <c r="I28" s="979">
        <f>'COM WI'!M30</f>
        <v>5.0000000000000001E-4</v>
      </c>
      <c r="J28" s="981">
        <f>+'COM EEMotors'!M30</f>
        <v>5.9989999999999995E-2</v>
      </c>
      <c r="K28" s="979">
        <f>+'COM Chillers'!M30</f>
        <v>1.80901</v>
      </c>
      <c r="L28" s="979">
        <f>+'COM Occ. Sens.'!M30</f>
        <v>4.0912107000000004</v>
      </c>
      <c r="M28" s="979">
        <f>+'COM Ref'!M30</f>
        <v>8.0200000000000009E-4</v>
      </c>
      <c r="N28" s="979">
        <f>+'COM WH'!M30</f>
        <v>3.1550000000000003E-4</v>
      </c>
      <c r="O28" s="981">
        <f>+'COM Lighting'!M30</f>
        <v>42.797152579639551</v>
      </c>
      <c r="P28" s="979">
        <f>'COM Cond. Light'!M30</f>
        <v>3.6793800000000001</v>
      </c>
      <c r="Q28" s="979">
        <f>'COM Non Cond. Light'!M30</f>
        <v>0.86316499999999996</v>
      </c>
      <c r="R28" s="979">
        <f>+'COM CV'!M30</f>
        <v>8.6957008333333352</v>
      </c>
      <c r="S28" s="979">
        <f>'COM TES'!M30</f>
        <v>0.27770999999999996</v>
      </c>
      <c r="T28" s="981">
        <f>+'Street Light Conv'!M30</f>
        <v>0</v>
      </c>
      <c r="U28" s="979">
        <f>'COM ECM'!M30</f>
        <v>5.2499999999999998E-2</v>
      </c>
      <c r="V28" s="981">
        <f>'COM ECM HVAC'!M30</f>
        <v>0</v>
      </c>
      <c r="W28" s="979">
        <f>'COM Cool Roof'!M30</f>
        <v>2.1099444444444444</v>
      </c>
      <c r="X28" s="981">
        <f>'COM HVAC ReCommissioning'!M30</f>
        <v>0.48852000000000001</v>
      </c>
      <c r="Y28" s="981">
        <f>'COM ERV'!M30</f>
        <v>2.0009999999999997E-2</v>
      </c>
      <c r="Z28" s="981">
        <f>'COM School PV'!M30</f>
        <v>2.52E-2</v>
      </c>
      <c r="AA28" s="981">
        <f>'COM PV'!M30</f>
        <v>0.17368999999999998</v>
      </c>
      <c r="AB28" s="282">
        <f t="shared" si="4"/>
        <v>86.600939463456697</v>
      </c>
      <c r="AC28" s="299">
        <f>+'COM LM (cyc)'!N30</f>
        <v>0.19653333333333334</v>
      </c>
      <c r="AD28" s="299">
        <f>+'COM LM (ext)'!N30</f>
        <v>4.5999999999999999E-2</v>
      </c>
      <c r="AE28" s="299">
        <f>+'COM SB Gen'!N30</f>
        <v>52.347663458110517</v>
      </c>
      <c r="AF28" s="299">
        <f>+'COM DMD Response'!M30</f>
        <v>40</v>
      </c>
      <c r="AG28" s="277">
        <f t="shared" si="5"/>
        <v>92.590196791443844</v>
      </c>
      <c r="AH28" s="719">
        <f t="shared" si="0"/>
        <v>179.19113625490053</v>
      </c>
      <c r="AJ28" s="748">
        <v>2017</v>
      </c>
      <c r="AK28" s="1088">
        <f>+'C-I FREE'!Q30</f>
        <v>32.695633102625322</v>
      </c>
      <c r="AL28" s="1088">
        <f>+'C-I Paid'!Q30</f>
        <v>0.91469</v>
      </c>
      <c r="AM28" s="738">
        <f>+'C-I Mail-In'!Q30</f>
        <v>6.0399999999999995E-2</v>
      </c>
      <c r="AN28" s="276">
        <f>+'COM Cooling'!Q30</f>
        <v>3.2532051282051278E-3</v>
      </c>
      <c r="AO28" s="276">
        <f>+'COM Duct'!Q30</f>
        <v>0.76612000000000002</v>
      </c>
      <c r="AP28" s="738">
        <f>+'COM Bldg Envel'!Q30</f>
        <v>2.2436590570719603E-2</v>
      </c>
      <c r="AQ28" s="276">
        <f>'COM CI'!Q30</f>
        <v>1.1000000000000001E-3</v>
      </c>
      <c r="AR28" s="276">
        <f>'COM WI'!Q30</f>
        <v>0</v>
      </c>
      <c r="AS28" s="738">
        <f>+'COM EEMotors'!Q30</f>
        <v>4.9059999999999999E-2</v>
      </c>
      <c r="AT28" s="276">
        <f>+'COM Chillers'!Q30</f>
        <v>1.021019411764706</v>
      </c>
      <c r="AU28" s="276">
        <f>+'COM Occ. Sens.'!Q30</f>
        <v>3.2998533999999999</v>
      </c>
      <c r="AV28" s="276">
        <f>+'COM Ref'!Q30</f>
        <v>0</v>
      </c>
      <c r="AW28" s="276">
        <f>+'COM WH'!Q30</f>
        <v>0</v>
      </c>
      <c r="AX28" s="738">
        <f>+'COM Lighting'!Q30</f>
        <v>19.317446815739537</v>
      </c>
      <c r="AY28" s="276">
        <f>'COM Cond. Light'!Q30</f>
        <v>2.8419999999999996</v>
      </c>
      <c r="AZ28" s="276">
        <f>'COM Non Cond. Light'!Q30</f>
        <v>0.83220000000000005</v>
      </c>
      <c r="BA28" s="276">
        <f>+'COM CV'!Q30</f>
        <v>3.2838099999999995</v>
      </c>
      <c r="BB28" s="276">
        <f>'COM TES'!Q30</f>
        <v>0</v>
      </c>
      <c r="BC28" s="738">
        <f>+'Street Light Conv'!Q30</f>
        <v>0</v>
      </c>
      <c r="BD28" s="276">
        <f>'COM ECM'!Q30</f>
        <v>0</v>
      </c>
      <c r="BE28" s="738">
        <f>'COM HVAC ReCommissioning'!Q30</f>
        <v>0</v>
      </c>
      <c r="BF28" s="276">
        <f>'COM Cool Roof'!Q30</f>
        <v>0</v>
      </c>
      <c r="BG28" s="738">
        <f>'COM HVAC ReCommissioning'!Q30</f>
        <v>0</v>
      </c>
      <c r="BH28" s="738">
        <f>'COM ERV'!Q30</f>
        <v>2.1419999999999998E-2</v>
      </c>
      <c r="BI28" s="738">
        <f>'COM School PV'!Q30</f>
        <v>0</v>
      </c>
      <c r="BJ28" s="276">
        <f>'COM PV'!Q30</f>
        <v>0</v>
      </c>
      <c r="BK28" s="282">
        <f t="shared" si="6"/>
        <v>65.130442525828485</v>
      </c>
      <c r="BL28" s="299">
        <f>+'COM LM (cyc)'!T30</f>
        <v>0</v>
      </c>
      <c r="BM28" s="299">
        <f>+'COM LM (ext)'!T30</f>
        <v>0</v>
      </c>
      <c r="BN28" s="299">
        <f>+'COM SB Gen'!T30</f>
        <v>48.494543434343448</v>
      </c>
      <c r="BO28" s="299">
        <f>+'COM DMD Response'!Q30</f>
        <v>40</v>
      </c>
      <c r="BP28" s="1106">
        <f t="shared" si="7"/>
        <v>88.494543434343456</v>
      </c>
      <c r="BQ28" s="719">
        <f t="shared" si="1"/>
        <v>153.62498596017195</v>
      </c>
      <c r="BS28" s="269">
        <v>2017</v>
      </c>
      <c r="BT28" s="1087">
        <f>+'C-I FREE'!U30</f>
        <v>23.140433204057274</v>
      </c>
      <c r="BU28" s="1088">
        <f>+'C-I Paid'!U30</f>
        <v>0.22405050000000001</v>
      </c>
      <c r="BV28" s="738">
        <f>+'C-I Mail-In'!U30</f>
        <v>0.33984000000000003</v>
      </c>
      <c r="BW28" s="276">
        <f>+'COM Cooling'!U30</f>
        <v>10.689252814404687</v>
      </c>
      <c r="BX28" s="276">
        <f>+'COM Duct'!U30</f>
        <v>17.833899130447467</v>
      </c>
      <c r="BY28" s="738">
        <f>+'COM Bldg Envel'!U30</f>
        <v>2.0868557382133996</v>
      </c>
      <c r="BZ28" s="276">
        <f>'COM CI'!U30</f>
        <v>0.76018472000000004</v>
      </c>
      <c r="CA28" s="276">
        <f>'COM WI'!U30</f>
        <v>6.8199999999999999E-4</v>
      </c>
      <c r="CB28" s="738">
        <f>+'COM EEMotors'!U30</f>
        <v>0.31173319999999993</v>
      </c>
      <c r="CC28" s="276">
        <f>+'COM Chillers'!U30</f>
        <v>4.7326844117647058</v>
      </c>
      <c r="CD28" s="276">
        <f>+'COM Occ. Sens.'!U30</f>
        <v>4.5178002799999994</v>
      </c>
      <c r="CE28" s="276">
        <f>+'COM Ref'!U30</f>
        <v>1.2933E-2</v>
      </c>
      <c r="CF28" s="276">
        <f>+'COM WH'!U30</f>
        <v>2.3674999999999998E-3</v>
      </c>
      <c r="CG28" s="738">
        <f>+'COM Lighting'!U30</f>
        <v>205.6838343902898</v>
      </c>
      <c r="CH28" s="276">
        <f>'COM Cond. Light'!U30</f>
        <v>16.70855516</v>
      </c>
      <c r="CI28" s="276">
        <f>'COM Non Cond. Light'!U30</f>
        <v>4.2267024299999996</v>
      </c>
      <c r="CJ28" s="276">
        <f>+'COM CV'!U30</f>
        <v>21.682896090833331</v>
      </c>
      <c r="CK28" s="276">
        <f>'COM TES'!U30</f>
        <v>2.8865999999999999E-2</v>
      </c>
      <c r="CL28" s="738">
        <f>+'Street Light Conv'!U30</f>
        <v>16</v>
      </c>
      <c r="CM28" s="276">
        <f>'COM ECM'!U30</f>
        <v>2.7903850000000004E-2</v>
      </c>
      <c r="CN28" s="738">
        <f>'COM HVAC ReCommissioning'!U30</f>
        <v>1.1355234999999999</v>
      </c>
      <c r="CO28" s="276">
        <f>'COM Cool Roof'!U30</f>
        <v>9.0271983096666677</v>
      </c>
      <c r="CP28" s="738">
        <f>'COM HVAC ReCommissioning'!U30</f>
        <v>1.1355234999999999</v>
      </c>
      <c r="CQ28" s="738">
        <f>'COM ERV'!U30</f>
        <v>3.1329000000000003E-2</v>
      </c>
      <c r="CR28" s="276">
        <f>'COM School PV'!U30</f>
        <v>7.0956000000000005E-2</v>
      </c>
      <c r="CS28" s="276">
        <f>'COM PV'!U30</f>
        <v>0.42825849999999999</v>
      </c>
      <c r="CT28" s="736">
        <f t="shared" si="8"/>
        <v>324.84026322967736</v>
      </c>
      <c r="CU28" s="742">
        <f>+'COM LM (cyc)'!Z30</f>
        <v>0</v>
      </c>
      <c r="CV28" s="299">
        <f>+'COM LM (ext)'!Z30</f>
        <v>0</v>
      </c>
      <c r="CW28" s="299">
        <f>+'COM SB Gen'!Z30</f>
        <v>5.0742196781540905</v>
      </c>
      <c r="CX28" s="299">
        <f>+'COM DMD Response'!U30</f>
        <v>3.4459516250000002</v>
      </c>
      <c r="CY28" s="282">
        <f t="shared" si="2"/>
        <v>8.5201713031540898</v>
      </c>
      <c r="CZ28" s="745">
        <f t="shared" si="3"/>
        <v>333.36043453283145</v>
      </c>
      <c r="DA28" s="162"/>
    </row>
    <row r="29" spans="1:106" x14ac:dyDescent="0.2">
      <c r="A29" s="269">
        <v>2018</v>
      </c>
      <c r="B29" s="1081">
        <f>+'C-I FREE'!M31</f>
        <v>13.723332732696898</v>
      </c>
      <c r="C29" s="1082">
        <f>+'C-I Paid'!M31</f>
        <v>0.39515000000000006</v>
      </c>
      <c r="D29" s="981">
        <f>+'C-I Mail-In'!M31</f>
        <v>7.9649999999999999E-2</v>
      </c>
      <c r="E29" s="979">
        <f>+'COM Cooling'!M31</f>
        <v>3.0005176259648971</v>
      </c>
      <c r="F29" s="979">
        <f>+'COM Duct'!M31</f>
        <v>5.7136060116731509</v>
      </c>
      <c r="G29" s="981">
        <f>+'COM Bldg Envel'!M31</f>
        <v>1.5417364801488831</v>
      </c>
      <c r="H29" s="979">
        <f>'COM CI'!M31</f>
        <v>9.7009999999999999E-2</v>
      </c>
      <c r="I29" s="979">
        <f>'COM WI'!M31</f>
        <v>1.5E-3</v>
      </c>
      <c r="J29" s="981">
        <f>+'COM EEMotors'!M31</f>
        <v>5.9989999999999995E-2</v>
      </c>
      <c r="K29" s="979">
        <f>+'COM Chillers'!M31</f>
        <v>1.8942600000000001</v>
      </c>
      <c r="L29" s="979">
        <f>+'COM Occ. Sens.'!M31</f>
        <v>4.4638107000000007</v>
      </c>
      <c r="M29" s="979">
        <f>+'COM Ref'!M31</f>
        <v>2.4060000000000002E-3</v>
      </c>
      <c r="N29" s="979">
        <f>+'COM WH'!M31</f>
        <v>9.4650000000000008E-4</v>
      </c>
      <c r="O29" s="981">
        <f>+'COM Lighting'!M31</f>
        <v>42.797152579639551</v>
      </c>
      <c r="P29" s="979">
        <f>'COM Cond. Light'!M31</f>
        <v>4.0516300000000003</v>
      </c>
      <c r="Q29" s="979">
        <f>'COM Non Cond. Light'!M31</f>
        <v>0.91791499999999993</v>
      </c>
      <c r="R29" s="979">
        <f>+'COM CV'!M31</f>
        <v>9.0537008333333358</v>
      </c>
      <c r="S29" s="979">
        <f>'COM TES'!M31</f>
        <v>1.01827</v>
      </c>
      <c r="T29" s="981">
        <f>+'Street Light Conv'!M31</f>
        <v>0</v>
      </c>
      <c r="U29" s="979">
        <f>'COM ECM'!M31</f>
        <v>5.2699999999999997E-2</v>
      </c>
      <c r="V29" s="981">
        <f>'COM ECM HVAC'!M31</f>
        <v>0</v>
      </c>
      <c r="W29" s="979">
        <f>'COM Cool Roof'!M31</f>
        <v>2.4027444444444446</v>
      </c>
      <c r="X29" s="981">
        <f>'COM HVAC ReCommissioning'!M31</f>
        <v>0.48852000000000001</v>
      </c>
      <c r="Y29" s="981">
        <f>'COM ERV'!M31</f>
        <v>2.0009999999999997E-2</v>
      </c>
      <c r="Z29" s="981">
        <f>'COM School PV'!M31</f>
        <v>2.52E-2</v>
      </c>
      <c r="AA29" s="981">
        <f>'COM PV'!M31</f>
        <v>0.17368999999999998</v>
      </c>
      <c r="AB29" s="282">
        <f t="shared" si="4"/>
        <v>88.812584463456716</v>
      </c>
      <c r="AC29" s="299">
        <f>+'COM LM (cyc)'!N31</f>
        <v>0.20973333333333335</v>
      </c>
      <c r="AD29" s="299">
        <f>+'COM LM (ext)'!N31</f>
        <v>0.13800000000000001</v>
      </c>
      <c r="AE29" s="299">
        <f>+'COM SB Gen'!N31</f>
        <v>52.645663458110519</v>
      </c>
      <c r="AF29" s="299">
        <f>+'COM DMD Response'!M31</f>
        <v>40</v>
      </c>
      <c r="AG29" s="277">
        <f t="shared" si="5"/>
        <v>92.993396791443843</v>
      </c>
      <c r="AH29" s="719">
        <f t="shared" si="0"/>
        <v>181.80598125490056</v>
      </c>
      <c r="AJ29" s="748">
        <v>2018</v>
      </c>
      <c r="AK29" s="1088">
        <f>+'C-I FREE'!Q31</f>
        <v>32.695633102625322</v>
      </c>
      <c r="AL29" s="1088">
        <f>+'C-I Paid'!Q31</f>
        <v>0.91469</v>
      </c>
      <c r="AM29" s="738">
        <f>+'C-I Mail-In'!Q31</f>
        <v>6.0399999999999995E-2</v>
      </c>
      <c r="AN29" s="276">
        <f>+'COM Cooling'!Q31</f>
        <v>3.2532051282051278E-3</v>
      </c>
      <c r="AO29" s="276">
        <f>+'COM Duct'!Q31</f>
        <v>0.76612000000000002</v>
      </c>
      <c r="AP29" s="738">
        <f>+'COM Bldg Envel'!Q31</f>
        <v>2.2436590570719603E-2</v>
      </c>
      <c r="AQ29" s="276">
        <f>'COM CI'!Q31</f>
        <v>2.1000000000000003E-3</v>
      </c>
      <c r="AR29" s="276">
        <f>'COM WI'!Q31</f>
        <v>7.7999999999999999E-4</v>
      </c>
      <c r="AS29" s="738">
        <f>+'COM EEMotors'!Q31</f>
        <v>4.9059999999999999E-2</v>
      </c>
      <c r="AT29" s="276">
        <f>+'COM Chillers'!Q31</f>
        <v>1.084969411764706</v>
      </c>
      <c r="AU29" s="276">
        <f>+'COM Occ. Sens.'!Q31</f>
        <v>3.5922033999999998</v>
      </c>
      <c r="AV29" s="276">
        <f>+'COM Ref'!Q31</f>
        <v>2.6320000000000002E-3</v>
      </c>
      <c r="AW29" s="276">
        <f>+'COM WH'!Q31</f>
        <v>3.2900000000000003E-4</v>
      </c>
      <c r="AX29" s="738">
        <f>+'COM Lighting'!Q31</f>
        <v>19.317446815739537</v>
      </c>
      <c r="AY29" s="276">
        <f>'COM Cond. Light'!Q31</f>
        <v>3.1319999999999997</v>
      </c>
      <c r="AZ29" s="276">
        <f>'COM Non Cond. Light'!Q31</f>
        <v>0.88695000000000002</v>
      </c>
      <c r="BA29" s="276">
        <f>+'COM CV'!Q31</f>
        <v>3.2838099999999995</v>
      </c>
      <c r="BB29" s="276">
        <f>'COM TES'!Q31</f>
        <v>0</v>
      </c>
      <c r="BC29" s="738">
        <f>+'Street Light Conv'!Q31</f>
        <v>0</v>
      </c>
      <c r="BD29" s="276">
        <f>'COM ECM'!Q31</f>
        <v>0</v>
      </c>
      <c r="BE29" s="738">
        <f>'COM HVAC ReCommissioning'!Q31</f>
        <v>0</v>
      </c>
      <c r="BF29" s="276">
        <f>'COM Cool Roof'!Q31</f>
        <v>0</v>
      </c>
      <c r="BG29" s="738">
        <f>'COM HVAC ReCommissioning'!Q31</f>
        <v>0</v>
      </c>
      <c r="BH29" s="738">
        <f>'COM ERV'!Q31</f>
        <v>2.1419999999999998E-2</v>
      </c>
      <c r="BI29" s="738">
        <f>'COM School PV'!Q31</f>
        <v>0</v>
      </c>
      <c r="BJ29" s="276">
        <f>'COM PV'!Q31</f>
        <v>0</v>
      </c>
      <c r="BK29" s="282">
        <f t="shared" si="6"/>
        <v>65.83623352582849</v>
      </c>
      <c r="BL29" s="299">
        <f>+'COM LM (cyc)'!T31</f>
        <v>0</v>
      </c>
      <c r="BM29" s="299">
        <f>+'COM LM (ext)'!T31</f>
        <v>0.06</v>
      </c>
      <c r="BN29" s="299">
        <f>+'COM SB Gen'!T31</f>
        <v>49.027450505050517</v>
      </c>
      <c r="BO29" s="299">
        <f>+'COM DMD Response'!Q31</f>
        <v>40</v>
      </c>
      <c r="BP29" s="1106">
        <f t="shared" si="7"/>
        <v>89.087450505050526</v>
      </c>
      <c r="BQ29" s="719">
        <f t="shared" si="1"/>
        <v>154.92368403087903</v>
      </c>
      <c r="BS29" s="269">
        <v>2018</v>
      </c>
      <c r="BT29" s="1087">
        <f>+'C-I FREE'!U31</f>
        <v>23.140433204057274</v>
      </c>
      <c r="BU29" s="1088">
        <f>+'C-I Paid'!U31</f>
        <v>0.22405050000000001</v>
      </c>
      <c r="BV29" s="738">
        <f>+'C-I Mail-In'!U31</f>
        <v>0.33984000000000003</v>
      </c>
      <c r="BW29" s="276">
        <f>+'COM Cooling'!U31</f>
        <v>10.959552814404688</v>
      </c>
      <c r="BX29" s="276">
        <f>+'COM Duct'!U31</f>
        <v>18.050649130447468</v>
      </c>
      <c r="BY29" s="738">
        <f>+'COM Bldg Envel'!U31</f>
        <v>2.0868557382133996</v>
      </c>
      <c r="BZ29" s="276">
        <f>'COM CI'!U31</f>
        <v>1.23543472</v>
      </c>
      <c r="CA29" s="276">
        <f>'COM WI'!U31</f>
        <v>2.0460000000000001E-3</v>
      </c>
      <c r="CB29" s="738">
        <f>+'COM EEMotors'!U31</f>
        <v>0.31173319999999993</v>
      </c>
      <c r="CC29" s="276">
        <f>+'COM Chillers'!U31</f>
        <v>4.9721194117647061</v>
      </c>
      <c r="CD29" s="276">
        <f>+'COM Occ. Sens.'!U31</f>
        <v>4.9343802799999992</v>
      </c>
      <c r="CE29" s="276">
        <f>+'COM Ref'!U31</f>
        <v>3.8799E-2</v>
      </c>
      <c r="CF29" s="276">
        <f>+'COM WH'!U31</f>
        <v>7.1024999999999994E-3</v>
      </c>
      <c r="CG29" s="738">
        <f>+'COM Lighting'!U31</f>
        <v>205.6838343902898</v>
      </c>
      <c r="CH29" s="276">
        <f>'COM Cond. Light'!U31</f>
        <v>18.459580159999998</v>
      </c>
      <c r="CI29" s="276">
        <f>'COM Non Cond. Light'!U31</f>
        <v>4.4984224299999997</v>
      </c>
      <c r="CJ29" s="276">
        <f>+'COM CV'!U31</f>
        <v>21.692650090833332</v>
      </c>
      <c r="CK29" s="276">
        <f>'COM TES'!U31</f>
        <v>0.10584200000000001</v>
      </c>
      <c r="CL29" s="738">
        <f>+'Street Light Conv'!U31</f>
        <v>16</v>
      </c>
      <c r="CM29" s="276">
        <f>'COM ECM'!U31</f>
        <v>2.7963850000000005E-2</v>
      </c>
      <c r="CN29" s="738">
        <f>'COM HVAC ReCommissioning'!U31</f>
        <v>1.1355234999999999</v>
      </c>
      <c r="CO29" s="276">
        <f>'COM Cool Roof'!U31</f>
        <v>9.7410383096666671</v>
      </c>
      <c r="CP29" s="738">
        <f>'COM HVAC ReCommissioning'!U31</f>
        <v>1.1355234999999999</v>
      </c>
      <c r="CQ29" s="738">
        <f>'COM ERV'!U31</f>
        <v>3.1329000000000003E-2</v>
      </c>
      <c r="CR29" s="276">
        <f>'COM School PV'!U31</f>
        <v>7.0956000000000005E-2</v>
      </c>
      <c r="CS29" s="276">
        <f>'COM PV'!U31</f>
        <v>0.42825849999999999</v>
      </c>
      <c r="CT29" s="736">
        <f t="shared" si="8"/>
        <v>329.31391822967737</v>
      </c>
      <c r="CU29" s="742">
        <f>+'COM LM (cyc)'!Z31</f>
        <v>0</v>
      </c>
      <c r="CV29" s="299">
        <f>+'COM LM (ext)'!Z31</f>
        <v>0</v>
      </c>
      <c r="CW29" s="299">
        <f>+'COM SB Gen'!Z31</f>
        <v>5.1138074727668856</v>
      </c>
      <c r="CX29" s="299">
        <f>+'COM DMD Response'!U31</f>
        <v>3.4812456250000001</v>
      </c>
      <c r="CY29" s="282">
        <f t="shared" si="2"/>
        <v>8.5950530977668862</v>
      </c>
      <c r="CZ29" s="745">
        <f t="shared" si="3"/>
        <v>337.90897132744425</v>
      </c>
      <c r="DA29" s="162"/>
    </row>
    <row r="30" spans="1:106" x14ac:dyDescent="0.2">
      <c r="A30" s="269">
        <v>2019</v>
      </c>
      <c r="B30" s="1081">
        <f>+'C-I FREE'!M32</f>
        <v>13.723332732696898</v>
      </c>
      <c r="C30" s="1082">
        <f>+'C-I Paid'!M32</f>
        <v>0.39515000000000006</v>
      </c>
      <c r="D30" s="981">
        <f>+'C-I Mail-In'!M32</f>
        <v>7.9649999999999999E-2</v>
      </c>
      <c r="E30" s="979">
        <f>+'COM Cooling'!M32</f>
        <v>3.1405176259648973</v>
      </c>
      <c r="F30" s="979">
        <f>+'COM Duct'!M32</f>
        <v>5.7611060116731512</v>
      </c>
      <c r="G30" s="981">
        <f>+'COM Bldg Envel'!M32</f>
        <v>1.5417364801488831</v>
      </c>
      <c r="H30" s="979">
        <f>'COM CI'!M32</f>
        <v>0.13450999999999999</v>
      </c>
      <c r="I30" s="979">
        <f>'COM WI'!M32</f>
        <v>2.5000000000000001E-3</v>
      </c>
      <c r="J30" s="981">
        <f>+'COM EEMotors'!M32</f>
        <v>5.9989999999999995E-2</v>
      </c>
      <c r="K30" s="979">
        <f>+'COM Chillers'!M32</f>
        <v>1.9795100000000001</v>
      </c>
      <c r="L30" s="979">
        <f>+'COM Occ. Sens.'!M32</f>
        <v>4.836410700000001</v>
      </c>
      <c r="M30" s="979">
        <f>+'COM Ref'!M32</f>
        <v>4.411E-3</v>
      </c>
      <c r="N30" s="979">
        <f>+'COM WH'!M32</f>
        <v>1.5775000000000001E-3</v>
      </c>
      <c r="O30" s="981">
        <f>+'COM Lighting'!M32</f>
        <v>42.797152579639551</v>
      </c>
      <c r="P30" s="979">
        <f>'COM Cond. Light'!M32</f>
        <v>4.5355550000000004</v>
      </c>
      <c r="Q30" s="979">
        <f>'COM Non Cond. Light'!M32</f>
        <v>0.97266499999999989</v>
      </c>
      <c r="R30" s="979">
        <f>+'COM CV'!M32</f>
        <v>9.4117008333333363</v>
      </c>
      <c r="S30" s="979">
        <f>'COM TES'!M32</f>
        <v>1.94397</v>
      </c>
      <c r="T30" s="981">
        <f>+'Street Light Conv'!M32</f>
        <v>0</v>
      </c>
      <c r="U30" s="979">
        <f>'COM ECM'!M32</f>
        <v>5.2899999999999996E-2</v>
      </c>
      <c r="V30" s="981">
        <f>'COM ECM HVAC'!M32</f>
        <v>0</v>
      </c>
      <c r="W30" s="979">
        <f>'COM Cool Roof'!M32</f>
        <v>2.6955444444444447</v>
      </c>
      <c r="X30" s="981">
        <f>'COM HVAC ReCommissioning'!M32</f>
        <v>0.48852000000000001</v>
      </c>
      <c r="Y30" s="981">
        <f>'COM ERV'!M32</f>
        <v>2.0009999999999997E-2</v>
      </c>
      <c r="Z30" s="981">
        <f>'COM School PV'!M32</f>
        <v>2.52E-2</v>
      </c>
      <c r="AA30" s="981">
        <f>'COM PV'!M32</f>
        <v>0.17368999999999998</v>
      </c>
      <c r="AB30" s="282">
        <f t="shared" si="4"/>
        <v>91.321445463456726</v>
      </c>
      <c r="AC30" s="299">
        <f>+'COM LM (cyc)'!N32</f>
        <v>0.22293333333333337</v>
      </c>
      <c r="AD30" s="299">
        <f>+'COM LM (ext)'!N32</f>
        <v>0.23</v>
      </c>
      <c r="AE30" s="299">
        <f>+'COM SB Gen'!N32</f>
        <v>52.943663458110521</v>
      </c>
      <c r="AF30" s="299">
        <f>+'COM DMD Response'!M32</f>
        <v>40</v>
      </c>
      <c r="AG30" s="277">
        <f t="shared" si="5"/>
        <v>93.396596791443855</v>
      </c>
      <c r="AH30" s="718">
        <f t="shared" si="0"/>
        <v>184.71804225490058</v>
      </c>
      <c r="AJ30" s="748">
        <v>2019</v>
      </c>
      <c r="AK30" s="1088">
        <f>+'C-I FREE'!Q32</f>
        <v>32.695633102625322</v>
      </c>
      <c r="AL30" s="1088">
        <f>+'C-I Paid'!Q32</f>
        <v>0.91469</v>
      </c>
      <c r="AM30" s="738">
        <f>+'C-I Mail-In'!Q32</f>
        <v>6.0399999999999995E-2</v>
      </c>
      <c r="AN30" s="276">
        <f>+'COM Cooling'!Q32</f>
        <v>3.2532051282051278E-3</v>
      </c>
      <c r="AO30" s="276">
        <f>+'COM Duct'!Q32</f>
        <v>0.76612000000000002</v>
      </c>
      <c r="AP30" s="738">
        <f>+'COM Bldg Envel'!Q32</f>
        <v>2.2436590570719603E-2</v>
      </c>
      <c r="AQ30" s="276">
        <f>'COM CI'!Q32</f>
        <v>3.1000000000000003E-3</v>
      </c>
      <c r="AR30" s="276">
        <f>'COM WI'!Q32</f>
        <v>1.56E-3</v>
      </c>
      <c r="AS30" s="738">
        <f>+'COM EEMotors'!Q32</f>
        <v>4.9059999999999999E-2</v>
      </c>
      <c r="AT30" s="276">
        <f>+'COM Chillers'!Q32</f>
        <v>1.1489194117647059</v>
      </c>
      <c r="AU30" s="276">
        <f>+'COM Occ. Sens.'!Q32</f>
        <v>3.8845533999999997</v>
      </c>
      <c r="AV30" s="276">
        <f>+'COM Ref'!Q32</f>
        <v>5.2640000000000004E-3</v>
      </c>
      <c r="AW30" s="276">
        <f>+'COM WH'!Q32</f>
        <v>6.5800000000000006E-4</v>
      </c>
      <c r="AX30" s="738">
        <f>+'COM Lighting'!Q32</f>
        <v>19.317446815739537</v>
      </c>
      <c r="AY30" s="276">
        <f>'COM Cond. Light'!Q32</f>
        <v>3.4219999999999997</v>
      </c>
      <c r="AZ30" s="276">
        <f>'COM Non Cond. Light'!Q32</f>
        <v>0.94169999999999998</v>
      </c>
      <c r="BA30" s="276">
        <f>+'COM CV'!Q32</f>
        <v>3.2838099999999995</v>
      </c>
      <c r="BB30" s="276">
        <f>'COM TES'!Q32</f>
        <v>0</v>
      </c>
      <c r="BC30" s="738">
        <f>+'Street Light Conv'!Q32</f>
        <v>0</v>
      </c>
      <c r="BD30" s="276">
        <f>'COM ECM'!Q32</f>
        <v>0</v>
      </c>
      <c r="BE30" s="738">
        <f>'COM HVAC ReCommissioning'!Q32</f>
        <v>0</v>
      </c>
      <c r="BF30" s="276">
        <f>'COM Cool Roof'!Q32</f>
        <v>0</v>
      </c>
      <c r="BG30" s="738">
        <f>'COM HVAC ReCommissioning'!Q32</f>
        <v>0</v>
      </c>
      <c r="BH30" s="738">
        <f>'COM ERV'!Q32</f>
        <v>2.1419999999999998E-2</v>
      </c>
      <c r="BI30" s="738">
        <f>'COM School PV'!Q32</f>
        <v>0</v>
      </c>
      <c r="BJ30" s="276">
        <f>'COM PV'!Q32</f>
        <v>0</v>
      </c>
      <c r="BK30" s="282">
        <f t="shared" si="6"/>
        <v>66.542024525828495</v>
      </c>
      <c r="BL30" s="299">
        <f>+'COM LM (cyc)'!T32</f>
        <v>0</v>
      </c>
      <c r="BM30" s="299">
        <f>+'COM LM (ext)'!T32</f>
        <v>0.12</v>
      </c>
      <c r="BN30" s="299">
        <f>+'COM SB Gen'!T32</f>
        <v>49.560357575757592</v>
      </c>
      <c r="BO30" s="299">
        <f>+'COM DMD Response'!Q32</f>
        <v>40</v>
      </c>
      <c r="BP30" s="1106">
        <f t="shared" si="7"/>
        <v>89.680357575757597</v>
      </c>
      <c r="BQ30" s="718">
        <f t="shared" si="1"/>
        <v>156.22238210158611</v>
      </c>
      <c r="BS30" s="269">
        <v>2019</v>
      </c>
      <c r="BT30" s="1087">
        <f>+'C-I FREE'!U32</f>
        <v>23.140433204057274</v>
      </c>
      <c r="BU30" s="1088">
        <f>+'C-I Paid'!U32</f>
        <v>0.22405050000000001</v>
      </c>
      <c r="BV30" s="738">
        <f>+'C-I Mail-In'!U32</f>
        <v>0.33984000000000003</v>
      </c>
      <c r="BW30" s="276">
        <f>+'COM Cooling'!U32</f>
        <v>11.229852814404689</v>
      </c>
      <c r="BX30" s="276">
        <f>+'COM Duct'!U32</f>
        <v>18.267399130447469</v>
      </c>
      <c r="BY30" s="738">
        <f>+'COM Bldg Envel'!U32</f>
        <v>2.0868557382133996</v>
      </c>
      <c r="BZ30" s="276">
        <f>'COM CI'!U32</f>
        <v>1.7106847199999999</v>
      </c>
      <c r="CA30" s="276">
        <f>'COM WI'!U32</f>
        <v>3.4099999999999998E-3</v>
      </c>
      <c r="CB30" s="738">
        <f>+'COM EEMotors'!U32</f>
        <v>0.31173319999999993</v>
      </c>
      <c r="CC30" s="276">
        <f>+'COM Chillers'!U32</f>
        <v>5.2115544117647064</v>
      </c>
      <c r="CD30" s="276">
        <f>+'COM Occ. Sens.'!U32</f>
        <v>5.3509602799999989</v>
      </c>
      <c r="CE30" s="276">
        <f>+'COM Ref'!U32</f>
        <v>7.11315E-2</v>
      </c>
      <c r="CF30" s="276">
        <f>+'COM WH'!U32</f>
        <v>1.1837499999999999E-2</v>
      </c>
      <c r="CG30" s="738">
        <f>+'COM Lighting'!U32</f>
        <v>205.6838343902898</v>
      </c>
      <c r="CH30" s="276">
        <f>'COM Cond. Light'!U32</f>
        <v>20.735912659999997</v>
      </c>
      <c r="CI30" s="276">
        <f>'COM Non Cond. Light'!U32</f>
        <v>4.7701424299999999</v>
      </c>
      <c r="CJ30" s="276">
        <f>+'COM CV'!U32</f>
        <v>21.702404090833333</v>
      </c>
      <c r="CK30" s="276">
        <f>'COM TES'!U32</f>
        <v>0.20206200000000002</v>
      </c>
      <c r="CL30" s="738">
        <f>+'Street Light Conv'!U32</f>
        <v>16</v>
      </c>
      <c r="CM30" s="276">
        <f>'COM ECM'!U32</f>
        <v>2.8023850000000006E-2</v>
      </c>
      <c r="CN30" s="738">
        <f>'COM HVAC ReCommissioning'!U32</f>
        <v>1.1355234999999999</v>
      </c>
      <c r="CO30" s="276">
        <f>'COM Cool Roof'!U32</f>
        <v>10.454878309666666</v>
      </c>
      <c r="CP30" s="738">
        <f>'COM HVAC ReCommissioning'!U32</f>
        <v>1.1355234999999999</v>
      </c>
      <c r="CQ30" s="738">
        <f>'COM ERV'!U32</f>
        <v>3.1329000000000003E-2</v>
      </c>
      <c r="CR30" s="276">
        <f>'COM School PV'!U32</f>
        <v>7.0956000000000005E-2</v>
      </c>
      <c r="CS30" s="276">
        <f>'COM PV'!U32</f>
        <v>0.42825849999999999</v>
      </c>
      <c r="CT30" s="736">
        <f t="shared" si="8"/>
        <v>334.33859122967743</v>
      </c>
      <c r="CU30" s="742">
        <f>+'COM LM (cyc)'!Z32</f>
        <v>0</v>
      </c>
      <c r="CV30" s="299">
        <f>+'COM LM (ext)'!Z32</f>
        <v>0</v>
      </c>
      <c r="CW30" s="299">
        <f>+'COM SB Gen'!Z32</f>
        <v>5.153395267379679</v>
      </c>
      <c r="CX30" s="299">
        <f>+'COM DMD Response'!U32</f>
        <v>3.5165396250000001</v>
      </c>
      <c r="CY30" s="282">
        <f t="shared" si="2"/>
        <v>8.6699348923796791</v>
      </c>
      <c r="CZ30" s="744">
        <f t="shared" si="3"/>
        <v>343.00852612205711</v>
      </c>
      <c r="DA30" s="162"/>
    </row>
    <row r="31" spans="1:106" x14ac:dyDescent="0.2">
      <c r="A31" s="269">
        <v>2020</v>
      </c>
      <c r="B31" s="1081">
        <f>+'C-I FREE'!M33</f>
        <v>13.723332732696898</v>
      </c>
      <c r="C31" s="1082">
        <f>+'C-I Paid'!M33</f>
        <v>0.39515000000000006</v>
      </c>
      <c r="D31" s="981">
        <f>+'C-I Mail-In'!M33</f>
        <v>7.9649999999999999E-2</v>
      </c>
      <c r="E31" s="979">
        <f>+'COM Cooling'!M33</f>
        <v>3.2805176259648974</v>
      </c>
      <c r="F31" s="979">
        <f>+'COM Duct'!M33</f>
        <v>5.803856011673151</v>
      </c>
      <c r="G31" s="981">
        <f>+'COM Bldg Envel'!M33</f>
        <v>1.5417364801488831</v>
      </c>
      <c r="H31" s="979">
        <f>'COM CI'!M33</f>
        <v>0.17201</v>
      </c>
      <c r="I31" s="979">
        <f>'COM WI'!M33</f>
        <v>3.5000000000000001E-3</v>
      </c>
      <c r="J31" s="981">
        <f>+'COM EEMotors'!M33</f>
        <v>5.9989999999999995E-2</v>
      </c>
      <c r="K31" s="979">
        <f>+'COM Chillers'!M33</f>
        <v>2.0647600000000002</v>
      </c>
      <c r="L31" s="979">
        <f>+'COM Occ. Sens.'!M33</f>
        <v>5.2090107000000012</v>
      </c>
      <c r="M31" s="979">
        <f>+'COM Ref'!M33</f>
        <v>6.8170000000000001E-3</v>
      </c>
      <c r="N31" s="979">
        <f>+'COM WH'!M33</f>
        <v>2.2085000000000004E-3</v>
      </c>
      <c r="O31" s="981">
        <f>+'COM Lighting'!M33</f>
        <v>42.797152579639551</v>
      </c>
      <c r="P31" s="979">
        <f>'COM Cond. Light'!M33</f>
        <v>5.1311550000000006</v>
      </c>
      <c r="Q31" s="979">
        <f>'COM Non Cond. Light'!M33</f>
        <v>1.0547899999999999</v>
      </c>
      <c r="R31" s="979">
        <f>+'COM CV'!M33</f>
        <v>9.7697008333333368</v>
      </c>
      <c r="S31" s="979">
        <f>'COM TES'!M33</f>
        <v>2.8696700000000002</v>
      </c>
      <c r="T31" s="981">
        <f>+'Street Light Conv'!M33</f>
        <v>0</v>
      </c>
      <c r="U31" s="979">
        <f>'COM ECM'!M33</f>
        <v>5.3099999999999994E-2</v>
      </c>
      <c r="V31" s="981">
        <f>'COM ECM HVAC'!M33</f>
        <v>0</v>
      </c>
      <c r="W31" s="979">
        <f>'COM Cool Roof'!M33</f>
        <v>2.9883444444444449</v>
      </c>
      <c r="X31" s="981">
        <f>'COM HVAC ReCommissioning'!M33</f>
        <v>0.48852000000000001</v>
      </c>
      <c r="Y31" s="981">
        <f>'COM ERV'!M33</f>
        <v>2.0009999999999997E-2</v>
      </c>
      <c r="Z31" s="981">
        <f>'COM School PV'!M33</f>
        <v>2.52E-2</v>
      </c>
      <c r="AA31" s="981">
        <f>'COM PV'!M33</f>
        <v>0.17368999999999998</v>
      </c>
      <c r="AB31" s="277">
        <f t="shared" si="4"/>
        <v>93.965007463456715</v>
      </c>
      <c r="AC31" s="276">
        <f>+'COM LM (cyc)'!N33</f>
        <v>0.23613333333333339</v>
      </c>
      <c r="AD31" s="276">
        <f>+'COM LM (ext)'!N33</f>
        <v>0.32200000000000001</v>
      </c>
      <c r="AE31" s="276">
        <f>+'COM SB Gen'!N33</f>
        <v>53.241663458110516</v>
      </c>
      <c r="AF31" s="276">
        <f>+'COM DMD Response'!M33</f>
        <v>40</v>
      </c>
      <c r="AG31" s="277">
        <f t="shared" si="5"/>
        <v>93.799796791443839</v>
      </c>
      <c r="AH31" s="718">
        <f t="shared" si="0"/>
        <v>187.76480425490055</v>
      </c>
      <c r="AJ31" s="748">
        <v>2020</v>
      </c>
      <c r="AK31" s="1088">
        <f>+'C-I FREE'!Q33</f>
        <v>32.695633102625322</v>
      </c>
      <c r="AL31" s="1088">
        <f>+'C-I Paid'!Q33</f>
        <v>0.91469</v>
      </c>
      <c r="AM31" s="738">
        <f>+'C-I Mail-In'!Q33</f>
        <v>6.0399999999999995E-2</v>
      </c>
      <c r="AN31" s="276">
        <f>+'COM Cooling'!Q33</f>
        <v>3.2532051282051278E-3</v>
      </c>
      <c r="AO31" s="276">
        <f>+'COM Duct'!Q33</f>
        <v>0.76612000000000002</v>
      </c>
      <c r="AP31" s="738">
        <f>+'COM Bldg Envel'!Q33</f>
        <v>2.2436590570719603E-2</v>
      </c>
      <c r="AQ31" s="276">
        <f>'COM CI'!Q33</f>
        <v>4.1000000000000003E-3</v>
      </c>
      <c r="AR31" s="276">
        <f>'COM WI'!Q33</f>
        <v>2.3400000000000001E-3</v>
      </c>
      <c r="AS31" s="738">
        <f>+'COM EEMotors'!Q33</f>
        <v>4.9059999999999999E-2</v>
      </c>
      <c r="AT31" s="276">
        <f>+'COM Chillers'!Q33</f>
        <v>1.2128694117647059</v>
      </c>
      <c r="AU31" s="276">
        <f>+'COM Occ. Sens.'!Q33</f>
        <v>4.1769033999999996</v>
      </c>
      <c r="AV31" s="276">
        <f>+'COM Ref'!Q33</f>
        <v>9.2120000000000014E-3</v>
      </c>
      <c r="AW31" s="276">
        <f>+'COM WH'!Q33</f>
        <v>9.8700000000000003E-4</v>
      </c>
      <c r="AX31" s="738">
        <f>+'COM Lighting'!Q33</f>
        <v>19.317446815739537</v>
      </c>
      <c r="AY31" s="276">
        <f>'COM Cond. Light'!Q33</f>
        <v>3.8859999999999997</v>
      </c>
      <c r="AZ31" s="276">
        <f>'COM Non Cond. Light'!Q33</f>
        <v>0.99644999999999995</v>
      </c>
      <c r="BA31" s="276">
        <f>+'COM CV'!Q33</f>
        <v>3.2838099999999995</v>
      </c>
      <c r="BB31" s="276">
        <f>'COM TES'!Q33</f>
        <v>0</v>
      </c>
      <c r="BC31" s="738">
        <f>+'Street Light Conv'!Q33</f>
        <v>0</v>
      </c>
      <c r="BD31" s="276">
        <f>'COM ECM'!Q33</f>
        <v>0</v>
      </c>
      <c r="BE31" s="738">
        <f>'COM HVAC ReCommissioning'!Q33</f>
        <v>0</v>
      </c>
      <c r="BF31" s="276">
        <f>'COM Cool Roof'!Q33</f>
        <v>0</v>
      </c>
      <c r="BG31" s="738">
        <f>'COM HVAC ReCommissioning'!Q33</f>
        <v>0</v>
      </c>
      <c r="BH31" s="738">
        <f>'COM ERV'!Q33</f>
        <v>2.1419999999999998E-2</v>
      </c>
      <c r="BI31" s="738">
        <f>'COM School PV'!Q33</f>
        <v>0</v>
      </c>
      <c r="BJ31" s="276">
        <f>'COM PV'!Q33</f>
        <v>0</v>
      </c>
      <c r="BK31" s="277">
        <f t="shared" si="6"/>
        <v>67.423131525828495</v>
      </c>
      <c r="BL31" s="276">
        <f>+'COM LM (cyc)'!T33</f>
        <v>0</v>
      </c>
      <c r="BM31" s="276">
        <f>+'COM LM (ext)'!T33</f>
        <v>0.18</v>
      </c>
      <c r="BN31" s="276">
        <f>+'COM SB Gen'!T33</f>
        <v>50.093264646464661</v>
      </c>
      <c r="BO31" s="276">
        <f>+'COM DMD Response'!Q33</f>
        <v>40</v>
      </c>
      <c r="BP31" s="1106">
        <f t="shared" si="7"/>
        <v>90.273264646464668</v>
      </c>
      <c r="BQ31" s="718">
        <f t="shared" si="1"/>
        <v>157.69639617229316</v>
      </c>
      <c r="BS31" s="269">
        <v>2020</v>
      </c>
      <c r="BT31" s="1087">
        <f>+'C-I FREE'!U33</f>
        <v>23.140433204057274</v>
      </c>
      <c r="BU31" s="1088">
        <f>+'C-I Paid'!U33</f>
        <v>0.22405050000000001</v>
      </c>
      <c r="BV31" s="738">
        <f>+'C-I Mail-In'!U33</f>
        <v>0.33984000000000003</v>
      </c>
      <c r="BW31" s="276">
        <f>+'COM Cooling'!U33</f>
        <v>11.500152814404689</v>
      </c>
      <c r="BX31" s="276">
        <f>+'COM Duct'!U33</f>
        <v>18.462474130447468</v>
      </c>
      <c r="BY31" s="738">
        <f>+'COM Bldg Envel'!U33</f>
        <v>2.0868557382133996</v>
      </c>
      <c r="BZ31" s="276">
        <f>'COM CI'!U33</f>
        <v>2.1859347200000001</v>
      </c>
      <c r="CA31" s="276">
        <f>'COM WI'!U33</f>
        <v>4.7739999999999996E-3</v>
      </c>
      <c r="CB31" s="738">
        <f>+'COM EEMotors'!U33</f>
        <v>0.31173319999999993</v>
      </c>
      <c r="CC31" s="276">
        <f>+'COM Chillers'!U33</f>
        <v>5.4509894117647066</v>
      </c>
      <c r="CD31" s="276">
        <f>+'COM Occ. Sens.'!U33</f>
        <v>5.7675402799999986</v>
      </c>
      <c r="CE31" s="276">
        <f>+'COM Ref'!U33</f>
        <v>0.1099305</v>
      </c>
      <c r="CF31" s="276">
        <f>+'COM WH'!U33</f>
        <v>1.6572499999999997E-2</v>
      </c>
      <c r="CG31" s="738">
        <f>+'COM Lighting'!U33</f>
        <v>205.6838343902898</v>
      </c>
      <c r="CH31" s="276">
        <f>'COM Cond. Light'!U33</f>
        <v>23.537552659999996</v>
      </c>
      <c r="CI31" s="276">
        <f>'COM Non Cond. Light'!U33</f>
        <v>5.1777224300000002</v>
      </c>
      <c r="CJ31" s="276">
        <f>+'COM CV'!U33</f>
        <v>21.712158090833334</v>
      </c>
      <c r="CK31" s="276">
        <f>'COM TES'!U33</f>
        <v>0.29828200000000005</v>
      </c>
      <c r="CL31" s="738">
        <f>+'Street Light Conv'!U33</f>
        <v>16</v>
      </c>
      <c r="CM31" s="276">
        <f>'COM ECM'!U33</f>
        <v>2.8083850000000007E-2</v>
      </c>
      <c r="CN31" s="738">
        <f>'COM HVAC ReCommissioning'!U33</f>
        <v>1.1355234999999999</v>
      </c>
      <c r="CO31" s="276">
        <f>'COM Cool Roof'!U33</f>
        <v>11.168718309666666</v>
      </c>
      <c r="CP31" s="738">
        <f>'COM HVAC ReCommissioning'!U33</f>
        <v>1.1355234999999999</v>
      </c>
      <c r="CQ31" s="738">
        <f>'COM ERV'!U33</f>
        <v>3.1329000000000003E-2</v>
      </c>
      <c r="CR31" s="276">
        <f>'COM School PV'!U33</f>
        <v>7.0956000000000005E-2</v>
      </c>
      <c r="CS31" s="276">
        <f>'COM PV'!U33</f>
        <v>0.42825849999999999</v>
      </c>
      <c r="CT31" s="735">
        <f t="shared" si="8"/>
        <v>340.00922322967733</v>
      </c>
      <c r="CU31" s="741">
        <f>+'COM LM (cyc)'!Z33</f>
        <v>0</v>
      </c>
      <c r="CV31" s="276">
        <f>+'COM LM (ext)'!Z33</f>
        <v>0</v>
      </c>
      <c r="CW31" s="276">
        <f>+'COM SB Gen'!Z33</f>
        <v>5.1929830619924733</v>
      </c>
      <c r="CX31" s="276">
        <f>+'COM DMD Response'!U33</f>
        <v>3.551833625</v>
      </c>
      <c r="CY31" s="277">
        <f t="shared" si="2"/>
        <v>8.7448166869924737</v>
      </c>
      <c r="CZ31" s="744">
        <f t="shared" si="3"/>
        <v>348.7540399166698</v>
      </c>
      <c r="DA31" s="162"/>
    </row>
    <row r="32" spans="1:106" x14ac:dyDescent="0.2">
      <c r="A32" s="269">
        <v>2021</v>
      </c>
      <c r="B32" s="1081">
        <f>+'C-I FREE'!M34</f>
        <v>13.723332732696898</v>
      </c>
      <c r="C32" s="1082">
        <f>+'C-I Paid'!M34</f>
        <v>0.39515000000000006</v>
      </c>
      <c r="D32" s="981">
        <f>+'C-I Mail-In'!M34</f>
        <v>7.9649999999999999E-2</v>
      </c>
      <c r="E32" s="979">
        <f>+'COM Cooling'!M34</f>
        <v>3.4205176259648975</v>
      </c>
      <c r="F32" s="979">
        <f>+'COM Duct'!M34</f>
        <v>5.8418560116731513</v>
      </c>
      <c r="G32" s="981">
        <f>+'COM Bldg Envel'!M34</f>
        <v>1.5417364801488831</v>
      </c>
      <c r="H32" s="979">
        <f>'COM CI'!M34</f>
        <v>0.20951</v>
      </c>
      <c r="I32" s="979">
        <f>'COM WI'!M34</f>
        <v>4.5000000000000005E-3</v>
      </c>
      <c r="J32" s="981">
        <f>+'COM EEMotors'!M34</f>
        <v>5.9989999999999995E-2</v>
      </c>
      <c r="K32" s="979">
        <f>+'COM Chillers'!M34</f>
        <v>2.15001</v>
      </c>
      <c r="L32" s="979">
        <f>+'COM Occ. Sens.'!M34</f>
        <v>5.5816107000000015</v>
      </c>
      <c r="M32" s="979">
        <f>+'COM Ref'!M34</f>
        <v>9.2230000000000003E-3</v>
      </c>
      <c r="N32" s="979">
        <f>+'COM WH'!M34</f>
        <v>2.8395000000000004E-3</v>
      </c>
      <c r="O32" s="981">
        <f>+'COM Lighting'!M34</f>
        <v>42.797152579639551</v>
      </c>
      <c r="P32" s="979">
        <f>'COM Cond. Light'!M34</f>
        <v>5.7267550000000007</v>
      </c>
      <c r="Q32" s="979">
        <f>'COM Non Cond. Light'!M34</f>
        <v>1.1642899999999998</v>
      </c>
      <c r="R32" s="979">
        <f>+'COM CV'!M34</f>
        <v>10.127700833333337</v>
      </c>
      <c r="S32" s="979">
        <f>'COM TES'!M34</f>
        <v>3.7953700000000001</v>
      </c>
      <c r="T32" s="981">
        <f>+'Street Light Conv'!M34</f>
        <v>0</v>
      </c>
      <c r="U32" s="979">
        <f>'COM ECM'!M34</f>
        <v>5.3299999999999993E-2</v>
      </c>
      <c r="V32" s="981">
        <f>'COM ECM HVAC'!M34</f>
        <v>0</v>
      </c>
      <c r="W32" s="979">
        <f>'COM Cool Roof'!M34</f>
        <v>3.2811444444444451</v>
      </c>
      <c r="X32" s="981">
        <f>'COM HVAC ReCommissioning'!M34</f>
        <v>0.48852000000000001</v>
      </c>
      <c r="Y32" s="981">
        <f>'COM ERV'!M34</f>
        <v>2.0009999999999997E-2</v>
      </c>
      <c r="Z32" s="981">
        <f>'COM School PV'!M34</f>
        <v>2.52E-2</v>
      </c>
      <c r="AA32" s="981">
        <f>'COM PV'!M34</f>
        <v>0.17368999999999998</v>
      </c>
      <c r="AB32" s="277">
        <f t="shared" si="4"/>
        <v>96.631194463456708</v>
      </c>
      <c r="AC32" s="276">
        <f>+'COM LM (cyc)'!N34</f>
        <v>0.24933333333333338</v>
      </c>
      <c r="AD32" s="276">
        <f>+'COM LM (ext)'!N34</f>
        <v>0.41399999999999998</v>
      </c>
      <c r="AE32" s="276">
        <f>+'COM SB Gen'!N34</f>
        <v>53.53966345811051</v>
      </c>
      <c r="AF32" s="276">
        <f>+'COM DMD Response'!M34</f>
        <v>40</v>
      </c>
      <c r="AG32" s="277">
        <f t="shared" si="5"/>
        <v>94.202996791443837</v>
      </c>
      <c r="AH32" s="718">
        <f t="shared" si="0"/>
        <v>190.83419125490053</v>
      </c>
      <c r="AJ32" s="748">
        <v>2021</v>
      </c>
      <c r="AK32" s="1088">
        <f>+'C-I FREE'!Q34</f>
        <v>32.695633102625322</v>
      </c>
      <c r="AL32" s="1088">
        <f>+'C-I Paid'!Q34</f>
        <v>0.91469</v>
      </c>
      <c r="AM32" s="738">
        <f>+'C-I Mail-In'!Q34</f>
        <v>6.0399999999999995E-2</v>
      </c>
      <c r="AN32" s="276">
        <f>+'COM Cooling'!Q34</f>
        <v>3.2532051282051278E-3</v>
      </c>
      <c r="AO32" s="276">
        <f>+'COM Duct'!Q34</f>
        <v>0.76612000000000002</v>
      </c>
      <c r="AP32" s="738">
        <f>+'COM Bldg Envel'!Q34</f>
        <v>2.2436590570719603E-2</v>
      </c>
      <c r="AQ32" s="276">
        <f>'COM CI'!Q34</f>
        <v>5.1000000000000004E-3</v>
      </c>
      <c r="AR32" s="276">
        <f>'COM WI'!Q34</f>
        <v>3.1199999999999999E-3</v>
      </c>
      <c r="AS32" s="738">
        <f>+'COM EEMotors'!Q34</f>
        <v>4.9059999999999999E-2</v>
      </c>
      <c r="AT32" s="276">
        <f>+'COM Chillers'!Q34</f>
        <v>1.2768194117647058</v>
      </c>
      <c r="AU32" s="276">
        <f>+'COM Occ. Sens.'!Q34</f>
        <v>4.4692533999999995</v>
      </c>
      <c r="AV32" s="276">
        <f>+'COM Ref'!Q34</f>
        <v>1.3160000000000002E-2</v>
      </c>
      <c r="AW32" s="276">
        <f>+'COM WH'!Q34</f>
        <v>1.3160000000000001E-3</v>
      </c>
      <c r="AX32" s="738">
        <f>+'COM Lighting'!Q34</f>
        <v>19.317446815739537</v>
      </c>
      <c r="AY32" s="276">
        <f>'COM Cond. Light'!Q34</f>
        <v>4.3499999999999996</v>
      </c>
      <c r="AZ32" s="276">
        <f>'COM Non Cond. Light'!Q34</f>
        <v>1.10595</v>
      </c>
      <c r="BA32" s="276">
        <f>+'COM CV'!Q34</f>
        <v>3.2838099999999995</v>
      </c>
      <c r="BB32" s="276">
        <f>'COM TES'!Q34</f>
        <v>0</v>
      </c>
      <c r="BC32" s="738">
        <f>+'Street Light Conv'!Q34</f>
        <v>0</v>
      </c>
      <c r="BD32" s="276">
        <f>'COM ECM'!Q34</f>
        <v>0</v>
      </c>
      <c r="BE32" s="738">
        <f>'COM HVAC ReCommissioning'!Q34</f>
        <v>0</v>
      </c>
      <c r="BF32" s="276">
        <f>'COM Cool Roof'!Q34</f>
        <v>0</v>
      </c>
      <c r="BG32" s="738">
        <f>'COM HVAC ReCommissioning'!Q34</f>
        <v>0</v>
      </c>
      <c r="BH32" s="738">
        <f>'COM ERV'!Q34</f>
        <v>2.1419999999999998E-2</v>
      </c>
      <c r="BI32" s="738">
        <f>'COM School PV'!Q34</f>
        <v>0</v>
      </c>
      <c r="BJ32" s="276">
        <f>'COM PV'!Q34</f>
        <v>0</v>
      </c>
      <c r="BK32" s="277">
        <f t="shared" si="6"/>
        <v>68.358988525828508</v>
      </c>
      <c r="BL32" s="276">
        <f>+'COM LM (cyc)'!T34</f>
        <v>0</v>
      </c>
      <c r="BM32" s="276">
        <f>+'COM LM (ext)'!T34</f>
        <v>0.24</v>
      </c>
      <c r="BN32" s="276">
        <f>+'COM SB Gen'!T34</f>
        <v>50.626171717171729</v>
      </c>
      <c r="BO32" s="276">
        <f>+'COM DMD Response'!Q34</f>
        <v>40</v>
      </c>
      <c r="BP32" s="1106">
        <f t="shared" si="7"/>
        <v>90.866171717171738</v>
      </c>
      <c r="BQ32" s="718">
        <f t="shared" si="1"/>
        <v>159.22516024300023</v>
      </c>
      <c r="BS32" s="269">
        <v>2021</v>
      </c>
      <c r="BT32" s="1087">
        <f>+'C-I FREE'!U34</f>
        <v>23.140433204057274</v>
      </c>
      <c r="BU32" s="1088">
        <f>+'C-I Paid'!U34</f>
        <v>0.22405050000000001</v>
      </c>
      <c r="BV32" s="738">
        <f>+'C-I Mail-In'!U34</f>
        <v>0.33984000000000003</v>
      </c>
      <c r="BW32" s="276">
        <f>+'COM Cooling'!U34</f>
        <v>11.77045281440469</v>
      </c>
      <c r="BX32" s="276">
        <f>+'COM Duct'!U34</f>
        <v>18.635874130447469</v>
      </c>
      <c r="BY32" s="738">
        <f>+'COM Bldg Envel'!U34</f>
        <v>2.0868557382133996</v>
      </c>
      <c r="BZ32" s="276">
        <f>'COM CI'!U34</f>
        <v>2.6611847200000001</v>
      </c>
      <c r="CA32" s="276">
        <f>'COM WI'!U34</f>
        <v>6.1379999999999994E-3</v>
      </c>
      <c r="CB32" s="738">
        <f>+'COM EEMotors'!U34</f>
        <v>0.31173319999999993</v>
      </c>
      <c r="CC32" s="276">
        <f>+'COM Chillers'!U34</f>
        <v>5.6904244117647069</v>
      </c>
      <c r="CD32" s="276">
        <f>+'COM Occ. Sens.'!U34</f>
        <v>6.1841202799999984</v>
      </c>
      <c r="CE32" s="276">
        <f>+'COM Ref'!U34</f>
        <v>0.14872950000000001</v>
      </c>
      <c r="CF32" s="276">
        <f>+'COM WH'!U34</f>
        <v>2.1307499999999997E-2</v>
      </c>
      <c r="CG32" s="738">
        <f>+'COM Lighting'!U34</f>
        <v>205.6838343902898</v>
      </c>
      <c r="CH32" s="276">
        <f>'COM Cond. Light'!U34</f>
        <v>26.339192659999995</v>
      </c>
      <c r="CI32" s="276">
        <f>'COM Non Cond. Light'!U34</f>
        <v>5.7211624300000006</v>
      </c>
      <c r="CJ32" s="276">
        <f>+'COM CV'!U34</f>
        <v>21.721912090833335</v>
      </c>
      <c r="CK32" s="276">
        <f>'COM TES'!U34</f>
        <v>0.39450200000000002</v>
      </c>
      <c r="CL32" s="738">
        <f>+'Street Light Conv'!U34</f>
        <v>16</v>
      </c>
      <c r="CM32" s="276">
        <f>'COM ECM'!U34</f>
        <v>2.8143850000000008E-2</v>
      </c>
      <c r="CN32" s="738">
        <f>'COM HVAC ReCommissioning'!U34</f>
        <v>1.1355234999999999</v>
      </c>
      <c r="CO32" s="276">
        <f>'COM Cool Roof'!U34</f>
        <v>11.882558309666665</v>
      </c>
      <c r="CP32" s="738">
        <f>'COM HVAC ReCommissioning'!U34</f>
        <v>1.1355234999999999</v>
      </c>
      <c r="CQ32" s="738">
        <f>'COM ERV'!U34</f>
        <v>3.1329000000000003E-2</v>
      </c>
      <c r="CR32" s="276">
        <f>'COM School PV'!U34</f>
        <v>7.0956000000000005E-2</v>
      </c>
      <c r="CS32" s="276">
        <f>'COM PV'!U34</f>
        <v>0.42825849999999999</v>
      </c>
      <c r="CT32" s="735">
        <f t="shared" si="8"/>
        <v>345.79404022967731</v>
      </c>
      <c r="CU32" s="741">
        <f>+'COM LM (cyc)'!Z34</f>
        <v>0</v>
      </c>
      <c r="CV32" s="276">
        <f>+'COM LM (ext)'!Z34</f>
        <v>0</v>
      </c>
      <c r="CW32" s="276">
        <f>+'COM SB Gen'!Z34</f>
        <v>5.2325708566052693</v>
      </c>
      <c r="CX32" s="276">
        <f>+'COM DMD Response'!U34</f>
        <v>3.5871276249999999</v>
      </c>
      <c r="CY32" s="277">
        <f t="shared" si="2"/>
        <v>8.8196984816052684</v>
      </c>
      <c r="CZ32" s="744">
        <f t="shared" si="3"/>
        <v>354.61373871128256</v>
      </c>
      <c r="DA32" s="162"/>
    </row>
    <row r="33" spans="1:105" x14ac:dyDescent="0.2">
      <c r="A33" s="269">
        <v>2022</v>
      </c>
      <c r="B33" s="1081">
        <f>+'C-I FREE'!M35</f>
        <v>13.723332732696898</v>
      </c>
      <c r="C33" s="1082">
        <f>+'C-I Paid'!M35</f>
        <v>0.39515000000000006</v>
      </c>
      <c r="D33" s="981">
        <f>+'C-I Mail-In'!M35</f>
        <v>7.9649999999999999E-2</v>
      </c>
      <c r="E33" s="979">
        <f>+'COM Cooling'!M35</f>
        <v>3.5605176259648976</v>
      </c>
      <c r="F33" s="979">
        <f>+'COM Duct'!M35</f>
        <v>5.8798560116731515</v>
      </c>
      <c r="G33" s="981">
        <f>+'COM Bldg Envel'!M35</f>
        <v>1.5417364801488831</v>
      </c>
      <c r="H33" s="979">
        <f>'COM CI'!M35</f>
        <v>0.24701000000000001</v>
      </c>
      <c r="I33" s="979">
        <f>'COM WI'!M35</f>
        <v>5.5000000000000005E-3</v>
      </c>
      <c r="J33" s="981">
        <f>+'COM EEMotors'!M35</f>
        <v>5.9989999999999995E-2</v>
      </c>
      <c r="K33" s="979">
        <f>+'COM Chillers'!M35</f>
        <v>2.2352599999999998</v>
      </c>
      <c r="L33" s="979">
        <f>+'COM Occ. Sens.'!M35</f>
        <v>5.9542107000000017</v>
      </c>
      <c r="M33" s="979">
        <f>+'COM Ref'!M35</f>
        <v>1.2030000000000001E-2</v>
      </c>
      <c r="N33" s="979">
        <f>+'COM WH'!M35</f>
        <v>3.4705000000000005E-3</v>
      </c>
      <c r="O33" s="981">
        <f>+'COM Lighting'!M35</f>
        <v>42.797152579639551</v>
      </c>
      <c r="P33" s="979">
        <f>'COM Cond. Light'!M35</f>
        <v>6.3223550000000008</v>
      </c>
      <c r="Q33" s="979">
        <f>'COM Non Cond. Light'!M35</f>
        <v>1.2737899999999998</v>
      </c>
      <c r="R33" s="979">
        <f>+'COM CV'!M35</f>
        <v>10.485700833333338</v>
      </c>
      <c r="S33" s="979">
        <f>'COM TES'!M35</f>
        <v>4.7210700000000001</v>
      </c>
      <c r="T33" s="981">
        <f>+'Street Light Conv'!M35</f>
        <v>0</v>
      </c>
      <c r="U33" s="979">
        <f>'COM ECM'!M35</f>
        <v>5.3499999999999992E-2</v>
      </c>
      <c r="V33" s="981">
        <f>'COM ECM HVAC'!M35</f>
        <v>0</v>
      </c>
      <c r="W33" s="979">
        <f>'COM Cool Roof'!M35</f>
        <v>3.5739444444444453</v>
      </c>
      <c r="X33" s="981">
        <f>'COM HVAC ReCommissioning'!M35</f>
        <v>0.48852000000000001</v>
      </c>
      <c r="Y33" s="981">
        <f>'COM ERV'!M35</f>
        <v>2.0009999999999997E-2</v>
      </c>
      <c r="Z33" s="981">
        <f>'COM School PV'!M35</f>
        <v>2.52E-2</v>
      </c>
      <c r="AA33" s="981">
        <f>'COM PV'!M35</f>
        <v>0.17368999999999998</v>
      </c>
      <c r="AB33" s="277">
        <f t="shared" si="4"/>
        <v>99.297782463456741</v>
      </c>
      <c r="AC33" s="276">
        <f>+'COM LM (cyc)'!N35</f>
        <v>0.2625333333333334</v>
      </c>
      <c r="AD33" s="276">
        <f>+'COM LM (ext)'!N35</f>
        <v>0.50600000000000001</v>
      </c>
      <c r="AE33" s="276">
        <f>+'COM SB Gen'!N35</f>
        <v>53.837663458110519</v>
      </c>
      <c r="AF33" s="276">
        <f>+'COM DMD Response'!M35</f>
        <v>40</v>
      </c>
      <c r="AG33" s="277">
        <f t="shared" si="5"/>
        <v>94.60619679144385</v>
      </c>
      <c r="AH33" s="718">
        <f t="shared" si="0"/>
        <v>193.90397925490061</v>
      </c>
      <c r="AJ33" s="748">
        <v>2022</v>
      </c>
      <c r="AK33" s="1088">
        <f>+'C-I FREE'!Q35</f>
        <v>32.695633102625322</v>
      </c>
      <c r="AL33" s="1088">
        <f>+'C-I Paid'!Q35</f>
        <v>0.91469</v>
      </c>
      <c r="AM33" s="738">
        <f>+'C-I Mail-In'!Q35</f>
        <v>6.0399999999999995E-2</v>
      </c>
      <c r="AN33" s="276">
        <f>+'COM Cooling'!Q35</f>
        <v>3.2532051282051278E-3</v>
      </c>
      <c r="AO33" s="276">
        <f>+'COM Duct'!Q35</f>
        <v>0.76612000000000002</v>
      </c>
      <c r="AP33" s="738">
        <f>+'COM Bldg Envel'!Q35</f>
        <v>2.2436590570719603E-2</v>
      </c>
      <c r="AQ33" s="276">
        <f>'COM CI'!Q35</f>
        <v>6.1000000000000004E-3</v>
      </c>
      <c r="AR33" s="276">
        <f>'COM WI'!Q35</f>
        <v>3.8999999999999998E-3</v>
      </c>
      <c r="AS33" s="738">
        <f>+'COM EEMotors'!Q35</f>
        <v>4.9059999999999999E-2</v>
      </c>
      <c r="AT33" s="276">
        <f>+'COM Chillers'!Q35</f>
        <v>1.3407694117647058</v>
      </c>
      <c r="AU33" s="276">
        <f>+'COM Occ. Sens.'!Q35</f>
        <v>4.7616033999999994</v>
      </c>
      <c r="AV33" s="276">
        <f>+'COM Ref'!Q35</f>
        <v>1.7108000000000002E-2</v>
      </c>
      <c r="AW33" s="276">
        <f>+'COM WH'!Q35</f>
        <v>1.6450000000000002E-3</v>
      </c>
      <c r="AX33" s="738">
        <f>+'COM Lighting'!Q35</f>
        <v>19.317446815739537</v>
      </c>
      <c r="AY33" s="276">
        <f>'COM Cond. Light'!Q35</f>
        <v>4.8140000000000001</v>
      </c>
      <c r="AZ33" s="276">
        <f>'COM Non Cond. Light'!Q35</f>
        <v>1.2154499999999999</v>
      </c>
      <c r="BA33" s="276">
        <f>+'COM CV'!Q35</f>
        <v>3.2838099999999995</v>
      </c>
      <c r="BB33" s="276">
        <f>'COM TES'!Q35</f>
        <v>0</v>
      </c>
      <c r="BC33" s="738">
        <f>+'Street Light Conv'!Q35</f>
        <v>0</v>
      </c>
      <c r="BD33" s="276">
        <f>'COM ECM'!Q35</f>
        <v>0</v>
      </c>
      <c r="BE33" s="738">
        <f>'COM HVAC ReCommissioning'!Q35</f>
        <v>0</v>
      </c>
      <c r="BF33" s="276">
        <f>'COM Cool Roof'!Q35</f>
        <v>0</v>
      </c>
      <c r="BG33" s="738">
        <f>'COM HVAC ReCommissioning'!Q35</f>
        <v>0</v>
      </c>
      <c r="BH33" s="738">
        <f>'COM ERV'!Q35</f>
        <v>2.1419999999999998E-2</v>
      </c>
      <c r="BI33" s="738">
        <f>'COM School PV'!Q35</f>
        <v>0</v>
      </c>
      <c r="BJ33" s="276">
        <f>'COM PV'!Q35</f>
        <v>0</v>
      </c>
      <c r="BK33" s="277">
        <f t="shared" si="6"/>
        <v>69.294845525828507</v>
      </c>
      <c r="BL33" s="276">
        <f>+'COM LM (cyc)'!T35</f>
        <v>0</v>
      </c>
      <c r="BM33" s="276">
        <f>+'COM LM (ext)'!T35</f>
        <v>0.3</v>
      </c>
      <c r="BN33" s="276">
        <f>+'COM SB Gen'!T35</f>
        <v>51.159078787878798</v>
      </c>
      <c r="BO33" s="276">
        <f>+'COM DMD Response'!Q35</f>
        <v>40</v>
      </c>
      <c r="BP33" s="1106">
        <f t="shared" si="7"/>
        <v>91.459078787878795</v>
      </c>
      <c r="BQ33" s="718">
        <f t="shared" si="1"/>
        <v>160.7539243137073</v>
      </c>
      <c r="BS33" s="269">
        <v>2022</v>
      </c>
      <c r="BT33" s="1087">
        <f>+'C-I FREE'!U35</f>
        <v>23.140433204057274</v>
      </c>
      <c r="BU33" s="1088">
        <f>+'C-I Paid'!U35</f>
        <v>0.22405050000000001</v>
      </c>
      <c r="BV33" s="738">
        <f>+'C-I Mail-In'!U35</f>
        <v>0.33984000000000003</v>
      </c>
      <c r="BW33" s="276">
        <f>+'COM Cooling'!U35</f>
        <v>12.040752814404691</v>
      </c>
      <c r="BX33" s="276">
        <f>+'COM Duct'!U35</f>
        <v>18.80927413044747</v>
      </c>
      <c r="BY33" s="738">
        <f>+'COM Bldg Envel'!U35</f>
        <v>2.0868557382133996</v>
      </c>
      <c r="BZ33" s="276">
        <f>'COM CI'!U35</f>
        <v>3.13643472</v>
      </c>
      <c r="CA33" s="276">
        <f>'COM WI'!U35</f>
        <v>7.5019999999999991E-3</v>
      </c>
      <c r="CB33" s="738">
        <f>+'COM EEMotors'!U35</f>
        <v>0.31173319999999993</v>
      </c>
      <c r="CC33" s="276">
        <f>+'COM Chillers'!U35</f>
        <v>5.9298594117647072</v>
      </c>
      <c r="CD33" s="276">
        <f>+'COM Occ. Sens.'!U35</f>
        <v>6.6007002799999981</v>
      </c>
      <c r="CE33" s="276">
        <f>+'COM Ref'!U35</f>
        <v>0.19399500000000003</v>
      </c>
      <c r="CF33" s="276">
        <f>+'COM WH'!U35</f>
        <v>2.6042499999999996E-2</v>
      </c>
      <c r="CG33" s="738">
        <f>+'COM Lighting'!U35</f>
        <v>205.6838343902898</v>
      </c>
      <c r="CH33" s="276">
        <f>'COM Cond. Light'!U35</f>
        <v>29.140832659999994</v>
      </c>
      <c r="CI33" s="276">
        <f>'COM Non Cond. Light'!U35</f>
        <v>6.2646024300000009</v>
      </c>
      <c r="CJ33" s="276">
        <f>+'COM CV'!U35</f>
        <v>21.731666090833336</v>
      </c>
      <c r="CK33" s="276">
        <f>'COM TES'!U35</f>
        <v>0.49072199999999999</v>
      </c>
      <c r="CL33" s="738">
        <f>+'Street Light Conv'!U35</f>
        <v>16</v>
      </c>
      <c r="CM33" s="276">
        <f>'COM ECM'!U35</f>
        <v>2.8203850000000009E-2</v>
      </c>
      <c r="CN33" s="738">
        <f>'COM HVAC ReCommissioning'!U35</f>
        <v>1.1355234999999999</v>
      </c>
      <c r="CO33" s="276">
        <f>'COM Cool Roof'!U35</f>
        <v>12.596398309666665</v>
      </c>
      <c r="CP33" s="738">
        <f>'COM HVAC ReCommissioning'!U35</f>
        <v>1.1355234999999999</v>
      </c>
      <c r="CQ33" s="738">
        <f>'COM ERV'!U35</f>
        <v>3.1329000000000003E-2</v>
      </c>
      <c r="CR33" s="276">
        <f>'COM School PV'!U35</f>
        <v>7.0956000000000005E-2</v>
      </c>
      <c r="CS33" s="276">
        <f>'COM PV'!U35</f>
        <v>0.42825849999999999</v>
      </c>
      <c r="CT33" s="735">
        <f t="shared" ref="CT33:CT40" si="9">SUM(BT33:CS33)-CL33</f>
        <v>351.58532372967744</v>
      </c>
      <c r="CU33" s="741">
        <f>+'COM LM (cyc)'!Z35</f>
        <v>0</v>
      </c>
      <c r="CV33" s="276">
        <f>+'COM LM (ext)'!Z35</f>
        <v>0</v>
      </c>
      <c r="CW33" s="276">
        <f>+'COM SB Gen'!Z35</f>
        <v>5.2721586512180636</v>
      </c>
      <c r="CX33" s="276">
        <f>+'COM DMD Response'!U35</f>
        <v>3.6224216249999999</v>
      </c>
      <c r="CY33" s="277">
        <f t="shared" si="2"/>
        <v>8.894580276218063</v>
      </c>
      <c r="CZ33" s="744">
        <f t="shared" si="3"/>
        <v>360.47990400589549</v>
      </c>
      <c r="DA33" s="162"/>
    </row>
    <row r="34" spans="1:105" x14ac:dyDescent="0.2">
      <c r="A34" s="269">
        <v>2023</v>
      </c>
      <c r="B34" s="1081">
        <f>+'C-I FREE'!M36</f>
        <v>13.723332732696898</v>
      </c>
      <c r="C34" s="1082">
        <f>+'C-I Paid'!M36</f>
        <v>0.39515000000000006</v>
      </c>
      <c r="D34" s="981">
        <f>+'C-I Mail-In'!M36</f>
        <v>7.9649999999999999E-2</v>
      </c>
      <c r="E34" s="979">
        <f>+'COM Cooling'!M36</f>
        <v>3.7005176259648977</v>
      </c>
      <c r="F34" s="979">
        <f>+'COM Duct'!M36</f>
        <v>5.9178560116731518</v>
      </c>
      <c r="G34" s="981">
        <f>+'COM Bldg Envel'!M36</f>
        <v>1.5417364801488831</v>
      </c>
      <c r="H34" s="979">
        <f>'COM CI'!M36</f>
        <v>0.28450999999999999</v>
      </c>
      <c r="I34" s="979">
        <f>'COM WI'!M36</f>
        <v>6.5000000000000006E-3</v>
      </c>
      <c r="J34" s="981">
        <f>+'COM EEMotors'!M36</f>
        <v>5.9989999999999995E-2</v>
      </c>
      <c r="K34" s="979">
        <f>+'COM Chillers'!M36</f>
        <v>2.3205099999999996</v>
      </c>
      <c r="L34" s="979">
        <f>+'COM Occ. Sens.'!M36</f>
        <v>6.326810700000002</v>
      </c>
      <c r="M34" s="979">
        <f>+'COM Ref'!M36</f>
        <v>1.5238000000000002E-2</v>
      </c>
      <c r="N34" s="979">
        <f>+'COM WH'!M36</f>
        <v>4.101500000000001E-3</v>
      </c>
      <c r="O34" s="981">
        <f>+'COM Lighting'!M36</f>
        <v>42.797152579639551</v>
      </c>
      <c r="P34" s="979">
        <f>'COM Cond. Light'!M36</f>
        <v>6.917955000000001</v>
      </c>
      <c r="Q34" s="979">
        <f>'COM Non Cond. Light'!M36</f>
        <v>1.3832899999999997</v>
      </c>
      <c r="R34" s="979">
        <f>+'COM CV'!M36</f>
        <v>10.843700833333338</v>
      </c>
      <c r="S34" s="979">
        <f>'COM TES'!M36</f>
        <v>5.6467700000000001</v>
      </c>
      <c r="T34" s="981">
        <f>+'Street Light Conv'!M36</f>
        <v>0</v>
      </c>
      <c r="U34" s="979">
        <f>'COM ECM'!M36</f>
        <v>5.3699999999999991E-2</v>
      </c>
      <c r="V34" s="981">
        <f>'COM ECM HVAC'!M36</f>
        <v>0</v>
      </c>
      <c r="W34" s="979">
        <f>'COM Cool Roof'!M36</f>
        <v>3.8667444444444454</v>
      </c>
      <c r="X34" s="981">
        <f>'COM HVAC ReCommissioning'!M36</f>
        <v>0.48852000000000001</v>
      </c>
      <c r="Y34" s="981">
        <f>'COM ERV'!M36</f>
        <v>2.0009999999999997E-2</v>
      </c>
      <c r="Z34" s="981">
        <f>'COM School PV'!M36</f>
        <v>2.52E-2</v>
      </c>
      <c r="AA34" s="981">
        <f>'COM PV'!M36</f>
        <v>0.17368999999999998</v>
      </c>
      <c r="AB34" s="277">
        <f t="shared" si="4"/>
        <v>101.96477146345673</v>
      </c>
      <c r="AC34" s="276">
        <f>+'COM LM (cyc)'!N36</f>
        <v>0.27573333333333339</v>
      </c>
      <c r="AD34" s="276">
        <f>+'COM LM (ext)'!N36</f>
        <v>0.59799999999999998</v>
      </c>
      <c r="AE34" s="276">
        <f>+'COM SB Gen'!N36</f>
        <v>54.135663458110521</v>
      </c>
      <c r="AF34" s="276">
        <f>+'COM DMD Response'!M36</f>
        <v>40</v>
      </c>
      <c r="AG34" s="277">
        <f t="shared" si="5"/>
        <v>95.009396791443862</v>
      </c>
      <c r="AH34" s="718">
        <f t="shared" si="0"/>
        <v>196.97416825490058</v>
      </c>
      <c r="AJ34" s="748">
        <v>2023</v>
      </c>
      <c r="AK34" s="1088">
        <f>+'C-I FREE'!Q36</f>
        <v>32.695633102625322</v>
      </c>
      <c r="AL34" s="1088">
        <f>+'C-I Paid'!Q36</f>
        <v>0.91469</v>
      </c>
      <c r="AM34" s="738">
        <f>+'C-I Mail-In'!Q36</f>
        <v>6.0399999999999995E-2</v>
      </c>
      <c r="AN34" s="276">
        <f>+'COM Cooling'!Q36</f>
        <v>3.2532051282051278E-3</v>
      </c>
      <c r="AO34" s="276">
        <f>+'COM Duct'!Q36</f>
        <v>0.76612000000000002</v>
      </c>
      <c r="AP34" s="738">
        <f>+'COM Bldg Envel'!Q36</f>
        <v>2.2436590570719603E-2</v>
      </c>
      <c r="AQ34" s="276">
        <f>'COM CI'!Q36</f>
        <v>7.1000000000000004E-3</v>
      </c>
      <c r="AR34" s="276">
        <f>'COM WI'!Q36</f>
        <v>4.6800000000000001E-3</v>
      </c>
      <c r="AS34" s="738">
        <f>+'COM EEMotors'!Q36</f>
        <v>4.9059999999999999E-2</v>
      </c>
      <c r="AT34" s="276">
        <f>+'COM Chillers'!Q36</f>
        <v>1.4047194117647057</v>
      </c>
      <c r="AU34" s="276">
        <f>+'COM Occ. Sens.'!Q36</f>
        <v>5.0539533999999993</v>
      </c>
      <c r="AV34" s="276">
        <f>+'COM Ref'!Q36</f>
        <v>2.2372000000000003E-2</v>
      </c>
      <c r="AW34" s="276">
        <f>+'COM WH'!Q36</f>
        <v>1.9740000000000001E-3</v>
      </c>
      <c r="AX34" s="738">
        <f>+'COM Lighting'!Q36</f>
        <v>19.317446815739537</v>
      </c>
      <c r="AY34" s="276">
        <f>'COM Cond. Light'!Q36</f>
        <v>5.2780000000000005</v>
      </c>
      <c r="AZ34" s="276">
        <f>'COM Non Cond. Light'!Q36</f>
        <v>1.3249499999999999</v>
      </c>
      <c r="BA34" s="276">
        <f>+'COM CV'!Q36</f>
        <v>3.2838099999999995</v>
      </c>
      <c r="BB34" s="276">
        <f>'COM TES'!Q36</f>
        <v>0</v>
      </c>
      <c r="BC34" s="738">
        <f>+'Street Light Conv'!Q36</f>
        <v>0</v>
      </c>
      <c r="BD34" s="276">
        <f>'COM ECM'!Q36</f>
        <v>0</v>
      </c>
      <c r="BE34" s="738">
        <f>'COM HVAC ReCommissioning'!Q36</f>
        <v>0</v>
      </c>
      <c r="BF34" s="276">
        <f>'COM Cool Roof'!Q36</f>
        <v>0</v>
      </c>
      <c r="BG34" s="738">
        <f>'COM HVAC ReCommissioning'!Q36</f>
        <v>0</v>
      </c>
      <c r="BH34" s="738">
        <f>'COM ERV'!Q36</f>
        <v>2.1419999999999998E-2</v>
      </c>
      <c r="BI34" s="738">
        <f>'COM School PV'!Q36</f>
        <v>0</v>
      </c>
      <c r="BJ34" s="276">
        <f>'COM PV'!Q36</f>
        <v>0</v>
      </c>
      <c r="BK34" s="277">
        <f t="shared" si="6"/>
        <v>70.232018525828494</v>
      </c>
      <c r="BL34" s="276">
        <f>+'COM LM (cyc)'!T36</f>
        <v>0</v>
      </c>
      <c r="BM34" s="276">
        <f>+'COM LM (ext)'!T36</f>
        <v>0.36</v>
      </c>
      <c r="BN34" s="276">
        <f>+'COM SB Gen'!T36</f>
        <v>51.691985858585866</v>
      </c>
      <c r="BO34" s="276">
        <f>+'COM DMD Response'!Q36</f>
        <v>40</v>
      </c>
      <c r="BP34" s="1106">
        <f t="shared" si="7"/>
        <v>92.051985858585866</v>
      </c>
      <c r="BQ34" s="718">
        <f t="shared" si="1"/>
        <v>162.28400438441435</v>
      </c>
      <c r="BS34" s="269">
        <v>2023</v>
      </c>
      <c r="BT34" s="1087">
        <f>+'C-I FREE'!U36</f>
        <v>23.140433204057274</v>
      </c>
      <c r="BU34" s="1088">
        <f>+'C-I Paid'!U36</f>
        <v>0.22405050000000001</v>
      </c>
      <c r="BV34" s="738">
        <f>+'C-I Mail-In'!U36</f>
        <v>0.33984000000000003</v>
      </c>
      <c r="BW34" s="276">
        <f>+'COM Cooling'!U36</f>
        <v>12.311052814404691</v>
      </c>
      <c r="BX34" s="276">
        <f>+'COM Duct'!U36</f>
        <v>18.982674130447471</v>
      </c>
      <c r="BY34" s="738">
        <f>+'COM Bldg Envel'!U36</f>
        <v>2.0868557382133996</v>
      </c>
      <c r="BZ34" s="276">
        <f>'COM CI'!U36</f>
        <v>3.61168472</v>
      </c>
      <c r="CA34" s="276">
        <f>'COM WI'!U36</f>
        <v>8.8659999999999989E-3</v>
      </c>
      <c r="CB34" s="738">
        <f>+'COM EEMotors'!U36</f>
        <v>0.31173319999999993</v>
      </c>
      <c r="CC34" s="276">
        <f>+'COM Chillers'!U36</f>
        <v>6.1692944117647075</v>
      </c>
      <c r="CD34" s="276">
        <f>+'COM Occ. Sens.'!U36</f>
        <v>7.0172802799999978</v>
      </c>
      <c r="CE34" s="276">
        <f>+'COM Ref'!U36</f>
        <v>0.24572700000000003</v>
      </c>
      <c r="CF34" s="276">
        <f>+'COM WH'!U36</f>
        <v>3.0777499999999996E-2</v>
      </c>
      <c r="CG34" s="738">
        <f>+'COM Lighting'!U36</f>
        <v>205.6838343902898</v>
      </c>
      <c r="CH34" s="276">
        <f>'COM Cond. Light'!U36</f>
        <v>31.942472659999993</v>
      </c>
      <c r="CI34" s="276">
        <f>'COM Non Cond. Light'!U36</f>
        <v>6.8080424300000013</v>
      </c>
      <c r="CJ34" s="276">
        <f>+'COM CV'!U36</f>
        <v>21.741420090833337</v>
      </c>
      <c r="CK34" s="276">
        <f>'COM TES'!U36</f>
        <v>0.58694199999999996</v>
      </c>
      <c r="CL34" s="738">
        <f>+'Street Light Conv'!U36</f>
        <v>16</v>
      </c>
      <c r="CM34" s="276">
        <f>'COM ECM'!U36</f>
        <v>2.826385000000001E-2</v>
      </c>
      <c r="CN34" s="738">
        <f>'COM HVAC ReCommissioning'!U36</f>
        <v>1.1355234999999999</v>
      </c>
      <c r="CO34" s="276">
        <f>'COM Cool Roof'!U36</f>
        <v>13.310238309666664</v>
      </c>
      <c r="CP34" s="738">
        <f>'COM HVAC ReCommissioning'!U36</f>
        <v>1.1355234999999999</v>
      </c>
      <c r="CQ34" s="738">
        <f>'COM ERV'!U36</f>
        <v>3.1329000000000003E-2</v>
      </c>
      <c r="CR34" s="276">
        <f>'COM School PV'!U36</f>
        <v>7.0956000000000005E-2</v>
      </c>
      <c r="CS34" s="276">
        <f>'COM PV'!U36</f>
        <v>0.42825849999999999</v>
      </c>
      <c r="CT34" s="735">
        <f t="shared" si="9"/>
        <v>357.38307372967739</v>
      </c>
      <c r="CU34" s="741">
        <f>+'COM LM (cyc)'!Z36</f>
        <v>0</v>
      </c>
      <c r="CV34" s="276">
        <f>+'COM LM (ext)'!Z36</f>
        <v>0</v>
      </c>
      <c r="CW34" s="276">
        <f>+'COM SB Gen'!Z36</f>
        <v>5.3117464458308588</v>
      </c>
      <c r="CX34" s="276">
        <f>+'COM DMD Response'!U36</f>
        <v>3.6577156249999998</v>
      </c>
      <c r="CY34" s="277">
        <f t="shared" si="2"/>
        <v>8.9694620708308577</v>
      </c>
      <c r="CZ34" s="744">
        <f t="shared" si="3"/>
        <v>366.35253580050824</v>
      </c>
      <c r="DA34" s="162"/>
    </row>
    <row r="35" spans="1:105" x14ac:dyDescent="0.2">
      <c r="A35" s="269">
        <v>2024</v>
      </c>
      <c r="B35" s="1081">
        <f>+'C-I FREE'!M37</f>
        <v>13.723332732696898</v>
      </c>
      <c r="C35" s="1082">
        <f>+'C-I Paid'!M37</f>
        <v>0.39515000000000006</v>
      </c>
      <c r="D35" s="981">
        <f>+'C-I Mail-In'!M37</f>
        <v>7.9649999999999999E-2</v>
      </c>
      <c r="E35" s="979">
        <f>+'COM Cooling'!M37</f>
        <v>3.8405176259648979</v>
      </c>
      <c r="F35" s="979">
        <f>+'COM Duct'!M37</f>
        <v>5.955856011673152</v>
      </c>
      <c r="G35" s="981">
        <f>+'COM Bldg Envel'!M37</f>
        <v>1.5417364801488831</v>
      </c>
      <c r="H35" s="979">
        <f>'COM CI'!M37</f>
        <v>0.32200999999999996</v>
      </c>
      <c r="I35" s="979">
        <f>'COM WI'!M37</f>
        <v>7.5000000000000006E-3</v>
      </c>
      <c r="J35" s="981">
        <f>+'COM EEMotors'!M37</f>
        <v>5.9989999999999995E-2</v>
      </c>
      <c r="K35" s="979">
        <f>+'COM Chillers'!M37</f>
        <v>2.4057599999999995</v>
      </c>
      <c r="L35" s="979">
        <f>+'COM Occ. Sens.'!M37</f>
        <v>6.6994107000000023</v>
      </c>
      <c r="M35" s="979">
        <f>+'COM Ref'!M37</f>
        <v>1.8446000000000001E-2</v>
      </c>
      <c r="N35" s="979">
        <f>+'COM WH'!M37</f>
        <v>4.7325000000000006E-3</v>
      </c>
      <c r="O35" s="981">
        <f>+'COM Lighting'!M37</f>
        <v>42.797152579639551</v>
      </c>
      <c r="P35" s="979">
        <f>'COM Cond. Light'!M37</f>
        <v>7.5135550000000011</v>
      </c>
      <c r="Q35" s="979">
        <f>'COM Non Cond. Light'!M37</f>
        <v>1.4927899999999996</v>
      </c>
      <c r="R35" s="979">
        <f>+'COM CV'!M37</f>
        <v>11.201700833333339</v>
      </c>
      <c r="S35" s="979">
        <f>'COM TES'!M37</f>
        <v>6.57247</v>
      </c>
      <c r="T35" s="981">
        <f>+'Street Light Conv'!M37</f>
        <v>0</v>
      </c>
      <c r="U35" s="979">
        <f>'COM ECM'!M37</f>
        <v>5.389999999999999E-2</v>
      </c>
      <c r="V35" s="981">
        <f>'COM ECM HVAC'!M37</f>
        <v>0</v>
      </c>
      <c r="W35" s="979">
        <f>'COM Cool Roof'!M37</f>
        <v>4.1595444444444452</v>
      </c>
      <c r="X35" s="981">
        <f>'COM HVAC ReCommissioning'!M37</f>
        <v>0.48852000000000001</v>
      </c>
      <c r="Y35" s="981">
        <f>'COM ERV'!M37</f>
        <v>2.0009999999999997E-2</v>
      </c>
      <c r="Z35" s="981">
        <f>'COM School PV'!M37</f>
        <v>2.52E-2</v>
      </c>
      <c r="AA35" s="981">
        <f>'COM PV'!M37</f>
        <v>0.17368999999999998</v>
      </c>
      <c r="AB35" s="277">
        <f t="shared" si="4"/>
        <v>104.63176046345671</v>
      </c>
      <c r="AC35" s="276">
        <f>+'COM LM (cyc)'!N37</f>
        <v>0.28893333333333338</v>
      </c>
      <c r="AD35" s="276">
        <f>+'COM LM (ext)'!N37</f>
        <v>0.69</v>
      </c>
      <c r="AE35" s="276">
        <f>+'COM SB Gen'!N37</f>
        <v>54.433663458110523</v>
      </c>
      <c r="AF35" s="276">
        <f>+'COM DMD Response'!M37</f>
        <v>40</v>
      </c>
      <c r="AG35" s="277">
        <f t="shared" si="5"/>
        <v>95.41259679144386</v>
      </c>
      <c r="AH35" s="718">
        <f t="shared" si="0"/>
        <v>200.04435725490058</v>
      </c>
      <c r="AJ35" s="748">
        <v>2024</v>
      </c>
      <c r="AK35" s="1088">
        <f>+'C-I FREE'!Q37</f>
        <v>32.695633102625322</v>
      </c>
      <c r="AL35" s="1088">
        <f>+'C-I Paid'!Q37</f>
        <v>0.91469</v>
      </c>
      <c r="AM35" s="738">
        <f>+'C-I Mail-In'!Q37</f>
        <v>6.0399999999999995E-2</v>
      </c>
      <c r="AN35" s="276">
        <f>+'COM Cooling'!Q37</f>
        <v>3.2532051282051278E-3</v>
      </c>
      <c r="AO35" s="276">
        <f>+'COM Duct'!Q37</f>
        <v>0.76612000000000002</v>
      </c>
      <c r="AP35" s="738">
        <f>+'COM Bldg Envel'!Q37</f>
        <v>2.2436590570719603E-2</v>
      </c>
      <c r="AQ35" s="276">
        <f>'COM CI'!Q37</f>
        <v>8.0999999999999996E-3</v>
      </c>
      <c r="AR35" s="276">
        <f>'COM WI'!Q37</f>
        <v>5.4600000000000004E-3</v>
      </c>
      <c r="AS35" s="738">
        <f>+'COM EEMotors'!Q37</f>
        <v>4.9059999999999999E-2</v>
      </c>
      <c r="AT35" s="276">
        <f>+'COM Chillers'!Q37</f>
        <v>1.4686694117647057</v>
      </c>
      <c r="AU35" s="276">
        <f>+'COM Occ. Sens.'!Q37</f>
        <v>5.3463033999999992</v>
      </c>
      <c r="AV35" s="276">
        <f>+'COM Ref'!Q37</f>
        <v>2.7636000000000004E-2</v>
      </c>
      <c r="AW35" s="276">
        <f>+'COM WH'!Q37</f>
        <v>2.3029999999999999E-3</v>
      </c>
      <c r="AX35" s="738">
        <f>+'COM Lighting'!Q37</f>
        <v>19.317446815739537</v>
      </c>
      <c r="AY35" s="276">
        <f>'COM Cond. Light'!Q37</f>
        <v>5.7420000000000009</v>
      </c>
      <c r="AZ35" s="276">
        <f>'COM Non Cond. Light'!Q37</f>
        <v>1.4344499999999998</v>
      </c>
      <c r="BA35" s="276">
        <f>+'COM CV'!Q37</f>
        <v>3.2838099999999995</v>
      </c>
      <c r="BB35" s="276">
        <f>'COM TES'!Q37</f>
        <v>0</v>
      </c>
      <c r="BC35" s="738">
        <f>+'Street Light Conv'!Q37</f>
        <v>0</v>
      </c>
      <c r="BD35" s="276">
        <f>'COM ECM'!Q37</f>
        <v>0</v>
      </c>
      <c r="BE35" s="738">
        <f>'COM HVAC ReCommissioning'!Q37</f>
        <v>0</v>
      </c>
      <c r="BF35" s="276">
        <f>'COM Cool Roof'!Q37</f>
        <v>0</v>
      </c>
      <c r="BG35" s="738">
        <f>'COM HVAC ReCommissioning'!Q37</f>
        <v>0</v>
      </c>
      <c r="BH35" s="738">
        <f>'COM ERV'!Q37</f>
        <v>2.1419999999999998E-2</v>
      </c>
      <c r="BI35" s="738">
        <f>'COM School PV'!Q37</f>
        <v>0</v>
      </c>
      <c r="BJ35" s="276">
        <f>'COM PV'!Q37</f>
        <v>0</v>
      </c>
      <c r="BK35" s="277">
        <f t="shared" si="6"/>
        <v>71.169191525828495</v>
      </c>
      <c r="BL35" s="276">
        <f>+'COM LM (cyc)'!T37</f>
        <v>0</v>
      </c>
      <c r="BM35" s="276">
        <f>+'COM LM (ext)'!T37</f>
        <v>0.42</v>
      </c>
      <c r="BN35" s="276">
        <f>+'COM SB Gen'!T37</f>
        <v>52.224892929292942</v>
      </c>
      <c r="BO35" s="276">
        <f>+'COM DMD Response'!Q37</f>
        <v>40</v>
      </c>
      <c r="BP35" s="1106">
        <f t="shared" si="7"/>
        <v>92.644892929292951</v>
      </c>
      <c r="BQ35" s="718">
        <f t="shared" si="1"/>
        <v>163.81408445512145</v>
      </c>
      <c r="BS35" s="269">
        <v>2024</v>
      </c>
      <c r="BT35" s="1087">
        <f>+'C-I FREE'!U37</f>
        <v>23.140433204057274</v>
      </c>
      <c r="BU35" s="1088">
        <f>+'C-I Paid'!U37</f>
        <v>0.22405050000000001</v>
      </c>
      <c r="BV35" s="738">
        <f>+'C-I Mail-In'!U37</f>
        <v>0.33984000000000003</v>
      </c>
      <c r="BW35" s="276">
        <f>+'COM Cooling'!U37</f>
        <v>12.581352814404692</v>
      </c>
      <c r="BX35" s="276">
        <f>+'COM Duct'!U37</f>
        <v>19.156074130447472</v>
      </c>
      <c r="BY35" s="738">
        <f>+'COM Bldg Envel'!U37</f>
        <v>2.0868557382133996</v>
      </c>
      <c r="BZ35" s="276">
        <f>'COM CI'!U37</f>
        <v>4.0869347200000004</v>
      </c>
      <c r="CA35" s="276">
        <f>'COM WI'!U37</f>
        <v>1.023E-2</v>
      </c>
      <c r="CB35" s="738">
        <f>+'COM EEMotors'!U37</f>
        <v>0.31173319999999993</v>
      </c>
      <c r="CC35" s="276">
        <f>+'COM Chillers'!U37</f>
        <v>6.4087294117647078</v>
      </c>
      <c r="CD35" s="276">
        <f>+'COM Occ. Sens.'!U37</f>
        <v>7.4338602799999975</v>
      </c>
      <c r="CE35" s="276">
        <f>+'COM Ref'!U37</f>
        <v>0.29745900000000003</v>
      </c>
      <c r="CF35" s="276">
        <f>+'COM WH'!U37</f>
        <v>3.5512499999999995E-2</v>
      </c>
      <c r="CG35" s="738">
        <f>+'COM Lighting'!U37</f>
        <v>205.6838343902898</v>
      </c>
      <c r="CH35" s="276">
        <f>'COM Cond. Light'!U37</f>
        <v>34.744112659999992</v>
      </c>
      <c r="CI35" s="276">
        <f>'COM Non Cond. Light'!U37</f>
        <v>7.3514824300000017</v>
      </c>
      <c r="CJ35" s="276">
        <f>+'COM CV'!U37</f>
        <v>21.751174090833338</v>
      </c>
      <c r="CK35" s="276">
        <f>'COM TES'!U37</f>
        <v>0.68316199999999994</v>
      </c>
      <c r="CL35" s="738">
        <f>+'Street Light Conv'!U37</f>
        <v>16</v>
      </c>
      <c r="CM35" s="276">
        <f>'COM ECM'!U37</f>
        <v>2.8323850000000012E-2</v>
      </c>
      <c r="CN35" s="738">
        <f>'COM HVAC ReCommissioning'!U37</f>
        <v>1.1355234999999999</v>
      </c>
      <c r="CO35" s="276">
        <f>'COM Cool Roof'!U37</f>
        <v>14.024078309666663</v>
      </c>
      <c r="CP35" s="738">
        <f>'COM HVAC ReCommissioning'!U37</f>
        <v>1.1355234999999999</v>
      </c>
      <c r="CQ35" s="738">
        <f>'COM ERV'!U37</f>
        <v>3.1329000000000003E-2</v>
      </c>
      <c r="CR35" s="276">
        <f>'COM School PV'!U37</f>
        <v>7.0956000000000005E-2</v>
      </c>
      <c r="CS35" s="276">
        <f>'COM PV'!U37</f>
        <v>0.42825849999999999</v>
      </c>
      <c r="CT35" s="735">
        <f t="shared" si="9"/>
        <v>363.18082372967729</v>
      </c>
      <c r="CU35" s="741">
        <f>+'COM LM (cyc)'!Z37</f>
        <v>0</v>
      </c>
      <c r="CV35" s="276">
        <f>+'COM LM (ext)'!Z37</f>
        <v>0</v>
      </c>
      <c r="CW35" s="276">
        <f>+'COM SB Gen'!Z37</f>
        <v>5.3513342404436539</v>
      </c>
      <c r="CX35" s="276">
        <f>+'COM DMD Response'!U37</f>
        <v>3.6930096249999997</v>
      </c>
      <c r="CY35" s="277">
        <f t="shared" si="2"/>
        <v>9.0443438654436541</v>
      </c>
      <c r="CZ35" s="744">
        <f t="shared" si="3"/>
        <v>372.22516759512092</v>
      </c>
      <c r="DA35" s="162"/>
    </row>
    <row r="36" spans="1:105" x14ac:dyDescent="0.2">
      <c r="A36" s="269">
        <v>2025</v>
      </c>
      <c r="B36" s="1081">
        <f>+'C-I FREE'!M38</f>
        <v>13.723332732696898</v>
      </c>
      <c r="C36" s="1082">
        <f>+'C-I Paid'!M38</f>
        <v>0.39515000000000006</v>
      </c>
      <c r="D36" s="981">
        <f>+'C-I Mail-In'!M38</f>
        <v>7.9649999999999999E-2</v>
      </c>
      <c r="E36" s="979">
        <f>+'COM Cooling'!M38</f>
        <v>3.980517625964898</v>
      </c>
      <c r="F36" s="979">
        <f>+'COM Duct'!M38</f>
        <v>5.9938560116731523</v>
      </c>
      <c r="G36" s="981">
        <f>+'COM Bldg Envel'!M38</f>
        <v>1.5417364801488831</v>
      </c>
      <c r="H36" s="979">
        <f>'COM CI'!M38</f>
        <v>0.35950999999999994</v>
      </c>
      <c r="I36" s="979">
        <f>'COM WI'!M38</f>
        <v>8.5000000000000006E-3</v>
      </c>
      <c r="J36" s="981">
        <f>+'COM EEMotors'!M38</f>
        <v>5.9989999999999995E-2</v>
      </c>
      <c r="K36" s="979">
        <f>+'COM Chillers'!M38</f>
        <v>2.4910099999999993</v>
      </c>
      <c r="L36" s="979">
        <f>+'COM Occ. Sens.'!M38</f>
        <v>7.0720107000000025</v>
      </c>
      <c r="M36" s="979">
        <f>+'COM Ref'!M38</f>
        <v>2.1654E-2</v>
      </c>
      <c r="N36" s="979">
        <f>+'COM WH'!M38</f>
        <v>5.3635000000000002E-3</v>
      </c>
      <c r="O36" s="981">
        <f>+'COM Lighting'!M38</f>
        <v>42.797152579639551</v>
      </c>
      <c r="P36" s="979">
        <f>'COM Cond. Light'!M38</f>
        <v>8.1091550000000012</v>
      </c>
      <c r="Q36" s="979">
        <f>'COM Non Cond. Light'!M38</f>
        <v>1.6022899999999995</v>
      </c>
      <c r="R36" s="979">
        <f>+'COM CV'!M38</f>
        <v>11.55970083333334</v>
      </c>
      <c r="S36" s="979">
        <f>'COM TES'!M38</f>
        <v>7.49817</v>
      </c>
      <c r="T36" s="981">
        <f>+'Street Light Conv'!M38</f>
        <v>0</v>
      </c>
      <c r="U36" s="979">
        <f>'COM ECM'!M38</f>
        <v>5.4099999999999988E-2</v>
      </c>
      <c r="V36" s="981">
        <f>'COM ECM HVAC'!M38</f>
        <v>0</v>
      </c>
      <c r="W36" s="979">
        <f>'COM Cool Roof'!M38</f>
        <v>4.4523444444444449</v>
      </c>
      <c r="X36" s="981">
        <f>'COM HVAC ReCommissioning'!M38</f>
        <v>0.48852000000000001</v>
      </c>
      <c r="Y36" s="981">
        <f>'COM ERV'!M38</f>
        <v>2.0009999999999997E-2</v>
      </c>
      <c r="Z36" s="981">
        <f>'COM School PV'!M38</f>
        <v>2.52E-2</v>
      </c>
      <c r="AA36" s="981">
        <f>'COM PV'!M38</f>
        <v>0.17368999999999998</v>
      </c>
      <c r="AB36" s="277">
        <f t="shared" si="4"/>
        <v>107.29874946345672</v>
      </c>
      <c r="AC36" s="276">
        <f>+'COM LM (cyc)'!N38</f>
        <v>0.30213333333333336</v>
      </c>
      <c r="AD36" s="276">
        <f>+'COM LM (ext)'!N38</f>
        <v>0.78200000000000003</v>
      </c>
      <c r="AE36" s="276">
        <f>+'COM SB Gen'!N38</f>
        <v>54.731663458110525</v>
      </c>
      <c r="AF36" s="276">
        <f>+'COM DMD Response'!M38</f>
        <v>40</v>
      </c>
      <c r="AG36" s="277">
        <f t="shared" si="5"/>
        <v>95.815796791443859</v>
      </c>
      <c r="AH36" s="718">
        <f t="shared" ref="AH36:AH52" si="10">+AG36+AB36</f>
        <v>203.11454625490057</v>
      </c>
      <c r="AJ36" s="748">
        <v>2025</v>
      </c>
      <c r="AK36" s="1088">
        <f>+'C-I FREE'!Q38</f>
        <v>32.695633102625322</v>
      </c>
      <c r="AL36" s="1088">
        <f>+'C-I Paid'!Q38</f>
        <v>0.91469</v>
      </c>
      <c r="AM36" s="738">
        <f>+'C-I Mail-In'!Q38</f>
        <v>6.0399999999999995E-2</v>
      </c>
      <c r="AN36" s="276">
        <f>+'COM Cooling'!Q38</f>
        <v>3.2532051282051278E-3</v>
      </c>
      <c r="AO36" s="276">
        <f>+'COM Duct'!Q38</f>
        <v>0.76612000000000002</v>
      </c>
      <c r="AP36" s="738">
        <f>+'COM Bldg Envel'!Q38</f>
        <v>2.2436590570719603E-2</v>
      </c>
      <c r="AQ36" s="276">
        <f>'COM CI'!Q38</f>
        <v>9.1000000000000004E-3</v>
      </c>
      <c r="AR36" s="276">
        <f>'COM WI'!Q38</f>
        <v>6.2400000000000008E-3</v>
      </c>
      <c r="AS36" s="738">
        <f>+'COM EEMotors'!Q38</f>
        <v>4.9059999999999999E-2</v>
      </c>
      <c r="AT36" s="276">
        <f>+'COM Chillers'!Q38</f>
        <v>1.5326194117647056</v>
      </c>
      <c r="AU36" s="276">
        <f>+'COM Occ. Sens.'!Q38</f>
        <v>5.638653399999999</v>
      </c>
      <c r="AV36" s="276">
        <f>+'COM Ref'!Q38</f>
        <v>3.2900000000000006E-2</v>
      </c>
      <c r="AW36" s="276">
        <f>+'COM WH'!Q38</f>
        <v>2.6319999999999998E-3</v>
      </c>
      <c r="AX36" s="738">
        <f>+'COM Lighting'!Q38</f>
        <v>19.317446815739537</v>
      </c>
      <c r="AY36" s="276">
        <f>'COM Cond. Light'!Q38</f>
        <v>6.2060000000000013</v>
      </c>
      <c r="AZ36" s="276">
        <f>'COM Non Cond. Light'!Q38</f>
        <v>1.5439499999999997</v>
      </c>
      <c r="BA36" s="276">
        <f>+'COM CV'!Q38</f>
        <v>3.2838099999999995</v>
      </c>
      <c r="BB36" s="276">
        <f>'COM TES'!Q38</f>
        <v>0</v>
      </c>
      <c r="BC36" s="738">
        <f>+'Street Light Conv'!Q38</f>
        <v>0</v>
      </c>
      <c r="BD36" s="276">
        <f>'COM ECM'!Q38</f>
        <v>0</v>
      </c>
      <c r="BE36" s="738">
        <f>'COM HVAC ReCommissioning'!Q38</f>
        <v>0</v>
      </c>
      <c r="BF36" s="276">
        <f>'COM Cool Roof'!Q38</f>
        <v>0</v>
      </c>
      <c r="BG36" s="738">
        <f>'COM HVAC ReCommissioning'!Q38</f>
        <v>0</v>
      </c>
      <c r="BH36" s="738">
        <f>'COM ERV'!Q38</f>
        <v>2.1419999999999998E-2</v>
      </c>
      <c r="BI36" s="738">
        <f>'COM School PV'!Q38</f>
        <v>0</v>
      </c>
      <c r="BJ36" s="276">
        <f>'COM PV'!Q38</f>
        <v>0</v>
      </c>
      <c r="BK36" s="277">
        <f t="shared" si="6"/>
        <v>72.106364525828482</v>
      </c>
      <c r="BL36" s="276">
        <f>+'COM LM (cyc)'!T38</f>
        <v>0</v>
      </c>
      <c r="BM36" s="276">
        <f>+'COM LM (ext)'!T38</f>
        <v>0.48</v>
      </c>
      <c r="BN36" s="276">
        <f>+'COM SB Gen'!T38</f>
        <v>52.75780000000001</v>
      </c>
      <c r="BO36" s="276">
        <f>+'COM DMD Response'!Q38</f>
        <v>40</v>
      </c>
      <c r="BP36" s="1106">
        <f t="shared" si="7"/>
        <v>93.237800000000007</v>
      </c>
      <c r="BQ36" s="718">
        <f t="shared" ref="BQ36:BQ52" si="11">+BP36+BK36</f>
        <v>165.34416452582849</v>
      </c>
      <c r="BS36" s="269">
        <v>2025</v>
      </c>
      <c r="BT36" s="1087">
        <f>+'C-I FREE'!U38</f>
        <v>23.140433204057274</v>
      </c>
      <c r="BU36" s="1088">
        <f>+'C-I Paid'!U38</f>
        <v>0.22405050000000001</v>
      </c>
      <c r="BV36" s="738">
        <f>+'C-I Mail-In'!U38</f>
        <v>0.33984000000000003</v>
      </c>
      <c r="BW36" s="276">
        <f>+'COM Cooling'!U38</f>
        <v>12.851652814404693</v>
      </c>
      <c r="BX36" s="276">
        <f>+'COM Duct'!U38</f>
        <v>19.329474130447473</v>
      </c>
      <c r="BY36" s="738">
        <f>+'COM Bldg Envel'!U38</f>
        <v>2.0868557382133996</v>
      </c>
      <c r="BZ36" s="276">
        <f>'COM CI'!U38</f>
        <v>4.5621847200000003</v>
      </c>
      <c r="CA36" s="276">
        <f>'COM WI'!U38</f>
        <v>1.1594E-2</v>
      </c>
      <c r="CB36" s="738">
        <f>+'COM EEMotors'!U38</f>
        <v>0.31173319999999993</v>
      </c>
      <c r="CC36" s="276">
        <f>+'COM Chillers'!U38</f>
        <v>6.6481644117647081</v>
      </c>
      <c r="CD36" s="276">
        <f>+'COM Occ. Sens.'!U38</f>
        <v>7.8504402799999973</v>
      </c>
      <c r="CE36" s="276">
        <f>+'COM Ref'!U38</f>
        <v>0.34919100000000003</v>
      </c>
      <c r="CF36" s="276">
        <f>+'COM WH'!U38</f>
        <v>4.0247499999999992E-2</v>
      </c>
      <c r="CG36" s="738">
        <f>+'COM Lighting'!U38</f>
        <v>205.6838343902898</v>
      </c>
      <c r="CH36" s="276">
        <f>'COM Cond. Light'!U38</f>
        <v>37.545752659999991</v>
      </c>
      <c r="CI36" s="276">
        <f>'COM Non Cond. Light'!U38</f>
        <v>7.894922430000002</v>
      </c>
      <c r="CJ36" s="276">
        <f>+'COM CV'!U38</f>
        <v>21.760928090833339</v>
      </c>
      <c r="CK36" s="276">
        <f>'COM TES'!U38</f>
        <v>0.77938199999999991</v>
      </c>
      <c r="CL36" s="738">
        <f>+'Street Light Conv'!U38</f>
        <v>16</v>
      </c>
      <c r="CM36" s="276">
        <f>'COM ECM'!U38</f>
        <v>2.8383850000000013E-2</v>
      </c>
      <c r="CN36" s="738">
        <f>'COM HVAC ReCommissioning'!U38</f>
        <v>1.1355234999999999</v>
      </c>
      <c r="CO36" s="276">
        <f>'COM Cool Roof'!U38</f>
        <v>14.737918309666663</v>
      </c>
      <c r="CP36" s="738">
        <f>'COM HVAC ReCommissioning'!U38</f>
        <v>1.1355234999999999</v>
      </c>
      <c r="CQ36" s="738">
        <f>'COM ERV'!U38</f>
        <v>3.1329000000000003E-2</v>
      </c>
      <c r="CR36" s="276">
        <f>'COM School PV'!U38</f>
        <v>7.0956000000000005E-2</v>
      </c>
      <c r="CS36" s="276">
        <f>'COM PV'!U38</f>
        <v>0.42825849999999999</v>
      </c>
      <c r="CT36" s="735">
        <f t="shared" si="9"/>
        <v>368.97857372967741</v>
      </c>
      <c r="CU36" s="741">
        <f>+'COM LM (cyc)'!Z38</f>
        <v>0</v>
      </c>
      <c r="CV36" s="276">
        <f>+'COM LM (ext)'!Z38</f>
        <v>0</v>
      </c>
      <c r="CW36" s="276">
        <f>+'COM SB Gen'!Z38</f>
        <v>5.3909220350564473</v>
      </c>
      <c r="CX36" s="276">
        <f>+'COM DMD Response'!U38</f>
        <v>3.7283036249999997</v>
      </c>
      <c r="CY36" s="277">
        <f t="shared" ref="CY36:CY52" si="12">+CU36+CV36+CX36+CW36</f>
        <v>9.119225660056447</v>
      </c>
      <c r="CZ36" s="744">
        <f t="shared" ref="CZ36:CZ52" si="13">+CY36+CT36</f>
        <v>378.09779938973384</v>
      </c>
      <c r="DA36" s="162"/>
    </row>
    <row r="37" spans="1:105" x14ac:dyDescent="0.2">
      <c r="A37" s="269">
        <v>2026</v>
      </c>
      <c r="B37" s="1081">
        <f>+'C-I FREE'!M39</f>
        <v>13.723332732696898</v>
      </c>
      <c r="C37" s="1082">
        <f>+'C-I Paid'!M39</f>
        <v>0.39515000000000006</v>
      </c>
      <c r="D37" s="981">
        <f>+'C-I Mail-In'!M39</f>
        <v>7.9649999999999999E-2</v>
      </c>
      <c r="E37" s="979">
        <f>+'COM Cooling'!M39</f>
        <v>4.1205176259648981</v>
      </c>
      <c r="F37" s="979">
        <f>+'COM Duct'!M39</f>
        <v>6.0318560116731526</v>
      </c>
      <c r="G37" s="981">
        <f>+'COM Bldg Envel'!M39</f>
        <v>1.5417364801488831</v>
      </c>
      <c r="H37" s="979">
        <f>'COM CI'!M39</f>
        <v>0.39700999999999992</v>
      </c>
      <c r="I37" s="979">
        <f>'COM WI'!M39</f>
        <v>9.5000000000000015E-3</v>
      </c>
      <c r="J37" s="981">
        <f>+'COM EEMotors'!M39</f>
        <v>5.9989999999999995E-2</v>
      </c>
      <c r="K37" s="979">
        <f>+'COM Chillers'!M39</f>
        <v>2.5762599999999991</v>
      </c>
      <c r="L37" s="979">
        <f>+'COM Occ. Sens.'!M39</f>
        <v>7.4446107000000028</v>
      </c>
      <c r="M37" s="979">
        <f>+'COM Ref'!M39</f>
        <v>2.4861999999999999E-2</v>
      </c>
      <c r="N37" s="979">
        <f>+'COM WH'!M39</f>
        <v>5.9944999999999998E-3</v>
      </c>
      <c r="O37" s="981">
        <f>+'COM Lighting'!M39</f>
        <v>42.797152579639551</v>
      </c>
      <c r="P37" s="979">
        <f>'COM Cond. Light'!M39</f>
        <v>8.7047550000000005</v>
      </c>
      <c r="Q37" s="979">
        <f>'COM Non Cond. Light'!M39</f>
        <v>1.7117899999999995</v>
      </c>
      <c r="R37" s="979">
        <f>+'COM CV'!M39</f>
        <v>11.91770083333334</v>
      </c>
      <c r="S37" s="979">
        <f>'COM TES'!M39</f>
        <v>8.4238700000000009</v>
      </c>
      <c r="T37" s="981">
        <f>+'Street Light Conv'!M39</f>
        <v>0</v>
      </c>
      <c r="U37" s="979">
        <f>'COM ECM'!M39</f>
        <v>5.4299999999999987E-2</v>
      </c>
      <c r="V37" s="981">
        <f>'COM ECM HVAC'!M39</f>
        <v>0</v>
      </c>
      <c r="W37" s="979">
        <f>'COM Cool Roof'!M39</f>
        <v>4.7451444444444446</v>
      </c>
      <c r="X37" s="981">
        <f>'COM HVAC ReCommissioning'!M39</f>
        <v>0.48852000000000001</v>
      </c>
      <c r="Y37" s="981">
        <f>'COM ERV'!M39</f>
        <v>2.0009999999999997E-2</v>
      </c>
      <c r="Z37" s="981">
        <f>'COM School PV'!M39</f>
        <v>2.52E-2</v>
      </c>
      <c r="AA37" s="981">
        <f>'COM PV'!M39</f>
        <v>0.17368999999999998</v>
      </c>
      <c r="AB37" s="277">
        <f t="shared" si="4"/>
        <v>109.96573846345672</v>
      </c>
      <c r="AC37" s="276">
        <f>+'COM LM (cyc)'!N39</f>
        <v>0.31533333333333335</v>
      </c>
      <c r="AD37" s="276">
        <f>+'COM LM (ext)'!N39</f>
        <v>0.874</v>
      </c>
      <c r="AE37" s="276">
        <f>+'COM SB Gen'!N39</f>
        <v>55.029663458110527</v>
      </c>
      <c r="AF37" s="276">
        <f>+'COM DMD Response'!M39</f>
        <v>40</v>
      </c>
      <c r="AG37" s="277">
        <f t="shared" si="5"/>
        <v>96.218996791443857</v>
      </c>
      <c r="AH37" s="718">
        <f t="shared" si="10"/>
        <v>206.18473525490057</v>
      </c>
      <c r="AJ37" s="748">
        <v>2026</v>
      </c>
      <c r="AK37" s="1088">
        <f>+'C-I FREE'!Q39</f>
        <v>32.695633102625322</v>
      </c>
      <c r="AL37" s="1088">
        <f>+'C-I Paid'!Q39</f>
        <v>0.91469</v>
      </c>
      <c r="AM37" s="738">
        <f>+'C-I Mail-In'!Q39</f>
        <v>6.0399999999999995E-2</v>
      </c>
      <c r="AN37" s="276">
        <f>+'COM Cooling'!Q39</f>
        <v>3.2532051282051278E-3</v>
      </c>
      <c r="AO37" s="276">
        <f>+'COM Duct'!Q39</f>
        <v>0.76612000000000002</v>
      </c>
      <c r="AP37" s="738">
        <f>+'COM Bldg Envel'!Q39</f>
        <v>2.2436590570719603E-2</v>
      </c>
      <c r="AQ37" s="276">
        <f>'COM CI'!Q39</f>
        <v>1.0100000000000001E-2</v>
      </c>
      <c r="AR37" s="276">
        <f>'COM WI'!Q39</f>
        <v>7.0200000000000011E-3</v>
      </c>
      <c r="AS37" s="738">
        <f>+'COM EEMotors'!Q39</f>
        <v>4.9059999999999999E-2</v>
      </c>
      <c r="AT37" s="276">
        <f>+'COM Chillers'!Q39</f>
        <v>1.5965694117647056</v>
      </c>
      <c r="AU37" s="276">
        <f>+'COM Occ. Sens.'!Q39</f>
        <v>5.9310033999999989</v>
      </c>
      <c r="AV37" s="276">
        <f>+'COM Ref'!Q39</f>
        <v>3.8164000000000003E-2</v>
      </c>
      <c r="AW37" s="276">
        <f>+'COM WH'!Q39</f>
        <v>2.9609999999999997E-3</v>
      </c>
      <c r="AX37" s="738">
        <f>+'COM Lighting'!Q39</f>
        <v>19.317446815739537</v>
      </c>
      <c r="AY37" s="276">
        <f>'COM Cond. Light'!Q39</f>
        <v>6.6700000000000017</v>
      </c>
      <c r="AZ37" s="276">
        <f>'COM Non Cond. Light'!Q39</f>
        <v>1.6534499999999996</v>
      </c>
      <c r="BA37" s="276">
        <f>+'COM CV'!Q39</f>
        <v>3.2838099999999995</v>
      </c>
      <c r="BB37" s="276">
        <f>'COM TES'!Q39</f>
        <v>0</v>
      </c>
      <c r="BC37" s="738">
        <f>+'Street Light Conv'!Q39</f>
        <v>0</v>
      </c>
      <c r="BD37" s="276">
        <f>'COM ECM'!Q39</f>
        <v>0</v>
      </c>
      <c r="BE37" s="738">
        <f>'COM HVAC ReCommissioning'!Q39</f>
        <v>0</v>
      </c>
      <c r="BF37" s="276">
        <f>'COM Cool Roof'!Q39</f>
        <v>0</v>
      </c>
      <c r="BG37" s="738">
        <f>'COM HVAC ReCommissioning'!Q39</f>
        <v>0</v>
      </c>
      <c r="BH37" s="738">
        <f>'COM ERV'!Q39</f>
        <v>2.1419999999999998E-2</v>
      </c>
      <c r="BI37" s="738">
        <f>'COM School PV'!Q39</f>
        <v>0</v>
      </c>
      <c r="BJ37" s="276">
        <f>'COM PV'!Q39</f>
        <v>0</v>
      </c>
      <c r="BK37" s="277">
        <f>SUM(AK37:BJ37)</f>
        <v>73.043537525828498</v>
      </c>
      <c r="BL37" s="276">
        <f>+'COM LM (cyc)'!T39</f>
        <v>0</v>
      </c>
      <c r="BM37" s="276">
        <f>+'COM LM (ext)'!T39</f>
        <v>0.54</v>
      </c>
      <c r="BN37" s="276">
        <f>+'COM SB Gen'!T39</f>
        <v>53.290707070707079</v>
      </c>
      <c r="BO37" s="276">
        <f>+'COM DMD Response'!Q39</f>
        <v>40</v>
      </c>
      <c r="BP37" s="1106">
        <f t="shared" si="7"/>
        <v>93.830707070707078</v>
      </c>
      <c r="BQ37" s="718">
        <f t="shared" si="11"/>
        <v>166.87424459653556</v>
      </c>
      <c r="BS37" s="269">
        <v>2026</v>
      </c>
      <c r="BT37" s="1087">
        <f>+'C-I FREE'!U39</f>
        <v>23.140433204057274</v>
      </c>
      <c r="BU37" s="1088">
        <f>+'C-I Paid'!U39</f>
        <v>0.22405050000000001</v>
      </c>
      <c r="BV37" s="738">
        <f>+'C-I Mail-In'!U39</f>
        <v>0.33984000000000003</v>
      </c>
      <c r="BW37" s="276">
        <f>+'COM Cooling'!U39</f>
        <v>13.121952814404693</v>
      </c>
      <c r="BX37" s="276">
        <f>+'COM Duct'!U39</f>
        <v>19.502874130447474</v>
      </c>
      <c r="BY37" s="738">
        <f>+'COM Bldg Envel'!U39</f>
        <v>2.0868557382133996</v>
      </c>
      <c r="BZ37" s="276">
        <f>'COM CI'!U39</f>
        <v>5.0374347200000003</v>
      </c>
      <c r="CA37" s="276">
        <f>'COM WI'!U39</f>
        <v>1.2958000000000001E-2</v>
      </c>
      <c r="CB37" s="738">
        <f>+'COM EEMotors'!U39</f>
        <v>0.31173319999999993</v>
      </c>
      <c r="CC37" s="276">
        <f>+'COM Chillers'!U39</f>
        <v>6.8875994117647084</v>
      </c>
      <c r="CD37" s="276">
        <f>+'COM Occ. Sens.'!U39</f>
        <v>8.267020279999997</v>
      </c>
      <c r="CE37" s="276">
        <f>+'COM Ref'!U39</f>
        <v>0.40092300000000003</v>
      </c>
      <c r="CF37" s="276">
        <f>+'COM WH'!U39</f>
        <v>4.4982499999999995E-2</v>
      </c>
      <c r="CG37" s="738">
        <f>+'COM Lighting'!U39</f>
        <v>205.6838343902898</v>
      </c>
      <c r="CH37" s="276">
        <f>'COM Cond. Light'!U39</f>
        <v>40.34739265999999</v>
      </c>
      <c r="CI37" s="276">
        <f>'COM Non Cond. Light'!U39</f>
        <v>8.4383624300000015</v>
      </c>
      <c r="CJ37" s="276">
        <f>+'COM CV'!U39</f>
        <v>21.765805090833339</v>
      </c>
      <c r="CK37" s="276">
        <f>'COM TES'!U39</f>
        <v>0.87560199999999988</v>
      </c>
      <c r="CL37" s="738">
        <f>+'Street Light Conv'!U39</f>
        <v>16</v>
      </c>
      <c r="CM37" s="276">
        <f>'COM ECM'!U39</f>
        <v>2.8443850000000014E-2</v>
      </c>
      <c r="CN37" s="738">
        <f>'COM HVAC ReCommissioning'!U39</f>
        <v>1.1355234999999999</v>
      </c>
      <c r="CO37" s="276">
        <f>'COM Cool Roof'!U39</f>
        <v>15.451758309666662</v>
      </c>
      <c r="CP37" s="738">
        <f>'COM HVAC ReCommissioning'!U39</f>
        <v>1.1355234999999999</v>
      </c>
      <c r="CQ37" s="738">
        <f>'COM ERV'!U39</f>
        <v>3.1329000000000003E-2</v>
      </c>
      <c r="CR37" s="276">
        <f>'COM School PV'!U39</f>
        <v>7.0956000000000005E-2</v>
      </c>
      <c r="CS37" s="276">
        <f>'COM PV'!U39</f>
        <v>0.42825849999999999</v>
      </c>
      <c r="CT37" s="735">
        <f t="shared" si="9"/>
        <v>374.77144672967734</v>
      </c>
      <c r="CU37" s="741">
        <f>+'COM LM (cyc)'!Z39</f>
        <v>0</v>
      </c>
      <c r="CV37" s="276">
        <f>+'COM LM (ext)'!Z39</f>
        <v>0</v>
      </c>
      <c r="CW37" s="276">
        <f>+'COM SB Gen'!Z39</f>
        <v>5.4305098296692433</v>
      </c>
      <c r="CX37" s="276">
        <f>+'COM DMD Response'!U39</f>
        <v>3.7283036249999997</v>
      </c>
      <c r="CY37" s="277">
        <f t="shared" si="12"/>
        <v>9.158813454669243</v>
      </c>
      <c r="CZ37" s="744">
        <f t="shared" si="13"/>
        <v>383.93026018434659</v>
      </c>
      <c r="DA37" s="162"/>
    </row>
    <row r="38" spans="1:105" x14ac:dyDescent="0.2">
      <c r="A38" s="269">
        <v>2027</v>
      </c>
      <c r="B38" s="1081">
        <f>+'C-I FREE'!M40</f>
        <v>13.723332732696898</v>
      </c>
      <c r="C38" s="1082">
        <f>+'C-I Paid'!M40</f>
        <v>0.39515000000000006</v>
      </c>
      <c r="D38" s="981">
        <f>+'C-I Mail-In'!M40</f>
        <v>7.9649999999999999E-2</v>
      </c>
      <c r="E38" s="979">
        <f>+'COM Cooling'!M40</f>
        <v>4.2605176259648978</v>
      </c>
      <c r="F38" s="979">
        <f>+'COM Duct'!M40</f>
        <v>6.0698560116731528</v>
      </c>
      <c r="G38" s="981">
        <f>+'COM Bldg Envel'!M40</f>
        <v>1.5417364801488831</v>
      </c>
      <c r="H38" s="979">
        <f>'COM CI'!M40</f>
        <v>0.4345099999999999</v>
      </c>
      <c r="I38" s="979">
        <f>'COM WI'!M40</f>
        <v>1.0500000000000002E-2</v>
      </c>
      <c r="J38" s="981">
        <f>+'COM EEMotors'!M40</f>
        <v>5.9989999999999995E-2</v>
      </c>
      <c r="K38" s="979">
        <f>+'COM Chillers'!M40</f>
        <v>2.6615099999999989</v>
      </c>
      <c r="L38" s="979">
        <f>+'COM Occ. Sens.'!M40</f>
        <v>7.8172107000000031</v>
      </c>
      <c r="M38" s="979">
        <f>+'COM Ref'!M40</f>
        <v>2.8069999999999998E-2</v>
      </c>
      <c r="N38" s="979">
        <f>+'COM WH'!M40</f>
        <v>6.6254999999999994E-3</v>
      </c>
      <c r="O38" s="981">
        <f>+'COM Lighting'!M40</f>
        <v>42.797152579639551</v>
      </c>
      <c r="P38" s="979">
        <f>'COM Cond. Light'!M40</f>
        <v>9.3003549999999997</v>
      </c>
      <c r="Q38" s="979">
        <f>'COM Non Cond. Light'!M40</f>
        <v>1.8212899999999994</v>
      </c>
      <c r="R38" s="979">
        <f>+'COM CV'!M40</f>
        <v>12.275700833333341</v>
      </c>
      <c r="S38" s="979">
        <f>'COM TES'!M40</f>
        <v>9.3495699999999999</v>
      </c>
      <c r="T38" s="981">
        <f>+'Street Light Conv'!M40</f>
        <v>0</v>
      </c>
      <c r="U38" s="979">
        <f>'COM ECM'!M40</f>
        <v>5.4499999999999986E-2</v>
      </c>
      <c r="V38" s="981">
        <f>'COM ECM HVAC'!M40</f>
        <v>0</v>
      </c>
      <c r="W38" s="979">
        <f>'COM Cool Roof'!M40</f>
        <v>5.0379444444444443</v>
      </c>
      <c r="X38" s="981">
        <f>'COM HVAC ReCommissioning'!M40</f>
        <v>0.48852000000000001</v>
      </c>
      <c r="Y38" s="981">
        <f>'COM ERV'!M40</f>
        <v>2.0009999999999997E-2</v>
      </c>
      <c r="Z38" s="981">
        <f>'COM School PV'!M40</f>
        <v>2.52E-2</v>
      </c>
      <c r="AA38" s="981">
        <f>'COM PV'!M40</f>
        <v>0.17368999999999998</v>
      </c>
      <c r="AB38" s="277">
        <f t="shared" si="4"/>
        <v>112.63272746345673</v>
      </c>
      <c r="AC38" s="276">
        <f>+'COM LM (cyc)'!N40</f>
        <v>0.32853333333333334</v>
      </c>
      <c r="AD38" s="276">
        <f>+'COM LM (ext)'!N40</f>
        <v>0.96599999999999997</v>
      </c>
      <c r="AE38" s="276">
        <f>+'COM SB Gen'!N40</f>
        <v>55.327663458110528</v>
      </c>
      <c r="AF38" s="276">
        <f>+'COM DMD Response'!M40</f>
        <v>40</v>
      </c>
      <c r="AG38" s="277">
        <f t="shared" si="5"/>
        <v>96.622196791443855</v>
      </c>
      <c r="AH38" s="277">
        <f t="shared" si="10"/>
        <v>209.25492425490057</v>
      </c>
      <c r="AI38" s="176"/>
      <c r="AJ38" s="748">
        <v>2027</v>
      </c>
      <c r="AK38" s="1088">
        <f>+'C-I FREE'!Q40</f>
        <v>32.695633102625322</v>
      </c>
      <c r="AL38" s="1088">
        <f>+'C-I Paid'!Q40</f>
        <v>0.91469</v>
      </c>
      <c r="AM38" s="738">
        <f>+'C-I Mail-In'!Q40</f>
        <v>6.0399999999999995E-2</v>
      </c>
      <c r="AN38" s="276">
        <f>+'COM Cooling'!Q40</f>
        <v>3.2532051282051278E-3</v>
      </c>
      <c r="AO38" s="276">
        <f>+'COM Duct'!Q40</f>
        <v>0.76612000000000002</v>
      </c>
      <c r="AP38" s="738">
        <f>+'COM Bldg Envel'!Q40</f>
        <v>2.2436590570719603E-2</v>
      </c>
      <c r="AQ38" s="276">
        <f>'COM CI'!Q40</f>
        <v>1.1100000000000002E-2</v>
      </c>
      <c r="AR38" s="276">
        <f>'COM WI'!Q40</f>
        <v>7.8000000000000014E-3</v>
      </c>
      <c r="AS38" s="738">
        <f>+'COM EEMotors'!Q40</f>
        <v>4.9059999999999999E-2</v>
      </c>
      <c r="AT38" s="276">
        <f>+'COM Chillers'!Q40</f>
        <v>1.6605194117647055</v>
      </c>
      <c r="AU38" s="276">
        <f>+'COM Occ. Sens.'!Q40</f>
        <v>6.2233533999999988</v>
      </c>
      <c r="AV38" s="276">
        <f>+'COM Ref'!Q40</f>
        <v>4.3428000000000001E-2</v>
      </c>
      <c r="AW38" s="276">
        <f>+'COM WH'!Q40</f>
        <v>3.2899999999999995E-3</v>
      </c>
      <c r="AX38" s="738">
        <f>+'COM Lighting'!Q40</f>
        <v>19.317446815739537</v>
      </c>
      <c r="AY38" s="276">
        <f>'COM Cond. Light'!Q40</f>
        <v>7.1340000000000021</v>
      </c>
      <c r="AZ38" s="276">
        <f>'COM Non Cond. Light'!Q40</f>
        <v>1.7629499999999996</v>
      </c>
      <c r="BA38" s="276">
        <f>+'COM CV'!Q40</f>
        <v>3.2838099999999995</v>
      </c>
      <c r="BB38" s="276">
        <f>'COM TES'!Q40</f>
        <v>0</v>
      </c>
      <c r="BC38" s="738">
        <f>+'Street Light Conv'!Q40</f>
        <v>0</v>
      </c>
      <c r="BD38" s="276">
        <f>'COM ECM'!Q40</f>
        <v>0</v>
      </c>
      <c r="BE38" s="738">
        <f>'COM HVAC ReCommissioning'!Q40</f>
        <v>0</v>
      </c>
      <c r="BF38" s="276">
        <f>'COM Cool Roof'!Q40</f>
        <v>0</v>
      </c>
      <c r="BG38" s="738">
        <f>'COM HVAC ReCommissioning'!Q40</f>
        <v>0</v>
      </c>
      <c r="BH38" s="738">
        <f>'COM ERV'!Q40</f>
        <v>2.1419999999999998E-2</v>
      </c>
      <c r="BI38" s="738">
        <f>'COM School PV'!Q40</f>
        <v>0</v>
      </c>
      <c r="BJ38" s="276">
        <f>'COM PV'!Q40</f>
        <v>0</v>
      </c>
      <c r="BK38" s="277">
        <f>SUM(AK38:BJ38)</f>
        <v>73.980710525828499</v>
      </c>
      <c r="BL38" s="276">
        <f>+'COM LM (cyc)'!T40</f>
        <v>0</v>
      </c>
      <c r="BM38" s="276">
        <f>+'COM LM (ext)'!T40</f>
        <v>0.6</v>
      </c>
      <c r="BN38" s="276">
        <f>+'COM SB Gen'!T40</f>
        <v>53.823614141414154</v>
      </c>
      <c r="BO38" s="276">
        <f>+'COM DMD Response'!Q40</f>
        <v>40</v>
      </c>
      <c r="BP38" s="1106">
        <f t="shared" si="7"/>
        <v>94.423614141414163</v>
      </c>
      <c r="BQ38" s="718">
        <f t="shared" si="11"/>
        <v>168.40432466724266</v>
      </c>
      <c r="BS38" s="269">
        <v>2027</v>
      </c>
      <c r="BT38" s="1087">
        <f>+'C-I FREE'!U40</f>
        <v>23.140433204057274</v>
      </c>
      <c r="BU38" s="1088">
        <f>+'C-I Paid'!U40</f>
        <v>0.22405050000000001</v>
      </c>
      <c r="BV38" s="738">
        <f>+'C-I Mail-In'!U40</f>
        <v>0.33984000000000003</v>
      </c>
      <c r="BW38" s="276">
        <f>+'COM Cooling'!U40</f>
        <v>13.392252814404694</v>
      </c>
      <c r="BX38" s="276">
        <f>+'COM Duct'!U40</f>
        <v>19.676274130447474</v>
      </c>
      <c r="BY38" s="738">
        <f>+'COM Bldg Envel'!U40</f>
        <v>2.0868557382133996</v>
      </c>
      <c r="BZ38" s="276">
        <f>'COM CI'!U40</f>
        <v>5.5126847200000002</v>
      </c>
      <c r="CA38" s="276">
        <f>'COM WI'!U40</f>
        <v>1.4322000000000001E-2</v>
      </c>
      <c r="CB38" s="738">
        <f>+'COM EEMotors'!U40</f>
        <v>0.31173319999999993</v>
      </c>
      <c r="CC38" s="276">
        <f>+'COM Chillers'!U40</f>
        <v>7.1270344117647086</v>
      </c>
      <c r="CD38" s="276">
        <f>+'COM Occ. Sens.'!U40</f>
        <v>8.6836002799999967</v>
      </c>
      <c r="CE38" s="276">
        <f>+'COM Ref'!U40</f>
        <v>0.45265500000000003</v>
      </c>
      <c r="CF38" s="276">
        <f>+'COM WH'!U40</f>
        <v>4.9717499999999998E-2</v>
      </c>
      <c r="CG38" s="738">
        <f>+'COM Lighting'!U40</f>
        <v>205.6838343902898</v>
      </c>
      <c r="CH38" s="276">
        <f>'COM Cond. Light'!U40</f>
        <v>43.149032659999989</v>
      </c>
      <c r="CI38" s="276">
        <f>'COM Non Cond. Light'!U40</f>
        <v>8.9818024300000019</v>
      </c>
      <c r="CJ38" s="276">
        <f>+'COM CV'!U40</f>
        <v>21.77555909083334</v>
      </c>
      <c r="CK38" s="276">
        <f>'COM TES'!U40</f>
        <v>0.97182199999999985</v>
      </c>
      <c r="CL38" s="738">
        <f>+'Street Light Conv'!U40</f>
        <v>16</v>
      </c>
      <c r="CM38" s="276">
        <f>'COM ECM'!U40</f>
        <v>2.8503850000000015E-2</v>
      </c>
      <c r="CN38" s="738">
        <f>'COM HVAC ReCommissioning'!U40</f>
        <v>1.1355234999999999</v>
      </c>
      <c r="CO38" s="276">
        <f>'COM Cool Roof'!U40</f>
        <v>16.165598309666663</v>
      </c>
      <c r="CP38" s="738">
        <f>'COM HVAC ReCommissioning'!U40</f>
        <v>1.1355234999999999</v>
      </c>
      <c r="CQ38" s="738">
        <f>'COM ERV'!U40</f>
        <v>3.1329000000000003E-2</v>
      </c>
      <c r="CR38" s="276">
        <f>'COM School PV'!U40</f>
        <v>7.0956000000000005E-2</v>
      </c>
      <c r="CS38" s="276">
        <f>'COM PV'!U40</f>
        <v>0.42825849999999999</v>
      </c>
      <c r="CT38" s="735">
        <f t="shared" si="9"/>
        <v>380.56919672967734</v>
      </c>
      <c r="CU38" s="741">
        <f>+'COM LM (cyc)'!Z40</f>
        <v>0</v>
      </c>
      <c r="CV38" s="276">
        <f>+'COM LM (ext)'!Z40</f>
        <v>0</v>
      </c>
      <c r="CW38" s="276">
        <f>+'COM SB Gen'!Z40</f>
        <v>5.4700976242820367</v>
      </c>
      <c r="CX38" s="276">
        <f>+'COM DMD Response'!U40</f>
        <v>3.7635976249999996</v>
      </c>
      <c r="CY38" s="277">
        <f t="shared" si="12"/>
        <v>9.2336952492820359</v>
      </c>
      <c r="CZ38" s="744">
        <f t="shared" si="13"/>
        <v>389.80289197895939</v>
      </c>
      <c r="DA38" s="162"/>
    </row>
    <row r="39" spans="1:105" x14ac:dyDescent="0.2">
      <c r="A39" s="269">
        <v>2028</v>
      </c>
      <c r="B39" s="1081">
        <f>+'C-I FREE'!M41</f>
        <v>13.723332732696898</v>
      </c>
      <c r="C39" s="1082">
        <f>+'C-I Paid'!M41</f>
        <v>0.39515000000000006</v>
      </c>
      <c r="D39" s="981">
        <f>+'C-I Mail-In'!M41</f>
        <v>7.9649999999999999E-2</v>
      </c>
      <c r="E39" s="979">
        <f>+'COM Cooling'!M41</f>
        <v>4.4005176259648975</v>
      </c>
      <c r="F39" s="979">
        <f>+'COM Duct'!M41</f>
        <v>6.1078560116731531</v>
      </c>
      <c r="G39" s="981">
        <f>+'COM Bldg Envel'!M41</f>
        <v>1.5417364801488831</v>
      </c>
      <c r="H39" s="979">
        <f>'COM CI'!M41</f>
        <v>0.47200999999999987</v>
      </c>
      <c r="I39" s="979">
        <f>'COM WI'!M41</f>
        <v>1.1500000000000003E-2</v>
      </c>
      <c r="J39" s="981">
        <f>+'COM EEMotors'!M41</f>
        <v>5.9989999999999995E-2</v>
      </c>
      <c r="K39" s="979">
        <f>+'COM Chillers'!M41</f>
        <v>2.7467599999999988</v>
      </c>
      <c r="L39" s="979">
        <f>+'COM Occ. Sens.'!M41</f>
        <v>8.1898107000000024</v>
      </c>
      <c r="M39" s="979">
        <f>+'COM Ref'!M41</f>
        <v>3.1278E-2</v>
      </c>
      <c r="N39" s="979">
        <f>+'COM WH'!M41</f>
        <v>7.2564999999999991E-3</v>
      </c>
      <c r="O39" s="981">
        <f>+'COM Lighting'!M41</f>
        <v>42.797152579639551</v>
      </c>
      <c r="P39" s="979">
        <f>'COM Cond. Light'!M41</f>
        <v>9.8959549999999989</v>
      </c>
      <c r="Q39" s="979">
        <f>'COM Non Cond. Light'!M41</f>
        <v>1.9307899999999993</v>
      </c>
      <c r="R39" s="979">
        <f>+'COM CV'!M41</f>
        <v>12.633700833333341</v>
      </c>
      <c r="S39" s="979">
        <f>'COM TES'!M41</f>
        <v>10.275269999999999</v>
      </c>
      <c r="T39" s="981">
        <f>+'Street Light Conv'!M41</f>
        <v>0</v>
      </c>
      <c r="U39" s="979">
        <f>'COM ECM'!M41</f>
        <v>5.4699999999999985E-2</v>
      </c>
      <c r="V39" s="981">
        <f>'COM ECM HVAC'!M41</f>
        <v>0</v>
      </c>
      <c r="W39" s="979">
        <f>'COM Cool Roof'!M41</f>
        <v>5.3307444444444441</v>
      </c>
      <c r="X39" s="981">
        <f>'COM HVAC ReCommissioning'!M41</f>
        <v>0.48852000000000001</v>
      </c>
      <c r="Y39" s="981">
        <f>'COM ERV'!M41</f>
        <v>2.0009999999999997E-2</v>
      </c>
      <c r="Z39" s="981">
        <f>'COM School PV'!M41</f>
        <v>2.52E-2</v>
      </c>
      <c r="AA39" s="981">
        <f>'COM PV'!M41</f>
        <v>0.17368999999999998</v>
      </c>
      <c r="AB39" s="277">
        <f>SUM(B39:T39)</f>
        <v>115.29971646345672</v>
      </c>
      <c r="AC39" s="276">
        <f>+'COM LM (cyc)'!N41</f>
        <v>0.34173333333333333</v>
      </c>
      <c r="AD39" s="276">
        <f>+'COM LM (ext)'!N41</f>
        <v>1.0580000000000001</v>
      </c>
      <c r="AE39" s="276">
        <f>+'COM SB Gen'!N41</f>
        <v>55.625663458110537</v>
      </c>
      <c r="AF39" s="276">
        <f>+'COM DMD Response'!M41</f>
        <v>40</v>
      </c>
      <c r="AG39" s="277">
        <f t="shared" si="5"/>
        <v>97.025396791443868</v>
      </c>
      <c r="AH39" s="277">
        <f t="shared" si="10"/>
        <v>212.3251132549006</v>
      </c>
      <c r="AI39" s="176"/>
      <c r="AJ39" s="748">
        <v>2028</v>
      </c>
      <c r="AK39" s="1088">
        <f>+'C-I FREE'!Q41</f>
        <v>32.695633102625322</v>
      </c>
      <c r="AL39" s="1088">
        <f>+'C-I Paid'!Q41</f>
        <v>0.91469</v>
      </c>
      <c r="AM39" s="738">
        <f>+'C-I Mail-In'!Q41</f>
        <v>6.0399999999999995E-2</v>
      </c>
      <c r="AN39" s="276">
        <f>+'COM Cooling'!Q41</f>
        <v>3.2532051282051278E-3</v>
      </c>
      <c r="AO39" s="276">
        <f>+'COM Duct'!Q41</f>
        <v>0.76612000000000002</v>
      </c>
      <c r="AP39" s="738">
        <f>+'COM Bldg Envel'!Q41</f>
        <v>2.2436590570719603E-2</v>
      </c>
      <c r="AQ39" s="276">
        <f>'COM CI'!Q41</f>
        <v>1.2100000000000003E-2</v>
      </c>
      <c r="AR39" s="276">
        <f>'COM WI'!Q41</f>
        <v>8.5800000000000008E-3</v>
      </c>
      <c r="AS39" s="738">
        <f>+'COM EEMotors'!Q41</f>
        <v>4.9059999999999999E-2</v>
      </c>
      <c r="AT39" s="276">
        <f>+'COM Chillers'!Q41</f>
        <v>1.7244694117647055</v>
      </c>
      <c r="AU39" s="276">
        <f>+'COM Occ. Sens.'!Q41</f>
        <v>6.5157033999999987</v>
      </c>
      <c r="AV39" s="276">
        <f>+'COM Ref'!Q41</f>
        <v>4.8691999999999999E-2</v>
      </c>
      <c r="AW39" s="276">
        <f>+'COM WH'!Q41</f>
        <v>3.6189999999999994E-3</v>
      </c>
      <c r="AX39" s="738">
        <f>+'COM Lighting'!Q41</f>
        <v>19.317446815739537</v>
      </c>
      <c r="AY39" s="276">
        <f>'COM Cond. Light'!Q41</f>
        <v>7.5980000000000025</v>
      </c>
      <c r="AZ39" s="276">
        <f>'COM Non Cond. Light'!Q41</f>
        <v>1.8724499999999995</v>
      </c>
      <c r="BA39" s="276">
        <f>+'COM CV'!Q41</f>
        <v>3.2838099999999995</v>
      </c>
      <c r="BB39" s="276">
        <f>'COM TES'!Q41</f>
        <v>0</v>
      </c>
      <c r="BC39" s="738">
        <f>+'Street Light Conv'!Q41</f>
        <v>0</v>
      </c>
      <c r="BD39" s="276">
        <f>'COM ECM'!Q41</f>
        <v>0</v>
      </c>
      <c r="BE39" s="738">
        <f>'COM HVAC ReCommissioning'!Q41</f>
        <v>0</v>
      </c>
      <c r="BF39" s="276">
        <f>'COM Cool Roof'!Q41</f>
        <v>0</v>
      </c>
      <c r="BG39" s="738">
        <f>'COM HVAC ReCommissioning'!Q41</f>
        <v>0</v>
      </c>
      <c r="BH39" s="738">
        <f>'COM ERV'!Q41</f>
        <v>2.1419999999999998E-2</v>
      </c>
      <c r="BI39" s="738">
        <f>'COM School PV'!Q41</f>
        <v>0</v>
      </c>
      <c r="BJ39" s="276">
        <f>'COM PV'!Q41</f>
        <v>0</v>
      </c>
      <c r="BK39" s="277">
        <f>SUM(AK39:BJ39)</f>
        <v>74.917883525828501</v>
      </c>
      <c r="BL39" s="276">
        <f>+'COM LM (cyc)'!T41</f>
        <v>0</v>
      </c>
      <c r="BM39" s="276">
        <f>+'COM LM (ext)'!T41</f>
        <v>0.66</v>
      </c>
      <c r="BN39" s="276">
        <f>+'COM SB Gen'!T41</f>
        <v>54.356521212121223</v>
      </c>
      <c r="BO39" s="276">
        <f>+'COM DMD Response'!Q41</f>
        <v>40</v>
      </c>
      <c r="BP39" s="1106">
        <f t="shared" si="7"/>
        <v>95.016521212121219</v>
      </c>
      <c r="BQ39" s="718">
        <f t="shared" si="11"/>
        <v>169.93440473794971</v>
      </c>
      <c r="BR39" s="176"/>
      <c r="BS39" s="727">
        <v>2028</v>
      </c>
      <c r="BT39" s="1087">
        <f>+'C-I FREE'!U41</f>
        <v>23.140433204057274</v>
      </c>
      <c r="BU39" s="1088">
        <f>+'C-I Paid'!U41</f>
        <v>0.22405050000000001</v>
      </c>
      <c r="BV39" s="738">
        <f>+'C-I Mail-In'!U41</f>
        <v>0.33984000000000003</v>
      </c>
      <c r="BW39" s="276">
        <f>+'COM Cooling'!U41</f>
        <v>13.662552814404695</v>
      </c>
      <c r="BX39" s="276">
        <f>+'COM Duct'!U41</f>
        <v>19.849674130447475</v>
      </c>
      <c r="BY39" s="738">
        <f>+'COM Bldg Envel'!U41</f>
        <v>2.0868557382133996</v>
      </c>
      <c r="BZ39" s="276">
        <f>'COM CI'!U41</f>
        <v>5.9879347200000002</v>
      </c>
      <c r="CA39" s="276">
        <f>'COM WI'!U41</f>
        <v>1.5686000000000002E-2</v>
      </c>
      <c r="CB39" s="738">
        <f>+'COM EEMotors'!U41</f>
        <v>0.31173319999999993</v>
      </c>
      <c r="CC39" s="276">
        <f>+'COM Chillers'!U41</f>
        <v>7.3664694117647089</v>
      </c>
      <c r="CD39" s="276">
        <f>+'COM Occ. Sens.'!U41</f>
        <v>9.1001802799999965</v>
      </c>
      <c r="CE39" s="276">
        <f>+'COM Ref'!U41</f>
        <v>0.50438700000000003</v>
      </c>
      <c r="CF39" s="276">
        <f>+'COM WH'!U41</f>
        <v>5.4452500000000001E-2</v>
      </c>
      <c r="CG39" s="738">
        <f>+'COM Lighting'!U41</f>
        <v>205.6838343902898</v>
      </c>
      <c r="CH39" s="276">
        <f>'COM Cond. Light'!U41</f>
        <v>45.950672659999988</v>
      </c>
      <c r="CI39" s="276">
        <f>'COM Non Cond. Light'!U41</f>
        <v>9.5252424300000023</v>
      </c>
      <c r="CJ39" s="276">
        <f>+'COM CV'!U41</f>
        <v>21.785313090833341</v>
      </c>
      <c r="CK39" s="276">
        <f>'COM TES'!U41</f>
        <v>1.0680419999999999</v>
      </c>
      <c r="CL39" s="738">
        <f>+'Street Light Conv'!U41</f>
        <v>16</v>
      </c>
      <c r="CM39" s="276">
        <f>'COM ECM'!U41</f>
        <v>2.8563850000000016E-2</v>
      </c>
      <c r="CN39" s="738">
        <f>'COM HVAC ReCommissioning'!U41</f>
        <v>1.1355234999999999</v>
      </c>
      <c r="CO39" s="276">
        <f>'COM Cool Roof'!U41</f>
        <v>16.879438309666664</v>
      </c>
      <c r="CP39" s="738">
        <f>'COM HVAC ReCommissioning'!U41</f>
        <v>1.1355234999999999</v>
      </c>
      <c r="CQ39" s="738">
        <f>'COM ERV'!U41</f>
        <v>3.1329000000000003E-2</v>
      </c>
      <c r="CR39" s="276">
        <f>'COM School PV'!U41</f>
        <v>7.0956000000000005E-2</v>
      </c>
      <c r="CS39" s="276">
        <f>'COM PV'!U41</f>
        <v>0.42825849999999999</v>
      </c>
      <c r="CT39" s="746">
        <f t="shared" si="9"/>
        <v>386.36694672967741</v>
      </c>
      <c r="CU39" s="741">
        <f>+'COM LM (cyc)'!Z41</f>
        <v>0</v>
      </c>
      <c r="CV39" s="276">
        <f>+'COM LM (ext)'!Z41</f>
        <v>0</v>
      </c>
      <c r="CW39" s="276">
        <f>+'COM SB Gen'!Z41</f>
        <v>5.5096854188948328</v>
      </c>
      <c r="CX39" s="276">
        <f>+'COM DMD Response'!U41</f>
        <v>3.7988916249999996</v>
      </c>
      <c r="CY39" s="277">
        <f t="shared" si="12"/>
        <v>9.3085770438948323</v>
      </c>
      <c r="CZ39" s="744">
        <f t="shared" si="13"/>
        <v>395.67552377357225</v>
      </c>
    </row>
    <row r="40" spans="1:105" x14ac:dyDescent="0.2">
      <c r="A40" s="269">
        <v>2029</v>
      </c>
      <c r="B40" s="1081">
        <f>+'C-I FREE'!M42</f>
        <v>13.723332732696898</v>
      </c>
      <c r="C40" s="1082">
        <f>+'C-I Paid'!M42</f>
        <v>0.39515000000000006</v>
      </c>
      <c r="D40" s="981">
        <f>+'C-I Mail-In'!M42</f>
        <v>7.9649999999999999E-2</v>
      </c>
      <c r="E40" s="979">
        <f>+'COM Cooling'!M42</f>
        <v>4.5405176259648972</v>
      </c>
      <c r="F40" s="979">
        <f>+'COM Duct'!M42</f>
        <v>6.1458560116731533</v>
      </c>
      <c r="G40" s="981">
        <f>+'COM Bldg Envel'!M42</f>
        <v>1.5417364801488831</v>
      </c>
      <c r="H40" s="979">
        <f>'COM CI'!M42</f>
        <v>0.50950999999999991</v>
      </c>
      <c r="I40" s="979">
        <f>'COM WI'!M42</f>
        <v>1.2500000000000004E-2</v>
      </c>
      <c r="J40" s="981">
        <f>+'COM EEMotors'!M42</f>
        <v>5.9989999999999995E-2</v>
      </c>
      <c r="K40" s="979">
        <f>+'COM Chillers'!M42</f>
        <v>2.8320099999999986</v>
      </c>
      <c r="L40" s="979">
        <f>+'COM Occ. Sens.'!M42</f>
        <v>8.5624107000000027</v>
      </c>
      <c r="M40" s="979">
        <f>+'COM Ref'!M42</f>
        <v>3.4486000000000003E-2</v>
      </c>
      <c r="N40" s="979">
        <f>+'COM WH'!M42</f>
        <v>7.8874999999999987E-3</v>
      </c>
      <c r="O40" s="981">
        <f>+'COM Lighting'!M42</f>
        <v>42.797152579639551</v>
      </c>
      <c r="P40" s="979">
        <f>'COM Cond. Light'!M42</f>
        <v>10.491554999999998</v>
      </c>
      <c r="Q40" s="979">
        <f>'COM Non Cond. Light'!M42</f>
        <v>2.0402899999999993</v>
      </c>
      <c r="R40" s="979">
        <f>+'COM CV'!M42</f>
        <v>12.991700833333342</v>
      </c>
      <c r="S40" s="979">
        <f>'COM TES'!M42</f>
        <v>11.200969999999998</v>
      </c>
      <c r="T40" s="981">
        <f>+'Street Light Conv'!M42</f>
        <v>0</v>
      </c>
      <c r="U40" s="979">
        <f>'COM ECM'!M42</f>
        <v>5.4899999999999984E-2</v>
      </c>
      <c r="V40" s="981">
        <f>'COM ECM HVAC'!M42</f>
        <v>0</v>
      </c>
      <c r="W40" s="979">
        <f>'COM Cool Roof'!M42</f>
        <v>5.6235444444444438</v>
      </c>
      <c r="X40" s="981">
        <f>'COM HVAC ReCommissioning'!M42</f>
        <v>0.48852000000000001</v>
      </c>
      <c r="Y40" s="981">
        <f>'COM ERV'!M42</f>
        <v>2.0009999999999997E-2</v>
      </c>
      <c r="Z40" s="981">
        <f>'COM School PV'!M42</f>
        <v>2.52E-2</v>
      </c>
      <c r="AA40" s="981">
        <f>'COM PV'!M42</f>
        <v>0.17368999999999998</v>
      </c>
      <c r="AB40" s="277">
        <f t="shared" ref="AB40:AB42" si="14">SUM(B40:T40)</f>
        <v>117.96670546345673</v>
      </c>
      <c r="AC40" s="276">
        <f>+'COM LM (cyc)'!N42</f>
        <v>0.35493333333333332</v>
      </c>
      <c r="AD40" s="276">
        <f>+'COM LM (ext)'!N42</f>
        <v>1.1499999999999999</v>
      </c>
      <c r="AE40" s="276">
        <f>+'COM SB Gen'!N42</f>
        <v>55.923663458110532</v>
      </c>
      <c r="AF40" s="276">
        <f>+'COM DMD Response'!M42</f>
        <v>40</v>
      </c>
      <c r="AG40" s="277">
        <f t="shared" si="5"/>
        <v>97.428596791443866</v>
      </c>
      <c r="AH40" s="277">
        <f t="shared" si="10"/>
        <v>215.3953022549006</v>
      </c>
      <c r="AI40" s="176"/>
      <c r="AJ40" s="748">
        <v>2029</v>
      </c>
      <c r="AK40" s="1088">
        <f>+'C-I FREE'!Q42</f>
        <v>32.695633102625322</v>
      </c>
      <c r="AL40" s="1088">
        <f>+'C-I Paid'!Q42</f>
        <v>0.91469</v>
      </c>
      <c r="AM40" s="738">
        <f>+'C-I Mail-In'!Q42</f>
        <v>6.0399999999999995E-2</v>
      </c>
      <c r="AN40" s="276">
        <f>+'COM Cooling'!Q42</f>
        <v>3.2532051282051278E-3</v>
      </c>
      <c r="AO40" s="276">
        <f>+'COM Duct'!Q42</f>
        <v>0.76612000000000002</v>
      </c>
      <c r="AP40" s="738">
        <f>+'COM Bldg Envel'!Q42</f>
        <v>2.2436590570719603E-2</v>
      </c>
      <c r="AQ40" s="276">
        <f>'COM CI'!Q42</f>
        <v>1.3100000000000004E-2</v>
      </c>
      <c r="AR40" s="276">
        <f>'COM WI'!Q42</f>
        <v>9.3600000000000003E-3</v>
      </c>
      <c r="AS40" s="738">
        <f>+'COM EEMotors'!Q42</f>
        <v>4.9059999999999999E-2</v>
      </c>
      <c r="AT40" s="276">
        <f>+'COM Chillers'!Q42</f>
        <v>1.7884194117647054</v>
      </c>
      <c r="AU40" s="276">
        <f>+'COM Occ. Sens.'!Q42</f>
        <v>6.8080533999999986</v>
      </c>
      <c r="AV40" s="276">
        <f>+'COM Ref'!Q42</f>
        <v>5.3955999999999997E-2</v>
      </c>
      <c r="AW40" s="276">
        <f>+'COM WH'!Q42</f>
        <v>3.9479999999999993E-3</v>
      </c>
      <c r="AX40" s="738">
        <f>+'COM Lighting'!Q42</f>
        <v>19.317446815739537</v>
      </c>
      <c r="AY40" s="276">
        <f>'COM Cond. Light'!Q42</f>
        <v>8.0620000000000029</v>
      </c>
      <c r="AZ40" s="276">
        <f>'COM Non Cond. Light'!Q42</f>
        <v>1.9819499999999994</v>
      </c>
      <c r="BA40" s="276">
        <f>+'COM CV'!Q42</f>
        <v>3.2838099999999995</v>
      </c>
      <c r="BB40" s="276">
        <f>'COM TES'!Q42</f>
        <v>0</v>
      </c>
      <c r="BC40" s="738">
        <f>+'Street Light Conv'!Q42</f>
        <v>0</v>
      </c>
      <c r="BD40" s="276">
        <f>'COM ECM'!Q42</f>
        <v>0</v>
      </c>
      <c r="BE40" s="738">
        <f>'COM HVAC ReCommissioning'!Q42</f>
        <v>0</v>
      </c>
      <c r="BF40" s="276">
        <f>'COM Cool Roof'!Q42</f>
        <v>0</v>
      </c>
      <c r="BG40" s="738">
        <f>'COM HVAC ReCommissioning'!Q42</f>
        <v>0</v>
      </c>
      <c r="BH40" s="738">
        <f>'COM ERV'!Q42</f>
        <v>2.1419999999999998E-2</v>
      </c>
      <c r="BI40" s="738">
        <f>'COM School PV'!Q42</f>
        <v>0</v>
      </c>
      <c r="BJ40" s="276">
        <f>'COM PV'!Q42</f>
        <v>0</v>
      </c>
      <c r="BK40" s="277">
        <f t="shared" ref="BK40:BK42" si="15">SUM(AK40:BJ40)</f>
        <v>75.855056525828502</v>
      </c>
      <c r="BL40" s="276">
        <f>+'COM LM (cyc)'!T42</f>
        <v>0</v>
      </c>
      <c r="BM40" s="276">
        <f>+'COM LM (ext)'!T42</f>
        <v>0.72</v>
      </c>
      <c r="BN40" s="276">
        <f>+'COM SB Gen'!T42</f>
        <v>54.889428282828298</v>
      </c>
      <c r="BO40" s="276">
        <f>+'COM DMD Response'!Q42</f>
        <v>40</v>
      </c>
      <c r="BP40" s="1106">
        <f t="shared" si="7"/>
        <v>95.609428282828304</v>
      </c>
      <c r="BQ40" s="718">
        <f t="shared" si="11"/>
        <v>171.46448480865681</v>
      </c>
      <c r="BR40" s="176"/>
      <c r="BS40" s="727">
        <v>2029</v>
      </c>
      <c r="BT40" s="1087">
        <f>+'C-I FREE'!U42</f>
        <v>23.140433204057274</v>
      </c>
      <c r="BU40" s="1088">
        <f>+'C-I Paid'!U42</f>
        <v>0.22405050000000001</v>
      </c>
      <c r="BV40" s="738">
        <f>+'C-I Mail-In'!U42</f>
        <v>0.33984000000000003</v>
      </c>
      <c r="BW40" s="276">
        <f>+'COM Cooling'!U42</f>
        <v>13.932852814404695</v>
      </c>
      <c r="BX40" s="276">
        <f>+'COM Duct'!U42</f>
        <v>20.023074130447476</v>
      </c>
      <c r="BY40" s="738">
        <f>+'COM Bldg Envel'!U42</f>
        <v>2.0868557382133996</v>
      </c>
      <c r="BZ40" s="276">
        <f>'COM CI'!U42</f>
        <v>6.4631847200000001</v>
      </c>
      <c r="CA40" s="276">
        <f>'COM WI'!U42</f>
        <v>1.7050000000000003E-2</v>
      </c>
      <c r="CB40" s="738">
        <f>+'COM EEMotors'!U42</f>
        <v>0.31173319999999993</v>
      </c>
      <c r="CC40" s="276">
        <f>+'COM Chillers'!U42</f>
        <v>7.6059044117647092</v>
      </c>
      <c r="CD40" s="276">
        <f>+'COM Occ. Sens.'!U42</f>
        <v>9.5167602799999962</v>
      </c>
      <c r="CE40" s="276">
        <f>+'COM Ref'!U42</f>
        <v>0.55611900000000003</v>
      </c>
      <c r="CF40" s="276">
        <f>+'COM WH'!U42</f>
        <v>5.9187500000000004E-2</v>
      </c>
      <c r="CG40" s="738">
        <f>+'COM Lighting'!U42</f>
        <v>205.6838343902898</v>
      </c>
      <c r="CH40" s="276">
        <f>'COM Cond. Light'!U42</f>
        <v>48.752312659999987</v>
      </c>
      <c r="CI40" s="276">
        <f>'COM Non Cond. Light'!U42</f>
        <v>10.068682430000003</v>
      </c>
      <c r="CJ40" s="276">
        <f>+'COM CV'!U42</f>
        <v>21.795067090833342</v>
      </c>
      <c r="CK40" s="276">
        <f>'COM TES'!U42</f>
        <v>1.1642619999999999</v>
      </c>
      <c r="CL40" s="738">
        <f>+'Street Light Conv'!U42</f>
        <v>16</v>
      </c>
      <c r="CM40" s="276">
        <f>'COM ECM'!U42</f>
        <v>2.8623850000000017E-2</v>
      </c>
      <c r="CN40" s="738">
        <f>'COM HVAC ReCommissioning'!U42</f>
        <v>1.1355234999999999</v>
      </c>
      <c r="CO40" s="276">
        <f>'COM Cool Roof'!U42</f>
        <v>17.593278309666665</v>
      </c>
      <c r="CP40" s="738">
        <f>'COM HVAC ReCommissioning'!U42</f>
        <v>1.1355234999999999</v>
      </c>
      <c r="CQ40" s="738">
        <f>'COM ERV'!U42</f>
        <v>3.1329000000000003E-2</v>
      </c>
      <c r="CR40" s="276">
        <f>'COM School PV'!U42</f>
        <v>7.0956000000000005E-2</v>
      </c>
      <c r="CS40" s="276">
        <f>'COM PV'!U42</f>
        <v>0.42825849999999999</v>
      </c>
      <c r="CT40" s="746">
        <f t="shared" si="9"/>
        <v>392.16469672967742</v>
      </c>
      <c r="CU40" s="741">
        <f>+'COM LM (cyc)'!Z42</f>
        <v>0</v>
      </c>
      <c r="CV40" s="276">
        <f>+'COM LM (ext)'!Z42</f>
        <v>0</v>
      </c>
      <c r="CW40" s="276">
        <f>+'COM SB Gen'!Z42</f>
        <v>5.549273213507627</v>
      </c>
      <c r="CX40" s="276">
        <f>+'COM DMD Response'!U42</f>
        <v>3.8341856249999995</v>
      </c>
      <c r="CY40" s="277">
        <f t="shared" si="12"/>
        <v>9.383458838507627</v>
      </c>
      <c r="CZ40" s="744">
        <f t="shared" si="13"/>
        <v>401.54815556818505</v>
      </c>
    </row>
    <row r="41" spans="1:105" x14ac:dyDescent="0.2">
      <c r="A41" s="269">
        <v>2030</v>
      </c>
      <c r="B41" s="1081">
        <f>+'C-I FREE'!M43</f>
        <v>13.723332732696898</v>
      </c>
      <c r="C41" s="1082">
        <f>+'C-I Paid'!M43</f>
        <v>0.39515000000000006</v>
      </c>
      <c r="D41" s="981">
        <f>+'C-I Mail-In'!M43</f>
        <v>7.9649999999999999E-2</v>
      </c>
      <c r="E41" s="979">
        <f>+'COM Cooling'!M43</f>
        <v>4.6805176259648968</v>
      </c>
      <c r="F41" s="979">
        <f>+'COM Duct'!M43</f>
        <v>6.1838560116731536</v>
      </c>
      <c r="G41" s="981">
        <f>+'COM Bldg Envel'!M43</f>
        <v>1.5417364801488831</v>
      </c>
      <c r="H41" s="979">
        <f>'COM CI'!M43</f>
        <v>0.54700999999999989</v>
      </c>
      <c r="I41" s="979">
        <f>'COM WI'!M43</f>
        <v>1.3500000000000005E-2</v>
      </c>
      <c r="J41" s="981">
        <f>+'COM EEMotors'!M43</f>
        <v>5.9989999999999995E-2</v>
      </c>
      <c r="K41" s="979">
        <f>+'COM Chillers'!M43</f>
        <v>2.9172599999999984</v>
      </c>
      <c r="L41" s="979">
        <f>+'COM Occ. Sens.'!M43</f>
        <v>8.935010700000003</v>
      </c>
      <c r="M41" s="979">
        <f>+'COM Ref'!M43</f>
        <v>3.7694000000000005E-2</v>
      </c>
      <c r="N41" s="979">
        <f>+'COM WH'!M43</f>
        <v>8.5184999999999983E-3</v>
      </c>
      <c r="O41" s="981">
        <f>+'COM Lighting'!M43</f>
        <v>42.797152579639551</v>
      </c>
      <c r="P41" s="979">
        <f>'COM Cond. Light'!M43</f>
        <v>11.087154999999997</v>
      </c>
      <c r="Q41" s="979">
        <f>'COM Non Cond. Light'!M43</f>
        <v>2.1497899999999994</v>
      </c>
      <c r="R41" s="979">
        <f>+'COM CV'!M43</f>
        <v>13.349700833333342</v>
      </c>
      <c r="S41" s="979">
        <f>'COM TES'!M43</f>
        <v>12.126669999999997</v>
      </c>
      <c r="T41" s="981">
        <f>+'Street Light Conv'!M43</f>
        <v>0</v>
      </c>
      <c r="U41" s="979">
        <f>'COM ECM'!M43</f>
        <v>5.5099999999999982E-2</v>
      </c>
      <c r="V41" s="981">
        <f>'COM ECM HVAC'!M43</f>
        <v>0</v>
      </c>
      <c r="W41" s="979">
        <f>'COM Cool Roof'!M43</f>
        <v>5.9163444444444435</v>
      </c>
      <c r="X41" s="981">
        <f>'COM HVAC ReCommissioning'!M43</f>
        <v>0.48852000000000001</v>
      </c>
      <c r="Y41" s="981">
        <f>'COM ERV'!M43</f>
        <v>2.0009999999999997E-2</v>
      </c>
      <c r="Z41" s="981">
        <f>'COM School PV'!M43</f>
        <v>2.52E-2</v>
      </c>
      <c r="AA41" s="981">
        <f>'COM PV'!M43</f>
        <v>0.17368999999999998</v>
      </c>
      <c r="AB41" s="277">
        <f t="shared" si="14"/>
        <v>120.63369446345672</v>
      </c>
      <c r="AC41" s="276">
        <f>+'COM LM (cyc)'!N43</f>
        <v>0.36813333333333331</v>
      </c>
      <c r="AD41" s="276">
        <f>+'COM LM (ext)'!N43</f>
        <v>1.242</v>
      </c>
      <c r="AE41" s="276">
        <f>+'COM SB Gen'!N43</f>
        <v>56.221663458110541</v>
      </c>
      <c r="AF41" s="276">
        <f>+'COM DMD Response'!M43</f>
        <v>40</v>
      </c>
      <c r="AG41" s="277">
        <f t="shared" si="5"/>
        <v>97.831796791443878</v>
      </c>
      <c r="AH41" s="277">
        <f t="shared" si="10"/>
        <v>218.4654912549006</v>
      </c>
      <c r="AI41" s="176"/>
      <c r="AJ41" s="748">
        <v>2030</v>
      </c>
      <c r="AK41" s="1088">
        <f>+'C-I FREE'!Q43</f>
        <v>32.695633102625322</v>
      </c>
      <c r="AL41" s="1088">
        <f>+'C-I Paid'!Q43</f>
        <v>0.91469</v>
      </c>
      <c r="AM41" s="738">
        <f>+'C-I Mail-In'!Q43</f>
        <v>6.0399999999999995E-2</v>
      </c>
      <c r="AN41" s="276">
        <f>+'COM Cooling'!Q43</f>
        <v>3.2532051282051278E-3</v>
      </c>
      <c r="AO41" s="276">
        <f>+'COM Duct'!Q43</f>
        <v>0.76612000000000002</v>
      </c>
      <c r="AP41" s="738">
        <f>+'COM Bldg Envel'!Q43</f>
        <v>2.2436590570719603E-2</v>
      </c>
      <c r="AQ41" s="276">
        <f>'COM CI'!Q43</f>
        <v>1.4100000000000005E-2</v>
      </c>
      <c r="AR41" s="276">
        <f>'COM WI'!Q43</f>
        <v>1.014E-2</v>
      </c>
      <c r="AS41" s="738">
        <f>+'COM EEMotors'!Q43</f>
        <v>4.9059999999999999E-2</v>
      </c>
      <c r="AT41" s="276">
        <f>+'COM Chillers'!Q43</f>
        <v>1.8523694117647054</v>
      </c>
      <c r="AU41" s="276">
        <f>+'COM Occ. Sens.'!Q43</f>
        <v>7.1004033999999985</v>
      </c>
      <c r="AV41" s="276">
        <f>+'COM Ref'!Q43</f>
        <v>5.9219999999999995E-2</v>
      </c>
      <c r="AW41" s="276">
        <f>+'COM WH'!Q43</f>
        <v>4.2769999999999996E-3</v>
      </c>
      <c r="AX41" s="738">
        <f>+'COM Lighting'!Q43</f>
        <v>19.317446815739537</v>
      </c>
      <c r="AY41" s="276">
        <f>'COM Cond. Light'!Q43</f>
        <v>8.5260000000000034</v>
      </c>
      <c r="AZ41" s="276">
        <f>'COM Non Cond. Light'!Q43</f>
        <v>2.0914499999999996</v>
      </c>
      <c r="BA41" s="276">
        <f>+'COM CV'!Q43</f>
        <v>3.2838099999999995</v>
      </c>
      <c r="BB41" s="276">
        <f>'COM TES'!Q43</f>
        <v>0</v>
      </c>
      <c r="BC41" s="738">
        <f>+'Street Light Conv'!Q43</f>
        <v>0</v>
      </c>
      <c r="BD41" s="276">
        <f>'COM ECM'!Q43</f>
        <v>0</v>
      </c>
      <c r="BE41" s="738">
        <f>'COM HVAC ReCommissioning'!Q43</f>
        <v>0</v>
      </c>
      <c r="BF41" s="276">
        <f>'COM Cool Roof'!Q43</f>
        <v>0</v>
      </c>
      <c r="BG41" s="738">
        <f>'COM HVAC ReCommissioning'!Q43</f>
        <v>0</v>
      </c>
      <c r="BH41" s="738">
        <f>'COM ERV'!Q43</f>
        <v>2.1419999999999998E-2</v>
      </c>
      <c r="BI41" s="738">
        <f>'COM School PV'!Q43</f>
        <v>0</v>
      </c>
      <c r="BJ41" s="276">
        <f>'COM PV'!Q43</f>
        <v>0</v>
      </c>
      <c r="BK41" s="277">
        <f t="shared" si="15"/>
        <v>76.792229525828503</v>
      </c>
      <c r="BL41" s="276">
        <f>+'COM LM (cyc)'!T43</f>
        <v>0</v>
      </c>
      <c r="BM41" s="276">
        <f>+'COM LM (ext)'!T43</f>
        <v>0.78</v>
      </c>
      <c r="BN41" s="276">
        <f>+'COM SB Gen'!T43</f>
        <v>55.422335353535367</v>
      </c>
      <c r="BO41" s="276">
        <f>+'COM DMD Response'!Q43</f>
        <v>40</v>
      </c>
      <c r="BP41" s="1106">
        <f t="shared" si="7"/>
        <v>96.202335353535375</v>
      </c>
      <c r="BQ41" s="718">
        <f t="shared" si="11"/>
        <v>172.99456487936388</v>
      </c>
      <c r="BS41" s="269">
        <v>2030</v>
      </c>
      <c r="BT41" s="1087">
        <f>+'C-I FREE'!U43</f>
        <v>23.140433204057274</v>
      </c>
      <c r="BU41" s="1088">
        <f>+'C-I Paid'!U43</f>
        <v>0.22405050000000001</v>
      </c>
      <c r="BV41" s="738">
        <f>+'C-I Mail-In'!U43</f>
        <v>0.33984000000000003</v>
      </c>
      <c r="BW41" s="276">
        <f>+'COM Cooling'!U43</f>
        <v>14.203152814404696</v>
      </c>
      <c r="BX41" s="276">
        <f>+'COM Duct'!U43</f>
        <v>20.196474130447477</v>
      </c>
      <c r="BY41" s="738">
        <f>+'COM Bldg Envel'!U43</f>
        <v>2.0868557382133996</v>
      </c>
      <c r="BZ41" s="276">
        <f>'COM CI'!U43</f>
        <v>6.9384347200000001</v>
      </c>
      <c r="CA41" s="276">
        <f>'COM WI'!U43</f>
        <v>1.8414000000000003E-2</v>
      </c>
      <c r="CB41" s="738">
        <f>+'COM EEMotors'!U43</f>
        <v>0.31173319999999993</v>
      </c>
      <c r="CC41" s="276">
        <f>+'COM Chillers'!U43</f>
        <v>7.8453394117647095</v>
      </c>
      <c r="CD41" s="276">
        <f>+'COM Occ. Sens.'!U43</f>
        <v>9.9333402799999959</v>
      </c>
      <c r="CE41" s="276">
        <f>+'COM Ref'!U43</f>
        <v>0.60785100000000003</v>
      </c>
      <c r="CF41" s="276">
        <f>+'COM WH'!U43</f>
        <v>6.3922500000000007E-2</v>
      </c>
      <c r="CG41" s="738">
        <f>+'COM Lighting'!U43</f>
        <v>205.6838343902898</v>
      </c>
      <c r="CH41" s="276">
        <f>'COM Cond. Light'!U43</f>
        <v>51.553952659999986</v>
      </c>
      <c r="CI41" s="276">
        <f>'COM Non Cond. Light'!U43</f>
        <v>10.612122430000003</v>
      </c>
      <c r="CJ41" s="276">
        <f>+'COM CV'!U43</f>
        <v>21.804821090833343</v>
      </c>
      <c r="CK41" s="276">
        <f>'COM TES'!U43</f>
        <v>1.2604819999999999</v>
      </c>
      <c r="CL41" s="738">
        <f>+'Street Light Conv'!U43</f>
        <v>16</v>
      </c>
      <c r="CM41" s="276">
        <f>'COM ECM'!U43</f>
        <v>2.8683850000000018E-2</v>
      </c>
      <c r="CN41" s="738">
        <f>'COM HVAC ReCommissioning'!U43</f>
        <v>1.1355234999999999</v>
      </c>
      <c r="CO41" s="276">
        <f>'COM Cool Roof'!U43</f>
        <v>18.307118309666667</v>
      </c>
      <c r="CP41" s="738">
        <f>'COM HVAC ReCommissioning'!U43</f>
        <v>1.1355234999999999</v>
      </c>
      <c r="CQ41" s="738">
        <f>'COM ERV'!U43</f>
        <v>3.1329000000000003E-2</v>
      </c>
      <c r="CR41" s="276">
        <f>'COM School PV'!U43</f>
        <v>7.0956000000000005E-2</v>
      </c>
      <c r="CS41" s="276">
        <f>'COM PV'!U43</f>
        <v>0.42825849999999999</v>
      </c>
      <c r="CT41" s="746">
        <f t="shared" ref="CT41:CT42" si="16">SUM(BT41:CS41)-CL41</f>
        <v>397.96244672967742</v>
      </c>
      <c r="CU41" s="741">
        <f>+'COM LM (cyc)'!Z43</f>
        <v>0</v>
      </c>
      <c r="CV41" s="276">
        <f>+'COM LM (ext)'!Z43</f>
        <v>0</v>
      </c>
      <c r="CW41" s="276">
        <f>+'COM SB Gen'!Z43</f>
        <v>5.5888610081204222</v>
      </c>
      <c r="CX41" s="276">
        <f>+'COM DMD Response'!U43</f>
        <v>3.8694796249999994</v>
      </c>
      <c r="CY41" s="277">
        <f t="shared" si="12"/>
        <v>9.4583406331204216</v>
      </c>
      <c r="CZ41" s="744">
        <f t="shared" si="13"/>
        <v>407.42078736279785</v>
      </c>
    </row>
    <row r="42" spans="1:105" x14ac:dyDescent="0.2">
      <c r="A42" s="269">
        <v>2031</v>
      </c>
      <c r="B42" s="1081">
        <f>+'C-I FREE'!M44</f>
        <v>13.723332732696898</v>
      </c>
      <c r="C42" s="1082">
        <f>+'C-I Paid'!M44</f>
        <v>0.39515000000000006</v>
      </c>
      <c r="D42" s="981">
        <f>+'C-I Mail-In'!M44</f>
        <v>7.9649999999999999E-2</v>
      </c>
      <c r="E42" s="979">
        <f>+'COM Cooling'!M44</f>
        <v>4.8205176259648965</v>
      </c>
      <c r="F42" s="979">
        <f>+'COM Duct'!M44</f>
        <v>6.2218560116731538</v>
      </c>
      <c r="G42" s="981">
        <f>+'COM Bldg Envel'!M44</f>
        <v>1.5417364801488831</v>
      </c>
      <c r="H42" s="979">
        <f>'COM CI'!M44</f>
        <v>0.58450999999999986</v>
      </c>
      <c r="I42" s="979">
        <f>'COM WI'!M44</f>
        <v>1.4500000000000006E-2</v>
      </c>
      <c r="J42" s="981">
        <f>+'COM EEMotors'!M44</f>
        <v>5.9989999999999995E-2</v>
      </c>
      <c r="K42" s="979">
        <f>+'COM Chillers'!M44</f>
        <v>3.0025099999999982</v>
      </c>
      <c r="L42" s="979">
        <f>+'COM Occ. Sens.'!M44</f>
        <v>9.3076107000000032</v>
      </c>
      <c r="M42" s="979">
        <f>+'COM Ref'!M44</f>
        <v>4.0902000000000008E-2</v>
      </c>
      <c r="N42" s="979">
        <f>+'COM WH'!M44</f>
        <v>9.1494999999999979E-3</v>
      </c>
      <c r="O42" s="981">
        <f>+'COM Lighting'!M44</f>
        <v>42.797152579639551</v>
      </c>
      <c r="P42" s="979">
        <f>'COM Cond. Light'!M44</f>
        <v>11.682754999999997</v>
      </c>
      <c r="Q42" s="979">
        <f>'COM Non Cond. Light'!M44</f>
        <v>2.2592899999999996</v>
      </c>
      <c r="R42" s="979">
        <f>+'COM CV'!M44</f>
        <v>13.707700833333343</v>
      </c>
      <c r="S42" s="979">
        <f>'COM TES'!M44</f>
        <v>13.052369999999996</v>
      </c>
      <c r="T42" s="981">
        <f>+'Street Light Conv'!M44</f>
        <v>0</v>
      </c>
      <c r="U42" s="979">
        <f>'COM ECM'!M44</f>
        <v>5.5299999999999981E-2</v>
      </c>
      <c r="V42" s="981">
        <f>'COM ECM HVAC'!M44</f>
        <v>0</v>
      </c>
      <c r="W42" s="979">
        <f>'COM Cool Roof'!M44</f>
        <v>6.2091444444444432</v>
      </c>
      <c r="X42" s="981">
        <f>'COM HVAC ReCommissioning'!M44</f>
        <v>0.48852000000000001</v>
      </c>
      <c r="Y42" s="981">
        <f>'COM ERV'!M44</f>
        <v>2.0009999999999997E-2</v>
      </c>
      <c r="Z42" s="981">
        <f>'COM School PV'!M44</f>
        <v>2.52E-2</v>
      </c>
      <c r="AA42" s="981">
        <f>'COM PV'!M44</f>
        <v>0.17368999999999998</v>
      </c>
      <c r="AB42" s="277">
        <f t="shared" si="14"/>
        <v>123.30068346345674</v>
      </c>
      <c r="AC42" s="276">
        <f>+'COM LM (cyc)'!N44</f>
        <v>0.38133333333333325</v>
      </c>
      <c r="AD42" s="276">
        <f>+'COM LM (ext)'!N44</f>
        <v>1.3340000000000001</v>
      </c>
      <c r="AE42" s="276">
        <f>+'COM SB Gen'!N44</f>
        <v>56.51966345811055</v>
      </c>
      <c r="AF42" s="276">
        <f>+'COM DMD Response'!M44</f>
        <v>40</v>
      </c>
      <c r="AG42" s="277">
        <f t="shared" si="5"/>
        <v>98.234996791443876</v>
      </c>
      <c r="AH42" s="277">
        <f t="shared" si="10"/>
        <v>221.53568025490063</v>
      </c>
      <c r="AI42" s="176"/>
      <c r="AJ42" s="748">
        <v>2031</v>
      </c>
      <c r="AK42" s="1088">
        <f>+'C-I FREE'!Q44</f>
        <v>32.695633102625322</v>
      </c>
      <c r="AL42" s="1088">
        <f>+'C-I Paid'!Q44</f>
        <v>0.91469</v>
      </c>
      <c r="AM42" s="738">
        <f>+'C-I Mail-In'!Q44</f>
        <v>6.0399999999999995E-2</v>
      </c>
      <c r="AN42" s="276">
        <f>+'COM Cooling'!Q44</f>
        <v>3.2532051282051278E-3</v>
      </c>
      <c r="AO42" s="276">
        <f>+'COM Duct'!Q44</f>
        <v>0.76612000000000002</v>
      </c>
      <c r="AP42" s="738">
        <f>+'COM Bldg Envel'!Q44</f>
        <v>2.2436590570719603E-2</v>
      </c>
      <c r="AQ42" s="276">
        <f>'COM CI'!Q44</f>
        <v>1.5100000000000006E-2</v>
      </c>
      <c r="AR42" s="276">
        <f>'COM WI'!Q44</f>
        <v>1.0919999999999999E-2</v>
      </c>
      <c r="AS42" s="738">
        <f>+'COM EEMotors'!Q44</f>
        <v>4.9059999999999999E-2</v>
      </c>
      <c r="AT42" s="276">
        <f>+'COM Chillers'!Q44</f>
        <v>1.9163194117647053</v>
      </c>
      <c r="AU42" s="276">
        <f>+'COM Occ. Sens.'!Q44</f>
        <v>7.3927533999999984</v>
      </c>
      <c r="AV42" s="276">
        <f>+'COM Ref'!Q44</f>
        <v>6.4484E-2</v>
      </c>
      <c r="AW42" s="276">
        <f>+'COM WH'!Q44</f>
        <v>4.6059999999999999E-3</v>
      </c>
      <c r="AX42" s="738">
        <f>+'COM Lighting'!Q44</f>
        <v>19.317446815739537</v>
      </c>
      <c r="AY42" s="276">
        <f>'COM Cond. Light'!Q44</f>
        <v>8.9900000000000038</v>
      </c>
      <c r="AZ42" s="276">
        <f>'COM Non Cond. Light'!Q44</f>
        <v>2.2009499999999997</v>
      </c>
      <c r="BA42" s="276">
        <f>+'COM CV'!Q44</f>
        <v>3.2838099999999995</v>
      </c>
      <c r="BB42" s="276">
        <f>'COM TES'!Q44</f>
        <v>0</v>
      </c>
      <c r="BC42" s="738">
        <f>+'Street Light Conv'!Q44</f>
        <v>0</v>
      </c>
      <c r="BD42" s="276">
        <f>'COM ECM'!Q44</f>
        <v>0</v>
      </c>
      <c r="BE42" s="738">
        <f>'COM HVAC ReCommissioning'!Q44</f>
        <v>0</v>
      </c>
      <c r="BF42" s="276">
        <f>'COM Cool Roof'!Q44</f>
        <v>0</v>
      </c>
      <c r="BG42" s="738">
        <f>'COM HVAC ReCommissioning'!Q44</f>
        <v>0</v>
      </c>
      <c r="BH42" s="738">
        <f>'COM ERV'!Q44</f>
        <v>2.1419999999999998E-2</v>
      </c>
      <c r="BI42" s="738">
        <f>'COM School PV'!Q44</f>
        <v>0</v>
      </c>
      <c r="BJ42" s="276">
        <f>'COM PV'!Q44</f>
        <v>0</v>
      </c>
      <c r="BK42" s="277">
        <f t="shared" si="15"/>
        <v>77.729402525828505</v>
      </c>
      <c r="BL42" s="276">
        <f>+'COM LM (cyc)'!T44</f>
        <v>0</v>
      </c>
      <c r="BM42" s="276">
        <f>+'COM LM (ext)'!T44</f>
        <v>0.84</v>
      </c>
      <c r="BN42" s="276">
        <f>+'COM SB Gen'!T44</f>
        <v>55.955242424242435</v>
      </c>
      <c r="BO42" s="276">
        <f>+'COM DMD Response'!Q44</f>
        <v>40</v>
      </c>
      <c r="BP42" s="1106">
        <f t="shared" si="7"/>
        <v>96.795242424242446</v>
      </c>
      <c r="BQ42" s="718">
        <f t="shared" si="11"/>
        <v>174.52464495007095</v>
      </c>
      <c r="BS42" s="269">
        <v>2031</v>
      </c>
      <c r="BT42" s="1087">
        <f>+'C-I FREE'!U44</f>
        <v>23.140433204057274</v>
      </c>
      <c r="BU42" s="1088">
        <f>+'C-I Paid'!U44</f>
        <v>0.22405050000000001</v>
      </c>
      <c r="BV42" s="738">
        <f>+'C-I Mail-In'!U44</f>
        <v>0.33984000000000003</v>
      </c>
      <c r="BW42" s="276">
        <f>+'COM Cooling'!U44</f>
        <v>14.473452814404697</v>
      </c>
      <c r="BX42" s="276">
        <f>+'COM Duct'!U44</f>
        <v>20.369874130447478</v>
      </c>
      <c r="BY42" s="738">
        <f>+'COM Bldg Envel'!U44</f>
        <v>2.0868557382133996</v>
      </c>
      <c r="BZ42" s="276">
        <f>'COM CI'!U44</f>
        <v>7.41368472</v>
      </c>
      <c r="CA42" s="276">
        <f>'COM WI'!U44</f>
        <v>1.9778000000000004E-2</v>
      </c>
      <c r="CB42" s="738">
        <f>+'COM EEMotors'!U44</f>
        <v>0.31173319999999993</v>
      </c>
      <c r="CC42" s="276">
        <f>+'COM Chillers'!U44</f>
        <v>8.0847744117647089</v>
      </c>
      <c r="CD42" s="276">
        <f>+'COM Occ. Sens.'!U44</f>
        <v>10.349920279999996</v>
      </c>
      <c r="CE42" s="276">
        <f>+'COM Ref'!U44</f>
        <v>0.65958300000000003</v>
      </c>
      <c r="CF42" s="276">
        <f>+'COM WH'!U44</f>
        <v>6.865750000000001E-2</v>
      </c>
      <c r="CG42" s="738">
        <f>+'COM Lighting'!U44</f>
        <v>205.6838343902898</v>
      </c>
      <c r="CH42" s="276">
        <f>'COM Cond. Light'!U44</f>
        <v>54.355592659999985</v>
      </c>
      <c r="CI42" s="276">
        <f>'COM Non Cond. Light'!U44</f>
        <v>11.155562430000003</v>
      </c>
      <c r="CJ42" s="276">
        <f>+'COM CV'!U44</f>
        <v>21.814575090833344</v>
      </c>
      <c r="CK42" s="276">
        <f>'COM TES'!U44</f>
        <v>1.3567019999999999</v>
      </c>
      <c r="CL42" s="738">
        <f>+'Street Light Conv'!U44</f>
        <v>16</v>
      </c>
      <c r="CM42" s="276">
        <f>'COM ECM'!U44</f>
        <v>2.8743850000000019E-2</v>
      </c>
      <c r="CN42" s="738">
        <f>'COM HVAC ReCommissioning'!U44</f>
        <v>1.1355234999999999</v>
      </c>
      <c r="CO42" s="276">
        <f>'COM Cool Roof'!U44</f>
        <v>19.020958309666668</v>
      </c>
      <c r="CP42" s="738">
        <f>'COM HVAC ReCommissioning'!U44</f>
        <v>1.1355234999999999</v>
      </c>
      <c r="CQ42" s="738">
        <f>'COM ERV'!U44</f>
        <v>3.1329000000000003E-2</v>
      </c>
      <c r="CR42" s="276">
        <f>'COM School PV'!U44</f>
        <v>7.0956000000000005E-2</v>
      </c>
      <c r="CS42" s="276">
        <f>'COM PV'!U44</f>
        <v>0.42825849999999999</v>
      </c>
      <c r="CT42" s="746">
        <f t="shared" si="16"/>
        <v>403.76019672967738</v>
      </c>
      <c r="CU42" s="741">
        <f>+'COM LM (cyc)'!Z44</f>
        <v>0</v>
      </c>
      <c r="CV42" s="276">
        <f>+'COM LM (ext)'!Z44</f>
        <v>0</v>
      </c>
      <c r="CW42" s="276">
        <f>+'COM SB Gen'!Z44</f>
        <v>5.6284488027332165</v>
      </c>
      <c r="CX42" s="276">
        <f>+'COM DMD Response'!U44</f>
        <v>3.9047736249999994</v>
      </c>
      <c r="CY42" s="277">
        <f t="shared" si="12"/>
        <v>9.5332224277332163</v>
      </c>
      <c r="CZ42" s="744">
        <f t="shared" si="13"/>
        <v>413.2934191574106</v>
      </c>
    </row>
    <row r="43" spans="1:105" x14ac:dyDescent="0.2">
      <c r="A43" s="269">
        <v>2032</v>
      </c>
      <c r="B43" s="1081">
        <f>+'C-I FREE'!M45</f>
        <v>13.723332732696898</v>
      </c>
      <c r="C43" s="1082">
        <f>+'C-I Paid'!M45</f>
        <v>0.39515000000000006</v>
      </c>
      <c r="D43" s="981">
        <f>+'C-I Mail-In'!M45</f>
        <v>7.9649999999999999E-2</v>
      </c>
      <c r="E43" s="979">
        <f>+'COM Cooling'!M45</f>
        <v>4.9605176259648962</v>
      </c>
      <c r="F43" s="979">
        <f>+'COM Duct'!M45</f>
        <v>6.2598560116731541</v>
      </c>
      <c r="G43" s="981">
        <f>+'COM Bldg Envel'!M45</f>
        <v>1.5417364801488831</v>
      </c>
      <c r="H43" s="979">
        <f>'COM CI'!M45</f>
        <v>0.62200999999999984</v>
      </c>
      <c r="I43" s="979">
        <f>'COM WI'!M45</f>
        <v>1.5500000000000007E-2</v>
      </c>
      <c r="J43" s="981">
        <f>+'COM EEMotors'!M45</f>
        <v>5.9989999999999995E-2</v>
      </c>
      <c r="K43" s="979">
        <f>+'COM Chillers'!M45</f>
        <v>3.0877599999999981</v>
      </c>
      <c r="L43" s="979">
        <f>+'COM Occ. Sens.'!M45</f>
        <v>9.6802107000000035</v>
      </c>
      <c r="M43" s="979">
        <f>+'COM Ref'!M45</f>
        <v>4.411000000000001E-2</v>
      </c>
      <c r="N43" s="979">
        <f>+'COM WH'!M45</f>
        <v>9.7804999999999975E-3</v>
      </c>
      <c r="O43" s="981">
        <f>+'COM Lighting'!M45</f>
        <v>42.797152579639551</v>
      </c>
      <c r="P43" s="979">
        <f>'COM Cond. Light'!M45</f>
        <v>12.278354999999996</v>
      </c>
      <c r="Q43" s="979">
        <f>'COM Non Cond. Light'!M45</f>
        <v>2.3687899999999997</v>
      </c>
      <c r="R43" s="979">
        <f>+'COM CV'!M45</f>
        <v>14.065700833333343</v>
      </c>
      <c r="S43" s="979">
        <f>'COM TES'!M45</f>
        <v>13.978069999999995</v>
      </c>
      <c r="T43" s="981">
        <f>+'Street Light Conv'!M45</f>
        <v>0</v>
      </c>
      <c r="U43" s="979">
        <f>'COM ECM'!M45</f>
        <v>5.549999999999998E-2</v>
      </c>
      <c r="V43" s="981">
        <f>'COM ECM HVAC'!M45</f>
        <v>0</v>
      </c>
      <c r="W43" s="979">
        <f>'COM Cool Roof'!M45</f>
        <v>6.501944444444443</v>
      </c>
      <c r="X43" s="981">
        <f>'COM HVAC ReCommissioning'!M45</f>
        <v>0.48852000000000001</v>
      </c>
      <c r="Y43" s="981">
        <f>'COM ERV'!M45</f>
        <v>2.0009999999999997E-2</v>
      </c>
      <c r="Z43" s="981">
        <f>'COM School PV'!M45</f>
        <v>2.52E-2</v>
      </c>
      <c r="AA43" s="981">
        <f>'COM PV'!M45</f>
        <v>0.17368999999999998</v>
      </c>
      <c r="AB43" s="277">
        <f t="shared" ref="AB43:AB52" si="17">SUM(B43:T43)</f>
        <v>125.96767246345672</v>
      </c>
      <c r="AC43" s="276">
        <f>+'COM LM (cyc)'!N45</f>
        <v>0.39453333333333324</v>
      </c>
      <c r="AD43" s="276">
        <f>+'COM LM (ext)'!N45</f>
        <v>1.4259999999999999</v>
      </c>
      <c r="AE43" s="276">
        <f>+'COM SB Gen'!N45</f>
        <v>56.817663458110545</v>
      </c>
      <c r="AF43" s="276">
        <f>+'COM DMD Response'!M45</f>
        <v>40</v>
      </c>
      <c r="AG43" s="277">
        <f t="shared" si="5"/>
        <v>98.638196791443875</v>
      </c>
      <c r="AH43" s="277">
        <f t="shared" si="10"/>
        <v>224.6058692549006</v>
      </c>
      <c r="AI43" s="176"/>
      <c r="AJ43" s="748">
        <v>2032</v>
      </c>
      <c r="AK43" s="1088">
        <f>+'C-I FREE'!Q45</f>
        <v>32.695633102625322</v>
      </c>
      <c r="AL43" s="1088">
        <f>+'C-I Paid'!Q45</f>
        <v>0.91469</v>
      </c>
      <c r="AM43" s="738">
        <f>+'C-I Mail-In'!Q45</f>
        <v>6.0399999999999995E-2</v>
      </c>
      <c r="AN43" s="276">
        <f>+'COM Cooling'!Q45</f>
        <v>3.2532051282051278E-3</v>
      </c>
      <c r="AO43" s="276">
        <f>+'COM Duct'!Q45</f>
        <v>0.76612000000000002</v>
      </c>
      <c r="AP43" s="738">
        <f>+'COM Bldg Envel'!Q45</f>
        <v>2.2436590570719603E-2</v>
      </c>
      <c r="AQ43" s="276">
        <f>'COM CI'!Q45</f>
        <v>1.6100000000000007E-2</v>
      </c>
      <c r="AR43" s="276">
        <f>'COM WI'!Q45</f>
        <v>1.1699999999999999E-2</v>
      </c>
      <c r="AS43" s="738">
        <f>+'COM EEMotors'!Q45</f>
        <v>4.9059999999999999E-2</v>
      </c>
      <c r="AT43" s="276">
        <f>+'COM Chillers'!Q45</f>
        <v>1.9802694117647053</v>
      </c>
      <c r="AU43" s="276">
        <f>+'COM Occ. Sens.'!Q45</f>
        <v>7.6851033999999983</v>
      </c>
      <c r="AV43" s="276">
        <f>+'COM Ref'!Q45</f>
        <v>6.9748000000000004E-2</v>
      </c>
      <c r="AW43" s="276">
        <f>+'COM WH'!Q45</f>
        <v>4.9350000000000002E-3</v>
      </c>
      <c r="AX43" s="738">
        <f>+'COM Lighting'!Q45</f>
        <v>19.317446815739537</v>
      </c>
      <c r="AY43" s="276">
        <f>'COM Cond. Light'!Q45</f>
        <v>9.4540000000000042</v>
      </c>
      <c r="AZ43" s="276">
        <f>'COM Non Cond. Light'!Q45</f>
        <v>2.3104499999999999</v>
      </c>
      <c r="BA43" s="276">
        <f>+'COM CV'!Q45</f>
        <v>3.2838099999999995</v>
      </c>
      <c r="BB43" s="276">
        <f>'COM TES'!Q45</f>
        <v>0</v>
      </c>
      <c r="BC43" s="738">
        <f>+'Street Light Conv'!Q45</f>
        <v>0</v>
      </c>
      <c r="BD43" s="276">
        <f>'COM ECM'!Q45</f>
        <v>0</v>
      </c>
      <c r="BE43" s="738">
        <f>'COM HVAC ReCommissioning'!Q45</f>
        <v>0</v>
      </c>
      <c r="BF43" s="276">
        <f>'COM Cool Roof'!Q45</f>
        <v>0</v>
      </c>
      <c r="BG43" s="738">
        <f>'COM HVAC ReCommissioning'!Q45</f>
        <v>0</v>
      </c>
      <c r="BH43" s="738">
        <f>'COM ERV'!Q45</f>
        <v>2.1419999999999998E-2</v>
      </c>
      <c r="BI43" s="738">
        <f>'COM School PV'!Q45</f>
        <v>0</v>
      </c>
      <c r="BJ43" s="276">
        <f>'COM PV'!Q45</f>
        <v>0</v>
      </c>
      <c r="BK43" s="277">
        <f t="shared" ref="BK43:BK52" si="18">SUM(AK43:BJ43)</f>
        <v>78.666575525828492</v>
      </c>
      <c r="BL43" s="276">
        <f>+'COM LM (cyc)'!T45</f>
        <v>0</v>
      </c>
      <c r="BM43" s="276">
        <f>+'COM LM (ext)'!T45</f>
        <v>0.9</v>
      </c>
      <c r="BN43" s="276">
        <f>+'COM SB Gen'!T45</f>
        <v>56.488149494949511</v>
      </c>
      <c r="BO43" s="276">
        <f>+'COM DMD Response'!Q45</f>
        <v>40</v>
      </c>
      <c r="BP43" s="1106">
        <f t="shared" si="7"/>
        <v>97.388149494949516</v>
      </c>
      <c r="BQ43" s="718">
        <f t="shared" si="11"/>
        <v>176.05472502077799</v>
      </c>
      <c r="BS43" s="269">
        <v>2032</v>
      </c>
      <c r="BT43" s="1087">
        <f>+'C-I FREE'!U45</f>
        <v>23.140433204057274</v>
      </c>
      <c r="BU43" s="1088">
        <f>+'C-I Paid'!U45</f>
        <v>0.22405050000000001</v>
      </c>
      <c r="BV43" s="738">
        <f>+'C-I Mail-In'!U45</f>
        <v>0.33984000000000003</v>
      </c>
      <c r="BW43" s="276">
        <f>+'COM Cooling'!U45</f>
        <v>14.743752814404697</v>
      </c>
      <c r="BX43" s="276">
        <f>+'COM Duct'!U45</f>
        <v>20.543274130447479</v>
      </c>
      <c r="BY43" s="738">
        <f>+'COM Bldg Envel'!U45</f>
        <v>2.0868557382133996</v>
      </c>
      <c r="BZ43" s="276">
        <f>'COM CI'!U45</f>
        <v>7.88893472</v>
      </c>
      <c r="CA43" s="276">
        <f>'COM WI'!U45</f>
        <v>2.1142000000000005E-2</v>
      </c>
      <c r="CB43" s="738">
        <f>+'COM EEMotors'!U45</f>
        <v>0.31173319999999993</v>
      </c>
      <c r="CC43" s="276">
        <f>+'COM Chillers'!U45</f>
        <v>8.3242094117647092</v>
      </c>
      <c r="CD43" s="276">
        <f>+'COM Occ. Sens.'!U45</f>
        <v>10.766500279999995</v>
      </c>
      <c r="CE43" s="276">
        <f>+'COM Ref'!U45</f>
        <v>0.71131500000000003</v>
      </c>
      <c r="CF43" s="276">
        <f>+'COM WH'!U45</f>
        <v>7.3392500000000013E-2</v>
      </c>
      <c r="CG43" s="738">
        <f>+'COM Lighting'!U45</f>
        <v>205.6838343902898</v>
      </c>
      <c r="CH43" s="276">
        <f>'COM Cond. Light'!U45</f>
        <v>57.157232659999984</v>
      </c>
      <c r="CI43" s="276">
        <f>'COM Non Cond. Light'!U45</f>
        <v>11.699002430000004</v>
      </c>
      <c r="CJ43" s="276">
        <f>+'COM CV'!U45</f>
        <v>21.824329090833345</v>
      </c>
      <c r="CK43" s="276">
        <f>'COM TES'!U45</f>
        <v>1.4529219999999998</v>
      </c>
      <c r="CL43" s="738">
        <f>+'Street Light Conv'!U45</f>
        <v>16</v>
      </c>
      <c r="CM43" s="276">
        <f>'COM ECM'!U45</f>
        <v>2.880385000000002E-2</v>
      </c>
      <c r="CN43" s="738">
        <f>'COM HVAC ReCommissioning'!U45</f>
        <v>1.1355234999999999</v>
      </c>
      <c r="CO43" s="276">
        <f>'COM Cool Roof'!U45</f>
        <v>19.734798309666669</v>
      </c>
      <c r="CP43" s="738">
        <f>'COM HVAC ReCommissioning'!U45</f>
        <v>1.1355234999999999</v>
      </c>
      <c r="CQ43" s="738">
        <f>'COM ERV'!U45</f>
        <v>3.1329000000000003E-2</v>
      </c>
      <c r="CR43" s="276">
        <f>'COM School PV'!U45</f>
        <v>7.0956000000000005E-2</v>
      </c>
      <c r="CS43" s="276">
        <f>'COM PV'!U45</f>
        <v>0.42825849999999999</v>
      </c>
      <c r="CT43" s="746">
        <f t="shared" ref="CT43:CT52" si="19">SUM(BT43:CS43)-CL43</f>
        <v>409.55794672967733</v>
      </c>
      <c r="CU43" s="741">
        <f>+'COM LM (cyc)'!Z45</f>
        <v>0</v>
      </c>
      <c r="CV43" s="276">
        <f>+'COM LM (ext)'!Z45</f>
        <v>0</v>
      </c>
      <c r="CW43" s="276">
        <f>+'COM SB Gen'!Z45</f>
        <v>5.6680365973460116</v>
      </c>
      <c r="CX43" s="276">
        <f>+'COM DMD Response'!U45</f>
        <v>3.9400676249999993</v>
      </c>
      <c r="CY43" s="277">
        <f t="shared" si="12"/>
        <v>9.6081042223460109</v>
      </c>
      <c r="CZ43" s="744">
        <f t="shared" si="13"/>
        <v>419.16605095202334</v>
      </c>
    </row>
    <row r="44" spans="1:105" s="176" customFormat="1" x14ac:dyDescent="0.2">
      <c r="A44" s="269">
        <v>2033</v>
      </c>
      <c r="B44" s="1081">
        <f>+'C-I FREE'!M46</f>
        <v>13.723332732696898</v>
      </c>
      <c r="C44" s="1082">
        <f>+'C-I Paid'!M46</f>
        <v>0.39515000000000006</v>
      </c>
      <c r="D44" s="981">
        <f>+'C-I Mail-In'!M46</f>
        <v>7.9649999999999999E-2</v>
      </c>
      <c r="E44" s="979">
        <f>+'COM Cooling'!M46</f>
        <v>5.1005176259648959</v>
      </c>
      <c r="F44" s="979">
        <f>+'COM Duct'!M46</f>
        <v>6.2978560116731543</v>
      </c>
      <c r="G44" s="981">
        <f>+'COM Bldg Envel'!M46</f>
        <v>1.5417364801488831</v>
      </c>
      <c r="H44" s="979">
        <f>'COM CI'!M46</f>
        <v>0.65950999999999982</v>
      </c>
      <c r="I44" s="979">
        <f>'COM WI'!M46</f>
        <v>1.6500000000000008E-2</v>
      </c>
      <c r="J44" s="981">
        <f>+'COM EEMotors'!M46</f>
        <v>5.9989999999999995E-2</v>
      </c>
      <c r="K44" s="979">
        <f>+'COM Chillers'!M46</f>
        <v>3.1730099999999979</v>
      </c>
      <c r="L44" s="979">
        <f>+'COM Occ. Sens.'!M46</f>
        <v>10.052810700000004</v>
      </c>
      <c r="M44" s="979">
        <f>+'COM Ref'!M46</f>
        <v>4.7318000000000013E-2</v>
      </c>
      <c r="N44" s="979">
        <f>+'COM WH'!M46</f>
        <v>1.0411499999999997E-2</v>
      </c>
      <c r="O44" s="981">
        <f>+'COM Lighting'!M46</f>
        <v>42.797152579639551</v>
      </c>
      <c r="P44" s="979">
        <f>'COM Cond. Light'!M46</f>
        <v>12.873954999999995</v>
      </c>
      <c r="Q44" s="979">
        <f>'COM Non Cond. Light'!M46</f>
        <v>2.4782899999999999</v>
      </c>
      <c r="R44" s="979">
        <f>+'COM CV'!M46</f>
        <v>14.423700833333344</v>
      </c>
      <c r="S44" s="979">
        <f>'COM TES'!M46</f>
        <v>14.903769999999994</v>
      </c>
      <c r="T44" s="981">
        <f>+'Street Light Conv'!M46</f>
        <v>0</v>
      </c>
      <c r="U44" s="979">
        <f>'COM ECM'!M46</f>
        <v>5.5699999999999979E-2</v>
      </c>
      <c r="V44" s="981">
        <f>'COM ECM HVAC'!M46</f>
        <v>0</v>
      </c>
      <c r="W44" s="979">
        <f>'COM Cool Roof'!M46</f>
        <v>6.7947444444444427</v>
      </c>
      <c r="X44" s="981">
        <f>'COM HVAC ReCommissioning'!M46</f>
        <v>0.48852000000000001</v>
      </c>
      <c r="Y44" s="981">
        <f>'COM ERV'!M46</f>
        <v>2.0009999999999997E-2</v>
      </c>
      <c r="Z44" s="981">
        <f>'COM School PV'!M46</f>
        <v>2.52E-2</v>
      </c>
      <c r="AA44" s="981">
        <f>'COM PV'!M46</f>
        <v>0.17368999999999998</v>
      </c>
      <c r="AB44" s="277">
        <f t="shared" si="17"/>
        <v>128.63466146345672</v>
      </c>
      <c r="AC44" s="276">
        <f>+'COM LM (cyc)'!N46</f>
        <v>0.40773333333333323</v>
      </c>
      <c r="AD44" s="276">
        <f>+'COM LM (ext)'!N46</f>
        <v>1.518</v>
      </c>
      <c r="AE44" s="276">
        <f>+'COM SB Gen'!N46</f>
        <v>57.115663458110546</v>
      </c>
      <c r="AF44" s="276">
        <f>+'COM DMD Response'!M46</f>
        <v>40</v>
      </c>
      <c r="AG44" s="277">
        <f t="shared" si="5"/>
        <v>99.041396791443873</v>
      </c>
      <c r="AH44" s="277">
        <f t="shared" si="10"/>
        <v>227.6760582549006</v>
      </c>
      <c r="AJ44" s="748">
        <v>2033</v>
      </c>
      <c r="AK44" s="1088">
        <f>+'C-I FREE'!Q46</f>
        <v>32.695633102625322</v>
      </c>
      <c r="AL44" s="1088">
        <f>+'C-I Paid'!Q46</f>
        <v>0.91469</v>
      </c>
      <c r="AM44" s="738">
        <f>+'C-I Mail-In'!Q46</f>
        <v>6.0399999999999995E-2</v>
      </c>
      <c r="AN44" s="276">
        <f>+'COM Cooling'!Q46</f>
        <v>3.2532051282051278E-3</v>
      </c>
      <c r="AO44" s="276">
        <f>+'COM Duct'!Q46</f>
        <v>0.76612000000000002</v>
      </c>
      <c r="AP44" s="738">
        <f>+'COM Bldg Envel'!Q46</f>
        <v>2.2436590570719603E-2</v>
      </c>
      <c r="AQ44" s="276">
        <f>'COM CI'!Q46</f>
        <v>1.7100000000000008E-2</v>
      </c>
      <c r="AR44" s="276">
        <f>'COM WI'!Q46</f>
        <v>1.2479999999999998E-2</v>
      </c>
      <c r="AS44" s="738">
        <f>+'COM EEMotors'!Q46</f>
        <v>4.9059999999999999E-2</v>
      </c>
      <c r="AT44" s="276">
        <f>+'COM Chillers'!Q46</f>
        <v>2.0442194117647055</v>
      </c>
      <c r="AU44" s="276">
        <f>+'COM Occ. Sens.'!Q46</f>
        <v>7.9774533999999981</v>
      </c>
      <c r="AV44" s="276">
        <f>+'COM Ref'!Q46</f>
        <v>7.5012000000000009E-2</v>
      </c>
      <c r="AW44" s="276">
        <f>+'COM WH'!Q46</f>
        <v>5.2640000000000004E-3</v>
      </c>
      <c r="AX44" s="738">
        <f>+'COM Lighting'!Q46</f>
        <v>19.317446815739537</v>
      </c>
      <c r="AY44" s="276">
        <f>'COM Cond. Light'!Q46</f>
        <v>9.9180000000000046</v>
      </c>
      <c r="AZ44" s="276">
        <f>'COM Non Cond. Light'!Q46</f>
        <v>2.41995</v>
      </c>
      <c r="BA44" s="276">
        <f>+'COM CV'!Q46</f>
        <v>3.2838099999999995</v>
      </c>
      <c r="BB44" s="276">
        <f>'COM TES'!Q46</f>
        <v>0</v>
      </c>
      <c r="BC44" s="738">
        <f>+'Street Light Conv'!Q46</f>
        <v>0</v>
      </c>
      <c r="BD44" s="276">
        <f>'COM ECM'!Q46</f>
        <v>0</v>
      </c>
      <c r="BE44" s="738">
        <f>'COM HVAC ReCommissioning'!Q46</f>
        <v>0</v>
      </c>
      <c r="BF44" s="276">
        <f>'COM Cool Roof'!Q46</f>
        <v>0</v>
      </c>
      <c r="BG44" s="738">
        <f>'COM HVAC ReCommissioning'!Q46</f>
        <v>0</v>
      </c>
      <c r="BH44" s="738">
        <f>'COM ERV'!Q46</f>
        <v>2.1419999999999998E-2</v>
      </c>
      <c r="BI44" s="738">
        <f>'COM School PV'!Q46</f>
        <v>0</v>
      </c>
      <c r="BJ44" s="276">
        <f>'COM PV'!Q46</f>
        <v>0</v>
      </c>
      <c r="BK44" s="277">
        <f t="shared" si="18"/>
        <v>79.603748525828493</v>
      </c>
      <c r="BL44" s="276">
        <f>+'COM LM (cyc)'!T46</f>
        <v>0</v>
      </c>
      <c r="BM44" s="276">
        <f>+'COM LM (ext)'!T46</f>
        <v>0.96</v>
      </c>
      <c r="BN44" s="276">
        <f>+'COM SB Gen'!T46</f>
        <v>57.021056565656579</v>
      </c>
      <c r="BO44" s="276">
        <f>+'COM DMD Response'!Q46</f>
        <v>40</v>
      </c>
      <c r="BP44" s="1106">
        <f t="shared" si="7"/>
        <v>97.981056565656587</v>
      </c>
      <c r="BQ44" s="718">
        <f t="shared" si="11"/>
        <v>177.58480509148507</v>
      </c>
      <c r="BR44"/>
      <c r="BS44" s="269">
        <v>2033</v>
      </c>
      <c r="BT44" s="1087">
        <f>+'C-I FREE'!U46</f>
        <v>23.140433204057274</v>
      </c>
      <c r="BU44" s="1088">
        <f>+'C-I Paid'!U46</f>
        <v>0.22405050000000001</v>
      </c>
      <c r="BV44" s="738">
        <f>+'C-I Mail-In'!U46</f>
        <v>0.33984000000000003</v>
      </c>
      <c r="BW44" s="276">
        <f>+'COM Cooling'!U46</f>
        <v>15.014052814404698</v>
      </c>
      <c r="BX44" s="276">
        <f>+'COM Duct'!U46</f>
        <v>20.71667413044748</v>
      </c>
      <c r="BY44" s="738">
        <f>+'COM Bldg Envel'!U46</f>
        <v>2.0868557382133996</v>
      </c>
      <c r="BZ44" s="276">
        <f>'COM CI'!U46</f>
        <v>8.3641847200000008</v>
      </c>
      <c r="CA44" s="276">
        <f>'COM WI'!U46</f>
        <v>2.2506000000000005E-2</v>
      </c>
      <c r="CB44" s="738">
        <f>+'COM EEMotors'!U46</f>
        <v>0.31173319999999993</v>
      </c>
      <c r="CC44" s="276">
        <f>+'COM Chillers'!U46</f>
        <v>8.5636444117647095</v>
      </c>
      <c r="CD44" s="276">
        <f>+'COM Occ. Sens.'!U46</f>
        <v>11.183080279999995</v>
      </c>
      <c r="CE44" s="276">
        <f>+'COM Ref'!U46</f>
        <v>0.76304700000000003</v>
      </c>
      <c r="CF44" s="276">
        <f>+'COM WH'!U46</f>
        <v>7.8127500000000016E-2</v>
      </c>
      <c r="CG44" s="738">
        <f>+'COM Lighting'!U46</f>
        <v>205.6838343902898</v>
      </c>
      <c r="CH44" s="276">
        <f>'COM Cond. Light'!U46</f>
        <v>59.958872659999983</v>
      </c>
      <c r="CI44" s="276">
        <f>'COM Non Cond. Light'!U46</f>
        <v>12.242442430000004</v>
      </c>
      <c r="CJ44" s="276">
        <f>+'COM CV'!U46</f>
        <v>21.834083090833346</v>
      </c>
      <c r="CK44" s="276">
        <f>'COM TES'!U46</f>
        <v>1.5491419999999998</v>
      </c>
      <c r="CL44" s="738">
        <f>+'Street Light Conv'!U46</f>
        <v>16</v>
      </c>
      <c r="CM44" s="276">
        <f>'COM ECM'!U46</f>
        <v>2.8863850000000021E-2</v>
      </c>
      <c r="CN44" s="738">
        <f>'COM HVAC ReCommissioning'!U46</f>
        <v>1.1355234999999999</v>
      </c>
      <c r="CO44" s="276">
        <f>'COM Cool Roof'!U46</f>
        <v>20.44863830966667</v>
      </c>
      <c r="CP44" s="738">
        <f>'COM HVAC ReCommissioning'!U46</f>
        <v>1.1355234999999999</v>
      </c>
      <c r="CQ44" s="738">
        <f>'COM ERV'!U46</f>
        <v>3.1329000000000003E-2</v>
      </c>
      <c r="CR44" s="276">
        <f>'COM School PV'!U46</f>
        <v>7.0956000000000005E-2</v>
      </c>
      <c r="CS44" s="276">
        <f>'COM PV'!U46</f>
        <v>0.42825849999999999</v>
      </c>
      <c r="CT44" s="746">
        <f t="shared" si="19"/>
        <v>415.35569672967739</v>
      </c>
      <c r="CU44" s="741">
        <f>+'COM LM (cyc)'!Z46</f>
        <v>0</v>
      </c>
      <c r="CV44" s="276">
        <f>+'COM LM (ext)'!Z46</f>
        <v>0</v>
      </c>
      <c r="CW44" s="276">
        <f>+'COM SB Gen'!Z46</f>
        <v>5.7076243919588059</v>
      </c>
      <c r="CX44" s="276">
        <f>+'COM DMD Response'!U46</f>
        <v>3.9753616249999992</v>
      </c>
      <c r="CY44" s="277">
        <f t="shared" si="12"/>
        <v>9.6829860169588056</v>
      </c>
      <c r="CZ44" s="744">
        <f t="shared" si="13"/>
        <v>425.0386827466362</v>
      </c>
    </row>
    <row r="45" spans="1:105" s="176" customFormat="1" x14ac:dyDescent="0.2">
      <c r="A45" s="269">
        <v>2034</v>
      </c>
      <c r="B45" s="1081">
        <f>+'C-I FREE'!M47</f>
        <v>13.723332732696898</v>
      </c>
      <c r="C45" s="1082">
        <f>+'C-I Paid'!M47</f>
        <v>0.39515000000000006</v>
      </c>
      <c r="D45" s="981">
        <f>+'C-I Mail-In'!M47</f>
        <v>7.9649999999999999E-2</v>
      </c>
      <c r="E45" s="979">
        <f>+'COM Cooling'!M47</f>
        <v>5.2405176259648956</v>
      </c>
      <c r="F45" s="979">
        <f>+'COM Duct'!M47</f>
        <v>6.3358560116731546</v>
      </c>
      <c r="G45" s="981">
        <f>+'COM Bldg Envel'!M47</f>
        <v>1.5417364801488831</v>
      </c>
      <c r="H45" s="979">
        <f>'COM CI'!M47</f>
        <v>0.6970099999999998</v>
      </c>
      <c r="I45" s="979">
        <f>'COM WI'!M47</f>
        <v>1.7500000000000009E-2</v>
      </c>
      <c r="J45" s="981">
        <f>+'COM EEMotors'!M47</f>
        <v>5.9989999999999995E-2</v>
      </c>
      <c r="K45" s="979">
        <f>+'COM Chillers'!M47</f>
        <v>3.2582599999999977</v>
      </c>
      <c r="L45" s="979">
        <f>+'COM Occ. Sens.'!M47</f>
        <v>10.425410700000004</v>
      </c>
      <c r="M45" s="979">
        <f>+'COM Ref'!M47</f>
        <v>5.0526000000000015E-2</v>
      </c>
      <c r="N45" s="979">
        <f>+'COM WH'!M47</f>
        <v>1.1042499999999997E-2</v>
      </c>
      <c r="O45" s="981">
        <f>+'COM Lighting'!M47</f>
        <v>42.797152579639551</v>
      </c>
      <c r="P45" s="979">
        <f>'COM Cond. Light'!M47</f>
        <v>13.469554999999994</v>
      </c>
      <c r="Q45" s="979">
        <f>'COM Non Cond. Light'!M47</f>
        <v>2.58779</v>
      </c>
      <c r="R45" s="979">
        <f>+'COM CV'!M47</f>
        <v>14.781700833333344</v>
      </c>
      <c r="S45" s="979">
        <f>'COM TES'!M47</f>
        <v>15.829469999999993</v>
      </c>
      <c r="T45" s="981">
        <f>+'Street Light Conv'!M47</f>
        <v>0</v>
      </c>
      <c r="U45" s="979">
        <f>'COM ECM'!M47</f>
        <v>5.5899999999999977E-2</v>
      </c>
      <c r="V45" s="981">
        <f>'COM ECM HVAC'!M47</f>
        <v>0</v>
      </c>
      <c r="W45" s="979">
        <f>'COM Cool Roof'!M47</f>
        <v>7.0875444444444424</v>
      </c>
      <c r="X45" s="981">
        <f>'COM HVAC ReCommissioning'!M47</f>
        <v>0.48852000000000001</v>
      </c>
      <c r="Y45" s="981">
        <f>'COM ERV'!M47</f>
        <v>2.0009999999999997E-2</v>
      </c>
      <c r="Z45" s="981">
        <f>'COM School PV'!M47</f>
        <v>2.52E-2</v>
      </c>
      <c r="AA45" s="981">
        <f>'COM PV'!M47</f>
        <v>0.17368999999999998</v>
      </c>
      <c r="AB45" s="277">
        <f t="shared" si="17"/>
        <v>131.30165046345672</v>
      </c>
      <c r="AC45" s="276">
        <f>+'COM LM (cyc)'!N47</f>
        <v>0.42093333333333321</v>
      </c>
      <c r="AD45" s="276">
        <f>+'COM LM (ext)'!N47</f>
        <v>1.61</v>
      </c>
      <c r="AE45" s="276">
        <f>+'COM SB Gen'!N47</f>
        <v>57.413663458110548</v>
      </c>
      <c r="AF45" s="276">
        <f>+'COM DMD Response'!M47</f>
        <v>40</v>
      </c>
      <c r="AG45" s="277">
        <f t="shared" si="5"/>
        <v>99.444596791443885</v>
      </c>
      <c r="AH45" s="277">
        <f t="shared" si="10"/>
        <v>230.7462472549006</v>
      </c>
      <c r="AJ45" s="748">
        <v>2034</v>
      </c>
      <c r="AK45" s="1088">
        <f>+'C-I FREE'!Q47</f>
        <v>32.695633102625322</v>
      </c>
      <c r="AL45" s="1088">
        <f>+'C-I Paid'!Q47</f>
        <v>0.91469</v>
      </c>
      <c r="AM45" s="738">
        <f>+'C-I Mail-In'!Q47</f>
        <v>6.0399999999999995E-2</v>
      </c>
      <c r="AN45" s="276">
        <f>+'COM Cooling'!Q47</f>
        <v>3.2532051282051278E-3</v>
      </c>
      <c r="AO45" s="276">
        <f>+'COM Duct'!Q47</f>
        <v>0.76612000000000002</v>
      </c>
      <c r="AP45" s="738">
        <f>+'COM Bldg Envel'!Q47</f>
        <v>2.2436590570719603E-2</v>
      </c>
      <c r="AQ45" s="276">
        <f>'COM CI'!Q47</f>
        <v>1.8100000000000008E-2</v>
      </c>
      <c r="AR45" s="276">
        <f>'COM WI'!Q47</f>
        <v>1.3259999999999997E-2</v>
      </c>
      <c r="AS45" s="738">
        <f>+'COM EEMotors'!Q47</f>
        <v>4.9059999999999999E-2</v>
      </c>
      <c r="AT45" s="276">
        <f>+'COM Chillers'!Q47</f>
        <v>2.1081694117647056</v>
      </c>
      <c r="AU45" s="276">
        <f>+'COM Occ. Sens.'!Q47</f>
        <v>8.2698033999999989</v>
      </c>
      <c r="AV45" s="276">
        <f>+'COM Ref'!Q47</f>
        <v>8.0276000000000014E-2</v>
      </c>
      <c r="AW45" s="276">
        <f>+'COM WH'!Q47</f>
        <v>5.5930000000000007E-3</v>
      </c>
      <c r="AX45" s="738">
        <f>+'COM Lighting'!Q47</f>
        <v>19.317446815739537</v>
      </c>
      <c r="AY45" s="276">
        <f>'COM Cond. Light'!Q47</f>
        <v>10.382000000000005</v>
      </c>
      <c r="AZ45" s="276">
        <f>'COM Non Cond. Light'!Q47</f>
        <v>2.5294500000000002</v>
      </c>
      <c r="BA45" s="276">
        <f>+'COM CV'!Q47</f>
        <v>3.2838099999999995</v>
      </c>
      <c r="BB45" s="276">
        <f>'COM TES'!Q47</f>
        <v>0</v>
      </c>
      <c r="BC45" s="738">
        <f>+'Street Light Conv'!Q47</f>
        <v>0</v>
      </c>
      <c r="BD45" s="276">
        <f>'COM ECM'!Q47</f>
        <v>0</v>
      </c>
      <c r="BE45" s="738">
        <f>'COM HVAC ReCommissioning'!Q47</f>
        <v>0</v>
      </c>
      <c r="BF45" s="276">
        <f>'COM Cool Roof'!Q47</f>
        <v>0</v>
      </c>
      <c r="BG45" s="738">
        <f>'COM HVAC ReCommissioning'!Q47</f>
        <v>0</v>
      </c>
      <c r="BH45" s="738">
        <f>'COM ERV'!Q47</f>
        <v>2.1419999999999998E-2</v>
      </c>
      <c r="BI45" s="738">
        <f>'COM School PV'!Q47</f>
        <v>0</v>
      </c>
      <c r="BJ45" s="276">
        <f>'COM PV'!Q47</f>
        <v>0</v>
      </c>
      <c r="BK45" s="277">
        <f t="shared" si="18"/>
        <v>80.540921525828495</v>
      </c>
      <c r="BL45" s="276">
        <f>+'COM LM (cyc)'!T47</f>
        <v>0</v>
      </c>
      <c r="BM45" s="276">
        <f>+'COM LM (ext)'!T47</f>
        <v>1.02</v>
      </c>
      <c r="BN45" s="276">
        <f>+'COM SB Gen'!T47</f>
        <v>57.553963636363655</v>
      </c>
      <c r="BO45" s="276">
        <f>+'COM DMD Response'!Q47</f>
        <v>40</v>
      </c>
      <c r="BP45" s="1106">
        <f t="shared" si="7"/>
        <v>98.573963636363658</v>
      </c>
      <c r="BQ45" s="718">
        <f t="shared" si="11"/>
        <v>179.11488516219214</v>
      </c>
      <c r="BR45"/>
      <c r="BS45" s="269">
        <v>2034</v>
      </c>
      <c r="BT45" s="1087">
        <f>+'C-I FREE'!U47</f>
        <v>23.140433204057274</v>
      </c>
      <c r="BU45" s="1088">
        <f>+'C-I Paid'!U47</f>
        <v>0.22405050000000001</v>
      </c>
      <c r="BV45" s="738">
        <f>+'C-I Mail-In'!U47</f>
        <v>0.33984000000000003</v>
      </c>
      <c r="BW45" s="276">
        <f>+'COM Cooling'!U47</f>
        <v>15.284352814404699</v>
      </c>
      <c r="BX45" s="276">
        <f>+'COM Duct'!U47</f>
        <v>20.890074130447481</v>
      </c>
      <c r="BY45" s="738">
        <f>+'COM Bldg Envel'!U47</f>
        <v>2.0868557382133996</v>
      </c>
      <c r="BZ45" s="276">
        <f>'COM CI'!U47</f>
        <v>8.8394347200000016</v>
      </c>
      <c r="CA45" s="276">
        <f>'COM WI'!U47</f>
        <v>2.3870000000000006E-2</v>
      </c>
      <c r="CB45" s="738">
        <f>+'COM EEMotors'!U47</f>
        <v>0.31173319999999993</v>
      </c>
      <c r="CC45" s="276">
        <f>+'COM Chillers'!U47</f>
        <v>8.8030794117647098</v>
      </c>
      <c r="CD45" s="276">
        <f>+'COM Occ. Sens.'!U47</f>
        <v>11.599660279999995</v>
      </c>
      <c r="CE45" s="276">
        <f>+'COM Ref'!U47</f>
        <v>0.81477900000000003</v>
      </c>
      <c r="CF45" s="276">
        <f>+'COM WH'!U47</f>
        <v>8.2862500000000019E-2</v>
      </c>
      <c r="CG45" s="738">
        <f>+'COM Lighting'!U47</f>
        <v>205.6838343902898</v>
      </c>
      <c r="CH45" s="276">
        <f>'COM Cond. Light'!U47</f>
        <v>62.760512659999982</v>
      </c>
      <c r="CI45" s="276">
        <f>'COM Non Cond. Light'!U47</f>
        <v>12.785882430000004</v>
      </c>
      <c r="CJ45" s="276">
        <f>+'COM CV'!U47</f>
        <v>21.843837090833347</v>
      </c>
      <c r="CK45" s="276">
        <f>'COM TES'!U47</f>
        <v>1.6453619999999998</v>
      </c>
      <c r="CL45" s="738">
        <f>+'Street Light Conv'!U47</f>
        <v>16</v>
      </c>
      <c r="CM45" s="276">
        <f>'COM ECM'!U47</f>
        <v>2.8923850000000022E-2</v>
      </c>
      <c r="CN45" s="738">
        <f>'COM HVAC ReCommissioning'!U47</f>
        <v>1.1355234999999999</v>
      </c>
      <c r="CO45" s="276">
        <f>'COM Cool Roof'!U47</f>
        <v>21.162478309666671</v>
      </c>
      <c r="CP45" s="738">
        <f>'COM HVAC ReCommissioning'!U47</f>
        <v>1.1355234999999999</v>
      </c>
      <c r="CQ45" s="738">
        <f>'COM ERV'!U47</f>
        <v>3.1329000000000003E-2</v>
      </c>
      <c r="CR45" s="276">
        <f>'COM School PV'!U47</f>
        <v>7.0956000000000005E-2</v>
      </c>
      <c r="CS45" s="276">
        <f>'COM PV'!U47</f>
        <v>0.42825849999999999</v>
      </c>
      <c r="CT45" s="746">
        <f t="shared" si="19"/>
        <v>421.1534467296774</v>
      </c>
      <c r="CU45" s="741">
        <f>+'COM LM (cyc)'!Z47</f>
        <v>0</v>
      </c>
      <c r="CV45" s="276">
        <f>+'COM LM (ext)'!Z47</f>
        <v>0</v>
      </c>
      <c r="CW45" s="276">
        <f>+'COM SB Gen'!Z47</f>
        <v>5.747212186571601</v>
      </c>
      <c r="CX45" s="276">
        <f>+'COM DMD Response'!U47</f>
        <v>4.0106556249999992</v>
      </c>
      <c r="CY45" s="277">
        <f t="shared" si="12"/>
        <v>9.7578678115716002</v>
      </c>
      <c r="CZ45" s="744">
        <f t="shared" si="13"/>
        <v>430.911314541249</v>
      </c>
    </row>
    <row r="46" spans="1:105" s="176" customFormat="1" x14ac:dyDescent="0.2">
      <c r="A46" s="269">
        <v>2035</v>
      </c>
      <c r="B46" s="1081">
        <f>+'C-I FREE'!M48</f>
        <v>13.723332732696898</v>
      </c>
      <c r="C46" s="1082">
        <f>+'C-I Paid'!M48</f>
        <v>0.39515000000000006</v>
      </c>
      <c r="D46" s="981">
        <f>+'C-I Mail-In'!M48</f>
        <v>7.9649999999999999E-2</v>
      </c>
      <c r="E46" s="979">
        <f>+'COM Cooling'!M48</f>
        <v>5.3805176259648952</v>
      </c>
      <c r="F46" s="979">
        <f>+'COM Duct'!M48</f>
        <v>6.3738560116731549</v>
      </c>
      <c r="G46" s="981">
        <f>+'COM Bldg Envel'!M48</f>
        <v>1.5417364801488831</v>
      </c>
      <c r="H46" s="979">
        <f>'COM CI'!M48</f>
        <v>0.73450999999999977</v>
      </c>
      <c r="I46" s="979">
        <f>'COM WI'!M48</f>
        <v>1.8500000000000009E-2</v>
      </c>
      <c r="J46" s="981">
        <f>+'COM EEMotors'!M48</f>
        <v>5.9989999999999995E-2</v>
      </c>
      <c r="K46" s="979">
        <f>+'COM Chillers'!M48</f>
        <v>3.3435099999999975</v>
      </c>
      <c r="L46" s="979">
        <f>+'COM Occ. Sens.'!M48</f>
        <v>10.798010700000004</v>
      </c>
      <c r="M46" s="979">
        <f>+'COM Ref'!M48</f>
        <v>5.3734000000000018E-2</v>
      </c>
      <c r="N46" s="979">
        <f>+'COM WH'!M48</f>
        <v>1.1673499999999996E-2</v>
      </c>
      <c r="O46" s="981">
        <f>+'COM Lighting'!M48</f>
        <v>42.797152579639551</v>
      </c>
      <c r="P46" s="979">
        <f>'COM Cond. Light'!M48</f>
        <v>14.065154999999994</v>
      </c>
      <c r="Q46" s="979">
        <f>'COM Non Cond. Light'!M48</f>
        <v>2.6972900000000002</v>
      </c>
      <c r="R46" s="979">
        <f>+'COM CV'!M48</f>
        <v>15.139700833333345</v>
      </c>
      <c r="S46" s="979">
        <f>'COM TES'!M48</f>
        <v>16.755169999999993</v>
      </c>
      <c r="T46" s="981">
        <f>+'Street Light Conv'!M48</f>
        <v>0</v>
      </c>
      <c r="U46" s="979">
        <f>'COM ECM'!M48</f>
        <v>5.6099999999999976E-2</v>
      </c>
      <c r="V46" s="981">
        <f>'COM ECM HVAC'!M48</f>
        <v>0</v>
      </c>
      <c r="W46" s="979">
        <f>'COM Cool Roof'!M48</f>
        <v>7.3803444444444422</v>
      </c>
      <c r="X46" s="981">
        <f>'COM HVAC ReCommissioning'!M48</f>
        <v>0.48852000000000001</v>
      </c>
      <c r="Y46" s="981">
        <f>'COM ERV'!M48</f>
        <v>2.0009999999999997E-2</v>
      </c>
      <c r="Z46" s="981">
        <f>'COM School PV'!M48</f>
        <v>2.52E-2</v>
      </c>
      <c r="AA46" s="981">
        <f>'COM PV'!M48</f>
        <v>0.17368999999999998</v>
      </c>
      <c r="AB46" s="277">
        <f t="shared" si="17"/>
        <v>133.96863946345673</v>
      </c>
      <c r="AC46" s="276">
        <f>+'COM LM (cyc)'!N48</f>
        <v>0.43413333333333326</v>
      </c>
      <c r="AD46" s="276">
        <f>+'COM LM (ext)'!N48</f>
        <v>1.702</v>
      </c>
      <c r="AE46" s="276">
        <f>+'COM SB Gen'!N48</f>
        <v>57.71166345811055</v>
      </c>
      <c r="AF46" s="276">
        <f>+'COM DMD Response'!M48</f>
        <v>40</v>
      </c>
      <c r="AG46" s="277">
        <f t="shared" si="5"/>
        <v>99.847796791443884</v>
      </c>
      <c r="AH46" s="277">
        <f t="shared" si="10"/>
        <v>233.81643625490062</v>
      </c>
      <c r="AJ46" s="1224">
        <v>2035</v>
      </c>
      <c r="AK46" s="1088">
        <f>+'C-I FREE'!Q48</f>
        <v>32.695633102625322</v>
      </c>
      <c r="AL46" s="1088">
        <f>+'C-I Paid'!Q48</f>
        <v>0.91469</v>
      </c>
      <c r="AM46" s="738">
        <f>+'C-I Mail-In'!Q48</f>
        <v>6.0399999999999995E-2</v>
      </c>
      <c r="AN46" s="276">
        <f>+'COM Cooling'!Q48</f>
        <v>3.2532051282051278E-3</v>
      </c>
      <c r="AO46" s="276">
        <f>+'COM Duct'!Q48</f>
        <v>0.76612000000000002</v>
      </c>
      <c r="AP46" s="738">
        <f>+'COM Bldg Envel'!Q48</f>
        <v>2.2436590570719603E-2</v>
      </c>
      <c r="AQ46" s="276">
        <f>'COM CI'!Q48</f>
        <v>1.9100000000000009E-2</v>
      </c>
      <c r="AR46" s="276">
        <f>'COM WI'!Q48</f>
        <v>1.4039999999999997E-2</v>
      </c>
      <c r="AS46" s="738">
        <f>+'COM EEMotors'!Q48</f>
        <v>4.9059999999999999E-2</v>
      </c>
      <c r="AT46" s="276">
        <f>+'COM Chillers'!Q48</f>
        <v>2.1721194117647058</v>
      </c>
      <c r="AU46" s="276">
        <f>+'COM Occ. Sens.'!Q48</f>
        <v>8.5621533999999997</v>
      </c>
      <c r="AV46" s="276">
        <f>+'COM Ref'!Q48</f>
        <v>8.5540000000000019E-2</v>
      </c>
      <c r="AW46" s="276">
        <f>+'COM WH'!Q48</f>
        <v>5.922000000000001E-3</v>
      </c>
      <c r="AX46" s="738">
        <f>+'COM Lighting'!Q48</f>
        <v>19.317446815739537</v>
      </c>
      <c r="AY46" s="276">
        <f>'COM Cond. Light'!Q48</f>
        <v>10.846000000000005</v>
      </c>
      <c r="AZ46" s="276">
        <f>'COM Non Cond. Light'!Q48</f>
        <v>2.6389500000000004</v>
      </c>
      <c r="BA46" s="276">
        <f>+'COM CV'!Q48</f>
        <v>3.2838099999999995</v>
      </c>
      <c r="BB46" s="276">
        <f>'COM TES'!Q48</f>
        <v>0</v>
      </c>
      <c r="BC46" s="738">
        <f>+'Street Light Conv'!Q48</f>
        <v>0</v>
      </c>
      <c r="BD46" s="276">
        <f>'COM ECM'!Q48</f>
        <v>0</v>
      </c>
      <c r="BE46" s="738">
        <f>'COM HVAC ReCommissioning'!Q48</f>
        <v>0</v>
      </c>
      <c r="BF46" s="276">
        <f>'COM Cool Roof'!Q48</f>
        <v>0</v>
      </c>
      <c r="BG46" s="738">
        <f>'COM HVAC ReCommissioning'!Q48</f>
        <v>0</v>
      </c>
      <c r="BH46" s="738">
        <f>'COM ERV'!Q48</f>
        <v>2.1419999999999998E-2</v>
      </c>
      <c r="BI46" s="738">
        <f>'COM School PV'!Q48</f>
        <v>0</v>
      </c>
      <c r="BJ46" s="276">
        <f>'COM PV'!Q48</f>
        <v>0</v>
      </c>
      <c r="BK46" s="1220">
        <f t="shared" si="18"/>
        <v>81.478094525828496</v>
      </c>
      <c r="BL46" s="276">
        <f>+'COM LM (cyc)'!T48</f>
        <v>0</v>
      </c>
      <c r="BM46" s="276">
        <f>+'COM LM (ext)'!T48</f>
        <v>1.08</v>
      </c>
      <c r="BN46" s="276">
        <f>+'COM SB Gen'!T48</f>
        <v>58.086870707070716</v>
      </c>
      <c r="BO46" s="276">
        <f>+'COM DMD Response'!Q48</f>
        <v>40</v>
      </c>
      <c r="BP46" s="1106">
        <f t="shared" si="7"/>
        <v>99.166870707070714</v>
      </c>
      <c r="BQ46" s="718">
        <f t="shared" si="11"/>
        <v>180.64496523289921</v>
      </c>
      <c r="BR46"/>
      <c r="BS46" s="269">
        <v>2035</v>
      </c>
      <c r="BT46" s="1087">
        <f>+'C-I FREE'!U48</f>
        <v>23.140433204057274</v>
      </c>
      <c r="BU46" s="1088">
        <f>+'C-I Paid'!U48</f>
        <v>0.22405050000000001</v>
      </c>
      <c r="BV46" s="738">
        <f>+'C-I Mail-In'!U48</f>
        <v>0.33984000000000003</v>
      </c>
      <c r="BW46" s="276">
        <f>+'COM Cooling'!U48</f>
        <v>15.554652814404699</v>
      </c>
      <c r="BX46" s="276">
        <f>+'COM Duct'!U48</f>
        <v>21.063474130447482</v>
      </c>
      <c r="BY46" s="738">
        <f>+'COM Bldg Envel'!U48</f>
        <v>2.0868557382133996</v>
      </c>
      <c r="BZ46" s="276">
        <f>'COM CI'!U48</f>
        <v>9.3146847200000025</v>
      </c>
      <c r="CA46" s="276">
        <f>'COM WI'!U48</f>
        <v>2.5234000000000006E-2</v>
      </c>
      <c r="CB46" s="738">
        <f>+'COM EEMotors'!U48</f>
        <v>0.31173319999999993</v>
      </c>
      <c r="CC46" s="276">
        <f>+'COM Chillers'!U48</f>
        <v>9.04251441176471</v>
      </c>
      <c r="CD46" s="276">
        <f>+'COM Occ. Sens.'!U48</f>
        <v>12.016240279999995</v>
      </c>
      <c r="CE46" s="276">
        <f>+'COM Ref'!U48</f>
        <v>0.86651100000000003</v>
      </c>
      <c r="CF46" s="276">
        <f>+'COM WH'!U48</f>
        <v>8.7597500000000023E-2</v>
      </c>
      <c r="CG46" s="738">
        <f>+'COM Lighting'!U48</f>
        <v>205.6838343902898</v>
      </c>
      <c r="CH46" s="276">
        <f>'COM Cond. Light'!U48</f>
        <v>65.562152659999981</v>
      </c>
      <c r="CI46" s="276">
        <f>'COM Non Cond. Light'!U48</f>
        <v>13.329322430000005</v>
      </c>
      <c r="CJ46" s="276">
        <f>+'COM CV'!U48</f>
        <v>21.853591090833348</v>
      </c>
      <c r="CK46" s="276">
        <f>'COM TES'!U48</f>
        <v>1.7415819999999997</v>
      </c>
      <c r="CL46" s="738">
        <f>+'Street Light Conv'!U48</f>
        <v>16</v>
      </c>
      <c r="CM46" s="276">
        <f>'COM ECM'!U48</f>
        <v>2.8983850000000023E-2</v>
      </c>
      <c r="CN46" s="738">
        <f>'COM HVAC ReCommissioning'!U48</f>
        <v>1.1355234999999999</v>
      </c>
      <c r="CO46" s="276">
        <f>'COM Cool Roof'!U48</f>
        <v>21.876318309666672</v>
      </c>
      <c r="CP46" s="738">
        <f>'COM HVAC ReCommissioning'!U48</f>
        <v>1.1355234999999999</v>
      </c>
      <c r="CQ46" s="738">
        <f>'COM ERV'!U48</f>
        <v>3.1329000000000003E-2</v>
      </c>
      <c r="CR46" s="276">
        <f>'COM School PV'!U48</f>
        <v>7.0956000000000005E-2</v>
      </c>
      <c r="CS46" s="276">
        <f>'COM PV'!U48</f>
        <v>0.42825849999999999</v>
      </c>
      <c r="CT46" s="746">
        <f t="shared" si="19"/>
        <v>426.95119672967735</v>
      </c>
      <c r="CU46" s="741">
        <f>+'COM LM (cyc)'!Z48</f>
        <v>2.4499999999999999E-5</v>
      </c>
      <c r="CV46" s="276">
        <f>+'COM LM (ext)'!Z48</f>
        <v>0</v>
      </c>
      <c r="CW46" s="276">
        <f>+'COM SB Gen'!Z48</f>
        <v>5.7867999811843953</v>
      </c>
      <c r="CX46" s="276">
        <f>+'COM DMD Response'!U48</f>
        <v>4.0459496249999995</v>
      </c>
      <c r="CY46" s="277">
        <f t="shared" si="12"/>
        <v>9.8327741061843952</v>
      </c>
      <c r="CZ46" s="744">
        <f t="shared" si="13"/>
        <v>436.78397083586174</v>
      </c>
    </row>
    <row r="47" spans="1:105" s="176" customFormat="1" x14ac:dyDescent="0.2">
      <c r="A47" s="269">
        <v>2036</v>
      </c>
      <c r="B47" s="1081">
        <f>+'C-I FREE'!M49</f>
        <v>13.723332732696898</v>
      </c>
      <c r="C47" s="1082">
        <f>+'C-I Paid'!M49</f>
        <v>0.39515000000000006</v>
      </c>
      <c r="D47" s="981">
        <f>+'C-I Mail-In'!M49</f>
        <v>7.9649999999999999E-2</v>
      </c>
      <c r="E47" s="979">
        <f>+'COM Cooling'!M49</f>
        <v>5.5205176259648949</v>
      </c>
      <c r="F47" s="979">
        <f>+'COM Duct'!M49</f>
        <v>6.4118560116731551</v>
      </c>
      <c r="G47" s="981">
        <f>+'COM Bldg Envel'!M49</f>
        <v>1.5417364801488831</v>
      </c>
      <c r="H47" s="979">
        <f>'COM CI'!M49</f>
        <v>0.77200999999999975</v>
      </c>
      <c r="I47" s="979">
        <f>'COM WI'!M49</f>
        <v>1.950000000000001E-2</v>
      </c>
      <c r="J47" s="981">
        <f>+'COM EEMotors'!M49</f>
        <v>5.9989999999999995E-2</v>
      </c>
      <c r="K47" s="979">
        <f>+'COM Chillers'!M49</f>
        <v>3.4287599999999974</v>
      </c>
      <c r="L47" s="979">
        <f>+'COM Occ. Sens.'!M49</f>
        <v>11.170610700000005</v>
      </c>
      <c r="M47" s="979">
        <f>+'COM Ref'!M49</f>
        <v>5.694200000000002E-2</v>
      </c>
      <c r="N47" s="979">
        <f>+'COM WH'!M49</f>
        <v>1.2304499999999996E-2</v>
      </c>
      <c r="O47" s="981">
        <f>+'COM Lighting'!M49</f>
        <v>42.797152579639551</v>
      </c>
      <c r="P47" s="979">
        <f>'COM Cond. Light'!M49</f>
        <v>14.660754999999993</v>
      </c>
      <c r="Q47" s="979">
        <f>'COM Non Cond. Light'!M49</f>
        <v>2.8067900000000003</v>
      </c>
      <c r="R47" s="979">
        <f>+'COM CV'!M49</f>
        <v>15.497700833333345</v>
      </c>
      <c r="S47" s="979">
        <f>'COM TES'!M49</f>
        <v>17.680869999999992</v>
      </c>
      <c r="T47" s="981">
        <f>+'Street Light Conv'!M49</f>
        <v>0</v>
      </c>
      <c r="U47" s="979">
        <f>'COM ECM'!M49</f>
        <v>5.6299999999999975E-2</v>
      </c>
      <c r="V47" s="981">
        <f>'COM ECM HVAC'!M49</f>
        <v>0</v>
      </c>
      <c r="W47" s="979">
        <f>'COM Cool Roof'!M49</f>
        <v>7.6731444444444419</v>
      </c>
      <c r="X47" s="981">
        <f>'COM HVAC ReCommissioning'!M49</f>
        <v>0.48852000000000001</v>
      </c>
      <c r="Y47" s="981">
        <f>'COM ERV'!M49</f>
        <v>2.0009999999999997E-2</v>
      </c>
      <c r="Z47" s="981">
        <f>'COM School PV'!M49</f>
        <v>2.52E-2</v>
      </c>
      <c r="AA47" s="981">
        <f>'COM PV'!M49</f>
        <v>0.17368999999999998</v>
      </c>
      <c r="AB47" s="277">
        <f t="shared" si="17"/>
        <v>136.63562846345673</v>
      </c>
      <c r="AC47" s="276">
        <f>+'COM LM (cyc)'!N49</f>
        <v>0.44733333333333325</v>
      </c>
      <c r="AD47" s="276">
        <f>+'COM LM (ext)'!N49</f>
        <v>1.794</v>
      </c>
      <c r="AE47" s="276">
        <f>+'COM SB Gen'!N49</f>
        <v>58.009663458110566</v>
      </c>
      <c r="AF47" s="276">
        <f>+'COM DMD Response'!M49</f>
        <v>40</v>
      </c>
      <c r="AG47" s="277">
        <f t="shared" si="5"/>
        <v>100.2509967914439</v>
      </c>
      <c r="AH47" s="277">
        <f t="shared" si="10"/>
        <v>236.88662525490062</v>
      </c>
      <c r="AJ47" s="748">
        <v>2036</v>
      </c>
      <c r="AK47" s="1088">
        <f>+'C-I FREE'!Q49</f>
        <v>32.695633102625322</v>
      </c>
      <c r="AL47" s="1088">
        <f>+'C-I Paid'!Q49</f>
        <v>0.91469</v>
      </c>
      <c r="AM47" s="738">
        <f>+'C-I Mail-In'!Q49</f>
        <v>6.0399999999999995E-2</v>
      </c>
      <c r="AN47" s="276">
        <f>+'COM Cooling'!Q49</f>
        <v>3.2532051282051278E-3</v>
      </c>
      <c r="AO47" s="276">
        <f>+'COM Duct'!Q49</f>
        <v>0.76612000000000002</v>
      </c>
      <c r="AP47" s="738">
        <f>+'COM Bldg Envel'!Q49</f>
        <v>2.2436590570719603E-2</v>
      </c>
      <c r="AQ47" s="276">
        <f>'COM CI'!Q49</f>
        <v>2.010000000000001E-2</v>
      </c>
      <c r="AR47" s="276">
        <f>'COM WI'!Q49</f>
        <v>1.4819999999999996E-2</v>
      </c>
      <c r="AS47" s="738">
        <f>+'COM EEMotors'!Q49</f>
        <v>4.9059999999999999E-2</v>
      </c>
      <c r="AT47" s="276">
        <f>+'COM Chillers'!Q49</f>
        <v>2.236069411764706</v>
      </c>
      <c r="AU47" s="276">
        <f>+'COM Occ. Sens.'!Q49</f>
        <v>8.8545034000000005</v>
      </c>
      <c r="AV47" s="276">
        <f>+'COM Ref'!Q49</f>
        <v>9.0804000000000024E-2</v>
      </c>
      <c r="AW47" s="276">
        <f>+'COM WH'!Q49</f>
        <v>6.2510000000000013E-3</v>
      </c>
      <c r="AX47" s="738">
        <f>+'COM Lighting'!Q49</f>
        <v>19.317446815739537</v>
      </c>
      <c r="AY47" s="276">
        <f>'COM Cond. Light'!Q49</f>
        <v>11.310000000000006</v>
      </c>
      <c r="AZ47" s="276">
        <f>'COM Non Cond. Light'!Q49</f>
        <v>2.7484500000000005</v>
      </c>
      <c r="BA47" s="276">
        <f>+'COM CV'!Q49</f>
        <v>3.2838099999999995</v>
      </c>
      <c r="BB47" s="276">
        <f>'COM TES'!Q49</f>
        <v>0</v>
      </c>
      <c r="BC47" s="738">
        <f>+'Street Light Conv'!Q49</f>
        <v>0</v>
      </c>
      <c r="BD47" s="276">
        <f>'COM ECM'!Q49</f>
        <v>0</v>
      </c>
      <c r="BE47" s="738">
        <f>'COM HVAC ReCommissioning'!Q49</f>
        <v>0</v>
      </c>
      <c r="BF47" s="276">
        <f>'COM Cool Roof'!Q49</f>
        <v>0</v>
      </c>
      <c r="BG47" s="738">
        <f>'COM HVAC ReCommissioning'!Q49</f>
        <v>0</v>
      </c>
      <c r="BH47" s="738">
        <f>'COM ERV'!Q49</f>
        <v>2.1419999999999998E-2</v>
      </c>
      <c r="BI47" s="738">
        <f>'COM School PV'!Q49</f>
        <v>0</v>
      </c>
      <c r="BJ47" s="276">
        <f>'COM PV'!Q49</f>
        <v>0</v>
      </c>
      <c r="BK47" s="277">
        <f t="shared" si="18"/>
        <v>82.415267525828497</v>
      </c>
      <c r="BL47" s="276">
        <f>+'COM LM (cyc)'!T49</f>
        <v>0</v>
      </c>
      <c r="BM47" s="276">
        <f>+'COM LM (ext)'!T49</f>
        <v>1.1399999999999999</v>
      </c>
      <c r="BN47" s="276">
        <f>+'COM SB Gen'!T49</f>
        <v>58.619777777777792</v>
      </c>
      <c r="BO47" s="276">
        <f>+'COM DMD Response'!Q49</f>
        <v>40</v>
      </c>
      <c r="BP47" s="1106">
        <f t="shared" si="7"/>
        <v>99.759777777777799</v>
      </c>
      <c r="BQ47" s="718">
        <f t="shared" si="11"/>
        <v>182.17504530360628</v>
      </c>
      <c r="BR47"/>
      <c r="BS47" s="269">
        <v>2036</v>
      </c>
      <c r="BT47" s="1087">
        <f>+'C-I FREE'!U49</f>
        <v>23.140433204057274</v>
      </c>
      <c r="BU47" s="1088">
        <f>+'C-I Paid'!U49</f>
        <v>0.22405050000000001</v>
      </c>
      <c r="BV47" s="738">
        <f>+'C-I Mail-In'!U49</f>
        <v>0.33984000000000003</v>
      </c>
      <c r="BW47" s="276">
        <f>+'COM Cooling'!U49</f>
        <v>15.8249528144047</v>
      </c>
      <c r="BX47" s="276">
        <f>+'COM Duct'!U49</f>
        <v>21.236874130447482</v>
      </c>
      <c r="BY47" s="738">
        <f>+'COM Bldg Envel'!U49</f>
        <v>2.0868557382133996</v>
      </c>
      <c r="BZ47" s="276">
        <f>'COM CI'!U49</f>
        <v>9.7899347200000033</v>
      </c>
      <c r="CA47" s="276">
        <f>'COM WI'!U49</f>
        <v>2.6598000000000007E-2</v>
      </c>
      <c r="CB47" s="738">
        <f>+'COM EEMotors'!U49</f>
        <v>0.31173319999999993</v>
      </c>
      <c r="CC47" s="276">
        <f>+'COM Chillers'!U49</f>
        <v>9.2819494117647103</v>
      </c>
      <c r="CD47" s="276">
        <f>+'COM Occ. Sens.'!U49</f>
        <v>12.432820279999994</v>
      </c>
      <c r="CE47" s="276">
        <f>+'COM Ref'!U49</f>
        <v>0.91824300000000003</v>
      </c>
      <c r="CF47" s="276">
        <f>+'COM WH'!U49</f>
        <v>9.2332500000000026E-2</v>
      </c>
      <c r="CG47" s="738">
        <f>+'COM Lighting'!U49</f>
        <v>205.6838343902898</v>
      </c>
      <c r="CH47" s="276">
        <f>'COM Cond. Light'!U49</f>
        <v>68.363792659999987</v>
      </c>
      <c r="CI47" s="276">
        <f>'COM Non Cond. Light'!U49</f>
        <v>13.872762430000005</v>
      </c>
      <c r="CJ47" s="276">
        <f>+'COM CV'!U49</f>
        <v>21.863345090833349</v>
      </c>
      <c r="CK47" s="276">
        <f>'COM TES'!U49</f>
        <v>1.8378019999999997</v>
      </c>
      <c r="CL47" s="738">
        <f>+'Street Light Conv'!U49</f>
        <v>16</v>
      </c>
      <c r="CM47" s="276">
        <f>'COM ECM'!U49</f>
        <v>2.9043850000000024E-2</v>
      </c>
      <c r="CN47" s="738">
        <f>'COM HVAC ReCommissioning'!U49</f>
        <v>1.1355234999999999</v>
      </c>
      <c r="CO47" s="276">
        <f>'COM Cool Roof'!U49</f>
        <v>22.590158309666673</v>
      </c>
      <c r="CP47" s="738">
        <f>'COM HVAC ReCommissioning'!U49</f>
        <v>1.1355234999999999</v>
      </c>
      <c r="CQ47" s="738">
        <f>'COM ERV'!U49</f>
        <v>3.1329000000000003E-2</v>
      </c>
      <c r="CR47" s="276">
        <f>'COM School PV'!U49</f>
        <v>7.0956000000000005E-2</v>
      </c>
      <c r="CS47" s="276">
        <f>'COM PV'!U49</f>
        <v>0.42825849999999999</v>
      </c>
      <c r="CT47" s="746">
        <f t="shared" si="19"/>
        <v>432.74894672967747</v>
      </c>
      <c r="CU47" s="741">
        <f>+'COM LM (cyc)'!Z49</f>
        <v>5.1E-5</v>
      </c>
      <c r="CV47" s="276">
        <f>+'COM LM (ext)'!Z49</f>
        <v>0</v>
      </c>
      <c r="CW47" s="276">
        <f>+'COM SB Gen'!Z49</f>
        <v>5.8263877757971905</v>
      </c>
      <c r="CX47" s="276">
        <f>+'COM DMD Response'!U49</f>
        <v>4.0812436249999999</v>
      </c>
      <c r="CY47" s="277">
        <f t="shared" si="12"/>
        <v>9.9076824007971904</v>
      </c>
      <c r="CZ47" s="744">
        <f t="shared" si="13"/>
        <v>442.65662913047464</v>
      </c>
    </row>
    <row r="48" spans="1:105" s="176" customFormat="1" x14ac:dyDescent="0.2">
      <c r="A48" s="269">
        <v>2037</v>
      </c>
      <c r="B48" s="1081">
        <f>+'C-I FREE'!M50</f>
        <v>13.723332732696898</v>
      </c>
      <c r="C48" s="1082">
        <f>+'C-I Paid'!M50</f>
        <v>0.39515000000000006</v>
      </c>
      <c r="D48" s="981">
        <f>+'C-I Mail-In'!M50</f>
        <v>7.9649999999999999E-2</v>
      </c>
      <c r="E48" s="979">
        <f>+'COM Cooling'!M50</f>
        <v>5.6605176259648946</v>
      </c>
      <c r="F48" s="979">
        <f>+'COM Duct'!M50</f>
        <v>6.4498560116731554</v>
      </c>
      <c r="G48" s="981">
        <f>+'COM Bldg Envel'!M50</f>
        <v>1.5417364801488831</v>
      </c>
      <c r="H48" s="979">
        <f>'COM CI'!M50</f>
        <v>0.80950999999999973</v>
      </c>
      <c r="I48" s="979">
        <f>'COM WI'!M50</f>
        <v>2.0500000000000011E-2</v>
      </c>
      <c r="J48" s="981">
        <f>+'COM EEMotors'!M50</f>
        <v>5.9989999999999995E-2</v>
      </c>
      <c r="K48" s="979">
        <f>+'COM Chillers'!M50</f>
        <v>3.5140099999999972</v>
      </c>
      <c r="L48" s="979">
        <f>+'COM Occ. Sens.'!M50</f>
        <v>11.543210700000005</v>
      </c>
      <c r="M48" s="979">
        <f>+'COM Ref'!M50</f>
        <v>6.0150000000000023E-2</v>
      </c>
      <c r="N48" s="979">
        <f>+'COM WH'!M50</f>
        <v>1.2935499999999996E-2</v>
      </c>
      <c r="O48" s="981">
        <f>+'COM Lighting'!M50</f>
        <v>42.797152579639551</v>
      </c>
      <c r="P48" s="979">
        <f>'COM Cond. Light'!M50</f>
        <v>15.256354999999992</v>
      </c>
      <c r="Q48" s="979">
        <f>'COM Non Cond. Light'!M50</f>
        <v>2.9162900000000005</v>
      </c>
      <c r="R48" s="979">
        <f>+'COM CV'!M50</f>
        <v>15.855700833333346</v>
      </c>
      <c r="S48" s="979">
        <f>'COM TES'!M50</f>
        <v>18.606569999999991</v>
      </c>
      <c r="T48" s="981">
        <f>+'Street Light Conv'!M50</f>
        <v>0</v>
      </c>
      <c r="U48" s="979">
        <f>'COM ECM'!M50</f>
        <v>5.6499999999999974E-2</v>
      </c>
      <c r="V48" s="981">
        <f>'COM ECM HVAC'!M50</f>
        <v>0</v>
      </c>
      <c r="W48" s="979">
        <f>'COM Cool Roof'!M50</f>
        <v>7.9659444444444416</v>
      </c>
      <c r="X48" s="981">
        <f>'COM HVAC ReCommissioning'!M50</f>
        <v>0.48852000000000001</v>
      </c>
      <c r="Y48" s="981">
        <f>'COM ERV'!M50</f>
        <v>2.0009999999999997E-2</v>
      </c>
      <c r="Z48" s="981">
        <f>'COM School PV'!M50</f>
        <v>2.52E-2</v>
      </c>
      <c r="AA48" s="981">
        <f>'COM PV'!M50</f>
        <v>0.17368999999999998</v>
      </c>
      <c r="AB48" s="277">
        <f t="shared" si="17"/>
        <v>139.30261746345673</v>
      </c>
      <c r="AC48" s="276">
        <f>+'COM LM (cyc)'!N50</f>
        <v>0.46053333333333318</v>
      </c>
      <c r="AD48" s="276">
        <f>+'COM LM (ext)'!N50</f>
        <v>1.8859999999999999</v>
      </c>
      <c r="AE48" s="276">
        <f>+'COM SB Gen'!N50</f>
        <v>58.307663458110554</v>
      </c>
      <c r="AF48" s="276">
        <f>+'COM DMD Response'!M50</f>
        <v>40</v>
      </c>
      <c r="AG48" s="277">
        <f t="shared" si="5"/>
        <v>100.65419679144389</v>
      </c>
      <c r="AH48" s="277">
        <f t="shared" si="10"/>
        <v>239.95681425490062</v>
      </c>
      <c r="AJ48" s="748">
        <v>2037</v>
      </c>
      <c r="AK48" s="1088">
        <f>+'C-I FREE'!Q50</f>
        <v>32.695633102625322</v>
      </c>
      <c r="AL48" s="1088">
        <f>+'C-I Paid'!Q50</f>
        <v>0.91469</v>
      </c>
      <c r="AM48" s="738">
        <f>+'C-I Mail-In'!Q50</f>
        <v>6.0399999999999995E-2</v>
      </c>
      <c r="AN48" s="276">
        <f>+'COM Cooling'!Q50</f>
        <v>3.2532051282051278E-3</v>
      </c>
      <c r="AO48" s="276">
        <f>+'COM Duct'!Q50</f>
        <v>0.76612000000000002</v>
      </c>
      <c r="AP48" s="738">
        <f>+'COM Bldg Envel'!Q50</f>
        <v>2.2436590570719603E-2</v>
      </c>
      <c r="AQ48" s="276">
        <f>'COM CI'!Q50</f>
        <v>2.1100000000000011E-2</v>
      </c>
      <c r="AR48" s="276">
        <f>'COM WI'!Q50</f>
        <v>1.5599999999999996E-2</v>
      </c>
      <c r="AS48" s="738">
        <f>+'COM EEMotors'!Q50</f>
        <v>4.9059999999999999E-2</v>
      </c>
      <c r="AT48" s="276">
        <f>+'COM Chillers'!Q50</f>
        <v>2.3000194117647061</v>
      </c>
      <c r="AU48" s="276">
        <f>+'COM Occ. Sens.'!Q50</f>
        <v>9.1468534000000012</v>
      </c>
      <c r="AV48" s="276">
        <f>+'COM Ref'!Q50</f>
        <v>9.6068000000000028E-2</v>
      </c>
      <c r="AW48" s="276">
        <f>+'COM WH'!Q50</f>
        <v>6.5800000000000016E-3</v>
      </c>
      <c r="AX48" s="738">
        <f>+'COM Lighting'!Q50</f>
        <v>19.317446815739537</v>
      </c>
      <c r="AY48" s="276">
        <f>'COM Cond. Light'!Q50</f>
        <v>11.774000000000006</v>
      </c>
      <c r="AZ48" s="276">
        <f>'COM Non Cond. Light'!Q50</f>
        <v>2.8579500000000007</v>
      </c>
      <c r="BA48" s="276">
        <f>+'COM CV'!Q50</f>
        <v>3.2838099999999995</v>
      </c>
      <c r="BB48" s="276">
        <f>'COM TES'!Q50</f>
        <v>0</v>
      </c>
      <c r="BC48" s="738">
        <f>+'Street Light Conv'!Q50</f>
        <v>0</v>
      </c>
      <c r="BD48" s="276">
        <f>'COM ECM'!Q50</f>
        <v>0</v>
      </c>
      <c r="BE48" s="738">
        <f>'COM HVAC ReCommissioning'!Q50</f>
        <v>0</v>
      </c>
      <c r="BF48" s="276">
        <f>'COM Cool Roof'!Q50</f>
        <v>0</v>
      </c>
      <c r="BG48" s="738">
        <f>'COM HVAC ReCommissioning'!Q50</f>
        <v>0</v>
      </c>
      <c r="BH48" s="738">
        <f>'COM ERV'!Q50</f>
        <v>2.1419999999999998E-2</v>
      </c>
      <c r="BI48" s="738">
        <f>'COM School PV'!Q50</f>
        <v>0</v>
      </c>
      <c r="BJ48" s="276">
        <f>'COM PV'!Q50</f>
        <v>0</v>
      </c>
      <c r="BK48" s="277">
        <f t="shared" si="18"/>
        <v>83.352440525828513</v>
      </c>
      <c r="BL48" s="276">
        <f>+'COM LM (cyc)'!T50</f>
        <v>0</v>
      </c>
      <c r="BM48" s="276">
        <f>+'COM LM (ext)'!T50</f>
        <v>1.2</v>
      </c>
      <c r="BN48" s="276">
        <f>+'COM SB Gen'!T50</f>
        <v>59.15268484848486</v>
      </c>
      <c r="BO48" s="276">
        <f>+'COM DMD Response'!Q50</f>
        <v>40</v>
      </c>
      <c r="BP48" s="1106">
        <f t="shared" si="7"/>
        <v>100.35268484848487</v>
      </c>
      <c r="BQ48" s="718">
        <f t="shared" si="11"/>
        <v>183.70512537431338</v>
      </c>
      <c r="BR48"/>
      <c r="BS48" s="269">
        <v>2037</v>
      </c>
      <c r="BT48" s="1087">
        <f>+'C-I FREE'!U50</f>
        <v>23.140433204057274</v>
      </c>
      <c r="BU48" s="1088">
        <f>+'C-I Paid'!U50</f>
        <v>0.22405050000000001</v>
      </c>
      <c r="BV48" s="738">
        <f>+'C-I Mail-In'!U50</f>
        <v>0.33984000000000003</v>
      </c>
      <c r="BW48" s="276">
        <f>+'COM Cooling'!U50</f>
        <v>16.095252814404699</v>
      </c>
      <c r="BX48" s="276">
        <f>+'COM Duct'!U50</f>
        <v>21.410274130447483</v>
      </c>
      <c r="BY48" s="738">
        <f>+'COM Bldg Envel'!U50</f>
        <v>2.0868557382133996</v>
      </c>
      <c r="BZ48" s="276">
        <f>'COM CI'!U50</f>
        <v>10.265184720000004</v>
      </c>
      <c r="CA48" s="276">
        <f>'COM WI'!U50</f>
        <v>2.7962000000000008E-2</v>
      </c>
      <c r="CB48" s="738">
        <f>+'COM EEMotors'!U50</f>
        <v>0.31173319999999993</v>
      </c>
      <c r="CC48" s="276">
        <f>+'COM Chillers'!U50</f>
        <v>9.5213844117647106</v>
      </c>
      <c r="CD48" s="276">
        <f>+'COM Occ. Sens.'!U50</f>
        <v>12.849400279999994</v>
      </c>
      <c r="CE48" s="276">
        <f>+'COM Ref'!U50</f>
        <v>0.96997500000000003</v>
      </c>
      <c r="CF48" s="276">
        <f>+'COM WH'!U50</f>
        <v>9.7067500000000029E-2</v>
      </c>
      <c r="CG48" s="738">
        <f>+'COM Lighting'!U50</f>
        <v>205.6838343902898</v>
      </c>
      <c r="CH48" s="276">
        <f>'COM Cond. Light'!U50</f>
        <v>71.165432659999993</v>
      </c>
      <c r="CI48" s="276">
        <f>'COM Non Cond. Light'!U50</f>
        <v>14.416202430000006</v>
      </c>
      <c r="CJ48" s="276">
        <f>+'COM CV'!U50</f>
        <v>21.87309909083335</v>
      </c>
      <c r="CK48" s="276">
        <f>'COM TES'!U50</f>
        <v>1.9340219999999997</v>
      </c>
      <c r="CL48" s="738">
        <f>+'Street Light Conv'!U50</f>
        <v>16</v>
      </c>
      <c r="CM48" s="276">
        <f>'COM ECM'!U50</f>
        <v>2.9103850000000025E-2</v>
      </c>
      <c r="CN48" s="738">
        <f>'COM HVAC ReCommissioning'!U50</f>
        <v>1.1355234999999999</v>
      </c>
      <c r="CO48" s="276">
        <f>'COM Cool Roof'!U50</f>
        <v>23.303998309666675</v>
      </c>
      <c r="CP48" s="738">
        <f>'COM HVAC ReCommissioning'!U50</f>
        <v>1.1355234999999999</v>
      </c>
      <c r="CQ48" s="738">
        <f>'COM ERV'!U50</f>
        <v>3.1329000000000003E-2</v>
      </c>
      <c r="CR48" s="276">
        <f>'COM School PV'!U50</f>
        <v>7.0956000000000005E-2</v>
      </c>
      <c r="CS48" s="276">
        <f>'COM PV'!U50</f>
        <v>0.42825849999999999</v>
      </c>
      <c r="CT48" s="746">
        <f t="shared" si="19"/>
        <v>438.54669672967742</v>
      </c>
      <c r="CU48" s="741">
        <f>+'COM LM (cyc)'!Z50</f>
        <v>7.9499999999999994E-5</v>
      </c>
      <c r="CV48" s="276">
        <f>+'COM LM (ext)'!Z50</f>
        <v>0</v>
      </c>
      <c r="CW48" s="276">
        <f>+'COM SB Gen'!Z50</f>
        <v>5.8659755704099865</v>
      </c>
      <c r="CX48" s="276">
        <f>+'COM DMD Response'!U50</f>
        <v>4.1165376250000003</v>
      </c>
      <c r="CY48" s="277">
        <f t="shared" si="12"/>
        <v>9.9825926954099877</v>
      </c>
      <c r="CZ48" s="744">
        <f t="shared" si="13"/>
        <v>448.52928942508743</v>
      </c>
    </row>
    <row r="49" spans="1:106" s="176" customFormat="1" x14ac:dyDescent="0.2">
      <c r="A49" s="269">
        <v>2038</v>
      </c>
      <c r="B49" s="1081">
        <f>+'C-I FREE'!M51</f>
        <v>13.723332732696898</v>
      </c>
      <c r="C49" s="1082">
        <f>+'C-I Paid'!M51</f>
        <v>0.39515000000000006</v>
      </c>
      <c r="D49" s="981">
        <f>+'C-I Mail-In'!M51</f>
        <v>7.9649999999999999E-2</v>
      </c>
      <c r="E49" s="979">
        <f>+'COM Cooling'!M51</f>
        <v>5.8005176259648943</v>
      </c>
      <c r="F49" s="979">
        <f>+'COM Duct'!M51</f>
        <v>6.4878560116731556</v>
      </c>
      <c r="G49" s="981">
        <f>+'COM Bldg Envel'!M51</f>
        <v>1.5417364801488831</v>
      </c>
      <c r="H49" s="979">
        <f>'COM CI'!M51</f>
        <v>0.84700999999999971</v>
      </c>
      <c r="I49" s="979">
        <f>'COM WI'!M51</f>
        <v>2.1500000000000012E-2</v>
      </c>
      <c r="J49" s="981">
        <f>+'COM EEMotors'!M51</f>
        <v>5.9989999999999995E-2</v>
      </c>
      <c r="K49" s="979">
        <f>+'COM Chillers'!M51</f>
        <v>3.599259999999997</v>
      </c>
      <c r="L49" s="979">
        <f>+'COM Occ. Sens.'!M51</f>
        <v>11.915810700000005</v>
      </c>
      <c r="M49" s="979">
        <f>+'COM Ref'!M51</f>
        <v>6.3358000000000025E-2</v>
      </c>
      <c r="N49" s="979">
        <f>+'COM WH'!M51</f>
        <v>1.3566499999999995E-2</v>
      </c>
      <c r="O49" s="981">
        <f>+'COM Lighting'!M51</f>
        <v>42.797152579639551</v>
      </c>
      <c r="P49" s="979">
        <f>'COM Cond. Light'!M51</f>
        <v>15.851954999999991</v>
      </c>
      <c r="Q49" s="979">
        <f>'COM Non Cond. Light'!M51</f>
        <v>3.0257900000000006</v>
      </c>
      <c r="R49" s="979">
        <f>+'COM CV'!M51</f>
        <v>16.213700833333345</v>
      </c>
      <c r="S49" s="979">
        <f>'COM TES'!M51</f>
        <v>19.53226999999999</v>
      </c>
      <c r="T49" s="981">
        <f>+'Street Light Conv'!M51</f>
        <v>0</v>
      </c>
      <c r="U49" s="979">
        <f>'COM ECM'!M51</f>
        <v>5.6699999999999973E-2</v>
      </c>
      <c r="V49" s="981">
        <f>'COM ECM HVAC'!M51</f>
        <v>0</v>
      </c>
      <c r="W49" s="979">
        <f>'COM Cool Roof'!M51</f>
        <v>8.2587444444444422</v>
      </c>
      <c r="X49" s="981">
        <f>'COM HVAC ReCommissioning'!M51</f>
        <v>0.48852000000000001</v>
      </c>
      <c r="Y49" s="981">
        <f>'COM ERV'!M51</f>
        <v>2.0009999999999997E-2</v>
      </c>
      <c r="Z49" s="981">
        <f>'COM School PV'!M51</f>
        <v>2.52E-2</v>
      </c>
      <c r="AA49" s="981">
        <f>'COM PV'!M51</f>
        <v>0.17368999999999998</v>
      </c>
      <c r="AB49" s="277">
        <f t="shared" si="17"/>
        <v>141.96960646345673</v>
      </c>
      <c r="AC49" s="276">
        <f>+'COM LM (cyc)'!N51</f>
        <v>0.47373333333333317</v>
      </c>
      <c r="AD49" s="276">
        <f>+'COM LM (ext)'!N51</f>
        <v>1.978</v>
      </c>
      <c r="AE49" s="276">
        <f>+'COM SB Gen'!N51</f>
        <v>58.605663458110563</v>
      </c>
      <c r="AF49" s="276">
        <f>+'COM DMD Response'!M51</f>
        <v>40</v>
      </c>
      <c r="AG49" s="277">
        <f t="shared" si="5"/>
        <v>101.05739679144389</v>
      </c>
      <c r="AH49" s="277">
        <f t="shared" si="10"/>
        <v>243.02700325490062</v>
      </c>
      <c r="AJ49" s="748">
        <v>2038</v>
      </c>
      <c r="AK49" s="1088">
        <f>+'C-I FREE'!Q51</f>
        <v>32.695633102625322</v>
      </c>
      <c r="AL49" s="1088">
        <f>+'C-I Paid'!Q51</f>
        <v>0.91469</v>
      </c>
      <c r="AM49" s="738">
        <f>+'C-I Mail-In'!Q51</f>
        <v>6.0399999999999995E-2</v>
      </c>
      <c r="AN49" s="276">
        <f>+'COM Cooling'!Q51</f>
        <v>3.2532051282051278E-3</v>
      </c>
      <c r="AO49" s="276">
        <f>+'COM Duct'!Q51</f>
        <v>0.76612000000000002</v>
      </c>
      <c r="AP49" s="738">
        <f>+'COM Bldg Envel'!Q51</f>
        <v>2.2436590570719603E-2</v>
      </c>
      <c r="AQ49" s="276">
        <f>'COM CI'!Q51</f>
        <v>2.2100000000000012E-2</v>
      </c>
      <c r="AR49" s="276">
        <f>'COM WI'!Q51</f>
        <v>1.6379999999999995E-2</v>
      </c>
      <c r="AS49" s="738">
        <f>+'COM EEMotors'!Q51</f>
        <v>4.9059999999999999E-2</v>
      </c>
      <c r="AT49" s="276">
        <f>+'COM Chillers'!Q51</f>
        <v>2.3639694117647063</v>
      </c>
      <c r="AU49" s="276">
        <f>+'COM Occ. Sens.'!Q51</f>
        <v>9.439203400000002</v>
      </c>
      <c r="AV49" s="276">
        <f>+'COM Ref'!Q51</f>
        <v>0.10133200000000003</v>
      </c>
      <c r="AW49" s="276">
        <f>+'COM WH'!Q51</f>
        <v>6.9090000000000019E-3</v>
      </c>
      <c r="AX49" s="738">
        <f>+'COM Lighting'!Q51</f>
        <v>19.317446815739537</v>
      </c>
      <c r="AY49" s="276">
        <f>'COM Cond. Light'!Q51</f>
        <v>12.238000000000007</v>
      </c>
      <c r="AZ49" s="276">
        <f>'COM Non Cond. Light'!Q51</f>
        <v>2.9674500000000008</v>
      </c>
      <c r="BA49" s="276">
        <f>+'COM CV'!Q51</f>
        <v>3.2838099999999995</v>
      </c>
      <c r="BB49" s="276">
        <f>'COM TES'!Q51</f>
        <v>0</v>
      </c>
      <c r="BC49" s="738">
        <f>+'Street Light Conv'!Q51</f>
        <v>0</v>
      </c>
      <c r="BD49" s="276">
        <f>'COM ECM'!Q51</f>
        <v>0</v>
      </c>
      <c r="BE49" s="738">
        <f>'COM HVAC ReCommissioning'!Q51</f>
        <v>0</v>
      </c>
      <c r="BF49" s="276">
        <f>'COM Cool Roof'!Q51</f>
        <v>0</v>
      </c>
      <c r="BG49" s="738">
        <f>'COM HVAC ReCommissioning'!Q51</f>
        <v>0</v>
      </c>
      <c r="BH49" s="738">
        <f>'COM ERV'!Q51</f>
        <v>2.1419999999999998E-2</v>
      </c>
      <c r="BI49" s="738">
        <f>'COM School PV'!Q51</f>
        <v>0</v>
      </c>
      <c r="BJ49" s="276">
        <f>'COM PV'!Q51</f>
        <v>0</v>
      </c>
      <c r="BK49" s="277">
        <f t="shared" si="18"/>
        <v>84.289613525828514</v>
      </c>
      <c r="BL49" s="276">
        <f>+'COM LM (cyc)'!T51</f>
        <v>0</v>
      </c>
      <c r="BM49" s="276">
        <f>+'COM LM (ext)'!T51</f>
        <v>1.26</v>
      </c>
      <c r="BN49" s="276">
        <f>+'COM SB Gen'!T51</f>
        <v>59.685591919191928</v>
      </c>
      <c r="BO49" s="276">
        <f>+'COM DMD Response'!Q51</f>
        <v>40</v>
      </c>
      <c r="BP49" s="1106">
        <f t="shared" si="7"/>
        <v>100.94559191919193</v>
      </c>
      <c r="BQ49" s="718">
        <f t="shared" si="11"/>
        <v>185.23520544502043</v>
      </c>
      <c r="BR49"/>
      <c r="BS49" s="269">
        <v>2038</v>
      </c>
      <c r="BT49" s="1087">
        <f>+'C-I FREE'!U51</f>
        <v>23.140433204057274</v>
      </c>
      <c r="BU49" s="1088">
        <f>+'C-I Paid'!U51</f>
        <v>0.22405050000000001</v>
      </c>
      <c r="BV49" s="738">
        <f>+'C-I Mail-In'!U51</f>
        <v>0.33984000000000003</v>
      </c>
      <c r="BW49" s="276">
        <f>+'COM Cooling'!U51</f>
        <v>16.365552814404698</v>
      </c>
      <c r="BX49" s="276">
        <f>+'COM Duct'!U51</f>
        <v>21.583674130447484</v>
      </c>
      <c r="BY49" s="738">
        <f>+'COM Bldg Envel'!U51</f>
        <v>2.0868557382133996</v>
      </c>
      <c r="BZ49" s="276">
        <f>'COM CI'!U51</f>
        <v>10.740434720000005</v>
      </c>
      <c r="CA49" s="276">
        <f>'COM WI'!U51</f>
        <v>2.9326000000000008E-2</v>
      </c>
      <c r="CB49" s="738">
        <f>+'COM EEMotors'!U51</f>
        <v>0.31173319999999993</v>
      </c>
      <c r="CC49" s="276">
        <f>+'COM Chillers'!U51</f>
        <v>9.7608194117647109</v>
      </c>
      <c r="CD49" s="276">
        <f>+'COM Occ. Sens.'!U51</f>
        <v>13.265980279999994</v>
      </c>
      <c r="CE49" s="276">
        <f>+'COM Ref'!U51</f>
        <v>1.0217070000000001</v>
      </c>
      <c r="CF49" s="276">
        <f>+'COM WH'!U51</f>
        <v>0.10180250000000003</v>
      </c>
      <c r="CG49" s="738">
        <f>+'COM Lighting'!U51</f>
        <v>205.6838343902898</v>
      </c>
      <c r="CH49" s="276">
        <f>'COM Cond. Light'!U51</f>
        <v>73.967072659999999</v>
      </c>
      <c r="CI49" s="276">
        <f>'COM Non Cond. Light'!U51</f>
        <v>14.959642430000006</v>
      </c>
      <c r="CJ49" s="276">
        <f>+'COM CV'!U51</f>
        <v>21.882853090833351</v>
      </c>
      <c r="CK49" s="276">
        <f>'COM TES'!U51</f>
        <v>2.0302419999999999</v>
      </c>
      <c r="CL49" s="738">
        <f>+'Street Light Conv'!U51</f>
        <v>16</v>
      </c>
      <c r="CM49" s="276">
        <f>'COM ECM'!U51</f>
        <v>2.9163850000000026E-2</v>
      </c>
      <c r="CN49" s="738">
        <f>'COM HVAC ReCommissioning'!U51</f>
        <v>1.1355234999999999</v>
      </c>
      <c r="CO49" s="276">
        <f>'COM Cool Roof'!U51</f>
        <v>24.017838309666676</v>
      </c>
      <c r="CP49" s="738">
        <f>'COM HVAC ReCommissioning'!U51</f>
        <v>1.1355234999999999</v>
      </c>
      <c r="CQ49" s="738">
        <f>'COM ERV'!U51</f>
        <v>3.1329000000000003E-2</v>
      </c>
      <c r="CR49" s="276">
        <f>'COM School PV'!U51</f>
        <v>7.0956000000000005E-2</v>
      </c>
      <c r="CS49" s="276">
        <f>'COM PV'!U51</f>
        <v>0.42825849999999999</v>
      </c>
      <c r="CT49" s="746">
        <f t="shared" si="19"/>
        <v>444.34444672967743</v>
      </c>
      <c r="CU49" s="741">
        <f>+'COM LM (cyc)'!Z51</f>
        <v>1.1E-4</v>
      </c>
      <c r="CV49" s="276">
        <f>+'COM LM (ext)'!Z51</f>
        <v>0</v>
      </c>
      <c r="CW49" s="276">
        <f>+'COM SB Gen'!Z51</f>
        <v>5.9055633650227799</v>
      </c>
      <c r="CX49" s="276">
        <f>+'COM DMD Response'!U51</f>
        <v>4.1518316250000007</v>
      </c>
      <c r="CY49" s="277">
        <f t="shared" si="12"/>
        <v>10.057504990022782</v>
      </c>
      <c r="CZ49" s="744">
        <f t="shared" si="13"/>
        <v>454.40195171970021</v>
      </c>
    </row>
    <row r="50" spans="1:106" s="176" customFormat="1" x14ac:dyDescent="0.2">
      <c r="A50" s="269">
        <v>2039</v>
      </c>
      <c r="B50" s="1081">
        <f>+'C-I FREE'!M52</f>
        <v>13.723332732696898</v>
      </c>
      <c r="C50" s="1082">
        <f>+'C-I Paid'!M52</f>
        <v>0.39515000000000006</v>
      </c>
      <c r="D50" s="981">
        <f>+'C-I Mail-In'!M52</f>
        <v>7.9649999999999999E-2</v>
      </c>
      <c r="E50" s="979">
        <f>+'COM Cooling'!M52</f>
        <v>5.940517625964894</v>
      </c>
      <c r="F50" s="979">
        <f>+'COM Duct'!M52</f>
        <v>6.5258560116731559</v>
      </c>
      <c r="G50" s="981">
        <f>+'COM Bldg Envel'!M52</f>
        <v>1.5417364801488831</v>
      </c>
      <c r="H50" s="979">
        <f>'COM CI'!M52</f>
        <v>0.88450999999999969</v>
      </c>
      <c r="I50" s="979">
        <f>'COM WI'!M52</f>
        <v>2.2500000000000013E-2</v>
      </c>
      <c r="J50" s="981">
        <f>+'COM EEMotors'!M52</f>
        <v>5.9989999999999995E-2</v>
      </c>
      <c r="K50" s="979">
        <f>+'COM Chillers'!M52</f>
        <v>3.6845099999999968</v>
      </c>
      <c r="L50" s="979">
        <f>+'COM Occ. Sens.'!M52</f>
        <v>12.288410700000005</v>
      </c>
      <c r="M50" s="979">
        <f>+'COM Ref'!M52</f>
        <v>6.6566000000000028E-2</v>
      </c>
      <c r="N50" s="979">
        <f>+'COM WH'!M52</f>
        <v>1.4197499999999995E-2</v>
      </c>
      <c r="O50" s="981">
        <f>+'COM Lighting'!M52</f>
        <v>42.797152579639551</v>
      </c>
      <c r="P50" s="979">
        <f>'COM Cond. Light'!M52</f>
        <v>16.447554999999991</v>
      </c>
      <c r="Q50" s="979">
        <f>'COM Non Cond. Light'!M52</f>
        <v>3.1352900000000008</v>
      </c>
      <c r="R50" s="979">
        <f>+'COM CV'!M52</f>
        <v>16.571700833333345</v>
      </c>
      <c r="S50" s="979">
        <f>'COM TES'!M52</f>
        <v>20.457969999999989</v>
      </c>
      <c r="T50" s="981">
        <f>+'Street Light Conv'!M52</f>
        <v>0</v>
      </c>
      <c r="U50" s="979">
        <f>'COM ECM'!M52</f>
        <v>5.6899999999999971E-2</v>
      </c>
      <c r="V50" s="981">
        <f>'COM ECM HVAC'!M52</f>
        <v>0</v>
      </c>
      <c r="W50" s="979">
        <f>'COM Cool Roof'!M52</f>
        <v>8.551544444444442</v>
      </c>
      <c r="X50" s="981">
        <f>'COM HVAC ReCommissioning'!M52</f>
        <v>0.48852000000000001</v>
      </c>
      <c r="Y50" s="981">
        <f>'COM ERV'!M52</f>
        <v>2.0009999999999997E-2</v>
      </c>
      <c r="Z50" s="981">
        <f>'COM School PV'!M52</f>
        <v>2.52E-2</v>
      </c>
      <c r="AA50" s="981">
        <f>'COM PV'!M52</f>
        <v>0.17368999999999998</v>
      </c>
      <c r="AB50" s="277">
        <f t="shared" si="17"/>
        <v>144.63659546345673</v>
      </c>
      <c r="AC50" s="276">
        <f>+'COM LM (cyc)'!N52</f>
        <v>0.48693333333333311</v>
      </c>
      <c r="AD50" s="276">
        <f>+'COM LM (ext)'!N52</f>
        <v>2.0699999999999998</v>
      </c>
      <c r="AE50" s="276">
        <f>+'COM SB Gen'!N52</f>
        <v>58.903663458110564</v>
      </c>
      <c r="AF50" s="276">
        <f>+'COM DMD Response'!M52</f>
        <v>40</v>
      </c>
      <c r="AG50" s="277">
        <f t="shared" si="5"/>
        <v>101.46059679144389</v>
      </c>
      <c r="AH50" s="277">
        <f t="shared" si="10"/>
        <v>246.09719225490062</v>
      </c>
      <c r="AJ50" s="748">
        <v>2039</v>
      </c>
      <c r="AK50" s="1088">
        <f>+'C-I FREE'!Q52</f>
        <v>32.695633102625322</v>
      </c>
      <c r="AL50" s="1088">
        <f>+'C-I Paid'!Q52</f>
        <v>0.91469</v>
      </c>
      <c r="AM50" s="738">
        <f>+'C-I Mail-In'!Q52</f>
        <v>6.0399999999999995E-2</v>
      </c>
      <c r="AN50" s="276">
        <f>+'COM Cooling'!Q52</f>
        <v>3.2532051282051278E-3</v>
      </c>
      <c r="AO50" s="276">
        <f>+'COM Duct'!Q52</f>
        <v>0.76612000000000002</v>
      </c>
      <c r="AP50" s="738">
        <f>+'COM Bldg Envel'!Q52</f>
        <v>2.2436590570719603E-2</v>
      </c>
      <c r="AQ50" s="276">
        <f>'COM CI'!Q52</f>
        <v>2.3100000000000013E-2</v>
      </c>
      <c r="AR50" s="276">
        <f>'COM WI'!Q52</f>
        <v>1.7159999999999995E-2</v>
      </c>
      <c r="AS50" s="738">
        <f>+'COM EEMotors'!Q52</f>
        <v>4.9059999999999999E-2</v>
      </c>
      <c r="AT50" s="276">
        <f>+'COM Chillers'!Q52</f>
        <v>2.4279194117647065</v>
      </c>
      <c r="AU50" s="276">
        <f>+'COM Occ. Sens.'!Q52</f>
        <v>9.7315534000000028</v>
      </c>
      <c r="AV50" s="276">
        <f>+'COM Ref'!Q52</f>
        <v>0.10659600000000004</v>
      </c>
      <c r="AW50" s="276">
        <f>+'COM WH'!Q52</f>
        <v>7.2380000000000022E-3</v>
      </c>
      <c r="AX50" s="738">
        <f>+'COM Lighting'!Q52</f>
        <v>19.317446815739537</v>
      </c>
      <c r="AY50" s="276">
        <f>'COM Cond. Light'!Q52</f>
        <v>12.702000000000007</v>
      </c>
      <c r="AZ50" s="276">
        <f>'COM Non Cond. Light'!Q52</f>
        <v>3.076950000000001</v>
      </c>
      <c r="BA50" s="276">
        <f>+'COM CV'!Q52</f>
        <v>3.2838099999999995</v>
      </c>
      <c r="BB50" s="276">
        <f>'COM TES'!Q52</f>
        <v>0</v>
      </c>
      <c r="BC50" s="738">
        <f>+'Street Light Conv'!Q52</f>
        <v>0</v>
      </c>
      <c r="BD50" s="276">
        <f>'COM ECM'!Q52</f>
        <v>0</v>
      </c>
      <c r="BE50" s="738">
        <f>'COM HVAC ReCommissioning'!Q52</f>
        <v>0</v>
      </c>
      <c r="BF50" s="276">
        <f>'COM Cool Roof'!Q52</f>
        <v>0</v>
      </c>
      <c r="BG50" s="738">
        <f>'COM HVAC ReCommissioning'!Q52</f>
        <v>0</v>
      </c>
      <c r="BH50" s="738">
        <f>'COM ERV'!Q52</f>
        <v>2.1419999999999998E-2</v>
      </c>
      <c r="BI50" s="738">
        <f>'COM School PV'!Q52</f>
        <v>0</v>
      </c>
      <c r="BJ50" s="276">
        <f>'COM PV'!Q52</f>
        <v>0</v>
      </c>
      <c r="BK50" s="277">
        <f t="shared" si="18"/>
        <v>85.226786525828501</v>
      </c>
      <c r="BL50" s="276">
        <f>+'COM LM (cyc)'!T52</f>
        <v>0</v>
      </c>
      <c r="BM50" s="276">
        <f>+'COM LM (ext)'!T52</f>
        <v>1.32</v>
      </c>
      <c r="BN50" s="276">
        <f>+'COM SB Gen'!T52</f>
        <v>60.218498989899004</v>
      </c>
      <c r="BO50" s="276">
        <f>+'COM DMD Response'!Q52</f>
        <v>40</v>
      </c>
      <c r="BP50" s="1106">
        <f t="shared" si="7"/>
        <v>101.53849898989901</v>
      </c>
      <c r="BQ50" s="718">
        <f t="shared" si="11"/>
        <v>186.7652855157275</v>
      </c>
      <c r="BR50"/>
      <c r="BS50" s="269">
        <v>2039</v>
      </c>
      <c r="BT50" s="1087">
        <f>+'C-I FREE'!U52</f>
        <v>23.140433204057274</v>
      </c>
      <c r="BU50" s="1088">
        <f>+'C-I Paid'!U52</f>
        <v>0.22405050000000001</v>
      </c>
      <c r="BV50" s="738">
        <f>+'C-I Mail-In'!U52</f>
        <v>0.33984000000000003</v>
      </c>
      <c r="BW50" s="276">
        <f>+'COM Cooling'!U52</f>
        <v>16.635852814404696</v>
      </c>
      <c r="BX50" s="276">
        <f>+'COM Duct'!U52</f>
        <v>21.757074130447485</v>
      </c>
      <c r="BY50" s="738">
        <f>+'COM Bldg Envel'!U52</f>
        <v>2.0868557382133996</v>
      </c>
      <c r="BZ50" s="276">
        <f>'COM CI'!U52</f>
        <v>11.215684720000006</v>
      </c>
      <c r="CA50" s="276">
        <f>'COM WI'!U52</f>
        <v>3.0690000000000009E-2</v>
      </c>
      <c r="CB50" s="738">
        <f>+'COM EEMotors'!U52</f>
        <v>0.31173319999999993</v>
      </c>
      <c r="CC50" s="276">
        <f>+'COM Chillers'!U52</f>
        <v>10.000254411764711</v>
      </c>
      <c r="CD50" s="276">
        <f>+'COM Occ. Sens.'!U52</f>
        <v>13.682560279999993</v>
      </c>
      <c r="CE50" s="276">
        <f>+'COM Ref'!U52</f>
        <v>1.073439</v>
      </c>
      <c r="CF50" s="276">
        <f>+'COM WH'!U52</f>
        <v>0.10653750000000003</v>
      </c>
      <c r="CG50" s="738">
        <f>+'COM Lighting'!U52</f>
        <v>205.6838343902898</v>
      </c>
      <c r="CH50" s="276">
        <f>'COM Cond. Light'!U52</f>
        <v>76.768712660000006</v>
      </c>
      <c r="CI50" s="276">
        <f>'COM Non Cond. Light'!U52</f>
        <v>15.503082430000006</v>
      </c>
      <c r="CJ50" s="276">
        <f>+'COM CV'!U52</f>
        <v>21.892607090833351</v>
      </c>
      <c r="CK50" s="276">
        <f>'COM TES'!U52</f>
        <v>2.1264620000000001</v>
      </c>
      <c r="CL50" s="738">
        <f>+'Street Light Conv'!U52</f>
        <v>16</v>
      </c>
      <c r="CM50" s="276">
        <f>'COM ECM'!U52</f>
        <v>2.9223850000000027E-2</v>
      </c>
      <c r="CN50" s="738">
        <f>'COM HVAC ReCommissioning'!U52</f>
        <v>1.1355234999999999</v>
      </c>
      <c r="CO50" s="276">
        <f>'COM Cool Roof'!U52</f>
        <v>24.731678309666677</v>
      </c>
      <c r="CP50" s="738">
        <f>'COM HVAC ReCommissioning'!U52</f>
        <v>1.1355234999999999</v>
      </c>
      <c r="CQ50" s="738">
        <f>'COM ERV'!U52</f>
        <v>3.1329000000000003E-2</v>
      </c>
      <c r="CR50" s="276">
        <f>'COM School PV'!U52</f>
        <v>7.0956000000000005E-2</v>
      </c>
      <c r="CS50" s="276">
        <f>'COM PV'!U52</f>
        <v>0.42825849999999999</v>
      </c>
      <c r="CT50" s="746">
        <f t="shared" si="19"/>
        <v>450.14219672967744</v>
      </c>
      <c r="CU50" s="741">
        <f>+'COM LM (cyc)'!Z52</f>
        <v>1.4249999999999999E-4</v>
      </c>
      <c r="CV50" s="276">
        <f>+'COM LM (ext)'!Z52</f>
        <v>0</v>
      </c>
      <c r="CW50" s="276">
        <f>+'COM SB Gen'!Z52</f>
        <v>5.9451511596355751</v>
      </c>
      <c r="CX50" s="276">
        <f>+'COM DMD Response'!U52</f>
        <v>4.1871256250000011</v>
      </c>
      <c r="CY50" s="277">
        <f t="shared" si="12"/>
        <v>10.132419284635576</v>
      </c>
      <c r="CZ50" s="744">
        <f t="shared" si="13"/>
        <v>460.27461601431304</v>
      </c>
    </row>
    <row r="51" spans="1:106" s="176" customFormat="1" x14ac:dyDescent="0.2">
      <c r="A51" s="269">
        <v>2040</v>
      </c>
      <c r="B51" s="1081">
        <f>+'C-I FREE'!M53</f>
        <v>13.723332732696898</v>
      </c>
      <c r="C51" s="1082">
        <f>+'C-I Paid'!M53</f>
        <v>0.39515000000000006</v>
      </c>
      <c r="D51" s="981">
        <f>+'C-I Mail-In'!M53</f>
        <v>7.9649999999999999E-2</v>
      </c>
      <c r="E51" s="979">
        <f>+'COM Cooling'!M53</f>
        <v>6.0805176259648936</v>
      </c>
      <c r="F51" s="979">
        <f>+'COM Duct'!M53</f>
        <v>6.5638560116731561</v>
      </c>
      <c r="G51" s="981">
        <f>+'COM Bldg Envel'!M53</f>
        <v>1.5417364801488831</v>
      </c>
      <c r="H51" s="979">
        <f>'COM CI'!M53</f>
        <v>0.92200999999999966</v>
      </c>
      <c r="I51" s="979">
        <f>'COM WI'!M53</f>
        <v>2.3500000000000014E-2</v>
      </c>
      <c r="J51" s="981">
        <f>+'COM EEMotors'!M53</f>
        <v>5.9989999999999995E-2</v>
      </c>
      <c r="K51" s="979">
        <f>+'COM Chillers'!M53</f>
        <v>3.7697599999999967</v>
      </c>
      <c r="L51" s="979">
        <f>+'COM Occ. Sens.'!M53</f>
        <v>12.661010700000006</v>
      </c>
      <c r="M51" s="979">
        <f>+'COM Ref'!M53</f>
        <v>6.977400000000003E-2</v>
      </c>
      <c r="N51" s="979">
        <f>+'COM WH'!M53</f>
        <v>1.4828499999999994E-2</v>
      </c>
      <c r="O51" s="981">
        <f>+'COM Lighting'!M53</f>
        <v>42.797152579639551</v>
      </c>
      <c r="P51" s="979">
        <f>'COM Cond. Light'!M53</f>
        <v>17.043154999999992</v>
      </c>
      <c r="Q51" s="979">
        <f>'COM Non Cond. Light'!M53</f>
        <v>3.244790000000001</v>
      </c>
      <c r="R51" s="979">
        <f>+'COM CV'!M53</f>
        <v>16.929700833333346</v>
      </c>
      <c r="S51" s="979">
        <f>'COM TES'!M53</f>
        <v>21.383669999999988</v>
      </c>
      <c r="T51" s="981">
        <f>+'Street Light Conv'!M53</f>
        <v>0</v>
      </c>
      <c r="U51" s="979">
        <f>'COM ECM'!M53</f>
        <v>5.709999999999997E-2</v>
      </c>
      <c r="V51" s="981">
        <f>'COM ECM HVAC'!M53</f>
        <v>0</v>
      </c>
      <c r="W51" s="979">
        <f>'COM Cool Roof'!M53</f>
        <v>8.8443444444444417</v>
      </c>
      <c r="X51" s="981">
        <f>'COM HVAC ReCommissioning'!M53</f>
        <v>0.48852000000000001</v>
      </c>
      <c r="Y51" s="981">
        <f>'COM ERV'!M53</f>
        <v>2.0009999999999997E-2</v>
      </c>
      <c r="Z51" s="981">
        <f>'COM School PV'!M53</f>
        <v>2.52E-2</v>
      </c>
      <c r="AA51" s="981">
        <f>'COM PV'!M53</f>
        <v>0.17368999999999998</v>
      </c>
      <c r="AB51" s="277">
        <f t="shared" si="17"/>
        <v>147.3035844634567</v>
      </c>
      <c r="AC51" s="276">
        <f>+'COM LM (cyc)'!N53</f>
        <v>0.50013333333333321</v>
      </c>
      <c r="AD51" s="276">
        <f>+'COM LM (ext)'!N53</f>
        <v>2.1619999999999999</v>
      </c>
      <c r="AE51" s="276">
        <f>+'COM SB Gen'!N53</f>
        <v>59.201663458110581</v>
      </c>
      <c r="AF51" s="276">
        <f>+'COM DMD Response'!M53</f>
        <v>40</v>
      </c>
      <c r="AG51" s="277">
        <f t="shared" si="5"/>
        <v>101.86379679144392</v>
      </c>
      <c r="AH51" s="277">
        <f t="shared" si="10"/>
        <v>249.16738125490062</v>
      </c>
      <c r="AJ51" s="748">
        <v>2040</v>
      </c>
      <c r="AK51" s="1088">
        <f>+'C-I FREE'!Q53</f>
        <v>32.695633102625322</v>
      </c>
      <c r="AL51" s="1088">
        <f>+'C-I Paid'!Q53</f>
        <v>0.91469</v>
      </c>
      <c r="AM51" s="738">
        <f>+'C-I Mail-In'!Q53</f>
        <v>6.0399999999999995E-2</v>
      </c>
      <c r="AN51" s="276">
        <f>+'COM Cooling'!Q53</f>
        <v>3.2532051282051278E-3</v>
      </c>
      <c r="AO51" s="276">
        <f>+'COM Duct'!Q53</f>
        <v>0.76612000000000002</v>
      </c>
      <c r="AP51" s="738">
        <f>+'COM Bldg Envel'!Q53</f>
        <v>2.2436590570719603E-2</v>
      </c>
      <c r="AQ51" s="276">
        <f>'COM CI'!Q53</f>
        <v>2.4100000000000014E-2</v>
      </c>
      <c r="AR51" s="276">
        <f>'COM WI'!Q53</f>
        <v>1.7939999999999994E-2</v>
      </c>
      <c r="AS51" s="738">
        <f>+'COM EEMotors'!Q53</f>
        <v>4.9059999999999999E-2</v>
      </c>
      <c r="AT51" s="276">
        <f>+'COM Chillers'!Q53</f>
        <v>2.4918694117647067</v>
      </c>
      <c r="AU51" s="276">
        <f>+'COM Occ. Sens.'!Q53</f>
        <v>10.023903400000004</v>
      </c>
      <c r="AV51" s="276">
        <f>+'COM Ref'!Q53</f>
        <v>0.11186000000000004</v>
      </c>
      <c r="AW51" s="276">
        <f>+'COM WH'!Q53</f>
        <v>7.5670000000000025E-3</v>
      </c>
      <c r="AX51" s="738">
        <f>+'COM Lighting'!Q53</f>
        <v>19.317446815739537</v>
      </c>
      <c r="AY51" s="276">
        <f>'COM Cond. Light'!Q53</f>
        <v>13.166000000000007</v>
      </c>
      <c r="AZ51" s="276">
        <f>'COM Non Cond. Light'!Q53</f>
        <v>3.1864500000000011</v>
      </c>
      <c r="BA51" s="276">
        <f>+'COM CV'!Q53</f>
        <v>3.2838099999999995</v>
      </c>
      <c r="BB51" s="276">
        <f>'COM TES'!Q53</f>
        <v>0</v>
      </c>
      <c r="BC51" s="738">
        <f>+'Street Light Conv'!Q53</f>
        <v>0</v>
      </c>
      <c r="BD51" s="276">
        <f>'COM ECM'!Q53</f>
        <v>0</v>
      </c>
      <c r="BE51" s="738">
        <f>'COM HVAC ReCommissioning'!Q53</f>
        <v>0</v>
      </c>
      <c r="BF51" s="276">
        <f>'COM Cool Roof'!Q53</f>
        <v>0</v>
      </c>
      <c r="BG51" s="738">
        <f>'COM HVAC ReCommissioning'!Q53</f>
        <v>0</v>
      </c>
      <c r="BH51" s="738">
        <f>'COM ERV'!Q53</f>
        <v>2.1419999999999998E-2</v>
      </c>
      <c r="BI51" s="738">
        <f>'COM School PV'!Q53</f>
        <v>0</v>
      </c>
      <c r="BJ51" s="276">
        <f>'COM PV'!Q53</f>
        <v>0</v>
      </c>
      <c r="BK51" s="277">
        <f t="shared" si="18"/>
        <v>86.163959525828517</v>
      </c>
      <c r="BL51" s="276">
        <f>+'COM LM (cyc)'!T53</f>
        <v>0</v>
      </c>
      <c r="BM51" s="276">
        <f>+'COM LM (ext)'!T53</f>
        <v>1.38</v>
      </c>
      <c r="BN51" s="276">
        <f>+'COM SB Gen'!T53</f>
        <v>60.751406060606072</v>
      </c>
      <c r="BO51" s="276">
        <f>+'COM DMD Response'!Q53</f>
        <v>40</v>
      </c>
      <c r="BP51" s="1106">
        <f t="shared" si="7"/>
        <v>102.13140606060608</v>
      </c>
      <c r="BQ51" s="718">
        <f t="shared" si="11"/>
        <v>188.2953655864346</v>
      </c>
      <c r="BR51"/>
      <c r="BS51" s="269">
        <v>2040</v>
      </c>
      <c r="BT51" s="1087">
        <f>+'C-I FREE'!U53</f>
        <v>23.140433204057274</v>
      </c>
      <c r="BU51" s="1088">
        <f>+'C-I Paid'!U53</f>
        <v>0.22405050000000001</v>
      </c>
      <c r="BV51" s="738">
        <f>+'C-I Mail-In'!U53</f>
        <v>0.33984000000000003</v>
      </c>
      <c r="BW51" s="276">
        <f>+'COM Cooling'!U53</f>
        <v>16.906152814404695</v>
      </c>
      <c r="BX51" s="276">
        <f>+'COM Duct'!U53</f>
        <v>21.930474130447486</v>
      </c>
      <c r="BY51" s="738">
        <f>+'COM Bldg Envel'!U53</f>
        <v>2.0868557382133996</v>
      </c>
      <c r="BZ51" s="276">
        <f>'COM CI'!U53</f>
        <v>11.690934720000007</v>
      </c>
      <c r="CA51" s="276">
        <f>'COM WI'!U53</f>
        <v>3.2054000000000006E-2</v>
      </c>
      <c r="CB51" s="738">
        <f>+'COM EEMotors'!U53</f>
        <v>0.31173319999999993</v>
      </c>
      <c r="CC51" s="276">
        <f>+'COM Chillers'!U53</f>
        <v>10.239689411764711</v>
      </c>
      <c r="CD51" s="276">
        <f>+'COM Occ. Sens.'!U53</f>
        <v>14.099140279999993</v>
      </c>
      <c r="CE51" s="276">
        <f>+'COM Ref'!U53</f>
        <v>1.1251709999999999</v>
      </c>
      <c r="CF51" s="276">
        <f>+'COM WH'!U53</f>
        <v>0.11127250000000004</v>
      </c>
      <c r="CG51" s="738">
        <f>+'COM Lighting'!U53</f>
        <v>205.6838343902898</v>
      </c>
      <c r="CH51" s="276">
        <f>'COM Cond. Light'!U53</f>
        <v>79.570352660000012</v>
      </c>
      <c r="CI51" s="276">
        <f>'COM Non Cond. Light'!U53</f>
        <v>16.046522430000007</v>
      </c>
      <c r="CJ51" s="276">
        <f>+'COM CV'!U53</f>
        <v>21.902361090833352</v>
      </c>
      <c r="CK51" s="276">
        <f>'COM TES'!U53</f>
        <v>2.2226820000000003</v>
      </c>
      <c r="CL51" s="738">
        <f>+'Street Light Conv'!U53</f>
        <v>16</v>
      </c>
      <c r="CM51" s="276">
        <f>'COM ECM'!U53</f>
        <v>2.9283850000000028E-2</v>
      </c>
      <c r="CN51" s="738">
        <f>'COM HVAC ReCommissioning'!U53</f>
        <v>1.1355234999999999</v>
      </c>
      <c r="CO51" s="276">
        <f>'COM Cool Roof'!U53</f>
        <v>25.445518309666678</v>
      </c>
      <c r="CP51" s="738">
        <f>'COM HVAC ReCommissioning'!U53</f>
        <v>1.1355234999999999</v>
      </c>
      <c r="CQ51" s="738">
        <f>'COM ERV'!U53</f>
        <v>3.1329000000000003E-2</v>
      </c>
      <c r="CR51" s="276">
        <f>'COM School PV'!U53</f>
        <v>7.0956000000000005E-2</v>
      </c>
      <c r="CS51" s="276">
        <f>'COM PV'!U53</f>
        <v>0.42825849999999999</v>
      </c>
      <c r="CT51" s="746">
        <f t="shared" si="19"/>
        <v>455.9399467296775</v>
      </c>
      <c r="CU51" s="741">
        <f>+'COM LM (cyc)'!Z53</f>
        <v>1.7699999999999999E-4</v>
      </c>
      <c r="CV51" s="276">
        <f>+'COM LM (ext)'!Z53</f>
        <v>0</v>
      </c>
      <c r="CW51" s="276">
        <f>+'COM SB Gen'!Z53</f>
        <v>5.9847389542483702</v>
      </c>
      <c r="CX51" s="276">
        <f>+'COM DMD Response'!U53</f>
        <v>4.2224196250000015</v>
      </c>
      <c r="CY51" s="277">
        <f t="shared" si="12"/>
        <v>10.207335579248372</v>
      </c>
      <c r="CZ51" s="744">
        <f t="shared" si="13"/>
        <v>466.14728230892587</v>
      </c>
    </row>
    <row r="52" spans="1:106" s="176" customFormat="1" x14ac:dyDescent="0.2">
      <c r="A52" s="269">
        <v>2041</v>
      </c>
      <c r="B52" s="1081">
        <f>+'C-I FREE'!M54</f>
        <v>13.723332732696898</v>
      </c>
      <c r="C52" s="1082">
        <f>+'C-I Paid'!M54</f>
        <v>0.39515000000000006</v>
      </c>
      <c r="D52" s="981">
        <f>+'C-I Mail-In'!M54</f>
        <v>7.9649999999999999E-2</v>
      </c>
      <c r="E52" s="979">
        <f>+'COM Cooling'!M54</f>
        <v>6.2205176259648933</v>
      </c>
      <c r="F52" s="979">
        <f>+'COM Duct'!M54</f>
        <v>6.6018560116731564</v>
      </c>
      <c r="G52" s="981">
        <f>+'COM Bldg Envel'!M54</f>
        <v>1.5417364801488831</v>
      </c>
      <c r="H52" s="979">
        <f>'COM CI'!M54</f>
        <v>0.95950999999999964</v>
      </c>
      <c r="I52" s="979">
        <f>'COM WI'!M54</f>
        <v>2.4500000000000015E-2</v>
      </c>
      <c r="J52" s="981">
        <f>+'COM EEMotors'!M54</f>
        <v>5.9989999999999995E-2</v>
      </c>
      <c r="K52" s="979">
        <f>+'COM Chillers'!M54</f>
        <v>3.8550099999999965</v>
      </c>
      <c r="L52" s="979">
        <f>+'COM Occ. Sens.'!M54</f>
        <v>13.033610700000006</v>
      </c>
      <c r="M52" s="979">
        <f>+'COM Ref'!M54</f>
        <v>7.2982000000000033E-2</v>
      </c>
      <c r="N52" s="979">
        <f>+'COM WH'!M54</f>
        <v>1.5459499999999994E-2</v>
      </c>
      <c r="O52" s="981">
        <f>+'COM Lighting'!M54</f>
        <v>42.797152579639551</v>
      </c>
      <c r="P52" s="979">
        <f>'COM Cond. Light'!M54</f>
        <v>17.638754999999993</v>
      </c>
      <c r="Q52" s="979">
        <f>'COM Non Cond. Light'!M54</f>
        <v>3.3542900000000011</v>
      </c>
      <c r="R52" s="979">
        <f>+'COM CV'!M54</f>
        <v>17.287700833333346</v>
      </c>
      <c r="S52" s="979">
        <f>'COM TES'!M54</f>
        <v>22.309369999999987</v>
      </c>
      <c r="T52" s="981">
        <f>+'Street Light Conv'!M54</f>
        <v>0</v>
      </c>
      <c r="U52" s="979">
        <f>'COM ECM'!M54</f>
        <v>5.7299999999999969E-2</v>
      </c>
      <c r="V52" s="981">
        <f>'COM ECM HVAC'!M54</f>
        <v>0</v>
      </c>
      <c r="W52" s="979">
        <f>'COM Cool Roof'!M54</f>
        <v>9.1371444444444414</v>
      </c>
      <c r="X52" s="981">
        <f>'COM HVAC ReCommissioning'!M54</f>
        <v>0.48852000000000001</v>
      </c>
      <c r="Y52" s="981">
        <f>'COM ERV'!M54</f>
        <v>2.0009999999999997E-2</v>
      </c>
      <c r="Z52" s="981">
        <f>'COM School PV'!M54</f>
        <v>2.52E-2</v>
      </c>
      <c r="AA52" s="981">
        <f>'COM PV'!M54</f>
        <v>0.17368999999999998</v>
      </c>
      <c r="AB52" s="277">
        <f t="shared" si="17"/>
        <v>149.97057346345673</v>
      </c>
      <c r="AC52" s="276">
        <f>+'COM LM (cyc)'!N54</f>
        <v>0.5133333333333332</v>
      </c>
      <c r="AD52" s="276">
        <f>+'COM LM (ext)'!N54</f>
        <v>2.254</v>
      </c>
      <c r="AE52" s="276">
        <f>+'COM SB Gen'!N54</f>
        <v>59.499663458110589</v>
      </c>
      <c r="AF52" s="276">
        <f>+'COM DMD Response'!M54</f>
        <v>40</v>
      </c>
      <c r="AG52" s="277">
        <f t="shared" si="5"/>
        <v>102.26699679144392</v>
      </c>
      <c r="AH52" s="277">
        <f t="shared" si="10"/>
        <v>252.23757025490065</v>
      </c>
      <c r="AJ52" s="748">
        <v>2041</v>
      </c>
      <c r="AK52" s="1088">
        <f>+'C-I FREE'!Q54</f>
        <v>32.695633102625322</v>
      </c>
      <c r="AL52" s="1088">
        <f>+'C-I Paid'!Q54</f>
        <v>0.91469</v>
      </c>
      <c r="AM52" s="738">
        <f>+'C-I Mail-In'!Q54</f>
        <v>6.0399999999999995E-2</v>
      </c>
      <c r="AN52" s="276">
        <f>+'COM Cooling'!Q54</f>
        <v>3.2532051282051278E-3</v>
      </c>
      <c r="AO52" s="276">
        <f>+'COM Duct'!Q54</f>
        <v>0.76612000000000002</v>
      </c>
      <c r="AP52" s="738">
        <f>+'COM Bldg Envel'!Q54</f>
        <v>2.2436590570719603E-2</v>
      </c>
      <c r="AQ52" s="276">
        <f>'COM CI'!Q54</f>
        <v>2.5100000000000015E-2</v>
      </c>
      <c r="AR52" s="276">
        <f>'COM WI'!Q54</f>
        <v>1.8719999999999994E-2</v>
      </c>
      <c r="AS52" s="738">
        <f>+'COM EEMotors'!Q54</f>
        <v>4.9059999999999999E-2</v>
      </c>
      <c r="AT52" s="276">
        <f>+'COM Chillers'!Q54</f>
        <v>2.5558194117647068</v>
      </c>
      <c r="AU52" s="276">
        <f>+'COM Occ. Sens.'!Q54</f>
        <v>10.316253400000004</v>
      </c>
      <c r="AV52" s="276">
        <f>+'COM Ref'!Q54</f>
        <v>0.11712400000000005</v>
      </c>
      <c r="AW52" s="276">
        <f>+'COM WH'!Q54</f>
        <v>7.896000000000002E-3</v>
      </c>
      <c r="AX52" s="738">
        <f>+'COM Lighting'!Q54</f>
        <v>19.317446815739537</v>
      </c>
      <c r="AY52" s="276">
        <f>'COM Cond. Light'!Q54</f>
        <v>13.630000000000008</v>
      </c>
      <c r="AZ52" s="276">
        <f>'COM Non Cond. Light'!Q54</f>
        <v>3.2959500000000013</v>
      </c>
      <c r="BA52" s="276">
        <f>+'COM CV'!Q54</f>
        <v>3.2838099999999995</v>
      </c>
      <c r="BB52" s="276">
        <f>'COM TES'!Q54</f>
        <v>0</v>
      </c>
      <c r="BC52" s="738">
        <f>+'Street Light Conv'!Q54</f>
        <v>0</v>
      </c>
      <c r="BD52" s="276">
        <f>'COM ECM'!Q54</f>
        <v>0</v>
      </c>
      <c r="BE52" s="738">
        <f>'COM HVAC ReCommissioning'!Q54</f>
        <v>0</v>
      </c>
      <c r="BF52" s="276">
        <f>'COM Cool Roof'!Q54</f>
        <v>0</v>
      </c>
      <c r="BG52" s="738">
        <f>'COM HVAC ReCommissioning'!Q54</f>
        <v>0</v>
      </c>
      <c r="BH52" s="738">
        <f>'COM ERV'!Q54</f>
        <v>2.1419999999999998E-2</v>
      </c>
      <c r="BI52" s="738">
        <f>'COM School PV'!Q54</f>
        <v>0</v>
      </c>
      <c r="BJ52" s="276">
        <f>'COM PV'!Q54</f>
        <v>0</v>
      </c>
      <c r="BK52" s="277">
        <f t="shared" si="18"/>
        <v>87.101132525828518</v>
      </c>
      <c r="BL52" s="276">
        <f>+'COM LM (cyc)'!T54</f>
        <v>0</v>
      </c>
      <c r="BM52" s="276">
        <f>+'COM LM (ext)'!T54</f>
        <v>1.44</v>
      </c>
      <c r="BN52" s="276">
        <f>+'COM SB Gen'!T54</f>
        <v>61.284313131313148</v>
      </c>
      <c r="BO52" s="276">
        <f>+'COM DMD Response'!Q54</f>
        <v>40</v>
      </c>
      <c r="BP52" s="1106">
        <f t="shared" si="7"/>
        <v>102.72431313131315</v>
      </c>
      <c r="BQ52" s="718">
        <f t="shared" si="11"/>
        <v>189.82544565714167</v>
      </c>
      <c r="BR52"/>
      <c r="BS52" s="269">
        <v>2041</v>
      </c>
      <c r="BT52" s="1087">
        <f>+'C-I FREE'!U54</f>
        <v>23.140433204057274</v>
      </c>
      <c r="BU52" s="1088">
        <f>+'C-I Paid'!U54</f>
        <v>0.22405050000000001</v>
      </c>
      <c r="BV52" s="738">
        <f>+'C-I Mail-In'!U54</f>
        <v>0.33984000000000003</v>
      </c>
      <c r="BW52" s="276">
        <f>+'COM Cooling'!U54</f>
        <v>17.176452814404694</v>
      </c>
      <c r="BX52" s="276">
        <f>+'COM Duct'!U54</f>
        <v>22.103874130447487</v>
      </c>
      <c r="BY52" s="738">
        <f>+'COM Bldg Envel'!U54</f>
        <v>2.0868557382133996</v>
      </c>
      <c r="BZ52" s="276">
        <f>'COM CI'!U54</f>
        <v>12.166184720000008</v>
      </c>
      <c r="CA52" s="276">
        <f>'COM WI'!U54</f>
        <v>3.3418000000000003E-2</v>
      </c>
      <c r="CB52" s="738">
        <f>+'COM EEMotors'!U54</f>
        <v>0.31173319999999993</v>
      </c>
      <c r="CC52" s="276">
        <f>+'COM Chillers'!U54</f>
        <v>10.479124411764712</v>
      </c>
      <c r="CD52" s="276">
        <f>+'COM Occ. Sens.'!U54</f>
        <v>14.515720279999993</v>
      </c>
      <c r="CE52" s="276">
        <f>+'COM Ref'!U54</f>
        <v>1.1769029999999998</v>
      </c>
      <c r="CF52" s="276">
        <f>+'COM WH'!U54</f>
        <v>0.11600750000000004</v>
      </c>
      <c r="CG52" s="738">
        <f>+'COM Lighting'!U54</f>
        <v>205.6838343902898</v>
      </c>
      <c r="CH52" s="276">
        <f>'COM Cond. Light'!U54</f>
        <v>82.371992660000018</v>
      </c>
      <c r="CI52" s="276">
        <f>'COM Non Cond. Light'!U54</f>
        <v>16.589962430000007</v>
      </c>
      <c r="CJ52" s="276">
        <f>+'COM CV'!U54</f>
        <v>21.912115090833353</v>
      </c>
      <c r="CK52" s="276">
        <f>'COM TES'!U54</f>
        <v>2.3189020000000005</v>
      </c>
      <c r="CL52" s="738">
        <f>+'Street Light Conv'!U54</f>
        <v>16</v>
      </c>
      <c r="CM52" s="276">
        <f>'COM ECM'!U54</f>
        <v>2.9343850000000029E-2</v>
      </c>
      <c r="CN52" s="738">
        <f>'COM HVAC ReCommissioning'!U54</f>
        <v>1.1355234999999999</v>
      </c>
      <c r="CO52" s="276">
        <f>'COM Cool Roof'!U54</f>
        <v>26.159358309666679</v>
      </c>
      <c r="CP52" s="738">
        <f>'COM HVAC ReCommissioning'!U54</f>
        <v>1.1355234999999999</v>
      </c>
      <c r="CQ52" s="738">
        <f>'COM ERV'!U54</f>
        <v>3.1329000000000003E-2</v>
      </c>
      <c r="CR52" s="276">
        <f>'COM School PV'!U54</f>
        <v>7.0956000000000005E-2</v>
      </c>
      <c r="CS52" s="276">
        <f>'COM PV'!U54</f>
        <v>0.42825849999999999</v>
      </c>
      <c r="CT52" s="746">
        <f t="shared" si="19"/>
        <v>461.7376967296774</v>
      </c>
      <c r="CU52" s="741">
        <f>+'COM LM (cyc)'!Z54</f>
        <v>2.1350000000000001E-4</v>
      </c>
      <c r="CV52" s="276">
        <f>+'COM LM (ext)'!Z54</f>
        <v>0</v>
      </c>
      <c r="CW52" s="276">
        <f>+'COM SB Gen'!Z54</f>
        <v>6.0243267488611654</v>
      </c>
      <c r="CX52" s="276">
        <f>+'COM DMD Response'!U54</f>
        <v>4.2577136250000018</v>
      </c>
      <c r="CY52" s="277">
        <f t="shared" si="12"/>
        <v>10.282253873861167</v>
      </c>
      <c r="CZ52" s="744">
        <f t="shared" si="13"/>
        <v>472.01995060353858</v>
      </c>
    </row>
    <row r="53" spans="1:106" x14ac:dyDescent="0.2">
      <c r="AJ53" s="269"/>
      <c r="BS53" s="269"/>
      <c r="CT53" t="s">
        <v>160</v>
      </c>
    </row>
    <row r="54" spans="1:106" ht="13.5" thickBot="1" x14ac:dyDescent="0.25">
      <c r="B54" s="1431" t="s">
        <v>138</v>
      </c>
      <c r="C54" s="1431"/>
      <c r="D54" s="1431"/>
      <c r="E54" s="1431"/>
      <c r="F54" s="1431"/>
      <c r="G54" s="1431"/>
      <c r="H54" s="1431"/>
      <c r="I54" s="1431"/>
      <c r="J54" s="1431"/>
      <c r="K54" s="1431"/>
      <c r="L54" s="1431"/>
      <c r="M54" s="1431"/>
      <c r="N54" s="1431"/>
      <c r="O54" s="1431"/>
      <c r="P54" s="1431"/>
      <c r="Q54" s="1431"/>
      <c r="R54" s="1431"/>
      <c r="S54" s="1431"/>
      <c r="T54" s="1431"/>
      <c r="U54" s="1431"/>
      <c r="V54" s="1431"/>
      <c r="W54" s="1431"/>
      <c r="X54" s="1431"/>
      <c r="Y54" s="1431"/>
      <c r="Z54" s="1431"/>
      <c r="AA54" s="1431"/>
      <c r="AB54" s="1431"/>
      <c r="AC54" s="1431"/>
      <c r="AD54" s="1431"/>
      <c r="AE54" s="1431"/>
      <c r="AF54" s="1431"/>
      <c r="AG54" s="1431"/>
      <c r="AJ54" s="269"/>
      <c r="AK54" s="1431" t="s">
        <v>285</v>
      </c>
      <c r="AL54" s="1431"/>
      <c r="AM54" s="1431"/>
      <c r="AN54" s="1431"/>
      <c r="AO54" s="1431"/>
      <c r="AP54" s="1431"/>
      <c r="AQ54" s="1431"/>
      <c r="AR54" s="1431"/>
      <c r="AS54" s="1431"/>
      <c r="AT54" s="1431"/>
      <c r="AU54" s="1431"/>
      <c r="AV54" s="1431"/>
      <c r="AW54" s="1431"/>
      <c r="AX54" s="1431"/>
      <c r="AY54" s="1431"/>
      <c r="AZ54" s="1431"/>
      <c r="BA54" s="1431"/>
      <c r="BB54" s="1431"/>
      <c r="BC54" s="1431"/>
      <c r="BD54" s="1431"/>
      <c r="BE54" s="1431"/>
      <c r="BF54" s="1431"/>
      <c r="BG54" s="1431"/>
      <c r="BH54" s="1431"/>
      <c r="BI54" s="1431"/>
      <c r="BJ54" s="1431"/>
      <c r="BK54" s="1431"/>
      <c r="BL54" s="1431"/>
      <c r="BM54" s="1431"/>
      <c r="BN54" s="1431"/>
      <c r="BO54" s="1431"/>
      <c r="BP54" s="1431"/>
      <c r="BS54" s="269"/>
      <c r="BT54" s="1431" t="s">
        <v>140</v>
      </c>
      <c r="BU54" s="1431"/>
      <c r="BV54" s="1431"/>
      <c r="BW54" s="1431"/>
      <c r="BX54" s="1431"/>
      <c r="BY54" s="1431"/>
      <c r="BZ54" s="1431"/>
      <c r="CA54" s="1431"/>
      <c r="CB54" s="1431"/>
      <c r="CC54" s="1431"/>
      <c r="CD54" s="1431"/>
      <c r="CE54" s="1431"/>
      <c r="CF54" s="1431"/>
      <c r="CG54" s="1431"/>
      <c r="CH54" s="1431"/>
      <c r="CI54" s="1431"/>
      <c r="CJ54" s="1431"/>
      <c r="CK54" s="1431"/>
      <c r="CL54" s="1431"/>
      <c r="CM54" s="1431"/>
      <c r="CN54" s="1431"/>
      <c r="CO54" s="1431"/>
      <c r="CP54" s="1431"/>
      <c r="CQ54" s="1431"/>
      <c r="CR54" s="1431"/>
      <c r="CS54" s="1431"/>
      <c r="CT54" s="1431"/>
      <c r="CU54" s="1431"/>
      <c r="CV54" s="1431"/>
      <c r="CW54" s="1431"/>
      <c r="CX54" s="1431"/>
      <c r="CY54" s="1431"/>
    </row>
    <row r="55" spans="1:106" ht="13.5" thickBot="1" x14ac:dyDescent="0.25">
      <c r="B55" s="1431" t="s">
        <v>141</v>
      </c>
      <c r="C55" s="1431"/>
      <c r="D55" s="1431"/>
      <c r="E55" s="1431"/>
      <c r="F55" s="1431"/>
      <c r="G55" s="1431"/>
      <c r="H55" s="1431"/>
      <c r="I55" s="1431"/>
      <c r="J55" s="1431"/>
      <c r="K55" s="1431"/>
      <c r="L55" s="1431"/>
      <c r="M55" s="1431"/>
      <c r="N55" s="1431"/>
      <c r="O55" s="1431"/>
      <c r="P55" s="1431"/>
      <c r="Q55" s="1431"/>
      <c r="R55" s="1431"/>
      <c r="S55" s="1431"/>
      <c r="T55" s="1431"/>
      <c r="U55" s="1431"/>
      <c r="V55" s="1431"/>
      <c r="W55" s="1431"/>
      <c r="X55" s="1431"/>
      <c r="Y55" s="1431"/>
      <c r="Z55" s="1431"/>
      <c r="AA55" s="1431"/>
      <c r="AB55" s="1431"/>
      <c r="AC55" s="1432" t="s">
        <v>142</v>
      </c>
      <c r="AD55" s="1432"/>
      <c r="AE55" s="1432"/>
      <c r="AF55" s="1432"/>
      <c r="AG55" s="1432"/>
      <c r="AH55" s="272" t="s">
        <v>143</v>
      </c>
      <c r="AJ55" s="269"/>
      <c r="AK55" s="1431" t="s">
        <v>141</v>
      </c>
      <c r="AL55" s="1431"/>
      <c r="AM55" s="1431"/>
      <c r="AN55" s="1431"/>
      <c r="AO55" s="1431"/>
      <c r="AP55" s="1431"/>
      <c r="AQ55" s="1431"/>
      <c r="AR55" s="1431"/>
      <c r="AS55" s="1431"/>
      <c r="AT55" s="1431"/>
      <c r="AU55" s="1431"/>
      <c r="AV55" s="1431"/>
      <c r="AW55" s="1431"/>
      <c r="AX55" s="1431"/>
      <c r="AY55" s="1431"/>
      <c r="AZ55" s="1431"/>
      <c r="BA55" s="1431"/>
      <c r="BB55" s="1431"/>
      <c r="BC55" s="1431"/>
      <c r="BD55" s="1431"/>
      <c r="BE55" s="1431"/>
      <c r="BF55" s="1431"/>
      <c r="BG55" s="1431"/>
      <c r="BH55" s="1431"/>
      <c r="BI55" s="1431"/>
      <c r="BJ55" s="1431"/>
      <c r="BK55" s="1431"/>
      <c r="BL55" s="1432" t="s">
        <v>142</v>
      </c>
      <c r="BM55" s="1432"/>
      <c r="BN55" s="1432"/>
      <c r="BO55" s="1432"/>
      <c r="BP55" s="1432"/>
      <c r="BQ55" s="726" t="s">
        <v>143</v>
      </c>
      <c r="BS55" s="269"/>
      <c r="BT55" s="1431" t="s">
        <v>141</v>
      </c>
      <c r="BU55" s="1431"/>
      <c r="BV55" s="1431"/>
      <c r="BW55" s="1431"/>
      <c r="BX55" s="1431"/>
      <c r="BY55" s="1431"/>
      <c r="BZ55" s="1431"/>
      <c r="CA55" s="1431"/>
      <c r="CB55" s="1431"/>
      <c r="CC55" s="1431"/>
      <c r="CD55" s="1431"/>
      <c r="CE55" s="1431"/>
      <c r="CF55" s="1431"/>
      <c r="CG55" s="1431"/>
      <c r="CH55" s="1431"/>
      <c r="CI55" s="1431"/>
      <c r="CJ55" s="1431"/>
      <c r="CK55" s="1431"/>
      <c r="CL55" s="1431"/>
      <c r="CM55" s="1431"/>
      <c r="CN55" s="1431"/>
      <c r="CO55" s="1431"/>
      <c r="CP55" s="1431"/>
      <c r="CQ55" s="1431"/>
      <c r="CR55" s="1431"/>
      <c r="CS55" s="1431"/>
      <c r="CT55" s="1431"/>
      <c r="CU55" s="1432" t="s">
        <v>142</v>
      </c>
      <c r="CV55" s="1432"/>
      <c r="CW55" s="1432"/>
      <c r="CX55" s="1432"/>
      <c r="CY55" s="1432"/>
      <c r="CZ55" s="272" t="s">
        <v>143</v>
      </c>
    </row>
    <row r="56" spans="1:106" ht="13.5" thickBot="1" x14ac:dyDescent="0.25">
      <c r="B56" s="271" t="s">
        <v>144</v>
      </c>
      <c r="C56" s="271" t="s">
        <v>145</v>
      </c>
      <c r="D56" s="986" t="s">
        <v>146</v>
      </c>
      <c r="E56" s="271" t="s">
        <v>147</v>
      </c>
      <c r="F56" s="271" t="s">
        <v>148</v>
      </c>
      <c r="G56" s="986" t="s">
        <v>131</v>
      </c>
      <c r="H56" s="271" t="s">
        <v>342</v>
      </c>
      <c r="I56" s="271" t="s">
        <v>343</v>
      </c>
      <c r="J56" s="986" t="s">
        <v>149</v>
      </c>
      <c r="K56" s="271" t="s">
        <v>150</v>
      </c>
      <c r="L56" s="271" t="s">
        <v>151</v>
      </c>
      <c r="M56" s="271" t="s">
        <v>352</v>
      </c>
      <c r="N56" s="271" t="s">
        <v>354</v>
      </c>
      <c r="O56" s="986" t="s">
        <v>153</v>
      </c>
      <c r="P56" s="271" t="s">
        <v>355</v>
      </c>
      <c r="Q56" s="271" t="s">
        <v>356</v>
      </c>
      <c r="R56" s="271" t="s">
        <v>154</v>
      </c>
      <c r="S56" s="271" t="s">
        <v>349</v>
      </c>
      <c r="T56" s="986" t="s">
        <v>155</v>
      </c>
      <c r="U56" s="477" t="s">
        <v>249</v>
      </c>
      <c r="V56" s="980" t="s">
        <v>253</v>
      </c>
      <c r="W56" s="477" t="s">
        <v>254</v>
      </c>
      <c r="X56" s="980" t="s">
        <v>255</v>
      </c>
      <c r="Y56" s="980" t="s">
        <v>256</v>
      </c>
      <c r="Z56" s="980" t="s">
        <v>334</v>
      </c>
      <c r="AA56" s="1090" t="s">
        <v>252</v>
      </c>
      <c r="AB56" s="272" t="s">
        <v>283</v>
      </c>
      <c r="AC56" s="271" t="s">
        <v>156</v>
      </c>
      <c r="AD56" s="271" t="s">
        <v>157</v>
      </c>
      <c r="AE56" s="271" t="s">
        <v>158</v>
      </c>
      <c r="AF56" s="271" t="s">
        <v>159</v>
      </c>
      <c r="AG56" s="272" t="s">
        <v>135</v>
      </c>
      <c r="AH56" s="278" t="s">
        <v>135</v>
      </c>
      <c r="AI56" s="269"/>
      <c r="AJ56" s="747"/>
      <c r="AK56" s="271" t="s">
        <v>144</v>
      </c>
      <c r="AL56" s="271" t="s">
        <v>145</v>
      </c>
      <c r="AM56" s="986" t="s">
        <v>146</v>
      </c>
      <c r="AN56" s="271" t="s">
        <v>147</v>
      </c>
      <c r="AO56" s="271" t="s">
        <v>148</v>
      </c>
      <c r="AP56" s="986" t="s">
        <v>131</v>
      </c>
      <c r="AQ56" s="271" t="s">
        <v>342</v>
      </c>
      <c r="AR56" s="271" t="s">
        <v>343</v>
      </c>
      <c r="AS56" s="986" t="s">
        <v>149</v>
      </c>
      <c r="AT56" s="271" t="s">
        <v>150</v>
      </c>
      <c r="AU56" s="271" t="s">
        <v>151</v>
      </c>
      <c r="AV56" s="271" t="s">
        <v>352</v>
      </c>
      <c r="AW56" s="271" t="s">
        <v>354</v>
      </c>
      <c r="AX56" s="986" t="s">
        <v>153</v>
      </c>
      <c r="AY56" s="271" t="s">
        <v>355</v>
      </c>
      <c r="AZ56" s="271" t="s">
        <v>356</v>
      </c>
      <c r="BA56" s="271" t="s">
        <v>154</v>
      </c>
      <c r="BB56" s="271" t="s">
        <v>349</v>
      </c>
      <c r="BC56" s="986" t="s">
        <v>155</v>
      </c>
      <c r="BD56" s="477" t="s">
        <v>249</v>
      </c>
      <c r="BE56" s="980" t="s">
        <v>253</v>
      </c>
      <c r="BF56" s="477" t="s">
        <v>254</v>
      </c>
      <c r="BG56" s="980" t="s">
        <v>255</v>
      </c>
      <c r="BH56" s="980" t="s">
        <v>256</v>
      </c>
      <c r="BI56" s="477" t="s">
        <v>334</v>
      </c>
      <c r="BJ56" s="503" t="s">
        <v>252</v>
      </c>
      <c r="BK56" s="272" t="s">
        <v>132</v>
      </c>
      <c r="BL56" s="271" t="s">
        <v>156</v>
      </c>
      <c r="BM56" s="271" t="s">
        <v>157</v>
      </c>
      <c r="BN56" s="271" t="s">
        <v>158</v>
      </c>
      <c r="BO56" s="271" t="s">
        <v>159</v>
      </c>
      <c r="BP56" s="1105" t="s">
        <v>135</v>
      </c>
      <c r="BQ56" s="725" t="s">
        <v>135</v>
      </c>
      <c r="BR56" s="269"/>
      <c r="BS56" s="269"/>
      <c r="BT56" s="271" t="s">
        <v>144</v>
      </c>
      <c r="BU56" s="271" t="s">
        <v>145</v>
      </c>
      <c r="BV56" s="986" t="s">
        <v>146</v>
      </c>
      <c r="BW56" s="271" t="s">
        <v>147</v>
      </c>
      <c r="BX56" s="271" t="s">
        <v>148</v>
      </c>
      <c r="BY56" s="986" t="s">
        <v>131</v>
      </c>
      <c r="BZ56" s="271" t="s">
        <v>342</v>
      </c>
      <c r="CA56" s="271" t="s">
        <v>343</v>
      </c>
      <c r="CB56" s="986" t="s">
        <v>149</v>
      </c>
      <c r="CC56" s="271" t="s">
        <v>150</v>
      </c>
      <c r="CD56" s="271" t="s">
        <v>151</v>
      </c>
      <c r="CE56" s="271" t="s">
        <v>352</v>
      </c>
      <c r="CF56" s="271" t="s">
        <v>354</v>
      </c>
      <c r="CG56" s="986" t="s">
        <v>153</v>
      </c>
      <c r="CH56" s="271" t="s">
        <v>355</v>
      </c>
      <c r="CI56" s="271" t="s">
        <v>356</v>
      </c>
      <c r="CJ56" s="271" t="s">
        <v>154</v>
      </c>
      <c r="CK56" s="271" t="s">
        <v>349</v>
      </c>
      <c r="CL56" s="986" t="s">
        <v>155</v>
      </c>
      <c r="CM56" s="477" t="s">
        <v>249</v>
      </c>
      <c r="CN56" s="980" t="s">
        <v>253</v>
      </c>
      <c r="CO56" s="477" t="s">
        <v>254</v>
      </c>
      <c r="CP56" s="980" t="s">
        <v>255</v>
      </c>
      <c r="CQ56" s="980" t="s">
        <v>256</v>
      </c>
      <c r="CR56" s="477" t="s">
        <v>334</v>
      </c>
      <c r="CS56" s="503" t="s">
        <v>252</v>
      </c>
      <c r="CT56" s="272" t="s">
        <v>132</v>
      </c>
      <c r="CU56" s="737" t="s">
        <v>156</v>
      </c>
      <c r="CV56" s="737" t="s">
        <v>157</v>
      </c>
      <c r="CW56" s="737" t="s">
        <v>158</v>
      </c>
      <c r="CX56" s="737" t="s">
        <v>159</v>
      </c>
      <c r="CY56" s="272" t="s">
        <v>135</v>
      </c>
      <c r="CZ56" s="725" t="s">
        <v>135</v>
      </c>
    </row>
    <row r="57" spans="1:106" x14ac:dyDescent="0.2">
      <c r="A57" s="281" t="s">
        <v>136</v>
      </c>
      <c r="B57" s="279">
        <f>+B4</f>
        <v>10.6</v>
      </c>
      <c r="C57" s="280">
        <f t="shared" ref="C57:T57" si="20">+C4</f>
        <v>0.39</v>
      </c>
      <c r="D57" s="987">
        <f t="shared" si="20"/>
        <v>0</v>
      </c>
      <c r="E57" s="280">
        <f t="shared" si="20"/>
        <v>0</v>
      </c>
      <c r="F57" s="280">
        <f t="shared" si="20"/>
        <v>0</v>
      </c>
      <c r="G57" s="987">
        <f t="shared" si="20"/>
        <v>0</v>
      </c>
      <c r="H57" s="280">
        <f t="shared" ref="H57:I57" si="21">+H4</f>
        <v>0</v>
      </c>
      <c r="I57" s="280">
        <f t="shared" si="21"/>
        <v>0</v>
      </c>
      <c r="J57" s="987">
        <f t="shared" si="20"/>
        <v>0</v>
      </c>
      <c r="K57" s="280">
        <f t="shared" si="20"/>
        <v>0</v>
      </c>
      <c r="L57" s="280">
        <f t="shared" si="20"/>
        <v>0</v>
      </c>
      <c r="M57" s="280">
        <f t="shared" si="20"/>
        <v>0</v>
      </c>
      <c r="N57" s="280">
        <f t="shared" si="20"/>
        <v>0</v>
      </c>
      <c r="O57" s="987">
        <f t="shared" si="20"/>
        <v>0</v>
      </c>
      <c r="P57" s="280">
        <f t="shared" ref="P57:S57" si="22">+P4</f>
        <v>0</v>
      </c>
      <c r="Q57" s="280">
        <f t="shared" si="22"/>
        <v>0</v>
      </c>
      <c r="R57" s="280">
        <f t="shared" si="22"/>
        <v>0</v>
      </c>
      <c r="S57" s="280">
        <f t="shared" si="22"/>
        <v>0</v>
      </c>
      <c r="T57" s="987">
        <f t="shared" si="20"/>
        <v>0</v>
      </c>
      <c r="U57" s="276">
        <f t="shared" ref="U57:AA57" si="23">U4</f>
        <v>0</v>
      </c>
      <c r="V57" s="738">
        <f t="shared" si="23"/>
        <v>0</v>
      </c>
      <c r="W57" s="276">
        <f t="shared" si="23"/>
        <v>0</v>
      </c>
      <c r="X57" s="738">
        <f t="shared" si="23"/>
        <v>0</v>
      </c>
      <c r="Y57" s="738">
        <f t="shared" si="23"/>
        <v>0</v>
      </c>
      <c r="Z57" s="738">
        <f t="shared" ref="Z57" si="24">Z4</f>
        <v>0</v>
      </c>
      <c r="AA57" s="738">
        <f t="shared" si="23"/>
        <v>0</v>
      </c>
      <c r="AB57" s="278">
        <f t="shared" ref="AB57:AB91" si="25">SUM(B57:AA57)</f>
        <v>10.99</v>
      </c>
      <c r="AC57" s="280">
        <f t="shared" ref="AC57:AF58" si="26">+AC4</f>
        <v>1.34</v>
      </c>
      <c r="AD57" s="280">
        <f t="shared" si="26"/>
        <v>0.23</v>
      </c>
      <c r="AE57" s="280">
        <f t="shared" si="26"/>
        <v>0</v>
      </c>
      <c r="AF57" s="280">
        <f t="shared" si="26"/>
        <v>0</v>
      </c>
      <c r="AG57" s="277">
        <f>+AC57+AD57+AE57+AF57</f>
        <v>1.57</v>
      </c>
      <c r="AH57" s="718">
        <f t="shared" ref="AH57:AH88" si="27">+AG57+AB57</f>
        <v>12.56</v>
      </c>
      <c r="AJ57" s="748" t="s">
        <v>136</v>
      </c>
      <c r="AK57" s="280">
        <f>+AK4</f>
        <v>22.94</v>
      </c>
      <c r="AL57" s="280">
        <f t="shared" ref="AL57:BJ57" si="28">+AL4</f>
        <v>0.85</v>
      </c>
      <c r="AM57" s="987">
        <f t="shared" si="28"/>
        <v>0</v>
      </c>
      <c r="AN57" s="280">
        <f t="shared" si="28"/>
        <v>0</v>
      </c>
      <c r="AO57" s="280">
        <f t="shared" si="28"/>
        <v>0</v>
      </c>
      <c r="AP57" s="987">
        <f t="shared" si="28"/>
        <v>0</v>
      </c>
      <c r="AQ57" s="280">
        <f t="shared" ref="AQ57:BB57" si="29">+AQ4</f>
        <v>0</v>
      </c>
      <c r="AR57" s="280">
        <f t="shared" si="29"/>
        <v>0</v>
      </c>
      <c r="AS57" s="987">
        <f t="shared" si="29"/>
        <v>0</v>
      </c>
      <c r="AT57" s="280">
        <f t="shared" si="29"/>
        <v>0</v>
      </c>
      <c r="AU57" s="280">
        <f t="shared" si="29"/>
        <v>0</v>
      </c>
      <c r="AV57" s="280">
        <f t="shared" si="29"/>
        <v>0</v>
      </c>
      <c r="AW57" s="280">
        <f t="shared" si="29"/>
        <v>0</v>
      </c>
      <c r="AX57" s="987">
        <f t="shared" si="29"/>
        <v>0</v>
      </c>
      <c r="AY57" s="280">
        <f t="shared" si="29"/>
        <v>0</v>
      </c>
      <c r="AZ57" s="280">
        <f t="shared" si="29"/>
        <v>0</v>
      </c>
      <c r="BA57" s="280">
        <f t="shared" si="29"/>
        <v>0</v>
      </c>
      <c r="BB57" s="280">
        <f t="shared" si="29"/>
        <v>0</v>
      </c>
      <c r="BC57" s="987">
        <f t="shared" si="28"/>
        <v>0</v>
      </c>
      <c r="BD57" s="276">
        <f t="shared" si="28"/>
        <v>0</v>
      </c>
      <c r="BE57" s="738">
        <f t="shared" si="28"/>
        <v>0</v>
      </c>
      <c r="BF57" s="276">
        <f t="shared" si="28"/>
        <v>0</v>
      </c>
      <c r="BG57" s="738">
        <f t="shared" si="28"/>
        <v>0</v>
      </c>
      <c r="BH57" s="738">
        <f t="shared" si="28"/>
        <v>0</v>
      </c>
      <c r="BI57" s="276">
        <f t="shared" ref="BI57" si="30">+BI4</f>
        <v>0</v>
      </c>
      <c r="BJ57" s="276">
        <f t="shared" si="28"/>
        <v>0</v>
      </c>
      <c r="BK57" s="278">
        <f>SUM(AK57:BJ57)</f>
        <v>23.790000000000003</v>
      </c>
      <c r="BL57" s="280">
        <f t="shared" ref="BL57:BO58" si="31">+BL4</f>
        <v>0</v>
      </c>
      <c r="BM57" s="280">
        <f t="shared" si="31"/>
        <v>0.23</v>
      </c>
      <c r="BN57" s="280">
        <f t="shared" si="31"/>
        <v>0</v>
      </c>
      <c r="BO57" s="280">
        <f t="shared" si="31"/>
        <v>0</v>
      </c>
      <c r="BP57" s="1106">
        <f>+BL57+BM57+BN57+BO57</f>
        <v>0.23</v>
      </c>
      <c r="BQ57" s="718">
        <f t="shared" ref="BQ57:BQ88" si="32">+BP57+BK57</f>
        <v>24.020000000000003</v>
      </c>
      <c r="BS57" s="994" t="s">
        <v>136</v>
      </c>
      <c r="BT57" s="279">
        <f>+BT4</f>
        <v>3.67</v>
      </c>
      <c r="BU57" s="280">
        <f t="shared" ref="BU57:BY57" si="33">+BU4</f>
        <v>0.14000000000000001</v>
      </c>
      <c r="BV57" s="280">
        <f t="shared" si="33"/>
        <v>0</v>
      </c>
      <c r="BW57" s="280">
        <f t="shared" si="33"/>
        <v>0</v>
      </c>
      <c r="BX57" s="280">
        <f t="shared" si="33"/>
        <v>0</v>
      </c>
      <c r="BY57" s="280">
        <f t="shared" si="33"/>
        <v>0</v>
      </c>
      <c r="BZ57" s="280">
        <f t="shared" ref="BZ57:CR57" si="34">+BZ4</f>
        <v>0</v>
      </c>
      <c r="CA57" s="280">
        <f t="shared" si="34"/>
        <v>0</v>
      </c>
      <c r="CB57" s="280">
        <f t="shared" si="34"/>
        <v>0</v>
      </c>
      <c r="CC57" s="280">
        <f t="shared" si="34"/>
        <v>0</v>
      </c>
      <c r="CD57" s="280">
        <f t="shared" si="34"/>
        <v>0</v>
      </c>
      <c r="CE57" s="280">
        <f t="shared" si="34"/>
        <v>0</v>
      </c>
      <c r="CF57" s="280">
        <f t="shared" si="34"/>
        <v>0</v>
      </c>
      <c r="CG57" s="280">
        <f t="shared" si="34"/>
        <v>0</v>
      </c>
      <c r="CH57" s="280">
        <f t="shared" si="34"/>
        <v>0</v>
      </c>
      <c r="CI57" s="280">
        <f t="shared" si="34"/>
        <v>0</v>
      </c>
      <c r="CJ57" s="280">
        <f t="shared" si="34"/>
        <v>0</v>
      </c>
      <c r="CK57" s="280">
        <f t="shared" si="34"/>
        <v>0</v>
      </c>
      <c r="CL57" s="280">
        <f t="shared" si="34"/>
        <v>16</v>
      </c>
      <c r="CM57" s="280">
        <f t="shared" si="34"/>
        <v>0</v>
      </c>
      <c r="CN57" s="280">
        <f t="shared" si="34"/>
        <v>0</v>
      </c>
      <c r="CO57" s="280">
        <f t="shared" si="34"/>
        <v>0</v>
      </c>
      <c r="CP57" s="280">
        <f t="shared" si="34"/>
        <v>0</v>
      </c>
      <c r="CQ57" s="280">
        <f t="shared" si="34"/>
        <v>0</v>
      </c>
      <c r="CR57" s="280">
        <f t="shared" si="34"/>
        <v>0</v>
      </c>
      <c r="CS57" s="995">
        <f t="shared" ref="CS57" si="35">CS4</f>
        <v>0</v>
      </c>
      <c r="CT57" s="278">
        <f>SUM(BT57:CS57)-CL57</f>
        <v>3.8099999999999987</v>
      </c>
      <c r="CU57" s="280">
        <f t="shared" ref="CU57:CX58" si="36">+CU4</f>
        <v>0</v>
      </c>
      <c r="CV57" s="280">
        <f t="shared" si="36"/>
        <v>0</v>
      </c>
      <c r="CW57" s="280">
        <f t="shared" si="36"/>
        <v>0</v>
      </c>
      <c r="CX57" s="280">
        <f t="shared" si="36"/>
        <v>0</v>
      </c>
      <c r="CY57" s="1106">
        <f>+CU57+CV57+CX57+CW57</f>
        <v>0</v>
      </c>
      <c r="CZ57" s="718">
        <f t="shared" ref="CZ57:CZ88" si="37">+CY57+CT57</f>
        <v>3.8099999999999987</v>
      </c>
      <c r="DA57" s="162">
        <f t="shared" ref="DA57:DA88" si="38">+BT57+BU57+BV57+BW57+CG57+CJ57+CU57+CV57+CW57</f>
        <v>3.81</v>
      </c>
      <c r="DB57" s="162">
        <f>+CZ57-DA57</f>
        <v>0</v>
      </c>
    </row>
    <row r="58" spans="1:106" x14ac:dyDescent="0.2">
      <c r="A58" s="281" t="s">
        <v>137</v>
      </c>
      <c r="B58" s="275">
        <f>+B5*(1+'Conversion Factors'!$F5)</f>
        <v>12.963800000000001</v>
      </c>
      <c r="C58" s="276">
        <f>+C5*(1+'Conversion Factors'!$F5)</f>
        <v>0.41340000000000005</v>
      </c>
      <c r="D58" s="738">
        <f>+D5*(1+'Conversion Factors'!$F5)</f>
        <v>0</v>
      </c>
      <c r="E58" s="276">
        <f>+E5*(1+'Conversion Factors'!$F5)</f>
        <v>0</v>
      </c>
      <c r="F58" s="276">
        <f>+F5*(1+'Conversion Factors'!$F5)</f>
        <v>0</v>
      </c>
      <c r="G58" s="738">
        <f>+G5*(1+'Conversion Factors'!$F5)</f>
        <v>0</v>
      </c>
      <c r="H58" s="276">
        <f>+H5*(1+'Conversion Factors'!$F5)</f>
        <v>0</v>
      </c>
      <c r="I58" s="276">
        <f>+I5*(1+'Conversion Factors'!$F5)</f>
        <v>0</v>
      </c>
      <c r="J58" s="738">
        <f>+J5*(1+'Conversion Factors'!$F5)</f>
        <v>0</v>
      </c>
      <c r="K58" s="276">
        <f>+K5*(1+'Conversion Factors'!$F5)</f>
        <v>0</v>
      </c>
      <c r="L58" s="276">
        <f>+L5*(1+'Conversion Factors'!$F5)</f>
        <v>0</v>
      </c>
      <c r="M58" s="276">
        <f>+M5*(1+'Conversion Factors'!$F5)</f>
        <v>0</v>
      </c>
      <c r="N58" s="276">
        <f>+N5*(1+'Conversion Factors'!$F5)</f>
        <v>0</v>
      </c>
      <c r="O58" s="738">
        <f>+O5*(1+'Conversion Factors'!$F5)</f>
        <v>0.63600000000000001</v>
      </c>
      <c r="P58" s="276">
        <f>+P5*(1+'Conversion Factors'!$F5)</f>
        <v>0</v>
      </c>
      <c r="Q58" s="276">
        <f>+Q5*(1+'Conversion Factors'!$F5)</f>
        <v>0</v>
      </c>
      <c r="R58" s="276">
        <f>+R5*(1+'Conversion Factors'!$F5)</f>
        <v>0.42400000000000004</v>
      </c>
      <c r="S58" s="276">
        <f>+S5*(1+'Conversion Factors'!$F5)</f>
        <v>0</v>
      </c>
      <c r="T58" s="738">
        <f>+T5*(1+'Conversion Factors'!$F5)</f>
        <v>0</v>
      </c>
      <c r="U58" s="276">
        <f>+U5*(1+'Conversion Factors'!$F5)</f>
        <v>0</v>
      </c>
      <c r="V58" s="738">
        <f>+V5*(1+'Conversion Factors'!$F5)</f>
        <v>0</v>
      </c>
      <c r="W58" s="276">
        <f>+W5*(1+'Conversion Factors'!$F5)</f>
        <v>0</v>
      </c>
      <c r="X58" s="738">
        <f>+X5*(1+'Conversion Factors'!$F5)</f>
        <v>0</v>
      </c>
      <c r="Y58" s="738">
        <f>+Y5*(1+'Conversion Factors'!$F5)</f>
        <v>0</v>
      </c>
      <c r="Z58" s="738">
        <f>+Z5*(1+'Conversion Factors'!$F5)</f>
        <v>0</v>
      </c>
      <c r="AA58" s="738">
        <f>+AA5*(1+'Conversion Factors'!$F5)</f>
        <v>0</v>
      </c>
      <c r="AB58" s="277">
        <f t="shared" si="25"/>
        <v>14.437199999999999</v>
      </c>
      <c r="AC58" s="276">
        <f t="shared" si="26"/>
        <v>0</v>
      </c>
      <c r="AD58" s="276">
        <f t="shared" si="26"/>
        <v>0.5</v>
      </c>
      <c r="AE58" s="276">
        <f t="shared" si="26"/>
        <v>6.18</v>
      </c>
      <c r="AF58" s="276">
        <f t="shared" si="26"/>
        <v>0</v>
      </c>
      <c r="AG58" s="277">
        <f t="shared" ref="AG58:AG105" si="39">+AC58+AD58+AE58+AF58</f>
        <v>6.68</v>
      </c>
      <c r="AH58" s="718">
        <f t="shared" si="27"/>
        <v>21.117199999999997</v>
      </c>
      <c r="AJ58" s="748" t="s">
        <v>137</v>
      </c>
      <c r="AK58" s="276">
        <f>+AK5*(1+'Conversion Factors'!$G5)</f>
        <v>32.086200000000005</v>
      </c>
      <c r="AL58" s="276">
        <f>+AL5*(1+'Conversion Factors'!$G5)</f>
        <v>0.94340000000000002</v>
      </c>
      <c r="AM58" s="738">
        <f>+AM5*(1+'Conversion Factors'!$G5)</f>
        <v>0</v>
      </c>
      <c r="AN58" s="276">
        <f>+AN5*(1+'Conversion Factors'!$G5)</f>
        <v>0</v>
      </c>
      <c r="AO58" s="276">
        <f>+AO5*(1+'Conversion Factors'!$G5)</f>
        <v>0</v>
      </c>
      <c r="AP58" s="738">
        <f>+AP5*(1+'Conversion Factors'!$G5)</f>
        <v>0</v>
      </c>
      <c r="AQ58" s="276">
        <f>+AQ5*(1+'Conversion Factors'!$G5)</f>
        <v>0</v>
      </c>
      <c r="AR58" s="276">
        <f>+AR5*(1+'Conversion Factors'!$G5)</f>
        <v>0</v>
      </c>
      <c r="AS58" s="738">
        <f>+AS5*(1+'Conversion Factors'!$G5)</f>
        <v>0</v>
      </c>
      <c r="AT58" s="276">
        <f>+AT5*(1+'Conversion Factors'!$G5)</f>
        <v>0</v>
      </c>
      <c r="AU58" s="276">
        <f>+AU5*(1+'Conversion Factors'!$G5)</f>
        <v>0</v>
      </c>
      <c r="AV58" s="276">
        <f>+AV5*(1+'Conversion Factors'!$G5)</f>
        <v>0</v>
      </c>
      <c r="AW58" s="276">
        <f>+AW5*(1+'Conversion Factors'!$G5)</f>
        <v>0</v>
      </c>
      <c r="AX58" s="738">
        <f>+AX5*(1+'Conversion Factors'!$G5)</f>
        <v>0.23320000000000002</v>
      </c>
      <c r="AY58" s="276">
        <f>+AY5*(1+'Conversion Factors'!$G5)</f>
        <v>0</v>
      </c>
      <c r="AZ58" s="276">
        <f>+AZ5*(1+'Conversion Factors'!$G5)</f>
        <v>0</v>
      </c>
      <c r="BA58" s="276">
        <f>+BA5*(1+'Conversion Factors'!$G5)</f>
        <v>0.10600000000000001</v>
      </c>
      <c r="BB58" s="276">
        <f>+BB5*(1+'Conversion Factors'!$G5)</f>
        <v>0</v>
      </c>
      <c r="BC58" s="738">
        <f>+BC5*(1+'Conversion Factors'!$G5)</f>
        <v>0</v>
      </c>
      <c r="BD58" s="276">
        <f>+BD5*(1+'Conversion Factors'!$G5)</f>
        <v>0</v>
      </c>
      <c r="BE58" s="738">
        <f>+BE5*(1+'Conversion Factors'!$G5)</f>
        <v>0</v>
      </c>
      <c r="BF58" s="276">
        <f>+BF5*(1+'Conversion Factors'!$G5)</f>
        <v>0</v>
      </c>
      <c r="BG58" s="738">
        <f>+BG5*(1+'Conversion Factors'!$G5)</f>
        <v>0</v>
      </c>
      <c r="BH58" s="738">
        <f>+BH5*(1+'Conversion Factors'!$G5)</f>
        <v>0</v>
      </c>
      <c r="BI58" s="276">
        <f>+BI5*(1+'Conversion Factors'!$G5)</f>
        <v>0</v>
      </c>
      <c r="BJ58" s="276">
        <f>+BJ5*(1+'Conversion Factors'!$G5)</f>
        <v>0</v>
      </c>
      <c r="BK58" s="277">
        <f t="shared" ref="BK58:BK88" si="40">SUM(AK58:BJ58)</f>
        <v>33.3688</v>
      </c>
      <c r="BL58" s="276">
        <f t="shared" si="31"/>
        <v>0</v>
      </c>
      <c r="BM58" s="276">
        <f t="shared" si="31"/>
        <v>0.69000000000000006</v>
      </c>
      <c r="BN58" s="276">
        <f t="shared" si="31"/>
        <v>6</v>
      </c>
      <c r="BO58" s="276">
        <f t="shared" si="31"/>
        <v>0</v>
      </c>
      <c r="BP58" s="1106">
        <f t="shared" ref="BP58:BP105" si="41">+BL58+BM58+BN58+BO58</f>
        <v>6.69</v>
      </c>
      <c r="BQ58" s="718">
        <f t="shared" si="32"/>
        <v>40.058799999999998</v>
      </c>
      <c r="BS58" s="994" t="s">
        <v>137</v>
      </c>
      <c r="BT58" s="275">
        <f>+BT5*(1+'Conversion Factors'!$H5)</f>
        <v>15.487500000000001</v>
      </c>
      <c r="BU58" s="276">
        <f>+BU5*(1+'Conversion Factors'!$H5)</f>
        <v>0.19950000000000001</v>
      </c>
      <c r="BV58" s="276">
        <f>+BV5*(1+'Conversion Factors'!$H5)</f>
        <v>0</v>
      </c>
      <c r="BW58" s="276">
        <f>+BW5*(1+'Conversion Factors'!$H5)</f>
        <v>0</v>
      </c>
      <c r="BX58" s="276">
        <f>+BX5*(1+'Conversion Factors'!$H5)</f>
        <v>0</v>
      </c>
      <c r="BY58" s="276">
        <f>+BY5*(1+'Conversion Factors'!$H5)</f>
        <v>0</v>
      </c>
      <c r="BZ58" s="276">
        <f>+BZ5*(1+'Conversion Factors'!$H5)</f>
        <v>0</v>
      </c>
      <c r="CA58" s="276">
        <f>+CA5*(1+'Conversion Factors'!$H5)</f>
        <v>0</v>
      </c>
      <c r="CB58" s="276">
        <f>+CB5*(1+'Conversion Factors'!$H5)</f>
        <v>0</v>
      </c>
      <c r="CC58" s="276">
        <f>+CC5*(1+'Conversion Factors'!$H5)</f>
        <v>0</v>
      </c>
      <c r="CD58" s="276">
        <f>+CD5*(1+'Conversion Factors'!$H5)</f>
        <v>0</v>
      </c>
      <c r="CE58" s="276">
        <f>+CE5*(1+'Conversion Factors'!$H5)</f>
        <v>0</v>
      </c>
      <c r="CF58" s="276">
        <f>+CF5*(1+'Conversion Factors'!$H5)</f>
        <v>0</v>
      </c>
      <c r="CG58" s="276">
        <f>+CG5*(1+'Conversion Factors'!$H5)</f>
        <v>2.0790000000000002</v>
      </c>
      <c r="CH58" s="276">
        <f>+CH5*(1+'Conversion Factors'!$H5)</f>
        <v>0</v>
      </c>
      <c r="CI58" s="276">
        <f>+CI5*(1+'Conversion Factors'!$H5)</f>
        <v>0</v>
      </c>
      <c r="CJ58" s="276">
        <f>+CJ5*(1+'Conversion Factors'!$H5)</f>
        <v>0.67200000000000004</v>
      </c>
      <c r="CK58" s="276">
        <f>+CK5*(1+'Conversion Factors'!$H5)</f>
        <v>0</v>
      </c>
      <c r="CL58" s="276">
        <f>+CL5*(1+'Conversion Factors'!$H5)</f>
        <v>16.8</v>
      </c>
      <c r="CM58" s="276">
        <f>+CM5*(1+'Conversion Factors'!$H5)</f>
        <v>0</v>
      </c>
      <c r="CN58" s="276">
        <f>+CN5*(1+'Conversion Factors'!$H5)</f>
        <v>0</v>
      </c>
      <c r="CO58" s="276">
        <f>+CO5*(1+'Conversion Factors'!$H5)</f>
        <v>0</v>
      </c>
      <c r="CP58" s="276">
        <f>+CP5*(1+'Conversion Factors'!$H5)</f>
        <v>0</v>
      </c>
      <c r="CQ58" s="276">
        <f>+CQ5*(1+'Conversion Factors'!$H5)</f>
        <v>0</v>
      </c>
      <c r="CR58" s="276">
        <f>+CR5*(1+'Conversion Factors'!$H5)</f>
        <v>0</v>
      </c>
      <c r="CS58" s="996">
        <f>+CS5*(1+'Conversion Factors'!$H5)</f>
        <v>0</v>
      </c>
      <c r="CT58" s="277">
        <f t="shared" ref="CT58:CT91" si="42">SUM(BT58:CS58)-CL58</f>
        <v>18.437999999999999</v>
      </c>
      <c r="CU58" s="276">
        <f t="shared" si="36"/>
        <v>0</v>
      </c>
      <c r="CV58" s="276">
        <f t="shared" si="36"/>
        <v>0</v>
      </c>
      <c r="CW58" s="276">
        <f t="shared" si="36"/>
        <v>0.4</v>
      </c>
      <c r="CX58" s="276">
        <f t="shared" si="36"/>
        <v>0</v>
      </c>
      <c r="CY58" s="1106">
        <f t="shared" ref="CY58:CY105" si="43">+CU58+CV58+CX58+CW58</f>
        <v>0.4</v>
      </c>
      <c r="CZ58" s="718">
        <f t="shared" si="37"/>
        <v>18.837999999999997</v>
      </c>
      <c r="DA58" s="162">
        <f t="shared" si="38"/>
        <v>18.838000000000001</v>
      </c>
      <c r="DB58" s="162">
        <f t="shared" ref="DB58:DB93" si="44">+CZ58-DA58</f>
        <v>0</v>
      </c>
    </row>
    <row r="59" spans="1:106" x14ac:dyDescent="0.2">
      <c r="A59" s="269">
        <v>1995</v>
      </c>
      <c r="B59" s="275">
        <f>+B6*(1+'Conversion Factors'!$F6)</f>
        <v>13.493850596658712</v>
      </c>
      <c r="C59" s="276">
        <f>+C6*(1+'Conversion Factors'!$F6)</f>
        <v>0.41783080000000006</v>
      </c>
      <c r="D59" s="738">
        <f>+D6*(1+'Conversion Factors'!$F6)</f>
        <v>0</v>
      </c>
      <c r="E59" s="276">
        <f>+E6*(1+'Conversion Factors'!$F6)</f>
        <v>0</v>
      </c>
      <c r="F59" s="276">
        <f>+F6*(1+'Conversion Factors'!$F6)</f>
        <v>0</v>
      </c>
      <c r="G59" s="738">
        <f>+G6*(1+'Conversion Factors'!$F6)</f>
        <v>0</v>
      </c>
      <c r="H59" s="276">
        <f>+H6*(1+'Conversion Factors'!$F6)</f>
        <v>0</v>
      </c>
      <c r="I59" s="276">
        <f>+I6*(1+'Conversion Factors'!$F6)</f>
        <v>0</v>
      </c>
      <c r="J59" s="738">
        <f>+J6*(1+'Conversion Factors'!$F6)</f>
        <v>0</v>
      </c>
      <c r="K59" s="276">
        <f>+K6*(1+'Conversion Factors'!$F6)</f>
        <v>0</v>
      </c>
      <c r="L59" s="276">
        <f>+L6*(1+'Conversion Factors'!$F6)</f>
        <v>0</v>
      </c>
      <c r="M59" s="276">
        <f>+M6*(1+'Conversion Factors'!$F6)</f>
        <v>0</v>
      </c>
      <c r="N59" s="276">
        <f>+N6*(1+'Conversion Factors'!$F6)</f>
        <v>0</v>
      </c>
      <c r="O59" s="738">
        <f>+O6*(1+'Conversion Factors'!$F6)</f>
        <v>1.8709554973821989</v>
      </c>
      <c r="P59" s="276">
        <f>+P6*(1+'Conversion Factors'!$F6)</f>
        <v>0</v>
      </c>
      <c r="Q59" s="276">
        <f>+Q6*(1+'Conversion Factors'!$F6)</f>
        <v>0</v>
      </c>
      <c r="R59" s="276">
        <f>+R6*(1+'Conversion Factors'!$F6)</f>
        <v>0.63600000000000012</v>
      </c>
      <c r="S59" s="276">
        <f>+S6*(1+'Conversion Factors'!$F6)</f>
        <v>0</v>
      </c>
      <c r="T59" s="738">
        <f>+T6*(1+'Conversion Factors'!$F6)</f>
        <v>0</v>
      </c>
      <c r="U59" s="276">
        <f>+U6*(1+'Conversion Factors'!$F6)</f>
        <v>0</v>
      </c>
      <c r="V59" s="738">
        <f>+V6*(1+'Conversion Factors'!$F6)</f>
        <v>0</v>
      </c>
      <c r="W59" s="276">
        <f>+W6*(1+'Conversion Factors'!$F6)</f>
        <v>0</v>
      </c>
      <c r="X59" s="738">
        <f>+X6*(1+'Conversion Factors'!$F6)</f>
        <v>0</v>
      </c>
      <c r="Y59" s="738">
        <f>+Y6*(1+'Conversion Factors'!$F6)</f>
        <v>0</v>
      </c>
      <c r="Z59" s="738">
        <f>+Z6*(1+'Conversion Factors'!$F6)</f>
        <v>0</v>
      </c>
      <c r="AA59" s="738">
        <f>+AA6*(1+'Conversion Factors'!$F6)</f>
        <v>0</v>
      </c>
      <c r="AB59" s="277">
        <f t="shared" si="25"/>
        <v>16.418636894040912</v>
      </c>
      <c r="AC59" s="276">
        <f>+AC6*(1+'Conversion Factors'!$F6)</f>
        <v>0</v>
      </c>
      <c r="AD59" s="276">
        <f>+AD6*(1+'Conversion Factors'!$F6)</f>
        <v>2.8620000000000005</v>
      </c>
      <c r="AE59" s="276">
        <f>+AE6*(1+'Conversion Factors'!$F6)</f>
        <v>7.42</v>
      </c>
      <c r="AF59" s="276">
        <f>+AF6*(1+'Conversion Factors'!$F6)</f>
        <v>0</v>
      </c>
      <c r="AG59" s="277">
        <f t="shared" si="39"/>
        <v>10.282</v>
      </c>
      <c r="AH59" s="718">
        <f t="shared" si="27"/>
        <v>26.700636894040912</v>
      </c>
      <c r="AJ59" s="748">
        <v>1995</v>
      </c>
      <c r="AK59" s="276">
        <f>+AK6*(1+'Conversion Factors'!$G6)</f>
        <v>33.797891288782822</v>
      </c>
      <c r="AL59" s="276">
        <f>+AL6*(1+'Conversion Factors'!$G6)</f>
        <v>0.96877639999999998</v>
      </c>
      <c r="AM59" s="738">
        <f>+AM6*(1+'Conversion Factors'!$G6)</f>
        <v>0</v>
      </c>
      <c r="AN59" s="276">
        <f>+AN6*(1+'Conversion Factors'!$G6)</f>
        <v>0</v>
      </c>
      <c r="AO59" s="276">
        <f>+AO6*(1+'Conversion Factors'!$G6)</f>
        <v>0</v>
      </c>
      <c r="AP59" s="738">
        <f>+AP6*(1+'Conversion Factors'!$G6)</f>
        <v>0</v>
      </c>
      <c r="AQ59" s="276">
        <f>+AQ6*(1+'Conversion Factors'!$G6)</f>
        <v>0</v>
      </c>
      <c r="AR59" s="276">
        <f>+AR6*(1+'Conversion Factors'!$G6)</f>
        <v>0</v>
      </c>
      <c r="AS59" s="738">
        <f>+AS6*(1+'Conversion Factors'!$G6)</f>
        <v>0</v>
      </c>
      <c r="AT59" s="276">
        <f>+AT6*(1+'Conversion Factors'!$G6)</f>
        <v>0</v>
      </c>
      <c r="AU59" s="276">
        <f>+AU6*(1+'Conversion Factors'!$G6)</f>
        <v>0</v>
      </c>
      <c r="AV59" s="276">
        <f>+AV6*(1+'Conversion Factors'!$G6)</f>
        <v>0</v>
      </c>
      <c r="AW59" s="276">
        <f>+AW6*(1+'Conversion Factors'!$G6)</f>
        <v>0</v>
      </c>
      <c r="AX59" s="738">
        <f>+AX6*(1+'Conversion Factors'!$G6)</f>
        <v>0.33309528795811522</v>
      </c>
      <c r="AY59" s="276">
        <f>+AY6*(1+'Conversion Factors'!$G6)</f>
        <v>0</v>
      </c>
      <c r="AZ59" s="276">
        <f>+AZ6*(1+'Conversion Factors'!$G6)</f>
        <v>0</v>
      </c>
      <c r="BA59" s="276">
        <f>+BA6*(1+'Conversion Factors'!$G6)</f>
        <v>0.15900000000000003</v>
      </c>
      <c r="BB59" s="276">
        <f>+BB6*(1+'Conversion Factors'!$G6)</f>
        <v>0</v>
      </c>
      <c r="BC59" s="738">
        <f>+BC6*(1+'Conversion Factors'!$G6)</f>
        <v>0</v>
      </c>
      <c r="BD59" s="276">
        <f>+BD6*(1+'Conversion Factors'!$G6)</f>
        <v>0</v>
      </c>
      <c r="BE59" s="738">
        <f>+BE6*(1+'Conversion Factors'!$G6)</f>
        <v>0</v>
      </c>
      <c r="BF59" s="276">
        <f>+BF6*(1+'Conversion Factors'!$G6)</f>
        <v>0</v>
      </c>
      <c r="BG59" s="738">
        <f>+BG6*(1+'Conversion Factors'!$G6)</f>
        <v>0</v>
      </c>
      <c r="BH59" s="738">
        <f>+BH6*(1+'Conversion Factors'!$G6)</f>
        <v>0</v>
      </c>
      <c r="BI59" s="276">
        <f>+BI6*(1+'Conversion Factors'!$G6)</f>
        <v>0</v>
      </c>
      <c r="BJ59" s="276">
        <f>+BJ6*(1+'Conversion Factors'!$G6)</f>
        <v>0</v>
      </c>
      <c r="BK59" s="277">
        <f t="shared" si="40"/>
        <v>35.25876297674094</v>
      </c>
      <c r="BL59" s="276">
        <f>+BL6*(1+'Conversion Factors'!$G6)</f>
        <v>0</v>
      </c>
      <c r="BM59" s="276">
        <f>+BM6*(1+'Conversion Factors'!$G6)</f>
        <v>2.8620000000000005</v>
      </c>
      <c r="BN59" s="276">
        <f>+BN6*(1+'Conversion Factors'!$G6)</f>
        <v>7.42</v>
      </c>
      <c r="BO59" s="276">
        <f>+BO6*(1+'Conversion Factors'!$G6)</f>
        <v>0</v>
      </c>
      <c r="BP59" s="1106">
        <f t="shared" si="41"/>
        <v>10.282</v>
      </c>
      <c r="BQ59" s="718">
        <f t="shared" si="32"/>
        <v>45.540762976740936</v>
      </c>
      <c r="BS59" s="994">
        <v>1995</v>
      </c>
      <c r="BT59" s="275">
        <f>+BT6*(1+'Conversion Factors'!$H6)</f>
        <v>19.015180489260146</v>
      </c>
      <c r="BU59" s="276">
        <f>+BU6*(1+'Conversion Factors'!$H6)</f>
        <v>0.2293914</v>
      </c>
      <c r="BV59" s="276">
        <f>+BV6*(1+'Conversion Factors'!$H6)</f>
        <v>0</v>
      </c>
      <c r="BW59" s="276">
        <f>+BW6*(1+'Conversion Factors'!$H6)</f>
        <v>0</v>
      </c>
      <c r="BX59" s="276">
        <f>+BX6*(1+'Conversion Factors'!$H6)</f>
        <v>0</v>
      </c>
      <c r="BY59" s="276">
        <f>+BY6*(1+'Conversion Factors'!$H6)</f>
        <v>0</v>
      </c>
      <c r="BZ59" s="276">
        <f>+BZ6*(1+'Conversion Factors'!$H6)</f>
        <v>0</v>
      </c>
      <c r="CA59" s="276">
        <f>+CA6*(1+'Conversion Factors'!$H6)</f>
        <v>0</v>
      </c>
      <c r="CB59" s="276">
        <f>+CB6*(1+'Conversion Factors'!$H6)</f>
        <v>0</v>
      </c>
      <c r="CC59" s="276">
        <f>+CC6*(1+'Conversion Factors'!$H6)</f>
        <v>0</v>
      </c>
      <c r="CD59" s="276">
        <f>+CD6*(1+'Conversion Factors'!$H6)</f>
        <v>0</v>
      </c>
      <c r="CE59" s="276">
        <f>+CE6*(1+'Conversion Factors'!$H6)</f>
        <v>0</v>
      </c>
      <c r="CF59" s="276">
        <f>+CF6*(1+'Conversion Factors'!$H6)</f>
        <v>0</v>
      </c>
      <c r="CG59" s="276">
        <f>+CG6*(1+'Conversion Factors'!$H6)</f>
        <v>6.1566832460732996</v>
      </c>
      <c r="CH59" s="276">
        <f>+CH6*(1+'Conversion Factors'!$H6)</f>
        <v>0</v>
      </c>
      <c r="CI59" s="276">
        <f>+CI6*(1+'Conversion Factors'!$H6)</f>
        <v>0</v>
      </c>
      <c r="CJ59" s="276">
        <f>+CJ6*(1+'Conversion Factors'!$H6)</f>
        <v>0.98699999999999999</v>
      </c>
      <c r="CK59" s="276">
        <f>+CK6*(1+'Conversion Factors'!$H6)</f>
        <v>0</v>
      </c>
      <c r="CL59" s="276">
        <f>+CL6*(1+'Conversion Factors'!$H6)</f>
        <v>16.8</v>
      </c>
      <c r="CM59" s="276">
        <f>+CM6*(1+'Conversion Factors'!$H6)</f>
        <v>0</v>
      </c>
      <c r="CN59" s="276">
        <f>+CN6*(1+'Conversion Factors'!$H6)</f>
        <v>0</v>
      </c>
      <c r="CO59" s="276">
        <f>+CO6*(1+'Conversion Factors'!$H6)</f>
        <v>0</v>
      </c>
      <c r="CP59" s="276">
        <f>+CP6*(1+'Conversion Factors'!$H6)</f>
        <v>0</v>
      </c>
      <c r="CQ59" s="276">
        <f>+CQ6*(1+'Conversion Factors'!$H6)</f>
        <v>0</v>
      </c>
      <c r="CR59" s="276">
        <f>+CR6*(1+'Conversion Factors'!$H6)</f>
        <v>0</v>
      </c>
      <c r="CS59" s="996">
        <f>+CS6*(1+'Conversion Factors'!$H6)</f>
        <v>0</v>
      </c>
      <c r="CT59" s="277">
        <f t="shared" si="42"/>
        <v>26.388255135333448</v>
      </c>
      <c r="CU59" s="276">
        <f>+CU6*(1+'Conversion Factors'!$H6)</f>
        <v>0</v>
      </c>
      <c r="CV59" s="276">
        <f>+CV6*(1+'Conversion Factors'!$H6)</f>
        <v>0</v>
      </c>
      <c r="CW59" s="276">
        <f>+CW6*(1+'Conversion Factors'!$H6)</f>
        <v>0.73499999999999999</v>
      </c>
      <c r="CX59" s="276">
        <f>+CX6*(1+'Conversion Factors'!$H6)</f>
        <v>0</v>
      </c>
      <c r="CY59" s="1106">
        <f t="shared" si="43"/>
        <v>0.73499999999999999</v>
      </c>
      <c r="CZ59" s="718">
        <f t="shared" si="37"/>
        <v>27.123255135333448</v>
      </c>
      <c r="DA59" s="162">
        <f t="shared" si="38"/>
        <v>27.123255135333444</v>
      </c>
      <c r="DB59" s="162">
        <f t="shared" si="44"/>
        <v>0</v>
      </c>
    </row>
    <row r="60" spans="1:106" x14ac:dyDescent="0.2">
      <c r="A60" s="269">
        <v>1996</v>
      </c>
      <c r="B60" s="275">
        <f>+B7*(1+'Conversion Factors'!$F7)</f>
        <v>13.262340155608593</v>
      </c>
      <c r="C60" s="276">
        <f>+C7*(1+'Conversion Factors'!$F7)</f>
        <v>0.40799572000000006</v>
      </c>
      <c r="D60" s="738">
        <f>+D7*(1+'Conversion Factors'!$F7)</f>
        <v>3.1020000000000002E-3</v>
      </c>
      <c r="E60" s="276">
        <f>+E7*(1+'Conversion Factors'!$F7)</f>
        <v>0</v>
      </c>
      <c r="F60" s="276">
        <f>+F7*(1+'Conversion Factors'!$F7)</f>
        <v>0</v>
      </c>
      <c r="G60" s="738">
        <f>+G7*(1+'Conversion Factors'!$F7)</f>
        <v>0</v>
      </c>
      <c r="H60" s="276">
        <f>+H7*(1+'Conversion Factors'!$F7)</f>
        <v>0</v>
      </c>
      <c r="I60" s="276">
        <f>+I7*(1+'Conversion Factors'!$F7)</f>
        <v>0</v>
      </c>
      <c r="J60" s="738">
        <f>+J7*(1+'Conversion Factors'!$F7)</f>
        <v>0</v>
      </c>
      <c r="K60" s="276">
        <f>+K7*(1+'Conversion Factors'!$F7)</f>
        <v>0</v>
      </c>
      <c r="L60" s="276">
        <f>+L7*(1+'Conversion Factors'!$F7)</f>
        <v>0</v>
      </c>
      <c r="M60" s="276">
        <f>+M7*(1+'Conversion Factors'!$F7)</f>
        <v>0</v>
      </c>
      <c r="N60" s="276">
        <f>+N7*(1+'Conversion Factors'!$F7)</f>
        <v>0</v>
      </c>
      <c r="O60" s="738">
        <f>+O7*(1+'Conversion Factors'!$F7)</f>
        <v>5.0658993161256545</v>
      </c>
      <c r="P60" s="276">
        <f>+P7*(1+'Conversion Factors'!$F7)</f>
        <v>0</v>
      </c>
      <c r="Q60" s="276">
        <f>+Q7*(1+'Conversion Factors'!$F7)</f>
        <v>0</v>
      </c>
      <c r="R60" s="276">
        <f>+R7*(1+'Conversion Factors'!$F7)</f>
        <v>0.69588200000000011</v>
      </c>
      <c r="S60" s="276">
        <f>+S7*(1+'Conversion Factors'!$F7)</f>
        <v>0</v>
      </c>
      <c r="T60" s="738">
        <f>+T7*(1+'Conversion Factors'!$F7)</f>
        <v>0</v>
      </c>
      <c r="U60" s="276">
        <f>+U7*(1+'Conversion Factors'!$F7)</f>
        <v>0</v>
      </c>
      <c r="V60" s="738">
        <f>+V7*(1+'Conversion Factors'!$F7)</f>
        <v>0</v>
      </c>
      <c r="W60" s="276">
        <f>+W7*(1+'Conversion Factors'!$F7)</f>
        <v>0</v>
      </c>
      <c r="X60" s="738">
        <f>+X7*(1+'Conversion Factors'!$F7)</f>
        <v>0</v>
      </c>
      <c r="Y60" s="738">
        <f>+Y7*(1+'Conversion Factors'!$F7)</f>
        <v>0</v>
      </c>
      <c r="Z60" s="738">
        <f>+Z7*(1+'Conversion Factors'!$F7)</f>
        <v>0</v>
      </c>
      <c r="AA60" s="738">
        <f>+AA7*(1+'Conversion Factors'!$F7)</f>
        <v>0</v>
      </c>
      <c r="AB60" s="277">
        <f t="shared" si="25"/>
        <v>19.435219191734248</v>
      </c>
      <c r="AC60" s="276">
        <f>+AC7*(1+'Conversion Factors'!$F7)</f>
        <v>0</v>
      </c>
      <c r="AD60" s="276">
        <f>+AD7*(1+'Conversion Factors'!$F7)</f>
        <v>2.7918000000000003</v>
      </c>
      <c r="AE60" s="276">
        <f>+AE7*(1+'Conversion Factors'!$F7)</f>
        <v>10.546799999999999</v>
      </c>
      <c r="AF60" s="276">
        <f>+AF7*(1+'Conversion Factors'!$F7)</f>
        <v>0</v>
      </c>
      <c r="AG60" s="277">
        <f t="shared" si="39"/>
        <v>13.3386</v>
      </c>
      <c r="AH60" s="718">
        <f t="shared" si="27"/>
        <v>32.773819191734248</v>
      </c>
      <c r="AJ60" s="748">
        <v>1996</v>
      </c>
      <c r="AK60" s="276">
        <f>+AK7*(1+'Conversion Factors'!$G7)</f>
        <v>33.072865448114563</v>
      </c>
      <c r="AL60" s="276">
        <f>+AL7*(1+'Conversion Factors'!$G7)</f>
        <v>0.94551028000000004</v>
      </c>
      <c r="AM60" s="738">
        <f>+AM7*(1+'Conversion Factors'!$G7)</f>
        <v>0</v>
      </c>
      <c r="AN60" s="276">
        <f>+AN7*(1+'Conversion Factors'!$G7)</f>
        <v>0</v>
      </c>
      <c r="AO60" s="276">
        <f>+AO7*(1+'Conversion Factors'!$G7)</f>
        <v>0</v>
      </c>
      <c r="AP60" s="738">
        <f>+AP7*(1+'Conversion Factors'!$G7)</f>
        <v>0</v>
      </c>
      <c r="AQ60" s="276">
        <f>+AQ7*(1+'Conversion Factors'!$G7)</f>
        <v>0</v>
      </c>
      <c r="AR60" s="276">
        <f>+AR7*(1+'Conversion Factors'!$G7)</f>
        <v>0</v>
      </c>
      <c r="AS60" s="738">
        <f>+AS7*(1+'Conversion Factors'!$G7)</f>
        <v>0</v>
      </c>
      <c r="AT60" s="276">
        <f>+AT7*(1+'Conversion Factors'!$G7)</f>
        <v>0</v>
      </c>
      <c r="AU60" s="276">
        <f>+AU7*(1+'Conversion Factors'!$G7)</f>
        <v>0</v>
      </c>
      <c r="AV60" s="276">
        <f>+AV7*(1+'Conversion Factors'!$G7)</f>
        <v>0</v>
      </c>
      <c r="AW60" s="276">
        <f>+AW7*(1+'Conversion Factors'!$G7)</f>
        <v>0</v>
      </c>
      <c r="AX60" s="738">
        <f>+AX7*(1+'Conversion Factors'!$G7)</f>
        <v>1.4150919061780103</v>
      </c>
      <c r="AY60" s="276">
        <f>+AY7*(1+'Conversion Factors'!$G7)</f>
        <v>0</v>
      </c>
      <c r="AZ60" s="276">
        <f>+AZ7*(1+'Conversion Factors'!$G7)</f>
        <v>0</v>
      </c>
      <c r="BA60" s="276">
        <f>+BA7*(1+'Conversion Factors'!$G7)</f>
        <v>0.15510000000000002</v>
      </c>
      <c r="BB60" s="276">
        <f>+BB7*(1+'Conversion Factors'!$G7)</f>
        <v>0</v>
      </c>
      <c r="BC60" s="738">
        <f>+BC7*(1+'Conversion Factors'!$G7)</f>
        <v>0</v>
      </c>
      <c r="BD60" s="276">
        <f>+BD7*(1+'Conversion Factors'!$G7)</f>
        <v>0</v>
      </c>
      <c r="BE60" s="738">
        <f>+BE7*(1+'Conversion Factors'!$G7)</f>
        <v>0</v>
      </c>
      <c r="BF60" s="276">
        <f>+BF7*(1+'Conversion Factors'!$G7)</f>
        <v>0</v>
      </c>
      <c r="BG60" s="738">
        <f>+BG7*(1+'Conversion Factors'!$G7)</f>
        <v>0</v>
      </c>
      <c r="BH60" s="738">
        <f>+BH7*(1+'Conversion Factors'!$G7)</f>
        <v>0</v>
      </c>
      <c r="BI60" s="276">
        <f>+BI7*(1+'Conversion Factors'!$G7)</f>
        <v>0</v>
      </c>
      <c r="BJ60" s="276">
        <f>+BJ7*(1+'Conversion Factors'!$G7)</f>
        <v>0</v>
      </c>
      <c r="BK60" s="277">
        <f t="shared" si="40"/>
        <v>35.588567634292573</v>
      </c>
      <c r="BL60" s="276">
        <f>+BL7*(1+'Conversion Factors'!$G7)</f>
        <v>0</v>
      </c>
      <c r="BM60" s="276">
        <f>+BM7*(1+'Conversion Factors'!$G7)</f>
        <v>2.7918000000000003</v>
      </c>
      <c r="BN60" s="276">
        <f>+BN7*(1+'Conversion Factors'!$G7)</f>
        <v>7.2380000000000004</v>
      </c>
      <c r="BO60" s="276">
        <f>+BO7*(1+'Conversion Factors'!$G7)</f>
        <v>0</v>
      </c>
      <c r="BP60" s="1106">
        <f t="shared" si="41"/>
        <v>10.029800000000002</v>
      </c>
      <c r="BQ60" s="718">
        <f t="shared" si="32"/>
        <v>45.618367634292575</v>
      </c>
      <c r="BS60" s="994">
        <v>1996</v>
      </c>
      <c r="BT60" s="275">
        <f>+BT7*(1+'Conversion Factors'!$H7)</f>
        <v>19.019781405566825</v>
      </c>
      <c r="BU60" s="276">
        <f>+BU7*(1+'Conversion Factors'!$H7)</f>
        <v>0.22611767099999999</v>
      </c>
      <c r="BV60" s="276">
        <f>+BV7*(1+'Conversion Factors'!$H7)</f>
        <v>1.31456E-2</v>
      </c>
      <c r="BW60" s="276">
        <f>+BW7*(1+'Conversion Factors'!$H7)</f>
        <v>0</v>
      </c>
      <c r="BX60" s="276">
        <f>+BX7*(1+'Conversion Factors'!$H7)</f>
        <v>0</v>
      </c>
      <c r="BY60" s="276">
        <f>+BY7*(1+'Conversion Factors'!$H7)</f>
        <v>0</v>
      </c>
      <c r="BZ60" s="276">
        <f>+BZ7*(1+'Conversion Factors'!$H7)</f>
        <v>0</v>
      </c>
      <c r="CA60" s="276">
        <f>+CA7*(1+'Conversion Factors'!$H7)</f>
        <v>0</v>
      </c>
      <c r="CB60" s="276">
        <f>+CB7*(1+'Conversion Factors'!$H7)</f>
        <v>0</v>
      </c>
      <c r="CC60" s="276">
        <f>+CC7*(1+'Conversion Factors'!$H7)</f>
        <v>0</v>
      </c>
      <c r="CD60" s="276">
        <f>+CD7*(1+'Conversion Factors'!$H7)</f>
        <v>0</v>
      </c>
      <c r="CE60" s="276">
        <f>+CE7*(1+'Conversion Factors'!$H7)</f>
        <v>0</v>
      </c>
      <c r="CF60" s="276">
        <f>+CF7*(1+'Conversion Factors'!$H7)</f>
        <v>0</v>
      </c>
      <c r="CG60" s="276">
        <f>+CG7*(1+'Conversion Factors'!$H7)</f>
        <v>20.726367485445024</v>
      </c>
      <c r="CH60" s="276">
        <f>+CH7*(1+'Conversion Factors'!$H7)</f>
        <v>0</v>
      </c>
      <c r="CI60" s="276">
        <f>+CI7*(1+'Conversion Factors'!$H7)</f>
        <v>0</v>
      </c>
      <c r="CJ60" s="276">
        <f>+CJ7*(1+'Conversion Factors'!$H7)</f>
        <v>1.296109945</v>
      </c>
      <c r="CK60" s="276">
        <f>+CK7*(1+'Conversion Factors'!$H7)</f>
        <v>0</v>
      </c>
      <c r="CL60" s="276">
        <f>+CL7*(1+'Conversion Factors'!$H7)</f>
        <v>16.431999999999999</v>
      </c>
      <c r="CM60" s="276">
        <f>+CM7*(1+'Conversion Factors'!$H7)</f>
        <v>0</v>
      </c>
      <c r="CN60" s="276">
        <f>+CN7*(1+'Conversion Factors'!$H7)</f>
        <v>0</v>
      </c>
      <c r="CO60" s="276">
        <f>+CO7*(1+'Conversion Factors'!$H7)</f>
        <v>0</v>
      </c>
      <c r="CP60" s="276">
        <f>+CP7*(1+'Conversion Factors'!$H7)</f>
        <v>0</v>
      </c>
      <c r="CQ60" s="276">
        <f>+CQ7*(1+'Conversion Factors'!$H7)</f>
        <v>0</v>
      </c>
      <c r="CR60" s="276">
        <f>+CR7*(1+'Conversion Factors'!$H7)</f>
        <v>0</v>
      </c>
      <c r="CS60" s="996">
        <f>+CS7*(1+'Conversion Factors'!$H7)</f>
        <v>0</v>
      </c>
      <c r="CT60" s="277">
        <f t="shared" si="42"/>
        <v>41.281522107011853</v>
      </c>
      <c r="CU60" s="276">
        <f>+CU7*(1+'Conversion Factors'!$H7)</f>
        <v>0</v>
      </c>
      <c r="CV60" s="276">
        <f>+CV7*(1+'Conversion Factors'!$H7)</f>
        <v>0</v>
      </c>
      <c r="CW60" s="276">
        <f>+CW7*(1+'Conversion Factors'!$H7)</f>
        <v>0.91060666666666645</v>
      </c>
      <c r="CX60" s="276">
        <f>+CX7*(1+'Conversion Factors'!$H7)</f>
        <v>0</v>
      </c>
      <c r="CY60" s="1106">
        <f t="shared" si="43"/>
        <v>0.91060666666666645</v>
      </c>
      <c r="CZ60" s="718">
        <f t="shared" si="37"/>
        <v>42.192128773678519</v>
      </c>
      <c r="DA60" s="162">
        <f t="shared" si="38"/>
        <v>42.192128773678519</v>
      </c>
      <c r="DB60" s="162">
        <f t="shared" si="44"/>
        <v>0</v>
      </c>
    </row>
    <row r="61" spans="1:106" x14ac:dyDescent="0.2">
      <c r="A61" s="269">
        <v>1997</v>
      </c>
      <c r="B61" s="275">
        <f>+B8*(1+'Conversion Factors'!$F8)</f>
        <v>13.303369275608594</v>
      </c>
      <c r="C61" s="276">
        <f>+C8*(1+'Conversion Factors'!$F8)</f>
        <v>0.40799572000000006</v>
      </c>
      <c r="D61" s="738">
        <f>+D8*(1+'Conversion Factors'!$F8)</f>
        <v>2.397846E-2</v>
      </c>
      <c r="E61" s="276">
        <f>+E8*(1+'Conversion Factors'!$F8)</f>
        <v>0</v>
      </c>
      <c r="F61" s="276">
        <f>+F8*(1+'Conversion Factors'!$F8)</f>
        <v>0</v>
      </c>
      <c r="G61" s="738">
        <f>+G8*(1+'Conversion Factors'!$F8)</f>
        <v>0</v>
      </c>
      <c r="H61" s="276">
        <f>+H8*(1+'Conversion Factors'!$F8)</f>
        <v>0</v>
      </c>
      <c r="I61" s="276">
        <f>+I8*(1+'Conversion Factors'!$F8)</f>
        <v>0</v>
      </c>
      <c r="J61" s="738">
        <f>+J8*(1+'Conversion Factors'!$F8)</f>
        <v>0</v>
      </c>
      <c r="K61" s="276">
        <f>+K8*(1+'Conversion Factors'!$F8)</f>
        <v>0</v>
      </c>
      <c r="L61" s="276">
        <f>+L8*(1+'Conversion Factors'!$F8)</f>
        <v>0</v>
      </c>
      <c r="M61" s="276">
        <f>+M8*(1+'Conversion Factors'!$F8)</f>
        <v>0</v>
      </c>
      <c r="N61" s="276">
        <f>+N8*(1+'Conversion Factors'!$F8)</f>
        <v>0</v>
      </c>
      <c r="O61" s="738">
        <f>+O8*(1+'Conversion Factors'!$F8)</f>
        <v>9.4109431808797535</v>
      </c>
      <c r="P61" s="276">
        <f>+P8*(1+'Conversion Factors'!$F8)</f>
        <v>0</v>
      </c>
      <c r="Q61" s="276">
        <f>+Q8*(1+'Conversion Factors'!$F8)</f>
        <v>0</v>
      </c>
      <c r="R61" s="276">
        <f>+R8*(1+'Conversion Factors'!$F8)</f>
        <v>0.69588200000000011</v>
      </c>
      <c r="S61" s="276">
        <f>+S8*(1+'Conversion Factors'!$F8)</f>
        <v>0</v>
      </c>
      <c r="T61" s="738">
        <f>+T8*(1+'Conversion Factors'!$F8)</f>
        <v>0</v>
      </c>
      <c r="U61" s="276">
        <f>+U8*(1+'Conversion Factors'!$F8)</f>
        <v>0</v>
      </c>
      <c r="V61" s="738">
        <f>+V8*(1+'Conversion Factors'!$F8)</f>
        <v>0</v>
      </c>
      <c r="W61" s="276">
        <f>+W8*(1+'Conversion Factors'!$F8)</f>
        <v>0</v>
      </c>
      <c r="X61" s="738">
        <f>+X8*(1+'Conversion Factors'!$F8)</f>
        <v>0</v>
      </c>
      <c r="Y61" s="738">
        <f>+Y8*(1+'Conversion Factors'!$F8)</f>
        <v>0</v>
      </c>
      <c r="Z61" s="738">
        <f>+Z8*(1+'Conversion Factors'!$F8)</f>
        <v>0</v>
      </c>
      <c r="AA61" s="738">
        <f>+AA8*(1+'Conversion Factors'!$F8)</f>
        <v>0</v>
      </c>
      <c r="AB61" s="277">
        <f t="shared" si="25"/>
        <v>23.842168636488349</v>
      </c>
      <c r="AC61" s="276">
        <f>+AC8*(1+'Conversion Factors'!$F8)</f>
        <v>0</v>
      </c>
      <c r="AD61" s="276">
        <f>+AD8*(1+'Conversion Factors'!$F8)</f>
        <v>2.7918000000000003</v>
      </c>
      <c r="AE61" s="276">
        <f>+AE8*(1+'Conversion Factors'!$F8)</f>
        <v>17.888200000000001</v>
      </c>
      <c r="AF61" s="276">
        <f>+AF8*(1+'Conversion Factors'!$F8)</f>
        <v>0</v>
      </c>
      <c r="AG61" s="277">
        <f t="shared" si="39"/>
        <v>20.68</v>
      </c>
      <c r="AH61" s="718">
        <f t="shared" si="27"/>
        <v>44.522168636488345</v>
      </c>
      <c r="AJ61" s="748">
        <v>1997</v>
      </c>
      <c r="AK61" s="276">
        <f>+AK8*(1+'Conversion Factors'!$G8)</f>
        <v>33.118092608114566</v>
      </c>
      <c r="AL61" s="276">
        <f>+AL8*(1+'Conversion Factors'!$G8)</f>
        <v>0.94551028000000004</v>
      </c>
      <c r="AM61" s="738">
        <f>+AM8*(1+'Conversion Factors'!$G8)</f>
        <v>5.1700000000000001E-3</v>
      </c>
      <c r="AN61" s="276">
        <f>+AN8*(1+'Conversion Factors'!$G8)</f>
        <v>0</v>
      </c>
      <c r="AO61" s="276">
        <f>+AO8*(1+'Conversion Factors'!$G8)</f>
        <v>0</v>
      </c>
      <c r="AP61" s="738">
        <f>+AP8*(1+'Conversion Factors'!$G8)</f>
        <v>0</v>
      </c>
      <c r="AQ61" s="276">
        <f>+AQ8*(1+'Conversion Factors'!$G8)</f>
        <v>0</v>
      </c>
      <c r="AR61" s="276">
        <f>+AR8*(1+'Conversion Factors'!$G8)</f>
        <v>0</v>
      </c>
      <c r="AS61" s="738">
        <f>+AS8*(1+'Conversion Factors'!$G8)</f>
        <v>0</v>
      </c>
      <c r="AT61" s="276">
        <f>+AT8*(1+'Conversion Factors'!$G8)</f>
        <v>0</v>
      </c>
      <c r="AU61" s="276">
        <f>+AU8*(1+'Conversion Factors'!$G8)</f>
        <v>0</v>
      </c>
      <c r="AV61" s="276">
        <f>+AV8*(1+'Conversion Factors'!$G8)</f>
        <v>0</v>
      </c>
      <c r="AW61" s="276">
        <f>+AW8*(1+'Conversion Factors'!$G8)</f>
        <v>0</v>
      </c>
      <c r="AX61" s="738">
        <f>+AX8*(1+'Conversion Factors'!$G8)</f>
        <v>3.2983429732271903</v>
      </c>
      <c r="AY61" s="276">
        <f>+AY8*(1+'Conversion Factors'!$G8)</f>
        <v>0</v>
      </c>
      <c r="AZ61" s="276">
        <f>+AZ8*(1+'Conversion Factors'!$G8)</f>
        <v>0</v>
      </c>
      <c r="BA61" s="276">
        <f>+BA8*(1+'Conversion Factors'!$G8)</f>
        <v>0.15510000000000002</v>
      </c>
      <c r="BB61" s="276">
        <f>+BB8*(1+'Conversion Factors'!$G8)</f>
        <v>0</v>
      </c>
      <c r="BC61" s="738">
        <f>+BC8*(1+'Conversion Factors'!$G8)</f>
        <v>0</v>
      </c>
      <c r="BD61" s="276">
        <f>+BD8*(1+'Conversion Factors'!$G8)</f>
        <v>0</v>
      </c>
      <c r="BE61" s="738">
        <f>+BE8*(1+'Conversion Factors'!$G8)</f>
        <v>0</v>
      </c>
      <c r="BF61" s="276">
        <f>+BF8*(1+'Conversion Factors'!$G8)</f>
        <v>0</v>
      </c>
      <c r="BG61" s="738">
        <f>+BG8*(1+'Conversion Factors'!$G8)</f>
        <v>0</v>
      </c>
      <c r="BH61" s="738">
        <f>+BH8*(1+'Conversion Factors'!$G8)</f>
        <v>0</v>
      </c>
      <c r="BI61" s="276">
        <f>+BI8*(1+'Conversion Factors'!$G8)</f>
        <v>0</v>
      </c>
      <c r="BJ61" s="276">
        <f>+BJ8*(1+'Conversion Factors'!$G8)</f>
        <v>0</v>
      </c>
      <c r="BK61" s="277">
        <f t="shared" si="40"/>
        <v>37.522215861341756</v>
      </c>
      <c r="BL61" s="276">
        <f>+BL8*(1+'Conversion Factors'!$G8)</f>
        <v>0</v>
      </c>
      <c r="BM61" s="276">
        <f>+BM8*(1+'Conversion Factors'!$G8)</f>
        <v>2.7918000000000003</v>
      </c>
      <c r="BN61" s="276">
        <f>+BN8*(1+'Conversion Factors'!$G8)</f>
        <v>17.888200000000001</v>
      </c>
      <c r="BO61" s="276">
        <f>+BO8*(1+'Conversion Factors'!$G8)</f>
        <v>0</v>
      </c>
      <c r="BP61" s="1106">
        <f t="shared" si="41"/>
        <v>20.68</v>
      </c>
      <c r="BQ61" s="718">
        <f t="shared" si="32"/>
        <v>58.202215861341756</v>
      </c>
      <c r="BS61" s="994">
        <v>1997</v>
      </c>
      <c r="BT61" s="275">
        <f>+BT8*(1+'Conversion Factors'!$H8)</f>
        <v>19.193484077566826</v>
      </c>
      <c r="BU61" s="276">
        <f>+BU8*(1+'Conversion Factors'!$H8)</f>
        <v>0.22611767099999999</v>
      </c>
      <c r="BV61" s="276">
        <f>+BV8*(1+'Conversion Factors'!$H8)</f>
        <v>0.10161548799999999</v>
      </c>
      <c r="BW61" s="276">
        <f>+BW8*(1+'Conversion Factors'!$H8)</f>
        <v>0</v>
      </c>
      <c r="BX61" s="276">
        <f>+BX8*(1+'Conversion Factors'!$H8)</f>
        <v>0</v>
      </c>
      <c r="BY61" s="276">
        <f>+BY8*(1+'Conversion Factors'!$H8)</f>
        <v>0</v>
      </c>
      <c r="BZ61" s="276">
        <f>+BZ8*(1+'Conversion Factors'!$H8)</f>
        <v>0</v>
      </c>
      <c r="CA61" s="276">
        <f>+CA8*(1+'Conversion Factors'!$H8)</f>
        <v>0</v>
      </c>
      <c r="CB61" s="276">
        <f>+CB8*(1+'Conversion Factors'!$H8)</f>
        <v>0</v>
      </c>
      <c r="CC61" s="276">
        <f>+CC8*(1+'Conversion Factors'!$H8)</f>
        <v>0</v>
      </c>
      <c r="CD61" s="276">
        <f>+CD8*(1+'Conversion Factors'!$H8)</f>
        <v>0</v>
      </c>
      <c r="CE61" s="276">
        <f>+CE8*(1+'Conversion Factors'!$H8)</f>
        <v>0</v>
      </c>
      <c r="CF61" s="276">
        <f>+CF8*(1+'Conversion Factors'!$H8)</f>
        <v>0</v>
      </c>
      <c r="CG61" s="276">
        <f>+CG8*(1+'Conversion Factors'!$H8)</f>
        <v>40.376246171715508</v>
      </c>
      <c r="CH61" s="276">
        <f>+CH8*(1+'Conversion Factors'!$H8)</f>
        <v>0</v>
      </c>
      <c r="CI61" s="276">
        <f>+CI8*(1+'Conversion Factors'!$H8)</f>
        <v>0</v>
      </c>
      <c r="CJ61" s="276">
        <f>+CJ8*(1+'Conversion Factors'!$H8)</f>
        <v>1.296109945</v>
      </c>
      <c r="CK61" s="276">
        <f>+CK8*(1+'Conversion Factors'!$H8)</f>
        <v>0</v>
      </c>
      <c r="CL61" s="276">
        <f>+CL8*(1+'Conversion Factors'!$H8)</f>
        <v>16.431999999999999</v>
      </c>
      <c r="CM61" s="276">
        <f>+CM8*(1+'Conversion Factors'!$H8)</f>
        <v>0</v>
      </c>
      <c r="CN61" s="276">
        <f>+CN8*(1+'Conversion Factors'!$H8)</f>
        <v>0</v>
      </c>
      <c r="CO61" s="276">
        <f>+CO8*(1+'Conversion Factors'!$H8)</f>
        <v>0</v>
      </c>
      <c r="CP61" s="276">
        <f>+CP8*(1+'Conversion Factors'!$H8)</f>
        <v>0</v>
      </c>
      <c r="CQ61" s="276">
        <f>+CQ8*(1+'Conversion Factors'!$H8)</f>
        <v>0</v>
      </c>
      <c r="CR61" s="276">
        <f>+CR8*(1+'Conversion Factors'!$H8)</f>
        <v>0</v>
      </c>
      <c r="CS61" s="996">
        <f>+CS8*(1+'Conversion Factors'!$H8)</f>
        <v>0</v>
      </c>
      <c r="CT61" s="277">
        <f t="shared" si="42"/>
        <v>61.193573353282332</v>
      </c>
      <c r="CU61" s="276">
        <f>+CU8*(1+'Conversion Factors'!$H8)</f>
        <v>0</v>
      </c>
      <c r="CV61" s="276">
        <f>+CV8*(1+'Conversion Factors'!$H8)</f>
        <v>0</v>
      </c>
      <c r="CW61" s="276">
        <f>+CW8*(1+'Conversion Factors'!$H8)</f>
        <v>1.7767099999999998</v>
      </c>
      <c r="CX61" s="276">
        <f>+CX8*(1+'Conversion Factors'!$H8)</f>
        <v>0</v>
      </c>
      <c r="CY61" s="1106">
        <f t="shared" si="43"/>
        <v>1.7767099999999998</v>
      </c>
      <c r="CZ61" s="718">
        <f t="shared" si="37"/>
        <v>62.970283353282333</v>
      </c>
      <c r="DA61" s="162">
        <f t="shared" si="38"/>
        <v>62.970283353282333</v>
      </c>
      <c r="DB61" s="162">
        <f t="shared" si="44"/>
        <v>0</v>
      </c>
    </row>
    <row r="62" spans="1:106" x14ac:dyDescent="0.2">
      <c r="A62" s="269">
        <v>1998</v>
      </c>
      <c r="B62" s="275">
        <f>+B9*(1+'Conversion Factors'!$F9)</f>
        <v>13.324959195608592</v>
      </c>
      <c r="C62" s="276">
        <f>+C9*(1+'Conversion Factors'!$F9)</f>
        <v>0.40799572000000006</v>
      </c>
      <c r="D62" s="738">
        <f>+D9*(1+'Conversion Factors'!$F9)</f>
        <v>5.8348619999999997E-2</v>
      </c>
      <c r="E62" s="276">
        <f>+E9*(1+'Conversion Factors'!$F9)</f>
        <v>0</v>
      </c>
      <c r="F62" s="276">
        <f>+F9*(1+'Conversion Factors'!$F9)</f>
        <v>0</v>
      </c>
      <c r="G62" s="738">
        <f>+G9*(1+'Conversion Factors'!$F9)</f>
        <v>0</v>
      </c>
      <c r="H62" s="276">
        <f>+H9*(1+'Conversion Factors'!$F9)</f>
        <v>0</v>
      </c>
      <c r="I62" s="276">
        <f>+I9*(1+'Conversion Factors'!$F9)</f>
        <v>0</v>
      </c>
      <c r="J62" s="738">
        <f>+J9*(1+'Conversion Factors'!$F9)</f>
        <v>0</v>
      </c>
      <c r="K62" s="276">
        <f>+K9*(1+'Conversion Factors'!$F9)</f>
        <v>0</v>
      </c>
      <c r="L62" s="276">
        <f>+L9*(1+'Conversion Factors'!$F9)</f>
        <v>0</v>
      </c>
      <c r="M62" s="276">
        <f>+M9*(1+'Conversion Factors'!$F9)</f>
        <v>0</v>
      </c>
      <c r="N62" s="276">
        <f>+N9*(1+'Conversion Factors'!$F9)</f>
        <v>0</v>
      </c>
      <c r="O62" s="738">
        <f>+O9*(1+'Conversion Factors'!$F9)</f>
        <v>12.526405860879755</v>
      </c>
      <c r="P62" s="276">
        <f>+P9*(1+'Conversion Factors'!$F9)</f>
        <v>0</v>
      </c>
      <c r="Q62" s="276">
        <f>+Q9*(1+'Conversion Factors'!$F9)</f>
        <v>0</v>
      </c>
      <c r="R62" s="276">
        <f>+R9*(1+'Conversion Factors'!$F9)</f>
        <v>0.71488691999999998</v>
      </c>
      <c r="S62" s="276">
        <f>+S9*(1+'Conversion Factors'!$F9)</f>
        <v>0</v>
      </c>
      <c r="T62" s="738">
        <f>+T9*(1+'Conversion Factors'!$F9)</f>
        <v>0</v>
      </c>
      <c r="U62" s="276">
        <f>+U9*(1+'Conversion Factors'!$F9)</f>
        <v>0</v>
      </c>
      <c r="V62" s="738">
        <f>+V9*(1+'Conversion Factors'!$F9)</f>
        <v>0</v>
      </c>
      <c r="W62" s="276">
        <f>+W9*(1+'Conversion Factors'!$F9)</f>
        <v>0</v>
      </c>
      <c r="X62" s="738">
        <f>+X9*(1+'Conversion Factors'!$F9)</f>
        <v>0</v>
      </c>
      <c r="Y62" s="738">
        <f>+Y9*(1+'Conversion Factors'!$F9)</f>
        <v>0</v>
      </c>
      <c r="Z62" s="738">
        <f>+Z9*(1+'Conversion Factors'!$F9)</f>
        <v>0</v>
      </c>
      <c r="AA62" s="738">
        <f>+AA9*(1+'Conversion Factors'!$F9)</f>
        <v>0</v>
      </c>
      <c r="AB62" s="277">
        <f t="shared" si="25"/>
        <v>27.032596316488348</v>
      </c>
      <c r="AC62" s="276">
        <f>+AC9*(1+'Conversion Factors'!$F9)</f>
        <v>0</v>
      </c>
      <c r="AD62" s="276">
        <f>+AD9*(1+'Conversion Factors'!$F9)</f>
        <v>2.7918000000000003</v>
      </c>
      <c r="AE62" s="276">
        <f>+AE9*(1+'Conversion Factors'!$F9)</f>
        <v>17.888200000000001</v>
      </c>
      <c r="AF62" s="276">
        <f>+AF9*(1+'Conversion Factors'!$F9)</f>
        <v>0</v>
      </c>
      <c r="AG62" s="277">
        <f t="shared" si="39"/>
        <v>20.68</v>
      </c>
      <c r="AH62" s="718">
        <f t="shared" si="27"/>
        <v>47.712596316488344</v>
      </c>
      <c r="AJ62" s="748">
        <v>1998</v>
      </c>
      <c r="AK62" s="276">
        <f>+AK9*(1+'Conversion Factors'!$G9)</f>
        <v>33.134409128114569</v>
      </c>
      <c r="AL62" s="276">
        <f>+AL9*(1+'Conversion Factors'!$G9)</f>
        <v>0.94551028000000004</v>
      </c>
      <c r="AM62" s="738">
        <f>+AM9*(1+'Conversion Factors'!$G9)</f>
        <v>3.4794100000000001E-2</v>
      </c>
      <c r="AN62" s="276">
        <f>+AN9*(1+'Conversion Factors'!$G9)</f>
        <v>0</v>
      </c>
      <c r="AO62" s="276">
        <f>+AO9*(1+'Conversion Factors'!$G9)</f>
        <v>0</v>
      </c>
      <c r="AP62" s="738">
        <f>+AP9*(1+'Conversion Factors'!$G9)</f>
        <v>0</v>
      </c>
      <c r="AQ62" s="276">
        <f>+AQ9*(1+'Conversion Factors'!$G9)</f>
        <v>0</v>
      </c>
      <c r="AR62" s="276">
        <f>+AR9*(1+'Conversion Factors'!$G9)</f>
        <v>0</v>
      </c>
      <c r="AS62" s="738">
        <f>+AS9*(1+'Conversion Factors'!$G9)</f>
        <v>0</v>
      </c>
      <c r="AT62" s="276">
        <f>+AT9*(1+'Conversion Factors'!$G9)</f>
        <v>0</v>
      </c>
      <c r="AU62" s="276">
        <f>+AU9*(1+'Conversion Factors'!$G9)</f>
        <v>0</v>
      </c>
      <c r="AV62" s="276">
        <f>+AV9*(1+'Conversion Factors'!$G9)</f>
        <v>0</v>
      </c>
      <c r="AW62" s="276">
        <f>+AW9*(1+'Conversion Factors'!$G9)</f>
        <v>0</v>
      </c>
      <c r="AX62" s="738">
        <f>+AX9*(1+'Conversion Factors'!$G9)</f>
        <v>4.4551201332271901</v>
      </c>
      <c r="AY62" s="276">
        <f>+AY9*(1+'Conversion Factors'!$G9)</f>
        <v>0</v>
      </c>
      <c r="AZ62" s="276">
        <f>+AZ9*(1+'Conversion Factors'!$G9)</f>
        <v>0</v>
      </c>
      <c r="BA62" s="276">
        <f>+BA9*(1+'Conversion Factors'!$G9)</f>
        <v>0.15510000000000002</v>
      </c>
      <c r="BB62" s="276">
        <f>+BB9*(1+'Conversion Factors'!$G9)</f>
        <v>0</v>
      </c>
      <c r="BC62" s="738">
        <f>+BC9*(1+'Conversion Factors'!$G9)</f>
        <v>0</v>
      </c>
      <c r="BD62" s="276">
        <f>+BD9*(1+'Conversion Factors'!$G9)</f>
        <v>0</v>
      </c>
      <c r="BE62" s="738">
        <f>+BE9*(1+'Conversion Factors'!$G9)</f>
        <v>0</v>
      </c>
      <c r="BF62" s="276">
        <f>+BF9*(1+'Conversion Factors'!$G9)</f>
        <v>0</v>
      </c>
      <c r="BG62" s="738">
        <f>+BG9*(1+'Conversion Factors'!$G9)</f>
        <v>0</v>
      </c>
      <c r="BH62" s="738">
        <f>+BH9*(1+'Conversion Factors'!$G9)</f>
        <v>0</v>
      </c>
      <c r="BI62" s="276">
        <f>+BI9*(1+'Conversion Factors'!$G9)</f>
        <v>0</v>
      </c>
      <c r="BJ62" s="276">
        <f>+BJ9*(1+'Conversion Factors'!$G9)</f>
        <v>0</v>
      </c>
      <c r="BK62" s="277">
        <f t="shared" si="40"/>
        <v>38.724933641341757</v>
      </c>
      <c r="BL62" s="276">
        <f>+BL9*(1+'Conversion Factors'!$G9)</f>
        <v>0</v>
      </c>
      <c r="BM62" s="276">
        <f>+BM9*(1+'Conversion Factors'!$G9)</f>
        <v>2.7918000000000003</v>
      </c>
      <c r="BN62" s="276">
        <f>+BN9*(1+'Conversion Factors'!$G9)</f>
        <v>17.888200000000001</v>
      </c>
      <c r="BO62" s="276">
        <f>+BO9*(1+'Conversion Factors'!$G9)</f>
        <v>0</v>
      </c>
      <c r="BP62" s="1106">
        <f t="shared" si="41"/>
        <v>20.68</v>
      </c>
      <c r="BQ62" s="718">
        <f t="shared" si="32"/>
        <v>59.404933641341756</v>
      </c>
      <c r="BS62" s="994">
        <v>1998</v>
      </c>
      <c r="BT62" s="275">
        <f>+BT9*(1+'Conversion Factors'!$H9)</f>
        <v>19.284888104566825</v>
      </c>
      <c r="BU62" s="276">
        <f>+BU9*(1+'Conversion Factors'!$H9)</f>
        <v>0.22611767099999999</v>
      </c>
      <c r="BV62" s="276">
        <f>+BV9*(1+'Conversion Factors'!$H9)</f>
        <v>0.24726873599999999</v>
      </c>
      <c r="BW62" s="276">
        <f>+BW9*(1+'Conversion Factors'!$H9)</f>
        <v>0</v>
      </c>
      <c r="BX62" s="276">
        <f>+BX9*(1+'Conversion Factors'!$H9)</f>
        <v>0</v>
      </c>
      <c r="BY62" s="276">
        <f>+BY9*(1+'Conversion Factors'!$H9)</f>
        <v>0</v>
      </c>
      <c r="BZ62" s="276">
        <f>+BZ9*(1+'Conversion Factors'!$H9)</f>
        <v>0</v>
      </c>
      <c r="CA62" s="276">
        <f>+CA9*(1+'Conversion Factors'!$H9)</f>
        <v>0</v>
      </c>
      <c r="CB62" s="276">
        <f>+CB9*(1+'Conversion Factors'!$H9)</f>
        <v>0</v>
      </c>
      <c r="CC62" s="276">
        <f>+CC9*(1+'Conversion Factors'!$H9)</f>
        <v>0</v>
      </c>
      <c r="CD62" s="276">
        <f>+CD9*(1+'Conversion Factors'!$H9)</f>
        <v>0</v>
      </c>
      <c r="CE62" s="276">
        <f>+CE9*(1+'Conversion Factors'!$H9)</f>
        <v>0</v>
      </c>
      <c r="CF62" s="276">
        <f>+CF9*(1+'Conversion Factors'!$H9)</f>
        <v>0</v>
      </c>
      <c r="CG62" s="276">
        <f>+CG9*(1+'Conversion Factors'!$H9)</f>
        <v>54.622531367715503</v>
      </c>
      <c r="CH62" s="276">
        <f>+CH9*(1+'Conversion Factors'!$H9)</f>
        <v>0</v>
      </c>
      <c r="CI62" s="276">
        <f>+CI9*(1+'Conversion Factors'!$H9)</f>
        <v>0</v>
      </c>
      <c r="CJ62" s="276">
        <f>+CJ9*(1+'Conversion Factors'!$H9)</f>
        <v>1.3535639194999998</v>
      </c>
      <c r="CK62" s="276">
        <f>+CK9*(1+'Conversion Factors'!$H9)</f>
        <v>0</v>
      </c>
      <c r="CL62" s="276">
        <f>+CL9*(1+'Conversion Factors'!$H9)</f>
        <v>16.431999999999999</v>
      </c>
      <c r="CM62" s="276">
        <f>+CM9*(1+'Conversion Factors'!$H9)</f>
        <v>0</v>
      </c>
      <c r="CN62" s="276">
        <f>+CN9*(1+'Conversion Factors'!$H9)</f>
        <v>0</v>
      </c>
      <c r="CO62" s="276">
        <f>+CO9*(1+'Conversion Factors'!$H9)</f>
        <v>0</v>
      </c>
      <c r="CP62" s="276">
        <f>+CP9*(1+'Conversion Factors'!$H9)</f>
        <v>0</v>
      </c>
      <c r="CQ62" s="276">
        <f>+CQ9*(1+'Conversion Factors'!$H9)</f>
        <v>0</v>
      </c>
      <c r="CR62" s="276">
        <f>+CR9*(1+'Conversion Factors'!$H9)</f>
        <v>0</v>
      </c>
      <c r="CS62" s="996">
        <f>+CS9*(1+'Conversion Factors'!$H9)</f>
        <v>0</v>
      </c>
      <c r="CT62" s="277">
        <f t="shared" si="42"/>
        <v>75.734369798782325</v>
      </c>
      <c r="CU62" s="276">
        <f>+CU9*(1+'Conversion Factors'!$H9)</f>
        <v>0</v>
      </c>
      <c r="CV62" s="276">
        <f>+CV9*(1+'Conversion Factors'!$H9)</f>
        <v>0</v>
      </c>
      <c r="CW62" s="276">
        <f>+CW9*(1+'Conversion Factors'!$H9)</f>
        <v>1.7767099999999998</v>
      </c>
      <c r="CX62" s="276">
        <f>+CX9*(1+'Conversion Factors'!$H9)</f>
        <v>0</v>
      </c>
      <c r="CY62" s="1106">
        <f t="shared" si="43"/>
        <v>1.7767099999999998</v>
      </c>
      <c r="CZ62" s="718">
        <f t="shared" si="37"/>
        <v>77.511079798782319</v>
      </c>
      <c r="DA62" s="162">
        <f t="shared" si="38"/>
        <v>77.511079798782319</v>
      </c>
      <c r="DB62" s="162">
        <f t="shared" si="44"/>
        <v>0</v>
      </c>
    </row>
    <row r="63" spans="1:106" x14ac:dyDescent="0.2">
      <c r="A63" s="269">
        <v>1999</v>
      </c>
      <c r="B63" s="275">
        <f>+B10*(1+'Conversion Factors'!$F10)</f>
        <v>13.353497595608593</v>
      </c>
      <c r="C63" s="276">
        <f>+C10*(1+'Conversion Factors'!$F10)</f>
        <v>0.40799572000000006</v>
      </c>
      <c r="D63" s="738">
        <f>+D10*(1+'Conversion Factors'!$F10)</f>
        <v>8.2358100000000004E-2</v>
      </c>
      <c r="E63" s="276">
        <f>+E10*(1+'Conversion Factors'!$F10)</f>
        <v>0</v>
      </c>
      <c r="F63" s="276">
        <f>+F10*(1+'Conversion Factors'!$F10)</f>
        <v>0</v>
      </c>
      <c r="G63" s="738">
        <f>+G10*(1+'Conversion Factors'!$F10)</f>
        <v>0</v>
      </c>
      <c r="H63" s="276">
        <f>+H10*(1+'Conversion Factors'!$F10)</f>
        <v>0</v>
      </c>
      <c r="I63" s="276">
        <f>+I10*(1+'Conversion Factors'!$F10)</f>
        <v>0</v>
      </c>
      <c r="J63" s="738">
        <f>+J10*(1+'Conversion Factors'!$F10)</f>
        <v>0</v>
      </c>
      <c r="K63" s="276">
        <f>+K10*(1+'Conversion Factors'!$F10)</f>
        <v>0</v>
      </c>
      <c r="L63" s="276">
        <f>+L10*(1+'Conversion Factors'!$F10)</f>
        <v>0</v>
      </c>
      <c r="M63" s="276">
        <f>+M10*(1+'Conversion Factors'!$F10)</f>
        <v>0</v>
      </c>
      <c r="N63" s="276">
        <f>+N10*(1+'Conversion Factors'!$F10)</f>
        <v>0</v>
      </c>
      <c r="O63" s="738">
        <f>+O10*(1+'Conversion Factors'!$F10)</f>
        <v>16.038014620879753</v>
      </c>
      <c r="P63" s="276">
        <f>+P10*(1+'Conversion Factors'!$F10)</f>
        <v>0</v>
      </c>
      <c r="Q63" s="276">
        <f>+Q10*(1+'Conversion Factors'!$F10)</f>
        <v>0</v>
      </c>
      <c r="R63" s="276">
        <f>+R10*(1+'Conversion Factors'!$F10)</f>
        <v>0.71488691999999998</v>
      </c>
      <c r="S63" s="276">
        <f>+S10*(1+'Conversion Factors'!$F10)</f>
        <v>0</v>
      </c>
      <c r="T63" s="738">
        <f>+T10*(1+'Conversion Factors'!$F10)</f>
        <v>0</v>
      </c>
      <c r="U63" s="276">
        <f>+U10*(1+'Conversion Factors'!$F10)</f>
        <v>0</v>
      </c>
      <c r="V63" s="738">
        <f>+V10*(1+'Conversion Factors'!$F10)</f>
        <v>0</v>
      </c>
      <c r="W63" s="276">
        <f>+W10*(1+'Conversion Factors'!$F10)</f>
        <v>0</v>
      </c>
      <c r="X63" s="738">
        <f>+X10*(1+'Conversion Factors'!$F10)</f>
        <v>0</v>
      </c>
      <c r="Y63" s="738">
        <f>+Y10*(1+'Conversion Factors'!$F10)</f>
        <v>0</v>
      </c>
      <c r="Z63" s="738">
        <f>+Z10*(1+'Conversion Factors'!$F10)</f>
        <v>0</v>
      </c>
      <c r="AA63" s="738">
        <f>+AA10*(1+'Conversion Factors'!$F10)</f>
        <v>0</v>
      </c>
      <c r="AB63" s="277">
        <f t="shared" si="25"/>
        <v>30.596752956488348</v>
      </c>
      <c r="AC63" s="276">
        <f>+AC10*(1+'Conversion Factors'!$F10)</f>
        <v>0.20680000000000001</v>
      </c>
      <c r="AD63" s="276">
        <f>+AD10*(1+'Conversion Factors'!$F10)</f>
        <v>0.20680000000000001</v>
      </c>
      <c r="AE63" s="276">
        <f>+AE10*(1+'Conversion Factors'!$F10)</f>
        <v>18.508599999999998</v>
      </c>
      <c r="AF63" s="276">
        <f>+AF10*(1+'Conversion Factors'!$F10)</f>
        <v>0</v>
      </c>
      <c r="AG63" s="277">
        <f t="shared" si="39"/>
        <v>18.922199999999997</v>
      </c>
      <c r="AH63" s="718">
        <f t="shared" si="27"/>
        <v>49.518952956488349</v>
      </c>
      <c r="AJ63" s="748">
        <v>1999</v>
      </c>
      <c r="AK63" s="276">
        <f>+AK10*(1+'Conversion Factors'!$G10)</f>
        <v>33.150477488114568</v>
      </c>
      <c r="AL63" s="276">
        <f>+AL10*(1+'Conversion Factors'!$G10)</f>
        <v>0.94551028000000004</v>
      </c>
      <c r="AM63" s="738">
        <f>+AM10*(1+'Conversion Factors'!$G10)</f>
        <v>6.2453599999999998E-2</v>
      </c>
      <c r="AN63" s="276">
        <f>+AN10*(1+'Conversion Factors'!$G10)</f>
        <v>0</v>
      </c>
      <c r="AO63" s="276">
        <f>+AO10*(1+'Conversion Factors'!$G10)</f>
        <v>0</v>
      </c>
      <c r="AP63" s="738">
        <f>+AP10*(1+'Conversion Factors'!$G10)</f>
        <v>0</v>
      </c>
      <c r="AQ63" s="276">
        <f>+AQ10*(1+'Conversion Factors'!$G10)</f>
        <v>0</v>
      </c>
      <c r="AR63" s="276">
        <f>+AR10*(1+'Conversion Factors'!$G10)</f>
        <v>0</v>
      </c>
      <c r="AS63" s="738">
        <f>+AS10*(1+'Conversion Factors'!$G10)</f>
        <v>0</v>
      </c>
      <c r="AT63" s="276">
        <f>+AT10*(1+'Conversion Factors'!$G10)</f>
        <v>0</v>
      </c>
      <c r="AU63" s="276">
        <f>+AU10*(1+'Conversion Factors'!$G10)</f>
        <v>0</v>
      </c>
      <c r="AV63" s="276">
        <f>+AV10*(1+'Conversion Factors'!$G10)</f>
        <v>0</v>
      </c>
      <c r="AW63" s="276">
        <f>+AW10*(1+'Conversion Factors'!$G10)</f>
        <v>0</v>
      </c>
      <c r="AX63" s="738">
        <f>+AX10*(1+'Conversion Factors'!$G10)</f>
        <v>5.9566949332271903</v>
      </c>
      <c r="AY63" s="276">
        <f>+AY10*(1+'Conversion Factors'!$G10)</f>
        <v>0</v>
      </c>
      <c r="AZ63" s="276">
        <f>+AZ10*(1+'Conversion Factors'!$G10)</f>
        <v>0</v>
      </c>
      <c r="BA63" s="276">
        <f>+BA10*(1+'Conversion Factors'!$G10)</f>
        <v>0.15510000000000002</v>
      </c>
      <c r="BB63" s="276">
        <f>+BB10*(1+'Conversion Factors'!$G10)</f>
        <v>0</v>
      </c>
      <c r="BC63" s="738">
        <f>+BC10*(1+'Conversion Factors'!$G10)</f>
        <v>0</v>
      </c>
      <c r="BD63" s="276">
        <f>+BD10*(1+'Conversion Factors'!$G10)</f>
        <v>0</v>
      </c>
      <c r="BE63" s="738">
        <f>+BE10*(1+'Conversion Factors'!$G10)</f>
        <v>0</v>
      </c>
      <c r="BF63" s="276">
        <f>+BF10*(1+'Conversion Factors'!$G10)</f>
        <v>0</v>
      </c>
      <c r="BG63" s="738">
        <f>+BG10*(1+'Conversion Factors'!$G10)</f>
        <v>0</v>
      </c>
      <c r="BH63" s="738">
        <f>+BH10*(1+'Conversion Factors'!$G10)</f>
        <v>0</v>
      </c>
      <c r="BI63" s="276">
        <f>+BI10*(1+'Conversion Factors'!$G10)</f>
        <v>0</v>
      </c>
      <c r="BJ63" s="276">
        <f>+BJ10*(1+'Conversion Factors'!$G10)</f>
        <v>0</v>
      </c>
      <c r="BK63" s="277">
        <f t="shared" si="40"/>
        <v>40.270236301341754</v>
      </c>
      <c r="BL63" s="276">
        <f>+BL10*(1+'Conversion Factors'!$G10)</f>
        <v>0</v>
      </c>
      <c r="BM63" s="276">
        <f>+BM10*(1+'Conversion Factors'!$G10)</f>
        <v>0.22727320000000004</v>
      </c>
      <c r="BN63" s="276">
        <f>+BN10*(1+'Conversion Factors'!$G10)</f>
        <v>18.198400000000003</v>
      </c>
      <c r="BO63" s="276">
        <f>+BO10*(1+'Conversion Factors'!$G10)</f>
        <v>0</v>
      </c>
      <c r="BP63" s="1106">
        <f t="shared" si="41"/>
        <v>18.425673200000002</v>
      </c>
      <c r="BQ63" s="718">
        <f t="shared" si="32"/>
        <v>58.69590950134176</v>
      </c>
      <c r="BS63" s="994">
        <v>1999</v>
      </c>
      <c r="BT63" s="275">
        <f>+BT10*(1+'Conversion Factors'!$H10)</f>
        <v>19.405709519566827</v>
      </c>
      <c r="BU63" s="276">
        <f>+BU10*(1+'Conversion Factors'!$H10)</f>
        <v>0.22611767099999999</v>
      </c>
      <c r="BV63" s="276">
        <f>+BV10*(1+'Conversion Factors'!$H10)</f>
        <v>0.34901567999999999</v>
      </c>
      <c r="BW63" s="276">
        <f>+BW10*(1+'Conversion Factors'!$H10)</f>
        <v>0</v>
      </c>
      <c r="BX63" s="276">
        <f>+BX10*(1+'Conversion Factors'!$H10)</f>
        <v>0</v>
      </c>
      <c r="BY63" s="276">
        <f>+BY10*(1+'Conversion Factors'!$H10)</f>
        <v>0</v>
      </c>
      <c r="BZ63" s="276">
        <f>+BZ10*(1+'Conversion Factors'!$H10)</f>
        <v>0</v>
      </c>
      <c r="CA63" s="276">
        <f>+CA10*(1+'Conversion Factors'!$H10)</f>
        <v>0</v>
      </c>
      <c r="CB63" s="276">
        <f>+CB10*(1+'Conversion Factors'!$H10)</f>
        <v>0</v>
      </c>
      <c r="CC63" s="276">
        <f>+CC10*(1+'Conversion Factors'!$H10)</f>
        <v>0</v>
      </c>
      <c r="CD63" s="276">
        <f>+CD10*(1+'Conversion Factors'!$H10)</f>
        <v>0</v>
      </c>
      <c r="CE63" s="276">
        <f>+CE10*(1+'Conversion Factors'!$H10)</f>
        <v>0</v>
      </c>
      <c r="CF63" s="276">
        <f>+CF10*(1+'Conversion Factors'!$H10)</f>
        <v>0</v>
      </c>
      <c r="CG63" s="276">
        <f>+CG10*(1+'Conversion Factors'!$H10)</f>
        <v>70.966694111715512</v>
      </c>
      <c r="CH63" s="276">
        <f>+CH10*(1+'Conversion Factors'!$H10)</f>
        <v>0</v>
      </c>
      <c r="CI63" s="276">
        <f>+CI10*(1+'Conversion Factors'!$H10)</f>
        <v>0</v>
      </c>
      <c r="CJ63" s="276">
        <f>+CJ10*(1+'Conversion Factors'!$H10)</f>
        <v>1.3535639194999998</v>
      </c>
      <c r="CK63" s="276">
        <f>+CK10*(1+'Conversion Factors'!$H10)</f>
        <v>0</v>
      </c>
      <c r="CL63" s="276">
        <f>+CL10*(1+'Conversion Factors'!$H10)</f>
        <v>16.431999999999999</v>
      </c>
      <c r="CM63" s="276">
        <f>+CM10*(1+'Conversion Factors'!$H10)</f>
        <v>0</v>
      </c>
      <c r="CN63" s="276">
        <f>+CN10*(1+'Conversion Factors'!$H10)</f>
        <v>0</v>
      </c>
      <c r="CO63" s="276">
        <f>+CO10*(1+'Conversion Factors'!$H10)</f>
        <v>0</v>
      </c>
      <c r="CP63" s="276">
        <f>+CP10*(1+'Conversion Factors'!$H10)</f>
        <v>0</v>
      </c>
      <c r="CQ63" s="276">
        <f>+CQ10*(1+'Conversion Factors'!$H10)</f>
        <v>0</v>
      </c>
      <c r="CR63" s="276">
        <f>+CR10*(1+'Conversion Factors'!$H10)</f>
        <v>0</v>
      </c>
      <c r="CS63" s="996">
        <f>+CS10*(1+'Conversion Factors'!$H10)</f>
        <v>0</v>
      </c>
      <c r="CT63" s="277">
        <f t="shared" si="42"/>
        <v>92.301100901782348</v>
      </c>
      <c r="CU63" s="276">
        <f>+CU10*(1+'Conversion Factors'!$H10)</f>
        <v>0</v>
      </c>
      <c r="CV63" s="276">
        <f>+CV10*(1+'Conversion Factors'!$H10)</f>
        <v>0</v>
      </c>
      <c r="CW63" s="276">
        <f>+CW10*(1+'Conversion Factors'!$H10)</f>
        <v>1.8254924999999997</v>
      </c>
      <c r="CX63" s="276">
        <f>+CX10*(1+'Conversion Factors'!$H10)</f>
        <v>0</v>
      </c>
      <c r="CY63" s="1106">
        <f t="shared" si="43"/>
        <v>1.8254924999999997</v>
      </c>
      <c r="CZ63" s="718">
        <f t="shared" si="37"/>
        <v>94.126593401782344</v>
      </c>
      <c r="DA63" s="162">
        <f t="shared" si="38"/>
        <v>94.126593401782344</v>
      </c>
      <c r="DB63" s="162">
        <f t="shared" si="44"/>
        <v>0</v>
      </c>
    </row>
    <row r="64" spans="1:106" x14ac:dyDescent="0.2">
      <c r="A64" s="269">
        <v>2000</v>
      </c>
      <c r="B64" s="275">
        <f>+B11*(1+'Conversion Factors'!$F11)</f>
        <v>13.789798635322194</v>
      </c>
      <c r="C64" s="276">
        <f>+C11*(1+'Conversion Factors'!$F11)</f>
        <v>0.42022770000000004</v>
      </c>
      <c r="D64" s="738">
        <f>+D11*(1+'Conversion Factors'!$F11)</f>
        <v>8.4827249999999993E-2</v>
      </c>
      <c r="E64" s="276">
        <f>+E11*(1+'Conversion Factors'!$F11)</f>
        <v>1.2566999999999999E-3</v>
      </c>
      <c r="F64" s="276">
        <f>+F11*(1+'Conversion Factors'!$F11)</f>
        <v>0</v>
      </c>
      <c r="G64" s="738">
        <f>+G11*(1+'Conversion Factors'!$F11)</f>
        <v>0</v>
      </c>
      <c r="H64" s="276">
        <f>+H11*(1+'Conversion Factors'!$F11)</f>
        <v>0</v>
      </c>
      <c r="I64" s="276">
        <f>+I11*(1+'Conversion Factors'!$F11)</f>
        <v>0</v>
      </c>
      <c r="J64" s="738">
        <f>+J11*(1+'Conversion Factors'!$F11)</f>
        <v>0</v>
      </c>
      <c r="K64" s="276">
        <f>+K11*(1+'Conversion Factors'!$F11)</f>
        <v>0</v>
      </c>
      <c r="L64" s="276">
        <f>+L11*(1+'Conversion Factors'!$F11)</f>
        <v>0</v>
      </c>
      <c r="M64" s="276">
        <f>+M11*(1+'Conversion Factors'!$F11)</f>
        <v>0</v>
      </c>
      <c r="N64" s="276">
        <f>+N11*(1+'Conversion Factors'!$F11)</f>
        <v>0</v>
      </c>
      <c r="O64" s="738">
        <f>+O11*(1+'Conversion Factors'!$F11)</f>
        <v>22.27812406384869</v>
      </c>
      <c r="P64" s="276">
        <f>+P11*(1+'Conversion Factors'!$F11)</f>
        <v>0</v>
      </c>
      <c r="Q64" s="276">
        <f>+Q11*(1+'Conversion Factors'!$F11)</f>
        <v>0</v>
      </c>
      <c r="R64" s="276">
        <f>+R11*(1+'Conversion Factors'!$F11)</f>
        <v>1.0981534500000001</v>
      </c>
      <c r="S64" s="276">
        <f>+S11*(1+'Conversion Factors'!$F11)</f>
        <v>0</v>
      </c>
      <c r="T64" s="738">
        <f>+T11*(1+'Conversion Factors'!$F11)</f>
        <v>0</v>
      </c>
      <c r="U64" s="276">
        <f>+U11*(1+'Conversion Factors'!$F11)</f>
        <v>0</v>
      </c>
      <c r="V64" s="738">
        <f>+V11*(1+'Conversion Factors'!$F11)</f>
        <v>0</v>
      </c>
      <c r="W64" s="276">
        <f>+W11*(1+'Conversion Factors'!$F11)</f>
        <v>0</v>
      </c>
      <c r="X64" s="738">
        <f>+X11*(1+'Conversion Factors'!$F11)</f>
        <v>0</v>
      </c>
      <c r="Y64" s="738">
        <f>+Y11*(1+'Conversion Factors'!$F11)</f>
        <v>0</v>
      </c>
      <c r="Z64" s="738">
        <f>+Z11*(1+'Conversion Factors'!$F11)</f>
        <v>0</v>
      </c>
      <c r="AA64" s="738">
        <f>+AA11*(1+'Conversion Factors'!$F11)</f>
        <v>0</v>
      </c>
      <c r="AB64" s="277">
        <f t="shared" si="25"/>
        <v>37.672387799170885</v>
      </c>
      <c r="AC64" s="276">
        <f>+AC11*(1+'Conversion Factors'!$F11)</f>
        <v>0.1065</v>
      </c>
      <c r="AD64" s="276">
        <f>+AD11*(1+'Conversion Factors'!$F11)</f>
        <v>0.21299999999999999</v>
      </c>
      <c r="AE64" s="276">
        <f>+AE11*(1+'Conversion Factors'!$F11)</f>
        <v>20.447999999999997</v>
      </c>
      <c r="AF64" s="276">
        <f>+AF11*(1+'Conversion Factors'!$F11)</f>
        <v>0</v>
      </c>
      <c r="AG64" s="277">
        <f t="shared" si="39"/>
        <v>20.767499999999998</v>
      </c>
      <c r="AH64" s="718">
        <f t="shared" si="27"/>
        <v>58.439887799170883</v>
      </c>
      <c r="AJ64" s="748">
        <v>2000</v>
      </c>
      <c r="AK64" s="276">
        <f>+AK11*(1+'Conversion Factors'!$G11)</f>
        <v>34.171891504295949</v>
      </c>
      <c r="AL64" s="276">
        <f>+AL11*(1+'Conversion Factors'!$G11)</f>
        <v>0.97385729999999993</v>
      </c>
      <c r="AM64" s="738">
        <f>+AM11*(1+'Conversion Factors'!$G11)</f>
        <v>6.4325999999999994E-2</v>
      </c>
      <c r="AN64" s="276">
        <f>+AN11*(1+'Conversion Factors'!$G11)</f>
        <v>0</v>
      </c>
      <c r="AO64" s="276">
        <f>+AO11*(1+'Conversion Factors'!$G11)</f>
        <v>0</v>
      </c>
      <c r="AP64" s="738">
        <f>+AP11*(1+'Conversion Factors'!$G11)</f>
        <v>0</v>
      </c>
      <c r="AQ64" s="276">
        <f>+AQ11*(1+'Conversion Factors'!$G11)</f>
        <v>0</v>
      </c>
      <c r="AR64" s="276">
        <f>+AR11*(1+'Conversion Factors'!$G11)</f>
        <v>0</v>
      </c>
      <c r="AS64" s="738">
        <f>+AS11*(1+'Conversion Factors'!$G11)</f>
        <v>0</v>
      </c>
      <c r="AT64" s="276">
        <f>+AT11*(1+'Conversion Factors'!$G11)</f>
        <v>0</v>
      </c>
      <c r="AU64" s="276">
        <f>+AU11*(1+'Conversion Factors'!$G11)</f>
        <v>0</v>
      </c>
      <c r="AV64" s="276">
        <f>+AV11*(1+'Conversion Factors'!$G11)</f>
        <v>0</v>
      </c>
      <c r="AW64" s="276">
        <f>+AW11*(1+'Conversion Factors'!$G11)</f>
        <v>0</v>
      </c>
      <c r="AX64" s="738">
        <f>+AX11*(1+'Conversion Factors'!$G11)</f>
        <v>8.4904234168614927</v>
      </c>
      <c r="AY64" s="276">
        <f>+AY11*(1+'Conversion Factors'!$G11)</f>
        <v>0</v>
      </c>
      <c r="AZ64" s="276">
        <f>+AZ11*(1+'Conversion Factors'!$G11)</f>
        <v>0</v>
      </c>
      <c r="BA64" s="276">
        <f>+BA11*(1+'Conversion Factors'!$G11)</f>
        <v>0.15975</v>
      </c>
      <c r="BB64" s="276">
        <f>+BB11*(1+'Conversion Factors'!$G11)</f>
        <v>0</v>
      </c>
      <c r="BC64" s="738">
        <f>+BC11*(1+'Conversion Factors'!$G11)</f>
        <v>0</v>
      </c>
      <c r="BD64" s="276">
        <f>+BD11*(1+'Conversion Factors'!$G11)</f>
        <v>0</v>
      </c>
      <c r="BE64" s="738">
        <f>+BE11*(1+'Conversion Factors'!$G11)</f>
        <v>0</v>
      </c>
      <c r="BF64" s="276">
        <f>+BF11*(1+'Conversion Factors'!$G11)</f>
        <v>0</v>
      </c>
      <c r="BG64" s="738">
        <f>+BG11*(1+'Conversion Factors'!$G11)</f>
        <v>0</v>
      </c>
      <c r="BH64" s="738">
        <f>+BH11*(1+'Conversion Factors'!$G11)</f>
        <v>0</v>
      </c>
      <c r="BI64" s="276">
        <f>+BI11*(1+'Conversion Factors'!$G11)</f>
        <v>0</v>
      </c>
      <c r="BJ64" s="276">
        <f>+BJ11*(1+'Conversion Factors'!$G11)</f>
        <v>0</v>
      </c>
      <c r="BK64" s="277">
        <f t="shared" si="40"/>
        <v>43.860248221157448</v>
      </c>
      <c r="BL64" s="276">
        <f>+BL11*(1+'Conversion Factors'!$G11)</f>
        <v>0</v>
      </c>
      <c r="BM64" s="276">
        <f>+BM11*(1+'Conversion Factors'!$G11)</f>
        <v>0.18105000000000002</v>
      </c>
      <c r="BN64" s="276">
        <f>+BN11*(1+'Conversion Factors'!$G11)</f>
        <v>19.063499999999998</v>
      </c>
      <c r="BO64" s="276">
        <f>+BO11*(1+'Conversion Factors'!$G11)</f>
        <v>0</v>
      </c>
      <c r="BP64" s="1106">
        <f t="shared" si="41"/>
        <v>19.244549999999997</v>
      </c>
      <c r="BQ64" s="718">
        <f t="shared" si="32"/>
        <v>63.104798221157445</v>
      </c>
      <c r="BS64" s="994">
        <v>2000</v>
      </c>
      <c r="BT64" s="275">
        <f>+BT11*(1+'Conversion Factors'!$H11)</f>
        <v>20.143719271892603</v>
      </c>
      <c r="BU64" s="276">
        <f>+BU11*(1+'Conversion Factors'!$H11)</f>
        <v>0.23294303400000002</v>
      </c>
      <c r="BV64" s="276">
        <f>+BV11*(1+'Conversion Factors'!$H11)</f>
        <v>0.35955072000000005</v>
      </c>
      <c r="BW64" s="276">
        <f>+BW11*(1+'Conversion Factors'!$H11)</f>
        <v>5.0694069999999997E-3</v>
      </c>
      <c r="BX64" s="276">
        <f>+BX11*(1+'Conversion Factors'!$H11)</f>
        <v>0</v>
      </c>
      <c r="BY64" s="276">
        <f>+BY11*(1+'Conversion Factors'!$H11)</f>
        <v>0</v>
      </c>
      <c r="BZ64" s="276">
        <f>+BZ11*(1+'Conversion Factors'!$H11)</f>
        <v>0</v>
      </c>
      <c r="CA64" s="276">
        <f>+CA11*(1+'Conversion Factors'!$H11)</f>
        <v>0</v>
      </c>
      <c r="CB64" s="276">
        <f>+CB11*(1+'Conversion Factors'!$H11)</f>
        <v>0</v>
      </c>
      <c r="CC64" s="276">
        <f>+CC11*(1+'Conversion Factors'!$H11)</f>
        <v>0</v>
      </c>
      <c r="CD64" s="276">
        <f>+CD11*(1+'Conversion Factors'!$H11)</f>
        <v>0</v>
      </c>
      <c r="CE64" s="276">
        <f>+CE11*(1+'Conversion Factors'!$H11)</f>
        <v>0</v>
      </c>
      <c r="CF64" s="276">
        <f>+CF11*(1+'Conversion Factors'!$H11)</f>
        <v>0</v>
      </c>
      <c r="CG64" s="276">
        <f>+CG11*(1+'Conversion Factors'!$H11)</f>
        <v>92.41026919098249</v>
      </c>
      <c r="CH64" s="276">
        <f>+CH11*(1+'Conversion Factors'!$H11)</f>
        <v>0</v>
      </c>
      <c r="CI64" s="276">
        <f>+CI11*(1+'Conversion Factors'!$H11)</f>
        <v>0</v>
      </c>
      <c r="CJ64" s="276">
        <f>+CJ11*(1+'Conversion Factors'!$H11)</f>
        <v>3.4208932930000002</v>
      </c>
      <c r="CK64" s="276">
        <f>+CK11*(1+'Conversion Factors'!$H11)</f>
        <v>0</v>
      </c>
      <c r="CL64" s="276">
        <f>+CL11*(1+'Conversion Factors'!$H11)</f>
        <v>16.928000000000001</v>
      </c>
      <c r="CM64" s="276">
        <f>+CM11*(1+'Conversion Factors'!$H11)</f>
        <v>0</v>
      </c>
      <c r="CN64" s="276">
        <f>+CN11*(1+'Conversion Factors'!$H11)</f>
        <v>0</v>
      </c>
      <c r="CO64" s="276">
        <f>+CO11*(1+'Conversion Factors'!$H11)</f>
        <v>0</v>
      </c>
      <c r="CP64" s="276">
        <f>+CP11*(1+'Conversion Factors'!$H11)</f>
        <v>0</v>
      </c>
      <c r="CQ64" s="276">
        <f>+CQ11*(1+'Conversion Factors'!$H11)</f>
        <v>0</v>
      </c>
      <c r="CR64" s="276">
        <f>+CR11*(1+'Conversion Factors'!$H11)</f>
        <v>0</v>
      </c>
      <c r="CS64" s="996">
        <f>+CS11*(1+'Conversion Factors'!$H11)</f>
        <v>0</v>
      </c>
      <c r="CT64" s="277">
        <f t="shared" si="42"/>
        <v>116.5724449168751</v>
      </c>
      <c r="CU64" s="276">
        <f>+CU11*(1+'Conversion Factors'!$H11)</f>
        <v>0</v>
      </c>
      <c r="CV64" s="276">
        <f>+CV11*(1+'Conversion Factors'!$H11)</f>
        <v>0</v>
      </c>
      <c r="CW64" s="276">
        <f>+CW11*(1+'Conversion Factors'!$H11)</f>
        <v>1.974051666666667</v>
      </c>
      <c r="CX64" s="276">
        <f>+CX11*(1+'Conversion Factors'!$H11)</f>
        <v>0</v>
      </c>
      <c r="CY64" s="1106">
        <f t="shared" si="43"/>
        <v>1.974051666666667</v>
      </c>
      <c r="CZ64" s="718">
        <f t="shared" si="37"/>
        <v>118.54649658354177</v>
      </c>
      <c r="DA64" s="162">
        <f t="shared" si="38"/>
        <v>118.54649658354177</v>
      </c>
      <c r="DB64" s="162">
        <f t="shared" si="44"/>
        <v>0</v>
      </c>
    </row>
    <row r="65" spans="1:106" x14ac:dyDescent="0.2">
      <c r="A65" s="269">
        <v>2001</v>
      </c>
      <c r="B65" s="275">
        <f>+B12*(1+'Conversion Factors'!$F12)</f>
        <v>13.831887435322194</v>
      </c>
      <c r="C65" s="276">
        <f>+C12*(1+'Conversion Factors'!$F12)</f>
        <v>0.42035550000000005</v>
      </c>
      <c r="D65" s="738">
        <f>+D12*(1+'Conversion Factors'!$F12)</f>
        <v>8.4827249999999993E-2</v>
      </c>
      <c r="E65" s="276">
        <f>+E12*(1+'Conversion Factors'!$F12)</f>
        <v>4.0090403571428568E-2</v>
      </c>
      <c r="F65" s="276">
        <f>+F12*(1+'Conversion Factors'!$F12)</f>
        <v>0</v>
      </c>
      <c r="G65" s="738">
        <f>+G12*(1+'Conversion Factors'!$F12)</f>
        <v>0</v>
      </c>
      <c r="H65" s="276">
        <f>+H12*(1+'Conversion Factors'!$F12)</f>
        <v>0</v>
      </c>
      <c r="I65" s="276">
        <f>+I12*(1+'Conversion Factors'!$F12)</f>
        <v>0</v>
      </c>
      <c r="J65" s="738">
        <f>+J12*(1+'Conversion Factors'!$F12)</f>
        <v>0</v>
      </c>
      <c r="K65" s="276">
        <f>+K12*(1+'Conversion Factors'!$F12)</f>
        <v>0</v>
      </c>
      <c r="L65" s="276">
        <f>+L12*(1+'Conversion Factors'!$F12)</f>
        <v>0</v>
      </c>
      <c r="M65" s="276">
        <f>+M12*(1+'Conversion Factors'!$F12)</f>
        <v>0</v>
      </c>
      <c r="N65" s="276">
        <f>+N12*(1+'Conversion Factors'!$F12)</f>
        <v>0</v>
      </c>
      <c r="O65" s="738">
        <f>+O12*(1+'Conversion Factors'!$F12)</f>
        <v>24.708752263848691</v>
      </c>
      <c r="P65" s="276">
        <f>+P12*(1+'Conversion Factors'!$F12)</f>
        <v>0</v>
      </c>
      <c r="Q65" s="276">
        <f>+Q12*(1+'Conversion Factors'!$F12)</f>
        <v>0</v>
      </c>
      <c r="R65" s="276">
        <f>+R12*(1+'Conversion Factors'!$F12)</f>
        <v>1.5175291500000001</v>
      </c>
      <c r="S65" s="276">
        <f>+S12*(1+'Conversion Factors'!$F12)</f>
        <v>0</v>
      </c>
      <c r="T65" s="738">
        <f>+T12*(1+'Conversion Factors'!$F12)</f>
        <v>0</v>
      </c>
      <c r="U65" s="276">
        <f>+U12*(1+'Conversion Factors'!$F12)</f>
        <v>0</v>
      </c>
      <c r="V65" s="738">
        <f>+V12*(1+'Conversion Factors'!$F12)</f>
        <v>0</v>
      </c>
      <c r="W65" s="276">
        <f>+W12*(1+'Conversion Factors'!$F12)</f>
        <v>0</v>
      </c>
      <c r="X65" s="738">
        <f>+X12*(1+'Conversion Factors'!$F12)</f>
        <v>0</v>
      </c>
      <c r="Y65" s="738">
        <f>+Y12*(1+'Conversion Factors'!$F12)</f>
        <v>0</v>
      </c>
      <c r="Z65" s="738">
        <f>+Z12*(1+'Conversion Factors'!$F12)</f>
        <v>0</v>
      </c>
      <c r="AA65" s="738">
        <f>+AA12*(1+'Conversion Factors'!$F12)</f>
        <v>0</v>
      </c>
      <c r="AB65" s="277">
        <f t="shared" si="25"/>
        <v>40.603442002742312</v>
      </c>
      <c r="AC65" s="276">
        <f>+AC12*(1+'Conversion Factors'!$F12)</f>
        <v>9.0525000000000008E-2</v>
      </c>
      <c r="AD65" s="276">
        <f>+AD12*(1+'Conversion Factors'!$F12)</f>
        <v>0.122475</v>
      </c>
      <c r="AE65" s="276">
        <f>+AE12*(1+'Conversion Factors'!$F12)</f>
        <v>20.3415</v>
      </c>
      <c r="AF65" s="276">
        <f>+AF12*(1+'Conversion Factors'!$F12)</f>
        <v>0</v>
      </c>
      <c r="AG65" s="277">
        <f t="shared" si="39"/>
        <v>20.554500000000001</v>
      </c>
      <c r="AH65" s="718">
        <f t="shared" si="27"/>
        <v>61.157942002742317</v>
      </c>
      <c r="AJ65" s="748">
        <v>2001</v>
      </c>
      <c r="AK65" s="276">
        <f>+AK12*(1+'Conversion Factors'!$G12)</f>
        <v>34.19828220429595</v>
      </c>
      <c r="AL65" s="276">
        <f>+AL12*(1+'Conversion Factors'!$G12)</f>
        <v>0.97385729999999993</v>
      </c>
      <c r="AM65" s="738">
        <f>+AM12*(1+'Conversion Factors'!$G12)</f>
        <v>6.4325999999999994E-2</v>
      </c>
      <c r="AN65" s="276">
        <f>+AN12*(1+'Conversion Factors'!$G12)</f>
        <v>0</v>
      </c>
      <c r="AO65" s="276">
        <f>+AO12*(1+'Conversion Factors'!$G12)</f>
        <v>0</v>
      </c>
      <c r="AP65" s="738">
        <f>+AP12*(1+'Conversion Factors'!$G12)</f>
        <v>0</v>
      </c>
      <c r="AQ65" s="276">
        <f>+AQ12*(1+'Conversion Factors'!$G12)</f>
        <v>0</v>
      </c>
      <c r="AR65" s="276">
        <f>+AR12*(1+'Conversion Factors'!$G12)</f>
        <v>0</v>
      </c>
      <c r="AS65" s="738">
        <f>+AS12*(1+'Conversion Factors'!$G12)</f>
        <v>0</v>
      </c>
      <c r="AT65" s="276">
        <f>+AT12*(1+'Conversion Factors'!$G12)</f>
        <v>0</v>
      </c>
      <c r="AU65" s="276">
        <f>+AU12*(1+'Conversion Factors'!$G12)</f>
        <v>0</v>
      </c>
      <c r="AV65" s="276">
        <f>+AV12*(1+'Conversion Factors'!$G12)</f>
        <v>0</v>
      </c>
      <c r="AW65" s="276">
        <f>+AW12*(1+'Conversion Factors'!$G12)</f>
        <v>0</v>
      </c>
      <c r="AX65" s="738">
        <f>+AX12*(1+'Conversion Factors'!$G12)</f>
        <v>9.2365411168614937</v>
      </c>
      <c r="AY65" s="276">
        <f>+AY12*(1+'Conversion Factors'!$G12)</f>
        <v>0</v>
      </c>
      <c r="AZ65" s="276">
        <f>+AZ12*(1+'Conversion Factors'!$G12)</f>
        <v>0</v>
      </c>
      <c r="BA65" s="276">
        <f>+BA12*(1+'Conversion Factors'!$G12)</f>
        <v>0.25303334999999999</v>
      </c>
      <c r="BB65" s="276">
        <f>+BB12*(1+'Conversion Factors'!$G12)</f>
        <v>0</v>
      </c>
      <c r="BC65" s="738">
        <f>+BC12*(1+'Conversion Factors'!$G12)</f>
        <v>0</v>
      </c>
      <c r="BD65" s="276">
        <f>+BD12*(1+'Conversion Factors'!$G12)</f>
        <v>0</v>
      </c>
      <c r="BE65" s="738">
        <f>+BE12*(1+'Conversion Factors'!$G12)</f>
        <v>0</v>
      </c>
      <c r="BF65" s="276">
        <f>+BF12*(1+'Conversion Factors'!$G12)</f>
        <v>0</v>
      </c>
      <c r="BG65" s="738">
        <f>+BG12*(1+'Conversion Factors'!$G12)</f>
        <v>0</v>
      </c>
      <c r="BH65" s="738">
        <f>+BH12*(1+'Conversion Factors'!$G12)</f>
        <v>0</v>
      </c>
      <c r="BI65" s="276">
        <f>+BI12*(1+'Conversion Factors'!$G12)</f>
        <v>0</v>
      </c>
      <c r="BJ65" s="276">
        <f>+BJ12*(1+'Conversion Factors'!$G12)</f>
        <v>0</v>
      </c>
      <c r="BK65" s="277">
        <f t="shared" si="40"/>
        <v>44.726039971157448</v>
      </c>
      <c r="BL65" s="276">
        <f>+BL12*(1+'Conversion Factors'!$G12)</f>
        <v>0</v>
      </c>
      <c r="BM65" s="276">
        <f>+BM12*(1+'Conversion Factors'!$G12)</f>
        <v>0.18105000000000002</v>
      </c>
      <c r="BN65" s="276">
        <f>+BN12*(1+'Conversion Factors'!$G12)</f>
        <v>20.447999999999997</v>
      </c>
      <c r="BO65" s="276">
        <f>+BO12*(1+'Conversion Factors'!$G12)</f>
        <v>0</v>
      </c>
      <c r="BP65" s="1106">
        <f t="shared" si="41"/>
        <v>20.629049999999996</v>
      </c>
      <c r="BQ65" s="718">
        <f t="shared" si="32"/>
        <v>65.35508997115744</v>
      </c>
      <c r="BS65" s="994">
        <v>2001</v>
      </c>
      <c r="BT65" s="275">
        <f>+BT12*(1+'Conversion Factors'!$H12)</f>
        <v>20.321943603892606</v>
      </c>
      <c r="BU65" s="276">
        <f>+BU12*(1+'Conversion Factors'!$H12)</f>
        <v>0.23348420100000003</v>
      </c>
      <c r="BV65" s="276">
        <f>+BV12*(1+'Conversion Factors'!$H12)</f>
        <v>0.35955072000000005</v>
      </c>
      <c r="BW65" s="276">
        <f>+BW12*(1+'Conversion Factors'!$H12)</f>
        <v>0.1605974701</v>
      </c>
      <c r="BX65" s="276">
        <f>+BX12*(1+'Conversion Factors'!$H12)</f>
        <v>0</v>
      </c>
      <c r="BY65" s="276">
        <f>+BY12*(1+'Conversion Factors'!$H12)</f>
        <v>0</v>
      </c>
      <c r="BZ65" s="276">
        <f>+BZ12*(1+'Conversion Factors'!$H12)</f>
        <v>0</v>
      </c>
      <c r="CA65" s="276">
        <f>+CA12*(1+'Conversion Factors'!$H12)</f>
        <v>0</v>
      </c>
      <c r="CB65" s="276">
        <f>+CB12*(1+'Conversion Factors'!$H12)</f>
        <v>0</v>
      </c>
      <c r="CC65" s="276">
        <f>+CC12*(1+'Conversion Factors'!$H12)</f>
        <v>0</v>
      </c>
      <c r="CD65" s="276">
        <f>+CD12*(1+'Conversion Factors'!$H12)</f>
        <v>0</v>
      </c>
      <c r="CE65" s="276">
        <f>+CE12*(1+'Conversion Factors'!$H12)</f>
        <v>0</v>
      </c>
      <c r="CF65" s="276">
        <f>+CF12*(1+'Conversion Factors'!$H12)</f>
        <v>0</v>
      </c>
      <c r="CG65" s="276">
        <f>+CG12*(1+'Conversion Factors'!$H12)</f>
        <v>98.298741702982497</v>
      </c>
      <c r="CH65" s="276">
        <f>+CH12*(1+'Conversion Factors'!$H12)</f>
        <v>0</v>
      </c>
      <c r="CI65" s="276">
        <f>+CI12*(1+'Conversion Factors'!$H12)</f>
        <v>0</v>
      </c>
      <c r="CJ65" s="276">
        <f>+CJ12*(1+'Conversion Factors'!$H12)</f>
        <v>5.0745345970000004</v>
      </c>
      <c r="CK65" s="276">
        <f>+CK12*(1+'Conversion Factors'!$H12)</f>
        <v>0</v>
      </c>
      <c r="CL65" s="276">
        <f>+CL12*(1+'Conversion Factors'!$H12)</f>
        <v>16.928000000000001</v>
      </c>
      <c r="CM65" s="276">
        <f>+CM12*(1+'Conversion Factors'!$H12)</f>
        <v>0</v>
      </c>
      <c r="CN65" s="276">
        <f>+CN12*(1+'Conversion Factors'!$H12)</f>
        <v>0</v>
      </c>
      <c r="CO65" s="276">
        <f>+CO12*(1+'Conversion Factors'!$H12)</f>
        <v>0</v>
      </c>
      <c r="CP65" s="276">
        <f>+CP12*(1+'Conversion Factors'!$H12)</f>
        <v>0</v>
      </c>
      <c r="CQ65" s="276">
        <f>+CQ12*(1+'Conversion Factors'!$H12)</f>
        <v>0</v>
      </c>
      <c r="CR65" s="276">
        <f>+CR12*(1+'Conversion Factors'!$H12)</f>
        <v>0</v>
      </c>
      <c r="CS65" s="996">
        <f>+CS12*(1+'Conversion Factors'!$H12)</f>
        <v>0</v>
      </c>
      <c r="CT65" s="277">
        <f t="shared" si="42"/>
        <v>124.4488522949751</v>
      </c>
      <c r="CU65" s="276">
        <f>+CU12*(1+'Conversion Factors'!$H12)</f>
        <v>0</v>
      </c>
      <c r="CV65" s="276">
        <f>+CV12*(1+'Conversion Factors'!$H12)</f>
        <v>0</v>
      </c>
      <c r="CW65" s="276">
        <f>+CW12*(1+'Conversion Factors'!$H12)</f>
        <v>2.0251883333333338</v>
      </c>
      <c r="CX65" s="276">
        <f>+CX12*(1+'Conversion Factors'!$H12)</f>
        <v>0</v>
      </c>
      <c r="CY65" s="1106">
        <f t="shared" si="43"/>
        <v>2.0251883333333338</v>
      </c>
      <c r="CZ65" s="718">
        <f t="shared" si="37"/>
        <v>126.47404062830843</v>
      </c>
      <c r="DA65" s="162">
        <f t="shared" si="38"/>
        <v>126.47404062830843</v>
      </c>
      <c r="DB65" s="162">
        <f t="shared" si="44"/>
        <v>0</v>
      </c>
    </row>
    <row r="66" spans="1:106" x14ac:dyDescent="0.2">
      <c r="A66" s="269">
        <v>2002</v>
      </c>
      <c r="B66" s="275">
        <f>+B13*(1+'Conversion Factors'!$F13)</f>
        <v>13.878108435322194</v>
      </c>
      <c r="C66" s="276">
        <f>+C13*(1+'Conversion Factors'!$F13)</f>
        <v>0.42035550000000005</v>
      </c>
      <c r="D66" s="738">
        <f>+D13*(1+'Conversion Factors'!$F13)</f>
        <v>8.4827249999999993E-2</v>
      </c>
      <c r="E66" s="276">
        <f>+E13*(1+'Conversion Factors'!$F13)</f>
        <v>0.12155187988721804</v>
      </c>
      <c r="F66" s="276">
        <f>+F13*(1+'Conversion Factors'!$F13)</f>
        <v>0</v>
      </c>
      <c r="G66" s="738">
        <f>+G13*(1+'Conversion Factors'!$F13)</f>
        <v>0</v>
      </c>
      <c r="H66" s="276">
        <f>+H13*(1+'Conversion Factors'!$F13)</f>
        <v>0</v>
      </c>
      <c r="I66" s="276">
        <f>+I13*(1+'Conversion Factors'!$F13)</f>
        <v>0</v>
      </c>
      <c r="J66" s="738">
        <f>+J13*(1+'Conversion Factors'!$F13)</f>
        <v>0</v>
      </c>
      <c r="K66" s="276">
        <f>+K13*(1+'Conversion Factors'!$F13)</f>
        <v>0</v>
      </c>
      <c r="L66" s="276">
        <f>+L13*(1+'Conversion Factors'!$F13)</f>
        <v>0</v>
      </c>
      <c r="M66" s="276">
        <f>+M13*(1+'Conversion Factors'!$F13)</f>
        <v>0</v>
      </c>
      <c r="N66" s="276">
        <f>+N13*(1+'Conversion Factors'!$F13)</f>
        <v>0</v>
      </c>
      <c r="O66" s="738">
        <f>+O13*(1+'Conversion Factors'!$F13)</f>
        <v>25.881791188848688</v>
      </c>
      <c r="P66" s="276">
        <f>+P13*(1+'Conversion Factors'!$F13)</f>
        <v>0</v>
      </c>
      <c r="Q66" s="276">
        <f>+Q13*(1+'Conversion Factors'!$F13)</f>
        <v>0</v>
      </c>
      <c r="R66" s="276">
        <f>+R13*(1+'Conversion Factors'!$F13)</f>
        <v>2.9494429499999999</v>
      </c>
      <c r="S66" s="276">
        <f>+S13*(1+'Conversion Factors'!$F13)</f>
        <v>0</v>
      </c>
      <c r="T66" s="738">
        <f>+T13*(1+'Conversion Factors'!$F13)</f>
        <v>0</v>
      </c>
      <c r="U66" s="276">
        <f>+U13*(1+'Conversion Factors'!$F13)</f>
        <v>0</v>
      </c>
      <c r="V66" s="738">
        <f>+V13*(1+'Conversion Factors'!$F13)</f>
        <v>0</v>
      </c>
      <c r="W66" s="276">
        <f>+W13*(1+'Conversion Factors'!$F13)</f>
        <v>0</v>
      </c>
      <c r="X66" s="738">
        <f>+X13*(1+'Conversion Factors'!$F13)</f>
        <v>0</v>
      </c>
      <c r="Y66" s="738">
        <f>+Y13*(1+'Conversion Factors'!$F13)</f>
        <v>0</v>
      </c>
      <c r="Z66" s="738">
        <f>+Z13*(1+'Conversion Factors'!$F13)</f>
        <v>0</v>
      </c>
      <c r="AA66" s="738">
        <f>+AA13*(1+'Conversion Factors'!$F13)</f>
        <v>0</v>
      </c>
      <c r="AB66" s="277">
        <f t="shared" si="25"/>
        <v>43.336077204058093</v>
      </c>
      <c r="AC66" s="276">
        <f>+AC13*(1+'Conversion Factors'!$F13)</f>
        <v>0.15974999999999998</v>
      </c>
      <c r="AD66" s="276">
        <f>+AD13*(1+'Conversion Factors'!$F13)</f>
        <v>0.15974999999999998</v>
      </c>
      <c r="AE66" s="276">
        <f>+AE13*(1+'Conversion Factors'!$F13)</f>
        <v>20.128499999999999</v>
      </c>
      <c r="AF66" s="276">
        <f>+AF13*(1+'Conversion Factors'!$F13)</f>
        <v>0</v>
      </c>
      <c r="AG66" s="277">
        <f t="shared" si="39"/>
        <v>20.448</v>
      </c>
      <c r="AH66" s="718">
        <f t="shared" si="27"/>
        <v>63.784077204058093</v>
      </c>
      <c r="AJ66" s="748">
        <v>2002</v>
      </c>
      <c r="AK66" s="276">
        <f>+AK13*(1+'Conversion Factors'!$G13)</f>
        <v>34.235024704295952</v>
      </c>
      <c r="AL66" s="276">
        <f>+AL13*(1+'Conversion Factors'!$G13)</f>
        <v>0.97385729999999993</v>
      </c>
      <c r="AM66" s="738">
        <f>+AM13*(1+'Conversion Factors'!$G13)</f>
        <v>6.4325999999999994E-2</v>
      </c>
      <c r="AN66" s="276">
        <f>+AN13*(1+'Conversion Factors'!$G13)</f>
        <v>0</v>
      </c>
      <c r="AO66" s="276">
        <f>+AO13*(1+'Conversion Factors'!$G13)</f>
        <v>0</v>
      </c>
      <c r="AP66" s="738">
        <f>+AP13*(1+'Conversion Factors'!$G13)</f>
        <v>0</v>
      </c>
      <c r="AQ66" s="276">
        <f>+AQ13*(1+'Conversion Factors'!$G13)</f>
        <v>0</v>
      </c>
      <c r="AR66" s="276">
        <f>+AR13*(1+'Conversion Factors'!$G13)</f>
        <v>0</v>
      </c>
      <c r="AS66" s="738">
        <f>+AS13*(1+'Conversion Factors'!$G13)</f>
        <v>0</v>
      </c>
      <c r="AT66" s="276">
        <f>+AT13*(1+'Conversion Factors'!$G13)</f>
        <v>0</v>
      </c>
      <c r="AU66" s="276">
        <f>+AU13*(1+'Conversion Factors'!$G13)</f>
        <v>0</v>
      </c>
      <c r="AV66" s="276">
        <f>+AV13*(1+'Conversion Factors'!$G13)</f>
        <v>0</v>
      </c>
      <c r="AW66" s="276">
        <f>+AW13*(1+'Conversion Factors'!$G13)</f>
        <v>0</v>
      </c>
      <c r="AX66" s="738">
        <f>+AX13*(1+'Conversion Factors'!$G13)</f>
        <v>9.6695488168614947</v>
      </c>
      <c r="AY66" s="276">
        <f>+AY13*(1+'Conversion Factors'!$G13)</f>
        <v>0</v>
      </c>
      <c r="AZ66" s="276">
        <f>+AZ13*(1+'Conversion Factors'!$G13)</f>
        <v>0</v>
      </c>
      <c r="BA66" s="276">
        <f>+BA13*(1+'Conversion Factors'!$G13)</f>
        <v>1.0912096499999999</v>
      </c>
      <c r="BB66" s="276">
        <f>+BB13*(1+'Conversion Factors'!$G13)</f>
        <v>0</v>
      </c>
      <c r="BC66" s="738">
        <f>+BC13*(1+'Conversion Factors'!$G13)</f>
        <v>0</v>
      </c>
      <c r="BD66" s="276">
        <f>+BD13*(1+'Conversion Factors'!$G13)</f>
        <v>0</v>
      </c>
      <c r="BE66" s="738">
        <f>+BE13*(1+'Conversion Factors'!$G13)</f>
        <v>0</v>
      </c>
      <c r="BF66" s="276">
        <f>+BF13*(1+'Conversion Factors'!$G13)</f>
        <v>0</v>
      </c>
      <c r="BG66" s="738">
        <f>+BG13*(1+'Conversion Factors'!$G13)</f>
        <v>0</v>
      </c>
      <c r="BH66" s="738">
        <f>+BH13*(1+'Conversion Factors'!$G13)</f>
        <v>0</v>
      </c>
      <c r="BI66" s="276">
        <f>+BI13*(1+'Conversion Factors'!$G13)</f>
        <v>0</v>
      </c>
      <c r="BJ66" s="276">
        <f>+BJ13*(1+'Conversion Factors'!$G13)</f>
        <v>0</v>
      </c>
      <c r="BK66" s="277">
        <f t="shared" si="40"/>
        <v>46.033966471157449</v>
      </c>
      <c r="BL66" s="276">
        <f>+BL13*(1+'Conversion Factors'!$G13)</f>
        <v>0</v>
      </c>
      <c r="BM66" s="276">
        <f>+BM13*(1+'Conversion Factors'!$G13)</f>
        <v>0.24068999999999999</v>
      </c>
      <c r="BN66" s="276">
        <f>+BN13*(1+'Conversion Factors'!$G13)</f>
        <v>21.512999999999998</v>
      </c>
      <c r="BO66" s="276">
        <f>+BO13*(1+'Conversion Factors'!$G13)</f>
        <v>0</v>
      </c>
      <c r="BP66" s="1106">
        <f t="shared" si="41"/>
        <v>21.753689999999999</v>
      </c>
      <c r="BQ66" s="718">
        <f t="shared" si="32"/>
        <v>67.787656471157447</v>
      </c>
      <c r="BS66" s="994">
        <v>2002</v>
      </c>
      <c r="BT66" s="275">
        <f>+BT13*(1+'Conversion Factors'!$H13)</f>
        <v>20.517665668892604</v>
      </c>
      <c r="BU66" s="276">
        <f>+BU13*(1+'Conversion Factors'!$H13)</f>
        <v>0.23348420100000003</v>
      </c>
      <c r="BV66" s="276">
        <f>+BV13*(1+'Conversion Factors'!$H13)</f>
        <v>0.35955072000000005</v>
      </c>
      <c r="BW66" s="276">
        <f>+BW13*(1+'Conversion Factors'!$H13)</f>
        <v>0.48807334238070182</v>
      </c>
      <c r="BX66" s="276">
        <f>+BX13*(1+'Conversion Factors'!$H13)</f>
        <v>0</v>
      </c>
      <c r="BY66" s="276">
        <f>+BY13*(1+'Conversion Factors'!$H13)</f>
        <v>0</v>
      </c>
      <c r="BZ66" s="276">
        <f>+BZ13*(1+'Conversion Factors'!$H13)</f>
        <v>0</v>
      </c>
      <c r="CA66" s="276">
        <f>+CA13*(1+'Conversion Factors'!$H13)</f>
        <v>0</v>
      </c>
      <c r="CB66" s="276">
        <f>+CB13*(1+'Conversion Factors'!$H13)</f>
        <v>0</v>
      </c>
      <c r="CC66" s="276">
        <f>+CC13*(1+'Conversion Factors'!$H13)</f>
        <v>0</v>
      </c>
      <c r="CD66" s="276">
        <f>+CD13*(1+'Conversion Factors'!$H13)</f>
        <v>0</v>
      </c>
      <c r="CE66" s="276">
        <f>+CE13*(1+'Conversion Factors'!$H13)</f>
        <v>0</v>
      </c>
      <c r="CF66" s="276">
        <f>+CF13*(1+'Conversion Factors'!$H13)</f>
        <v>0</v>
      </c>
      <c r="CG66" s="276">
        <f>+CG13*(1+'Conversion Factors'!$H13)</f>
        <v>106.81486777598249</v>
      </c>
      <c r="CH66" s="276">
        <f>+CH13*(1+'Conversion Factors'!$H13)</f>
        <v>0</v>
      </c>
      <c r="CI66" s="276">
        <f>+CI13*(1+'Conversion Factors'!$H13)</f>
        <v>0</v>
      </c>
      <c r="CJ66" s="276">
        <f>+CJ13*(1+'Conversion Factors'!$H13)</f>
        <v>11.726392197000001</v>
      </c>
      <c r="CK66" s="276">
        <f>+CK13*(1+'Conversion Factors'!$H13)</f>
        <v>0</v>
      </c>
      <c r="CL66" s="276">
        <f>+CL13*(1+'Conversion Factors'!$H13)</f>
        <v>16.928000000000001</v>
      </c>
      <c r="CM66" s="276">
        <f>+CM13*(1+'Conversion Factors'!$H13)</f>
        <v>0</v>
      </c>
      <c r="CN66" s="276">
        <f>+CN13*(1+'Conversion Factors'!$H13)</f>
        <v>0</v>
      </c>
      <c r="CO66" s="276">
        <f>+CO13*(1+'Conversion Factors'!$H13)</f>
        <v>0</v>
      </c>
      <c r="CP66" s="276">
        <f>+CP13*(1+'Conversion Factors'!$H13)</f>
        <v>0</v>
      </c>
      <c r="CQ66" s="276">
        <f>+CQ13*(1+'Conversion Factors'!$H13)</f>
        <v>0</v>
      </c>
      <c r="CR66" s="276">
        <f>+CR13*(1+'Conversion Factors'!$H13)</f>
        <v>0</v>
      </c>
      <c r="CS66" s="996">
        <f>+CS13*(1+'Conversion Factors'!$H13)</f>
        <v>0</v>
      </c>
      <c r="CT66" s="277">
        <f t="shared" si="42"/>
        <v>140.14003390525579</v>
      </c>
      <c r="CU66" s="276">
        <f>+CU13*(1+'Conversion Factors'!$H13)</f>
        <v>0</v>
      </c>
      <c r="CV66" s="276">
        <f>+CV13*(1+'Conversion Factors'!$H13)</f>
        <v>0</v>
      </c>
      <c r="CW66" s="276">
        <f>+CW13*(1+'Conversion Factors'!$H13)</f>
        <v>2.0569283333333335</v>
      </c>
      <c r="CX66" s="276">
        <f>+CX13*(1+'Conversion Factors'!$H13)</f>
        <v>0</v>
      </c>
      <c r="CY66" s="1106">
        <f t="shared" si="43"/>
        <v>2.0569283333333335</v>
      </c>
      <c r="CZ66" s="718">
        <f t="shared" si="37"/>
        <v>142.19696223858912</v>
      </c>
      <c r="DA66" s="162">
        <f t="shared" si="38"/>
        <v>142.19696223858912</v>
      </c>
      <c r="DB66" s="162">
        <f t="shared" si="44"/>
        <v>0</v>
      </c>
    </row>
    <row r="67" spans="1:106" x14ac:dyDescent="0.2">
      <c r="A67" s="269">
        <v>2003</v>
      </c>
      <c r="B67" s="275">
        <f>+B14*(1+'Conversion Factors'!$F14)</f>
        <v>13.919813835322195</v>
      </c>
      <c r="C67" s="276">
        <f>+C14*(1+'Conversion Factors'!$F14)</f>
        <v>0.42035550000000005</v>
      </c>
      <c r="D67" s="738">
        <f>+D14*(1+'Conversion Factors'!$F14)</f>
        <v>8.4827249999999993E-2</v>
      </c>
      <c r="E67" s="276">
        <f>+E14*(1+'Conversion Factors'!$F14)</f>
        <v>0.30642661044277358</v>
      </c>
      <c r="F67" s="276">
        <f>+F14*(1+'Conversion Factors'!$F14)</f>
        <v>0</v>
      </c>
      <c r="G67" s="738">
        <f>+G14*(1+'Conversion Factors'!$F14)</f>
        <v>0</v>
      </c>
      <c r="H67" s="276">
        <f>+H14*(1+'Conversion Factors'!$F14)</f>
        <v>0</v>
      </c>
      <c r="I67" s="276">
        <f>+I14*(1+'Conversion Factors'!$F14)</f>
        <v>0</v>
      </c>
      <c r="J67" s="738">
        <f>+J14*(1+'Conversion Factors'!$F14)</f>
        <v>0</v>
      </c>
      <c r="K67" s="276">
        <f>+K14*(1+'Conversion Factors'!$F14)</f>
        <v>0</v>
      </c>
      <c r="L67" s="276">
        <f>+L14*(1+'Conversion Factors'!$F14)</f>
        <v>0</v>
      </c>
      <c r="M67" s="276">
        <f>+M14*(1+'Conversion Factors'!$F14)</f>
        <v>0</v>
      </c>
      <c r="N67" s="276">
        <f>+N14*(1+'Conversion Factors'!$F14)</f>
        <v>0</v>
      </c>
      <c r="O67" s="738">
        <f>+O14*(1+'Conversion Factors'!$F14)</f>
        <v>27.393665188848686</v>
      </c>
      <c r="P67" s="276">
        <f>+P14*(1+'Conversion Factors'!$F14)</f>
        <v>0</v>
      </c>
      <c r="Q67" s="276">
        <f>+Q14*(1+'Conversion Factors'!$F14)</f>
        <v>0</v>
      </c>
      <c r="R67" s="276">
        <f>+R14*(1+'Conversion Factors'!$F14)</f>
        <v>3.0136801999999996</v>
      </c>
      <c r="S67" s="276">
        <f>+S14*(1+'Conversion Factors'!$F14)</f>
        <v>0</v>
      </c>
      <c r="T67" s="738">
        <f>+T14*(1+'Conversion Factors'!$F14)</f>
        <v>0</v>
      </c>
      <c r="U67" s="276">
        <f>+U14*(1+'Conversion Factors'!$F14)</f>
        <v>0</v>
      </c>
      <c r="V67" s="738">
        <f>+V14*(1+'Conversion Factors'!$F14)</f>
        <v>0</v>
      </c>
      <c r="W67" s="276">
        <f>+W14*(1+'Conversion Factors'!$F14)</f>
        <v>0</v>
      </c>
      <c r="X67" s="738">
        <f>+X14*(1+'Conversion Factors'!$F14)</f>
        <v>0</v>
      </c>
      <c r="Y67" s="738">
        <f>+Y14*(1+'Conversion Factors'!$F14)</f>
        <v>0</v>
      </c>
      <c r="Z67" s="738">
        <f>+Z14*(1+'Conversion Factors'!$F14)</f>
        <v>0</v>
      </c>
      <c r="AA67" s="738">
        <f>+AA14*(1+'Conversion Factors'!$F14)</f>
        <v>0</v>
      </c>
      <c r="AB67" s="277">
        <f t="shared" si="25"/>
        <v>45.138768584613658</v>
      </c>
      <c r="AC67" s="276">
        <f>+AC14*(1+'Conversion Factors'!$F14)</f>
        <v>0.20235</v>
      </c>
      <c r="AD67" s="276">
        <f>+AD14*(1+'Conversion Factors'!$F14)</f>
        <v>0.11714999999999999</v>
      </c>
      <c r="AE67" s="276">
        <f>+AE14*(1+'Conversion Factors'!$F14)</f>
        <v>20.3415</v>
      </c>
      <c r="AF67" s="276">
        <f>+AF14*(1+'Conversion Factors'!$F14)</f>
        <v>0</v>
      </c>
      <c r="AG67" s="277">
        <f t="shared" si="39"/>
        <v>20.661000000000001</v>
      </c>
      <c r="AH67" s="718">
        <f t="shared" si="27"/>
        <v>65.799768584613659</v>
      </c>
      <c r="AJ67" s="748">
        <v>2003</v>
      </c>
      <c r="AK67" s="276">
        <f>+AK14*(1+'Conversion Factors'!$G14)</f>
        <v>34.267613704295954</v>
      </c>
      <c r="AL67" s="276">
        <f>+AL14*(1+'Conversion Factors'!$G14)</f>
        <v>0.97385729999999993</v>
      </c>
      <c r="AM67" s="738">
        <f>+AM14*(1+'Conversion Factors'!$G14)</f>
        <v>6.4325999999999994E-2</v>
      </c>
      <c r="AN67" s="276">
        <f>+AN14*(1+'Conversion Factors'!$G14)</f>
        <v>0</v>
      </c>
      <c r="AO67" s="276">
        <f>+AO14*(1+'Conversion Factors'!$G14)</f>
        <v>0</v>
      </c>
      <c r="AP67" s="738">
        <f>+AP14*(1+'Conversion Factors'!$G14)</f>
        <v>0</v>
      </c>
      <c r="AQ67" s="276">
        <f>+AQ14*(1+'Conversion Factors'!$G14)</f>
        <v>0</v>
      </c>
      <c r="AR67" s="276">
        <f>+AR14*(1+'Conversion Factors'!$G14)</f>
        <v>0</v>
      </c>
      <c r="AS67" s="738">
        <f>+AS14*(1+'Conversion Factors'!$G14)</f>
        <v>0</v>
      </c>
      <c r="AT67" s="276">
        <f>+AT14*(1+'Conversion Factors'!$G14)</f>
        <v>0</v>
      </c>
      <c r="AU67" s="276">
        <f>+AU14*(1+'Conversion Factors'!$G14)</f>
        <v>0</v>
      </c>
      <c r="AV67" s="276">
        <f>+AV14*(1+'Conversion Factors'!$G14)</f>
        <v>0</v>
      </c>
      <c r="AW67" s="276">
        <f>+AW14*(1+'Conversion Factors'!$G14)</f>
        <v>0</v>
      </c>
      <c r="AX67" s="738">
        <f>+AX14*(1+'Conversion Factors'!$G14)</f>
        <v>10.257237116861493</v>
      </c>
      <c r="AY67" s="276">
        <f>+AY14*(1+'Conversion Factors'!$G14)</f>
        <v>0</v>
      </c>
      <c r="AZ67" s="276">
        <f>+AZ14*(1+'Conversion Factors'!$G14)</f>
        <v>0</v>
      </c>
      <c r="BA67" s="276">
        <f>+BA14*(1+'Conversion Factors'!$G14)</f>
        <v>1.1190771500000001</v>
      </c>
      <c r="BB67" s="276">
        <f>+BB14*(1+'Conversion Factors'!$G14)</f>
        <v>0</v>
      </c>
      <c r="BC67" s="738">
        <f>+BC14*(1+'Conversion Factors'!$G14)</f>
        <v>0</v>
      </c>
      <c r="BD67" s="276">
        <f>+BD14*(1+'Conversion Factors'!$G14)</f>
        <v>0</v>
      </c>
      <c r="BE67" s="738">
        <f>+BE14*(1+'Conversion Factors'!$G14)</f>
        <v>0</v>
      </c>
      <c r="BF67" s="276">
        <f>+BF14*(1+'Conversion Factors'!$G14)</f>
        <v>0</v>
      </c>
      <c r="BG67" s="738">
        <f>+BG14*(1+'Conversion Factors'!$G14)</f>
        <v>0</v>
      </c>
      <c r="BH67" s="738">
        <f>+BH14*(1+'Conversion Factors'!$G14)</f>
        <v>0</v>
      </c>
      <c r="BI67" s="276">
        <f>+BI14*(1+'Conversion Factors'!$G14)</f>
        <v>0</v>
      </c>
      <c r="BJ67" s="276">
        <f>+BJ14*(1+'Conversion Factors'!$G14)</f>
        <v>0</v>
      </c>
      <c r="BK67" s="277">
        <f t="shared" si="40"/>
        <v>46.682111271157446</v>
      </c>
      <c r="BL67" s="276">
        <f>+BL14*(1+'Conversion Factors'!$G14)</f>
        <v>0</v>
      </c>
      <c r="BM67" s="276">
        <f>+BM14*(1+'Conversion Factors'!$G14)</f>
        <v>0.21299999999999999</v>
      </c>
      <c r="BN67" s="276">
        <f>+BN14*(1+'Conversion Factors'!$G14)</f>
        <v>20.767499999999998</v>
      </c>
      <c r="BO67" s="276">
        <f>+BO14*(1+'Conversion Factors'!$G14)</f>
        <v>0</v>
      </c>
      <c r="BP67" s="1106">
        <f t="shared" si="41"/>
        <v>20.980499999999999</v>
      </c>
      <c r="BQ67" s="718">
        <f t="shared" si="32"/>
        <v>67.662611271157445</v>
      </c>
      <c r="BS67" s="994">
        <v>2003</v>
      </c>
      <c r="BT67" s="275">
        <f>+BT14*(1+'Conversion Factors'!$H14)</f>
        <v>20.694266499892603</v>
      </c>
      <c r="BU67" s="276">
        <f>+BU14*(1+'Conversion Factors'!$H14)</f>
        <v>0.23348420100000003</v>
      </c>
      <c r="BV67" s="276">
        <f>+BV14*(1+'Conversion Factors'!$H14)</f>
        <v>0.35955072000000005</v>
      </c>
      <c r="BW67" s="276">
        <f>+BW14*(1+'Conversion Factors'!$H14)</f>
        <v>1.2153101166399609</v>
      </c>
      <c r="BX67" s="276">
        <f>+BX14*(1+'Conversion Factors'!$H14)</f>
        <v>0</v>
      </c>
      <c r="BY67" s="276">
        <f>+BY14*(1+'Conversion Factors'!$H14)</f>
        <v>0</v>
      </c>
      <c r="BZ67" s="276">
        <f>+BZ14*(1+'Conversion Factors'!$H14)</f>
        <v>0</v>
      </c>
      <c r="CA67" s="276">
        <f>+CA14*(1+'Conversion Factors'!$H14)</f>
        <v>0</v>
      </c>
      <c r="CB67" s="276">
        <f>+CB14*(1+'Conversion Factors'!$H14)</f>
        <v>0</v>
      </c>
      <c r="CC67" s="276">
        <f>+CC14*(1+'Conversion Factors'!$H14)</f>
        <v>0</v>
      </c>
      <c r="CD67" s="276">
        <f>+CD14*(1+'Conversion Factors'!$H14)</f>
        <v>0</v>
      </c>
      <c r="CE67" s="276">
        <f>+CE14*(1+'Conversion Factors'!$H14)</f>
        <v>0</v>
      </c>
      <c r="CF67" s="276">
        <f>+CF14*(1+'Conversion Factors'!$H14)</f>
        <v>0</v>
      </c>
      <c r="CG67" s="276">
        <f>+CG14*(1+'Conversion Factors'!$H14)</f>
        <v>120.15201842098249</v>
      </c>
      <c r="CH67" s="276">
        <f>+CH14*(1+'Conversion Factors'!$H14)</f>
        <v>0</v>
      </c>
      <c r="CI67" s="276">
        <f>+CI14*(1+'Conversion Factors'!$H14)</f>
        <v>0</v>
      </c>
      <c r="CJ67" s="276">
        <f>+CJ14*(1+'Conversion Factors'!$H14)</f>
        <v>12.032798695333335</v>
      </c>
      <c r="CK67" s="276">
        <f>+CK14*(1+'Conversion Factors'!$H14)</f>
        <v>0</v>
      </c>
      <c r="CL67" s="276">
        <f>+CL14*(1+'Conversion Factors'!$H14)</f>
        <v>16.928000000000001</v>
      </c>
      <c r="CM67" s="276">
        <f>+CM14*(1+'Conversion Factors'!$H14)</f>
        <v>0</v>
      </c>
      <c r="CN67" s="276">
        <f>+CN14*(1+'Conversion Factors'!$H14)</f>
        <v>0</v>
      </c>
      <c r="CO67" s="276">
        <f>+CO14*(1+'Conversion Factors'!$H14)</f>
        <v>0</v>
      </c>
      <c r="CP67" s="276">
        <f>+CP14*(1+'Conversion Factors'!$H14)</f>
        <v>0</v>
      </c>
      <c r="CQ67" s="276">
        <f>+CQ14*(1+'Conversion Factors'!$H14)</f>
        <v>0</v>
      </c>
      <c r="CR67" s="276">
        <f>+CR14*(1+'Conversion Factors'!$H14)</f>
        <v>0</v>
      </c>
      <c r="CS67" s="996">
        <f>+CS14*(1+'Conversion Factors'!$H14)</f>
        <v>0</v>
      </c>
      <c r="CT67" s="277">
        <f t="shared" si="42"/>
        <v>154.68742865384837</v>
      </c>
      <c r="CU67" s="276">
        <f>+CU14*(1+'Conversion Factors'!$H14)</f>
        <v>0</v>
      </c>
      <c r="CV67" s="276">
        <f>+CV14*(1+'Conversion Factors'!$H14)</f>
        <v>0</v>
      </c>
      <c r="CW67" s="276">
        <f>+CW14*(1+'Conversion Factors'!$H14)</f>
        <v>2.0384133333333336</v>
      </c>
      <c r="CX67" s="276">
        <f>+CX14*(1+'Conversion Factors'!$H14)</f>
        <v>0</v>
      </c>
      <c r="CY67" s="1106">
        <f t="shared" si="43"/>
        <v>2.0384133333333336</v>
      </c>
      <c r="CZ67" s="718">
        <f t="shared" si="37"/>
        <v>156.7258419871817</v>
      </c>
      <c r="DA67" s="162">
        <f t="shared" si="38"/>
        <v>156.7258419871817</v>
      </c>
      <c r="DB67" s="162">
        <f t="shared" si="44"/>
        <v>0</v>
      </c>
    </row>
    <row r="68" spans="1:106" x14ac:dyDescent="0.2">
      <c r="A68" s="269">
        <v>2004</v>
      </c>
      <c r="B68" s="275">
        <f>+B15*(1+'Conversion Factors'!$F15)</f>
        <v>13.967355435322194</v>
      </c>
      <c r="C68" s="276">
        <f>+C15*(1+'Conversion Factors'!$F15)</f>
        <v>0.42035550000000005</v>
      </c>
      <c r="D68" s="738">
        <f>+D15*(1+'Conversion Factors'!$F15)</f>
        <v>8.4827249999999993E-2</v>
      </c>
      <c r="E68" s="276">
        <f>+E15*(1+'Conversion Factors'!$F15)</f>
        <v>0.48437213544277358</v>
      </c>
      <c r="F68" s="276">
        <f>+F15*(1+'Conversion Factors'!$F15)</f>
        <v>0</v>
      </c>
      <c r="G68" s="738">
        <f>+G15*(1+'Conversion Factors'!$F15)</f>
        <v>0</v>
      </c>
      <c r="H68" s="276">
        <f>+H15*(1+'Conversion Factors'!$F15)</f>
        <v>0</v>
      </c>
      <c r="I68" s="276">
        <f>+I15*(1+'Conversion Factors'!$F15)</f>
        <v>0</v>
      </c>
      <c r="J68" s="738">
        <f>+J15*(1+'Conversion Factors'!$F15)</f>
        <v>0</v>
      </c>
      <c r="K68" s="276">
        <f>+K15*(1+'Conversion Factors'!$F15)</f>
        <v>0</v>
      </c>
      <c r="L68" s="276">
        <f>+L15*(1+'Conversion Factors'!$F15)</f>
        <v>0</v>
      </c>
      <c r="M68" s="276">
        <f>+M15*(1+'Conversion Factors'!$F15)</f>
        <v>0</v>
      </c>
      <c r="N68" s="276">
        <f>+N15*(1+'Conversion Factors'!$F15)</f>
        <v>0</v>
      </c>
      <c r="O68" s="738">
        <f>+O15*(1+'Conversion Factors'!$F15)</f>
        <v>29.187263638848687</v>
      </c>
      <c r="P68" s="276">
        <f>+P15*(1+'Conversion Factors'!$F15)</f>
        <v>0</v>
      </c>
      <c r="Q68" s="276">
        <f>+Q15*(1+'Conversion Factors'!$F15)</f>
        <v>0</v>
      </c>
      <c r="R68" s="276">
        <f>+R15*(1+'Conversion Factors'!$F15)</f>
        <v>3.5131225999999995</v>
      </c>
      <c r="S68" s="276">
        <f>+S15*(1+'Conversion Factors'!$F15)</f>
        <v>0</v>
      </c>
      <c r="T68" s="738">
        <f>+T15*(1+'Conversion Factors'!$F15)</f>
        <v>0</v>
      </c>
      <c r="U68" s="276">
        <f>+U15*(1+'Conversion Factors'!$F15)</f>
        <v>0</v>
      </c>
      <c r="V68" s="738">
        <f>+V15*(1+'Conversion Factors'!$F15)</f>
        <v>0</v>
      </c>
      <c r="W68" s="276">
        <f>+W15*(1+'Conversion Factors'!$F15)</f>
        <v>0</v>
      </c>
      <c r="X68" s="738">
        <f>+X15*(1+'Conversion Factors'!$F15)</f>
        <v>0</v>
      </c>
      <c r="Y68" s="738">
        <f>+Y15*(1+'Conversion Factors'!$F15)</f>
        <v>0</v>
      </c>
      <c r="Z68" s="738">
        <f>+Z15*(1+'Conversion Factors'!$F15)</f>
        <v>0</v>
      </c>
      <c r="AA68" s="738">
        <f>+AA15*(1+'Conversion Factors'!$F15)</f>
        <v>0</v>
      </c>
      <c r="AB68" s="277">
        <f t="shared" si="25"/>
        <v>47.657296559613656</v>
      </c>
      <c r="AC68" s="276">
        <f>+AC15*(1+'Conversion Factors'!$F15)</f>
        <v>0.19702499999999998</v>
      </c>
      <c r="AD68" s="276">
        <f>+AD15*(1+'Conversion Factors'!$F15)</f>
        <v>0.122475</v>
      </c>
      <c r="AE68" s="276">
        <f>+AE15*(1+'Conversion Factors'!$F15)</f>
        <v>20.128499999999999</v>
      </c>
      <c r="AF68" s="276">
        <f>+AF15*(1+'Conversion Factors'!$F15)</f>
        <v>0</v>
      </c>
      <c r="AG68" s="277">
        <f t="shared" si="39"/>
        <v>20.448</v>
      </c>
      <c r="AH68" s="718">
        <f t="shared" si="27"/>
        <v>68.105296559613663</v>
      </c>
      <c r="AJ68" s="748">
        <v>2004</v>
      </c>
      <c r="AK68" s="276">
        <f>+AK15*(1+'Conversion Factors'!$G15)</f>
        <v>34.297582804295956</v>
      </c>
      <c r="AL68" s="276">
        <f>+AL15*(1+'Conversion Factors'!$G15)</f>
        <v>0.97385729999999993</v>
      </c>
      <c r="AM68" s="738">
        <f>+AM15*(1+'Conversion Factors'!$G15)</f>
        <v>6.4325999999999994E-2</v>
      </c>
      <c r="AN68" s="276">
        <f>+AN15*(1+'Conversion Factors'!$G15)</f>
        <v>0</v>
      </c>
      <c r="AO68" s="276">
        <f>+AO15*(1+'Conversion Factors'!$G15)</f>
        <v>0</v>
      </c>
      <c r="AP68" s="738">
        <f>+AP15*(1+'Conversion Factors'!$G15)</f>
        <v>0</v>
      </c>
      <c r="AQ68" s="276">
        <f>+AQ15*(1+'Conversion Factors'!$G15)</f>
        <v>0</v>
      </c>
      <c r="AR68" s="276">
        <f>+AR15*(1+'Conversion Factors'!$G15)</f>
        <v>0</v>
      </c>
      <c r="AS68" s="738">
        <f>+AS15*(1+'Conversion Factors'!$G15)</f>
        <v>0</v>
      </c>
      <c r="AT68" s="276">
        <f>+AT15*(1+'Conversion Factors'!$G15)</f>
        <v>0</v>
      </c>
      <c r="AU68" s="276">
        <f>+AU15*(1+'Conversion Factors'!$G15)</f>
        <v>0</v>
      </c>
      <c r="AV68" s="276">
        <f>+AV15*(1+'Conversion Factors'!$G15)</f>
        <v>0</v>
      </c>
      <c r="AW68" s="276">
        <f>+AW15*(1+'Conversion Factors'!$G15)</f>
        <v>0</v>
      </c>
      <c r="AX68" s="738">
        <f>+AX15*(1+'Conversion Factors'!$G15)</f>
        <v>10.765029116861493</v>
      </c>
      <c r="AY68" s="276">
        <f>+AY15*(1+'Conversion Factors'!$G15)</f>
        <v>0</v>
      </c>
      <c r="AZ68" s="276">
        <f>+AZ15*(1+'Conversion Factors'!$G15)</f>
        <v>0</v>
      </c>
      <c r="BA68" s="276">
        <f>+BA15*(1+'Conversion Factors'!$G15)</f>
        <v>2.6082347000000001</v>
      </c>
      <c r="BB68" s="276">
        <f>+BB15*(1+'Conversion Factors'!$G15)</f>
        <v>0</v>
      </c>
      <c r="BC68" s="738">
        <f>+BC15*(1+'Conversion Factors'!$G15)</f>
        <v>0</v>
      </c>
      <c r="BD68" s="276">
        <f>+BD15*(1+'Conversion Factors'!$G15)</f>
        <v>0</v>
      </c>
      <c r="BE68" s="738">
        <f>+BE15*(1+'Conversion Factors'!$G15)</f>
        <v>0</v>
      </c>
      <c r="BF68" s="276">
        <f>+BF15*(1+'Conversion Factors'!$G15)</f>
        <v>0</v>
      </c>
      <c r="BG68" s="738">
        <f>+BG15*(1+'Conversion Factors'!$G15)</f>
        <v>0</v>
      </c>
      <c r="BH68" s="738">
        <f>+BH15*(1+'Conversion Factors'!$G15)</f>
        <v>0</v>
      </c>
      <c r="BI68" s="276">
        <f>+BI15*(1+'Conversion Factors'!$G15)</f>
        <v>0</v>
      </c>
      <c r="BJ68" s="276">
        <f>+BJ15*(1+'Conversion Factors'!$G15)</f>
        <v>0</v>
      </c>
      <c r="BK68" s="277">
        <f t="shared" si="40"/>
        <v>48.709029921157445</v>
      </c>
      <c r="BL68" s="276">
        <f>+BL15*(1+'Conversion Factors'!$G15)</f>
        <v>0</v>
      </c>
      <c r="BM68" s="276">
        <f>+BM15*(1+'Conversion Factors'!$G15)</f>
        <v>0.21299999999999999</v>
      </c>
      <c r="BN68" s="276">
        <f>+BN15*(1+'Conversion Factors'!$G15)</f>
        <v>18.211500000000001</v>
      </c>
      <c r="BO68" s="276">
        <f>+BO15*(1+'Conversion Factors'!$G15)</f>
        <v>0</v>
      </c>
      <c r="BP68" s="1106">
        <f t="shared" si="41"/>
        <v>18.424500000000002</v>
      </c>
      <c r="BQ68" s="718">
        <f t="shared" si="32"/>
        <v>67.133529921157447</v>
      </c>
      <c r="BS68" s="994">
        <v>2004</v>
      </c>
      <c r="BT68" s="275">
        <f>+BT15*(1+'Conversion Factors'!$H15)</f>
        <v>20.895580623892602</v>
      </c>
      <c r="BU68" s="276">
        <f>+BU15*(1+'Conversion Factors'!$H15)</f>
        <v>0.23348420100000003</v>
      </c>
      <c r="BV68" s="276">
        <f>+BV15*(1+'Conversion Factors'!$H15)</f>
        <v>0.35955072000000005</v>
      </c>
      <c r="BW68" s="276">
        <f>+BW15*(1+'Conversion Factors'!$H15)</f>
        <v>1.9190287656399609</v>
      </c>
      <c r="BX68" s="276">
        <f>+BX15*(1+'Conversion Factors'!$H15)</f>
        <v>0</v>
      </c>
      <c r="BY68" s="276">
        <f>+BY15*(1+'Conversion Factors'!$H15)</f>
        <v>0</v>
      </c>
      <c r="BZ68" s="276">
        <f>+BZ15*(1+'Conversion Factors'!$H15)</f>
        <v>0</v>
      </c>
      <c r="CA68" s="276">
        <f>+CA15*(1+'Conversion Factors'!$H15)</f>
        <v>0</v>
      </c>
      <c r="CB68" s="276">
        <f>+CB15*(1+'Conversion Factors'!$H15)</f>
        <v>0</v>
      </c>
      <c r="CC68" s="276">
        <f>+CC15*(1+'Conversion Factors'!$H15)</f>
        <v>0</v>
      </c>
      <c r="CD68" s="276">
        <f>+CD15*(1+'Conversion Factors'!$H15)</f>
        <v>0</v>
      </c>
      <c r="CE68" s="276">
        <f>+CE15*(1+'Conversion Factors'!$H15)</f>
        <v>0</v>
      </c>
      <c r="CF68" s="276">
        <f>+CF15*(1+'Conversion Factors'!$H15)</f>
        <v>0</v>
      </c>
      <c r="CG68" s="276">
        <f>+CG15*(1+'Conversion Factors'!$H15)</f>
        <v>130.38500711698248</v>
      </c>
      <c r="CH68" s="276">
        <f>+CH15*(1+'Conversion Factors'!$H15)</f>
        <v>0</v>
      </c>
      <c r="CI68" s="276">
        <f>+CI15*(1+'Conversion Factors'!$H15)</f>
        <v>0</v>
      </c>
      <c r="CJ68" s="276">
        <f>+CJ15*(1+'Conversion Factors'!$H15)</f>
        <v>16.642640119333336</v>
      </c>
      <c r="CK68" s="276">
        <f>+CK15*(1+'Conversion Factors'!$H15)</f>
        <v>0</v>
      </c>
      <c r="CL68" s="276">
        <f>+CL15*(1+'Conversion Factors'!$H15)</f>
        <v>16.928000000000001</v>
      </c>
      <c r="CM68" s="276">
        <f>+CM15*(1+'Conversion Factors'!$H15)</f>
        <v>0</v>
      </c>
      <c r="CN68" s="276">
        <f>+CN15*(1+'Conversion Factors'!$H15)</f>
        <v>0</v>
      </c>
      <c r="CO68" s="276">
        <f>+CO15*(1+'Conversion Factors'!$H15)</f>
        <v>0</v>
      </c>
      <c r="CP68" s="276">
        <f>+CP15*(1+'Conversion Factors'!$H15)</f>
        <v>0</v>
      </c>
      <c r="CQ68" s="276">
        <f>+CQ15*(1+'Conversion Factors'!$H15)</f>
        <v>0</v>
      </c>
      <c r="CR68" s="276">
        <f>+CR15*(1+'Conversion Factors'!$H15)</f>
        <v>0</v>
      </c>
      <c r="CS68" s="996">
        <f>+CS15*(1+'Conversion Factors'!$H15)</f>
        <v>0</v>
      </c>
      <c r="CT68" s="277">
        <f t="shared" si="42"/>
        <v>170.43529154684836</v>
      </c>
      <c r="CU68" s="276">
        <f>+CU15*(1+'Conversion Factors'!$H15)</f>
        <v>0</v>
      </c>
      <c r="CV68" s="276">
        <f>+CV15*(1+'Conversion Factors'!$H15)</f>
        <v>0</v>
      </c>
      <c r="CW68" s="276">
        <f>+CW15*(1+'Conversion Factors'!$H15)</f>
        <v>1.9202699999999997</v>
      </c>
      <c r="CX68" s="276">
        <f>+CX15*(1+'Conversion Factors'!$H15)</f>
        <v>0</v>
      </c>
      <c r="CY68" s="1106">
        <f t="shared" si="43"/>
        <v>1.9202699999999997</v>
      </c>
      <c r="CZ68" s="718">
        <f t="shared" si="37"/>
        <v>172.35556154684835</v>
      </c>
      <c r="DA68" s="162">
        <f t="shared" si="38"/>
        <v>172.35556154684835</v>
      </c>
      <c r="DB68" s="162">
        <f t="shared" si="44"/>
        <v>0</v>
      </c>
    </row>
    <row r="69" spans="1:106" x14ac:dyDescent="0.2">
      <c r="A69" s="269">
        <v>2005</v>
      </c>
      <c r="B69" s="275">
        <f>+B16*(1+'Conversion Factors'!$F16)</f>
        <v>14.015919435322195</v>
      </c>
      <c r="C69" s="276">
        <f>+C16*(1+'Conversion Factors'!$F16)</f>
        <v>0.42035550000000005</v>
      </c>
      <c r="D69" s="738">
        <f>+D16*(1+'Conversion Factors'!$F16)</f>
        <v>8.4827249999999993E-2</v>
      </c>
      <c r="E69" s="276">
        <f>+E16*(1+'Conversion Factors'!$F16)</f>
        <v>0.59605327314769163</v>
      </c>
      <c r="F69" s="276">
        <f>+F16*(1+'Conversion Factors'!$F16)</f>
        <v>0</v>
      </c>
      <c r="G69" s="738">
        <f>+G16*(1+'Conversion Factors'!$F16)</f>
        <v>0</v>
      </c>
      <c r="H69" s="276">
        <f>+H16*(1+'Conversion Factors'!$F16)</f>
        <v>0</v>
      </c>
      <c r="I69" s="276">
        <f>+I16*(1+'Conversion Factors'!$F16)</f>
        <v>0</v>
      </c>
      <c r="J69" s="738">
        <f>+J16*(1+'Conversion Factors'!$F16)</f>
        <v>0</v>
      </c>
      <c r="K69" s="276">
        <f>+K16*(1+'Conversion Factors'!$F16)</f>
        <v>0</v>
      </c>
      <c r="L69" s="276">
        <f>+L16*(1+'Conversion Factors'!$F16)</f>
        <v>0</v>
      </c>
      <c r="M69" s="276">
        <f>+M16*(1+'Conversion Factors'!$F16)</f>
        <v>0</v>
      </c>
      <c r="N69" s="276">
        <f>+N16*(1+'Conversion Factors'!$F16)</f>
        <v>0</v>
      </c>
      <c r="O69" s="738">
        <f>+O16*(1+'Conversion Factors'!$F16)</f>
        <v>30.568749688848687</v>
      </c>
      <c r="P69" s="276">
        <f>+P16*(1+'Conversion Factors'!$F16)</f>
        <v>0</v>
      </c>
      <c r="Q69" s="276">
        <f>+Q16*(1+'Conversion Factors'!$F16)</f>
        <v>0</v>
      </c>
      <c r="R69" s="276">
        <f>+R16*(1+'Conversion Factors'!$F16)</f>
        <v>3.6108576499999994</v>
      </c>
      <c r="S69" s="276">
        <f>+S16*(1+'Conversion Factors'!$F16)</f>
        <v>0</v>
      </c>
      <c r="T69" s="738">
        <f>+T16*(1+'Conversion Factors'!$F16)</f>
        <v>0</v>
      </c>
      <c r="U69" s="276">
        <f>+U16*(1+'Conversion Factors'!$F16)</f>
        <v>0</v>
      </c>
      <c r="V69" s="738">
        <f>+V16*(1+'Conversion Factors'!$F16)</f>
        <v>0</v>
      </c>
      <c r="W69" s="276">
        <f>+W16*(1+'Conversion Factors'!$F16)</f>
        <v>0</v>
      </c>
      <c r="X69" s="738">
        <f>+X16*(1+'Conversion Factors'!$F16)</f>
        <v>0</v>
      </c>
      <c r="Y69" s="738">
        <f>+Y16*(1+'Conversion Factors'!$F16)</f>
        <v>0</v>
      </c>
      <c r="Z69" s="738">
        <f>+Z16*(1+'Conversion Factors'!$F16)</f>
        <v>0</v>
      </c>
      <c r="AA69" s="738">
        <f>+AA16*(1+'Conversion Factors'!$F16)</f>
        <v>0</v>
      </c>
      <c r="AB69" s="277">
        <f t="shared" si="25"/>
        <v>49.296762797318571</v>
      </c>
      <c r="AC69" s="276">
        <f>+AC16*(1+'Conversion Factors'!$F16)</f>
        <v>0.31949999999999995</v>
      </c>
      <c r="AD69" s="276">
        <f>+AD16*(1+'Conversion Factors'!$F16)</f>
        <v>0.53249999999999997</v>
      </c>
      <c r="AE69" s="276">
        <f>+AE16*(1+'Conversion Factors'!$F16)</f>
        <v>18.850499999999997</v>
      </c>
      <c r="AF69" s="276">
        <f>+AF16*(1+'Conversion Factors'!$F16)</f>
        <v>0</v>
      </c>
      <c r="AG69" s="277">
        <f t="shared" si="39"/>
        <v>19.702499999999997</v>
      </c>
      <c r="AH69" s="718">
        <f t="shared" si="27"/>
        <v>68.999262797318565</v>
      </c>
      <c r="AJ69" s="748">
        <v>2005</v>
      </c>
      <c r="AK69" s="276">
        <f>+AK16*(1+'Conversion Factors'!$G16)</f>
        <v>34.338926104295957</v>
      </c>
      <c r="AL69" s="276">
        <f>+AL16*(1+'Conversion Factors'!$G16)</f>
        <v>0.97385729999999993</v>
      </c>
      <c r="AM69" s="738">
        <f>+AM16*(1+'Conversion Factors'!$G16)</f>
        <v>6.4325999999999994E-2</v>
      </c>
      <c r="AN69" s="276">
        <f>+AN16*(1+'Conversion Factors'!$G16)</f>
        <v>0</v>
      </c>
      <c r="AO69" s="276">
        <f>+AO16*(1+'Conversion Factors'!$G16)</f>
        <v>0</v>
      </c>
      <c r="AP69" s="738">
        <f>+AP16*(1+'Conversion Factors'!$G16)</f>
        <v>0</v>
      </c>
      <c r="AQ69" s="276">
        <f>+AQ16*(1+'Conversion Factors'!$G16)</f>
        <v>0</v>
      </c>
      <c r="AR69" s="276">
        <f>+AR16*(1+'Conversion Factors'!$G16)</f>
        <v>0</v>
      </c>
      <c r="AS69" s="738">
        <f>+AS16*(1+'Conversion Factors'!$G16)</f>
        <v>0</v>
      </c>
      <c r="AT69" s="276">
        <f>+AT16*(1+'Conversion Factors'!$G16)</f>
        <v>0</v>
      </c>
      <c r="AU69" s="276">
        <f>+AU16*(1+'Conversion Factors'!$G16)</f>
        <v>0</v>
      </c>
      <c r="AV69" s="276">
        <f>+AV16*(1+'Conversion Factors'!$G16)</f>
        <v>0</v>
      </c>
      <c r="AW69" s="276">
        <f>+AW16*(1+'Conversion Factors'!$G16)</f>
        <v>0</v>
      </c>
      <c r="AX69" s="738">
        <f>+AX16*(1+'Conversion Factors'!$G16)</f>
        <v>11.403730916861493</v>
      </c>
      <c r="AY69" s="276">
        <f>+AY16*(1+'Conversion Factors'!$G16)</f>
        <v>0</v>
      </c>
      <c r="AZ69" s="276">
        <f>+AZ16*(1+'Conversion Factors'!$G16)</f>
        <v>0</v>
      </c>
      <c r="BA69" s="276">
        <f>+BA16*(1+'Conversion Factors'!$G16)</f>
        <v>2.6733913999999999</v>
      </c>
      <c r="BB69" s="276">
        <f>+BB16*(1+'Conversion Factors'!$G16)</f>
        <v>0</v>
      </c>
      <c r="BC69" s="738">
        <f>+BC16*(1+'Conversion Factors'!$G16)</f>
        <v>0</v>
      </c>
      <c r="BD69" s="276">
        <f>+BD16*(1+'Conversion Factors'!$G16)</f>
        <v>0</v>
      </c>
      <c r="BE69" s="738">
        <f>+BE16*(1+'Conversion Factors'!$G16)</f>
        <v>0</v>
      </c>
      <c r="BF69" s="276">
        <f>+BF16*(1+'Conversion Factors'!$G16)</f>
        <v>0</v>
      </c>
      <c r="BG69" s="738">
        <f>+BG16*(1+'Conversion Factors'!$G16)</f>
        <v>0</v>
      </c>
      <c r="BH69" s="738">
        <f>+BH16*(1+'Conversion Factors'!$G16)</f>
        <v>0</v>
      </c>
      <c r="BI69" s="276">
        <f>+BI16*(1+'Conversion Factors'!$G16)</f>
        <v>0</v>
      </c>
      <c r="BJ69" s="276">
        <f>+BJ16*(1+'Conversion Factors'!$G16)</f>
        <v>0</v>
      </c>
      <c r="BK69" s="277">
        <f t="shared" si="40"/>
        <v>49.454231721157448</v>
      </c>
      <c r="BL69" s="276">
        <f>+BL16*(1+'Conversion Factors'!$G16)</f>
        <v>0</v>
      </c>
      <c r="BM69" s="276">
        <f>+BM16*(1+'Conversion Factors'!$G16)</f>
        <v>0.1065</v>
      </c>
      <c r="BN69" s="276">
        <f>+BN16*(1+'Conversion Factors'!$G16)</f>
        <v>16.401</v>
      </c>
      <c r="BO69" s="276">
        <f>+BO16*(1+'Conversion Factors'!$G16)</f>
        <v>0</v>
      </c>
      <c r="BP69" s="1106">
        <f t="shared" si="41"/>
        <v>16.5075</v>
      </c>
      <c r="BQ69" s="718">
        <f t="shared" si="32"/>
        <v>65.961731721157449</v>
      </c>
      <c r="BS69" s="994">
        <v>2005</v>
      </c>
      <c r="BT69" s="275">
        <f>+BT16*(1+'Conversion Factors'!$H16)</f>
        <v>21.101224083892603</v>
      </c>
      <c r="BU69" s="276">
        <f>+BU16*(1+'Conversion Factors'!$H16)</f>
        <v>0.23348420100000003</v>
      </c>
      <c r="BV69" s="276">
        <f>+BV16*(1+'Conversion Factors'!$H16)</f>
        <v>0.35955072000000005</v>
      </c>
      <c r="BW69" s="276">
        <f>+BW16*(1+'Conversion Factors'!$H16)</f>
        <v>2.3574106840661906</v>
      </c>
      <c r="BX69" s="276">
        <f>+BX16*(1+'Conversion Factors'!$H16)</f>
        <v>0</v>
      </c>
      <c r="BY69" s="276">
        <f>+BY16*(1+'Conversion Factors'!$H16)</f>
        <v>0</v>
      </c>
      <c r="BZ69" s="276">
        <f>+BZ16*(1+'Conversion Factors'!$H16)</f>
        <v>0</v>
      </c>
      <c r="CA69" s="276">
        <f>+CA16*(1+'Conversion Factors'!$H16)</f>
        <v>0</v>
      </c>
      <c r="CB69" s="276">
        <f>+CB16*(1+'Conversion Factors'!$H16)</f>
        <v>0</v>
      </c>
      <c r="CC69" s="276">
        <f>+CC16*(1+'Conversion Factors'!$H16)</f>
        <v>0</v>
      </c>
      <c r="CD69" s="276">
        <f>+CD16*(1+'Conversion Factors'!$H16)</f>
        <v>0</v>
      </c>
      <c r="CE69" s="276">
        <f>+CE16*(1+'Conversion Factors'!$H16)</f>
        <v>0</v>
      </c>
      <c r="CF69" s="276">
        <f>+CF16*(1+'Conversion Factors'!$H16)</f>
        <v>0</v>
      </c>
      <c r="CG69" s="276">
        <f>+CG16*(1+'Conversion Factors'!$H16)</f>
        <v>140.64841225498247</v>
      </c>
      <c r="CH69" s="276">
        <f>+CH16*(1+'Conversion Factors'!$H16)</f>
        <v>0</v>
      </c>
      <c r="CI69" s="276">
        <f>+CI16*(1+'Conversion Factors'!$H16)</f>
        <v>0</v>
      </c>
      <c r="CJ69" s="276">
        <f>+CJ16*(1+'Conversion Factors'!$H16)</f>
        <v>17.098374941833335</v>
      </c>
      <c r="CK69" s="276">
        <f>+CK16*(1+'Conversion Factors'!$H16)</f>
        <v>0</v>
      </c>
      <c r="CL69" s="276">
        <f>+CL16*(1+'Conversion Factors'!$H16)</f>
        <v>16.928000000000001</v>
      </c>
      <c r="CM69" s="276">
        <f>+CM16*(1+'Conversion Factors'!$H16)</f>
        <v>0</v>
      </c>
      <c r="CN69" s="276">
        <f>+CN16*(1+'Conversion Factors'!$H16)</f>
        <v>0</v>
      </c>
      <c r="CO69" s="276">
        <f>+CO16*(1+'Conversion Factors'!$H16)</f>
        <v>0</v>
      </c>
      <c r="CP69" s="276">
        <f>+CP16*(1+'Conversion Factors'!$H16)</f>
        <v>0</v>
      </c>
      <c r="CQ69" s="276">
        <f>+CQ16*(1+'Conversion Factors'!$H16)</f>
        <v>0</v>
      </c>
      <c r="CR69" s="276">
        <f>+CR16*(1+'Conversion Factors'!$H16)</f>
        <v>0</v>
      </c>
      <c r="CS69" s="996">
        <f>+CS16*(1+'Conversion Factors'!$H16)</f>
        <v>0</v>
      </c>
      <c r="CT69" s="277">
        <f t="shared" si="42"/>
        <v>181.79845688577458</v>
      </c>
      <c r="CU69" s="276">
        <f>+CU16*(1+'Conversion Factors'!$H16)</f>
        <v>0</v>
      </c>
      <c r="CV69" s="276">
        <f>+CV16*(1+'Conversion Factors'!$H16)</f>
        <v>0</v>
      </c>
      <c r="CW69" s="276">
        <f>+CW16*(1+'Conversion Factors'!$H16)</f>
        <v>1.771268333333333</v>
      </c>
      <c r="CX69" s="276">
        <f>+CX16*(1+'Conversion Factors'!$H16)</f>
        <v>0</v>
      </c>
      <c r="CY69" s="1106">
        <f t="shared" si="43"/>
        <v>1.771268333333333</v>
      </c>
      <c r="CZ69" s="718">
        <f t="shared" si="37"/>
        <v>183.56972521910791</v>
      </c>
      <c r="DA69" s="162">
        <f t="shared" si="38"/>
        <v>183.56972521910791</v>
      </c>
      <c r="DB69" s="162">
        <f t="shared" si="44"/>
        <v>0</v>
      </c>
    </row>
    <row r="70" spans="1:106" x14ac:dyDescent="0.2">
      <c r="A70" s="269">
        <v>2006</v>
      </c>
      <c r="B70" s="275">
        <f>+B17*(1+'Conversion Factors'!$F17)</f>
        <v>14.062438635322195</v>
      </c>
      <c r="C70" s="276">
        <f>+C17*(1+'Conversion Factors'!$F17)</f>
        <v>0.42035550000000005</v>
      </c>
      <c r="D70" s="738">
        <f>+D17*(1+'Conversion Factors'!$F17)</f>
        <v>8.4827249999999993E-2</v>
      </c>
      <c r="E70" s="276">
        <f>+E17*(1+'Conversion Factors'!$F17)</f>
        <v>0.71272350543935825</v>
      </c>
      <c r="F70" s="276">
        <f>+F17*(1+'Conversion Factors'!$F17)</f>
        <v>0</v>
      </c>
      <c r="G70" s="738">
        <f>+G17*(1+'Conversion Factors'!$F17)</f>
        <v>0</v>
      </c>
      <c r="H70" s="276">
        <f>+H17*(1+'Conversion Factors'!$F17)</f>
        <v>0</v>
      </c>
      <c r="I70" s="276">
        <f>+I17*(1+'Conversion Factors'!$F17)</f>
        <v>0</v>
      </c>
      <c r="J70" s="738">
        <f>+J17*(1+'Conversion Factors'!$F17)</f>
        <v>0</v>
      </c>
      <c r="K70" s="276">
        <f>+K17*(1+'Conversion Factors'!$F17)</f>
        <v>0</v>
      </c>
      <c r="L70" s="276">
        <f>+L17*(1+'Conversion Factors'!$F17)</f>
        <v>0</v>
      </c>
      <c r="M70" s="276">
        <f>+M17*(1+'Conversion Factors'!$F17)</f>
        <v>0</v>
      </c>
      <c r="N70" s="276">
        <f>+N17*(1+'Conversion Factors'!$F17)</f>
        <v>0</v>
      </c>
      <c r="O70" s="738">
        <f>+O17*(1+'Conversion Factors'!$F17)</f>
        <v>31.881985213848687</v>
      </c>
      <c r="P70" s="276">
        <f>+P17*(1+'Conversion Factors'!$F17)</f>
        <v>0</v>
      </c>
      <c r="Q70" s="276">
        <f>+Q17*(1+'Conversion Factors'!$F17)</f>
        <v>0</v>
      </c>
      <c r="R70" s="276">
        <f>+R17*(1+'Conversion Factors'!$F17)</f>
        <v>3.8818380249999995</v>
      </c>
      <c r="S70" s="276">
        <f>+S17*(1+'Conversion Factors'!$F17)</f>
        <v>0</v>
      </c>
      <c r="T70" s="738">
        <f>+T17*(1+'Conversion Factors'!$F17)</f>
        <v>0</v>
      </c>
      <c r="U70" s="276">
        <f>+U17*(1+'Conversion Factors'!$F17)</f>
        <v>0</v>
      </c>
      <c r="V70" s="738">
        <f>+V17*(1+'Conversion Factors'!$F17)</f>
        <v>0</v>
      </c>
      <c r="W70" s="276">
        <f>+W17*(1+'Conversion Factors'!$F17)</f>
        <v>0</v>
      </c>
      <c r="X70" s="738">
        <f>+X17*(1+'Conversion Factors'!$F17)</f>
        <v>0</v>
      </c>
      <c r="Y70" s="738">
        <f>+Y17*(1+'Conversion Factors'!$F17)</f>
        <v>0</v>
      </c>
      <c r="Z70" s="738">
        <f>+Z17*(1+'Conversion Factors'!$F17)</f>
        <v>0</v>
      </c>
      <c r="AA70" s="738">
        <f>+AA17*(1+'Conversion Factors'!$F17)</f>
        <v>0</v>
      </c>
      <c r="AB70" s="679">
        <f t="shared" si="25"/>
        <v>51.044168129610242</v>
      </c>
      <c r="AC70" s="276">
        <f>+AC17*(1+'Conversion Factors'!$F17)</f>
        <v>0.57291674999999997</v>
      </c>
      <c r="AD70" s="276">
        <f>+AD17*(1+'Conversion Factors'!$F17)</f>
        <v>0</v>
      </c>
      <c r="AE70" s="276">
        <f>+AE17*(1+'Conversion Factors'!$F17)</f>
        <v>17.679000000000002</v>
      </c>
      <c r="AF70" s="276">
        <f>+AF17*(1+'Conversion Factors'!$F17)</f>
        <v>0</v>
      </c>
      <c r="AG70" s="277">
        <f t="shared" si="39"/>
        <v>18.251916750000003</v>
      </c>
      <c r="AH70" s="718">
        <f t="shared" si="27"/>
        <v>69.296084879610248</v>
      </c>
      <c r="AJ70" s="748">
        <v>2006</v>
      </c>
      <c r="AK70" s="276">
        <f>+AK17*(1+'Conversion Factors'!$G17)</f>
        <v>34.370428804295955</v>
      </c>
      <c r="AL70" s="276">
        <f>+AL17*(1+'Conversion Factors'!$G17)</f>
        <v>0.97385729999999993</v>
      </c>
      <c r="AM70" s="738">
        <f>+AM17*(1+'Conversion Factors'!$G17)</f>
        <v>6.4325999999999994E-2</v>
      </c>
      <c r="AN70" s="276">
        <f>+AN17*(1+'Conversion Factors'!$G17)</f>
        <v>0</v>
      </c>
      <c r="AO70" s="276">
        <f>+AO17*(1+'Conversion Factors'!$G17)</f>
        <v>0</v>
      </c>
      <c r="AP70" s="738">
        <f>+AP17*(1+'Conversion Factors'!$G17)</f>
        <v>0</v>
      </c>
      <c r="AQ70" s="276">
        <f>+AQ17*(1+'Conversion Factors'!$G17)</f>
        <v>0</v>
      </c>
      <c r="AR70" s="276">
        <f>+AR17*(1+'Conversion Factors'!$G17)</f>
        <v>0</v>
      </c>
      <c r="AS70" s="738">
        <f>+AS17*(1+'Conversion Factors'!$G17)</f>
        <v>0</v>
      </c>
      <c r="AT70" s="276">
        <f>+AT17*(1+'Conversion Factors'!$G17)</f>
        <v>0</v>
      </c>
      <c r="AU70" s="276">
        <f>+AU17*(1+'Conversion Factors'!$G17)</f>
        <v>0</v>
      </c>
      <c r="AV70" s="276">
        <f>+AV17*(1+'Conversion Factors'!$G17)</f>
        <v>0</v>
      </c>
      <c r="AW70" s="276">
        <f>+AW17*(1+'Conversion Factors'!$G17)</f>
        <v>0</v>
      </c>
      <c r="AX70" s="738">
        <f>+AX17*(1+'Conversion Factors'!$G17)</f>
        <v>11.942983016861493</v>
      </c>
      <c r="AY70" s="276">
        <f>+AY17*(1+'Conversion Factors'!$G17)</f>
        <v>0</v>
      </c>
      <c r="AZ70" s="276">
        <f>+AZ17*(1+'Conversion Factors'!$G17)</f>
        <v>0</v>
      </c>
      <c r="BA70" s="276">
        <f>+BA17*(1+'Conversion Factors'!$G17)</f>
        <v>2.7161759999999995</v>
      </c>
      <c r="BB70" s="276">
        <f>+BB17*(1+'Conversion Factors'!$G17)</f>
        <v>0</v>
      </c>
      <c r="BC70" s="738">
        <f>+BC17*(1+'Conversion Factors'!$G17)</f>
        <v>0</v>
      </c>
      <c r="BD70" s="276">
        <f>+BD17*(1+'Conversion Factors'!$G17)</f>
        <v>0</v>
      </c>
      <c r="BE70" s="738">
        <f>+BE17*(1+'Conversion Factors'!$G17)</f>
        <v>0</v>
      </c>
      <c r="BF70" s="276">
        <f>+BF17*(1+'Conversion Factors'!$G17)</f>
        <v>0</v>
      </c>
      <c r="BG70" s="738">
        <f>+BG17*(1+'Conversion Factors'!$G17)</f>
        <v>0</v>
      </c>
      <c r="BH70" s="738">
        <f>+BH17*(1+'Conversion Factors'!$G17)</f>
        <v>0</v>
      </c>
      <c r="BI70" s="276">
        <f>+BI17*(1+'Conversion Factors'!$G17)</f>
        <v>0</v>
      </c>
      <c r="BJ70" s="276">
        <f>+BJ17*(1+'Conversion Factors'!$G17)</f>
        <v>0</v>
      </c>
      <c r="BK70" s="277">
        <f t="shared" si="40"/>
        <v>50.067771121157442</v>
      </c>
      <c r="BL70" s="276">
        <f>+BL17*(1+'Conversion Factors'!$G17)</f>
        <v>0</v>
      </c>
      <c r="BM70" s="276">
        <f>+BM17*(1+'Conversion Factors'!$G17)</f>
        <v>0</v>
      </c>
      <c r="BN70" s="276">
        <f>+BN17*(1+'Conversion Factors'!$G17)</f>
        <v>17.465999999999998</v>
      </c>
      <c r="BO70" s="276">
        <f>+BO17*(1+'Conversion Factors'!$G17)</f>
        <v>0</v>
      </c>
      <c r="BP70" s="1106">
        <f t="shared" si="41"/>
        <v>17.465999999999998</v>
      </c>
      <c r="BQ70" s="718">
        <f t="shared" si="32"/>
        <v>67.533771121157443</v>
      </c>
      <c r="BS70" s="994">
        <v>2006</v>
      </c>
      <c r="BT70" s="275">
        <f>+BT17*(1+'Conversion Factors'!$H17)</f>
        <v>21.298208871892601</v>
      </c>
      <c r="BU70" s="276">
        <f>+BU17*(1+'Conversion Factors'!$H17)</f>
        <v>0.23348420100000003</v>
      </c>
      <c r="BV70" s="276">
        <f>+BV17*(1+'Conversion Factors'!$H17)</f>
        <v>0.35955072000000005</v>
      </c>
      <c r="BW70" s="276">
        <f>+BW17*(1+'Conversion Factors'!$H17)</f>
        <v>2.8148074041495241</v>
      </c>
      <c r="BX70" s="276">
        <f>+BX17*(1+'Conversion Factors'!$H17)</f>
        <v>0</v>
      </c>
      <c r="BY70" s="276">
        <f>+BY17*(1+'Conversion Factors'!$H17)</f>
        <v>0</v>
      </c>
      <c r="BZ70" s="276">
        <f>+BZ17*(1+'Conversion Factors'!$H17)</f>
        <v>0</v>
      </c>
      <c r="CA70" s="276">
        <f>+CA17*(1+'Conversion Factors'!$H17)</f>
        <v>0</v>
      </c>
      <c r="CB70" s="276">
        <f>+CB17*(1+'Conversion Factors'!$H17)</f>
        <v>0</v>
      </c>
      <c r="CC70" s="276">
        <f>+CC17*(1+'Conversion Factors'!$H17)</f>
        <v>0</v>
      </c>
      <c r="CD70" s="276">
        <f>+CD17*(1+'Conversion Factors'!$H17)</f>
        <v>0</v>
      </c>
      <c r="CE70" s="276">
        <f>+CE17*(1+'Conversion Factors'!$H17)</f>
        <v>0</v>
      </c>
      <c r="CF70" s="276">
        <f>+CF17*(1+'Conversion Factors'!$H17)</f>
        <v>0</v>
      </c>
      <c r="CG70" s="276">
        <f>+CG17*(1+'Conversion Factors'!$H17)</f>
        <v>148.01790808098247</v>
      </c>
      <c r="CH70" s="276">
        <f>+CH17*(1+'Conversion Factors'!$H17)</f>
        <v>0</v>
      </c>
      <c r="CI70" s="276">
        <f>+CI17*(1+'Conversion Factors'!$H17)</f>
        <v>0</v>
      </c>
      <c r="CJ70" s="276">
        <f>+CJ17*(1+'Conversion Factors'!$H17)</f>
        <v>18.030942870166673</v>
      </c>
      <c r="CK70" s="276">
        <f>+CK17*(1+'Conversion Factors'!$H17)</f>
        <v>0</v>
      </c>
      <c r="CL70" s="276">
        <f>+CL17*(1+'Conversion Factors'!$H17)</f>
        <v>16.928000000000001</v>
      </c>
      <c r="CM70" s="276">
        <f>+CM17*(1+'Conversion Factors'!$H17)</f>
        <v>0</v>
      </c>
      <c r="CN70" s="276">
        <f>+CN17*(1+'Conversion Factors'!$H17)</f>
        <v>0</v>
      </c>
      <c r="CO70" s="276">
        <f>+CO17*(1+'Conversion Factors'!$H17)</f>
        <v>0</v>
      </c>
      <c r="CP70" s="276">
        <f>+CP17*(1+'Conversion Factors'!$H17)</f>
        <v>0</v>
      </c>
      <c r="CQ70" s="276">
        <f>+CQ17*(1+'Conversion Factors'!$H17)</f>
        <v>0</v>
      </c>
      <c r="CR70" s="276">
        <f>+CR17*(1+'Conversion Factors'!$H17)</f>
        <v>0</v>
      </c>
      <c r="CS70" s="996">
        <f>+CS17*(1+'Conversion Factors'!$H17)</f>
        <v>0</v>
      </c>
      <c r="CT70" s="277">
        <f t="shared" si="42"/>
        <v>190.75490214819126</v>
      </c>
      <c r="CU70" s="276">
        <f>+CU17*(1+'Conversion Factors'!$H17)</f>
        <v>0</v>
      </c>
      <c r="CV70" s="276">
        <f>+CV17*(1+'Conversion Factors'!$H17)</f>
        <v>0</v>
      </c>
      <c r="CW70" s="276">
        <f>+CW17*(1+'Conversion Factors'!$H17)</f>
        <v>1.7474633333333338</v>
      </c>
      <c r="CX70" s="276">
        <f>+CX17*(1+'Conversion Factors'!$H17)</f>
        <v>0</v>
      </c>
      <c r="CY70" s="1106">
        <f t="shared" si="43"/>
        <v>1.7474633333333338</v>
      </c>
      <c r="CZ70" s="718">
        <f t="shared" si="37"/>
        <v>192.50236548152461</v>
      </c>
      <c r="DA70" s="162">
        <f t="shared" si="38"/>
        <v>192.50236548152461</v>
      </c>
      <c r="DB70" s="162">
        <f t="shared" si="44"/>
        <v>0</v>
      </c>
    </row>
    <row r="71" spans="1:106" x14ac:dyDescent="0.2">
      <c r="A71" s="269">
        <v>2007</v>
      </c>
      <c r="B71" s="275">
        <f>+B18*(1+'Conversion Factors'!$F18)</f>
        <v>14.114282835322193</v>
      </c>
      <c r="C71" s="276">
        <f>+C18*(1+'Conversion Factors'!$F18)</f>
        <v>0.42035550000000005</v>
      </c>
      <c r="D71" s="738">
        <f>+D18*(1+'Conversion Factors'!$F18)</f>
        <v>8.4827249999999993E-2</v>
      </c>
      <c r="E71" s="276">
        <f>+E18*(1+'Conversion Factors'!$F18)</f>
        <v>0.91416825543935831</v>
      </c>
      <c r="F71" s="276">
        <f>+F18*(1+'Conversion Factors'!$F18)</f>
        <v>0</v>
      </c>
      <c r="G71" s="738">
        <f>+G18*(1+'Conversion Factors'!$F18)</f>
        <v>0</v>
      </c>
      <c r="H71" s="276">
        <f>+H18*(1+'Conversion Factors'!$F18)</f>
        <v>0</v>
      </c>
      <c r="I71" s="276">
        <f>+I18*(1+'Conversion Factors'!$F18)</f>
        <v>0</v>
      </c>
      <c r="J71" s="738">
        <f>+J18*(1+'Conversion Factors'!$F18)</f>
        <v>0</v>
      </c>
      <c r="K71" s="276">
        <f>+K18*(1+'Conversion Factors'!$F18)</f>
        <v>0</v>
      </c>
      <c r="L71" s="276">
        <f>+L18*(1+'Conversion Factors'!$F18)</f>
        <v>0</v>
      </c>
      <c r="M71" s="276">
        <f>+M18*(1+'Conversion Factors'!$F18)</f>
        <v>0</v>
      </c>
      <c r="N71" s="276">
        <f>+N18*(1+'Conversion Factors'!$F18)</f>
        <v>0</v>
      </c>
      <c r="O71" s="738">
        <f>+O18*(1+'Conversion Factors'!$F18)</f>
        <v>32.990607613848688</v>
      </c>
      <c r="P71" s="276">
        <f>+P18*(1+'Conversion Factors'!$F18)</f>
        <v>0</v>
      </c>
      <c r="Q71" s="276">
        <f>+Q18*(1+'Conversion Factors'!$F18)</f>
        <v>0</v>
      </c>
      <c r="R71" s="276">
        <f>+R18*(1+'Conversion Factors'!$F18)</f>
        <v>5.2508635749999995</v>
      </c>
      <c r="S71" s="276">
        <f>+S18*(1+'Conversion Factors'!$F18)</f>
        <v>0</v>
      </c>
      <c r="T71" s="738">
        <f>+T18*(1+'Conversion Factors'!$F18)</f>
        <v>0</v>
      </c>
      <c r="U71" s="276">
        <f>+U18*(1+'Conversion Factors'!$F18)</f>
        <v>0</v>
      </c>
      <c r="V71" s="738">
        <f>+V18*(1+'Conversion Factors'!$F18)</f>
        <v>0</v>
      </c>
      <c r="W71" s="276">
        <f>+W18*(1+'Conversion Factors'!$F18)</f>
        <v>0</v>
      </c>
      <c r="X71" s="738">
        <f>+X18*(1+'Conversion Factors'!$F18)</f>
        <v>0</v>
      </c>
      <c r="Y71" s="738">
        <f>+Y18*(1+'Conversion Factors'!$F18)</f>
        <v>0</v>
      </c>
      <c r="Z71" s="738">
        <f>+Z18*(1+'Conversion Factors'!$F18)</f>
        <v>0</v>
      </c>
      <c r="AA71" s="738">
        <f>+AA18*(1+'Conversion Factors'!$F18)</f>
        <v>0</v>
      </c>
      <c r="AB71" s="679">
        <f t="shared" si="25"/>
        <v>53.775105029610238</v>
      </c>
      <c r="AC71" s="276">
        <f>+AC18*(1+'Conversion Factors'!$F18)</f>
        <v>0.44719350000000002</v>
      </c>
      <c r="AD71" s="276">
        <f>+AD18*(1+'Conversion Factors'!$F18)</f>
        <v>0</v>
      </c>
      <c r="AE71" s="276">
        <f>+AE18*(1+'Conversion Factors'!$F18)</f>
        <v>17.679000000000002</v>
      </c>
      <c r="AF71" s="276">
        <f>+AF18*(1+'Conversion Factors'!$F18)</f>
        <v>0</v>
      </c>
      <c r="AG71" s="277">
        <f t="shared" si="39"/>
        <v>18.126193500000003</v>
      </c>
      <c r="AH71" s="718">
        <f t="shared" si="27"/>
        <v>71.901298529610244</v>
      </c>
      <c r="AJ71" s="748">
        <v>2007</v>
      </c>
      <c r="AK71" s="276">
        <f>+AK18*(1+'Conversion Factors'!$G18)</f>
        <v>34.408704904295952</v>
      </c>
      <c r="AL71" s="276">
        <f>+AL18*(1+'Conversion Factors'!$G18)</f>
        <v>0.97385729999999993</v>
      </c>
      <c r="AM71" s="738">
        <f>+AM18*(1+'Conversion Factors'!$G18)</f>
        <v>6.4325999999999994E-2</v>
      </c>
      <c r="AN71" s="276">
        <f>+AN18*(1+'Conversion Factors'!$G18)</f>
        <v>0</v>
      </c>
      <c r="AO71" s="276">
        <f>+AO18*(1+'Conversion Factors'!$G18)</f>
        <v>0</v>
      </c>
      <c r="AP71" s="738">
        <f>+AP18*(1+'Conversion Factors'!$G18)</f>
        <v>0</v>
      </c>
      <c r="AQ71" s="276">
        <f>+AQ18*(1+'Conversion Factors'!$G18)</f>
        <v>0</v>
      </c>
      <c r="AR71" s="276">
        <f>+AR18*(1+'Conversion Factors'!$G18)</f>
        <v>0</v>
      </c>
      <c r="AS71" s="738">
        <f>+AS18*(1+'Conversion Factors'!$G18)</f>
        <v>0</v>
      </c>
      <c r="AT71" s="276">
        <f>+AT18*(1+'Conversion Factors'!$G18)</f>
        <v>0</v>
      </c>
      <c r="AU71" s="276">
        <f>+AU18*(1+'Conversion Factors'!$G18)</f>
        <v>0</v>
      </c>
      <c r="AV71" s="276">
        <f>+AV18*(1+'Conversion Factors'!$G18)</f>
        <v>0</v>
      </c>
      <c r="AW71" s="276">
        <f>+AW18*(1+'Conversion Factors'!$G18)</f>
        <v>0</v>
      </c>
      <c r="AX71" s="738">
        <f>+AX18*(1+'Conversion Factors'!$G18)</f>
        <v>12.183460016861492</v>
      </c>
      <c r="AY71" s="276">
        <f>+AY18*(1+'Conversion Factors'!$G18)</f>
        <v>0</v>
      </c>
      <c r="AZ71" s="276">
        <f>+AZ18*(1+'Conversion Factors'!$G18)</f>
        <v>0</v>
      </c>
      <c r="BA71" s="276">
        <f>+BA18*(1+'Conversion Factors'!$G18)</f>
        <v>3.3300952499999994</v>
      </c>
      <c r="BB71" s="276">
        <f>+BB18*(1+'Conversion Factors'!$G18)</f>
        <v>0</v>
      </c>
      <c r="BC71" s="738">
        <f>+BC18*(1+'Conversion Factors'!$G18)</f>
        <v>0</v>
      </c>
      <c r="BD71" s="276">
        <f>+BD18*(1+'Conversion Factors'!$G18)</f>
        <v>0</v>
      </c>
      <c r="BE71" s="738">
        <f>+BE18*(1+'Conversion Factors'!$G18)</f>
        <v>0</v>
      </c>
      <c r="BF71" s="276">
        <f>+BF18*(1+'Conversion Factors'!$G18)</f>
        <v>0</v>
      </c>
      <c r="BG71" s="738">
        <f>+BG18*(1+'Conversion Factors'!$G18)</f>
        <v>0</v>
      </c>
      <c r="BH71" s="738">
        <f>+BH18*(1+'Conversion Factors'!$G18)</f>
        <v>0</v>
      </c>
      <c r="BI71" s="276">
        <f>+BI18*(1+'Conversion Factors'!$G18)</f>
        <v>0</v>
      </c>
      <c r="BJ71" s="276">
        <f>+BJ18*(1+'Conversion Factors'!$G18)</f>
        <v>0</v>
      </c>
      <c r="BK71" s="277">
        <f t="shared" si="40"/>
        <v>50.960443471157447</v>
      </c>
      <c r="BL71" s="276">
        <f>+BL18*(1+'Conversion Factors'!$G18)</f>
        <v>0</v>
      </c>
      <c r="BM71" s="276">
        <f>+BM18*(1+'Conversion Factors'!$G18)</f>
        <v>0</v>
      </c>
      <c r="BN71" s="276">
        <f>+BN18*(1+'Conversion Factors'!$G18)</f>
        <v>17.998499999999996</v>
      </c>
      <c r="BO71" s="276">
        <f>+BO18*(1+'Conversion Factors'!$G18)</f>
        <v>0</v>
      </c>
      <c r="BP71" s="1106">
        <f t="shared" si="41"/>
        <v>17.998499999999996</v>
      </c>
      <c r="BQ71" s="718">
        <f t="shared" si="32"/>
        <v>68.95894347115744</v>
      </c>
      <c r="BS71" s="994">
        <v>2007</v>
      </c>
      <c r="BT71" s="275">
        <f>+BT18*(1+'Conversion Factors'!$H18)</f>
        <v>21.517742284892602</v>
      </c>
      <c r="BU71" s="276">
        <f>+BU18*(1+'Conversion Factors'!$H18)</f>
        <v>0.23348420100000003</v>
      </c>
      <c r="BV71" s="276">
        <f>+BV18*(1+'Conversion Factors'!$H18)</f>
        <v>0.35955072000000005</v>
      </c>
      <c r="BW71" s="276">
        <f>+BW18*(1+'Conversion Factors'!$H18)</f>
        <v>3.6013330681495241</v>
      </c>
      <c r="BX71" s="276">
        <f>+BX18*(1+'Conversion Factors'!$H18)</f>
        <v>0</v>
      </c>
      <c r="BY71" s="276">
        <f>+BY18*(1+'Conversion Factors'!$H18)</f>
        <v>0</v>
      </c>
      <c r="BZ71" s="276">
        <f>+BZ18*(1+'Conversion Factors'!$H18)</f>
        <v>0</v>
      </c>
      <c r="CA71" s="276">
        <f>+CA18*(1+'Conversion Factors'!$H18)</f>
        <v>0</v>
      </c>
      <c r="CB71" s="276">
        <f>+CB18*(1+'Conversion Factors'!$H18)</f>
        <v>0</v>
      </c>
      <c r="CC71" s="276">
        <f>+CC18*(1+'Conversion Factors'!$H18)</f>
        <v>0</v>
      </c>
      <c r="CD71" s="276">
        <f>+CD18*(1+'Conversion Factors'!$H18)</f>
        <v>0</v>
      </c>
      <c r="CE71" s="276">
        <f>+CE18*(1+'Conversion Factors'!$H18)</f>
        <v>0</v>
      </c>
      <c r="CF71" s="276">
        <f>+CF18*(1+'Conversion Factors'!$H18)</f>
        <v>0</v>
      </c>
      <c r="CG71" s="276">
        <f>+CG18*(1+'Conversion Factors'!$H18)</f>
        <v>154.83491524898247</v>
      </c>
      <c r="CH71" s="276">
        <f>+CH18*(1+'Conversion Factors'!$H18)</f>
        <v>0</v>
      </c>
      <c r="CI71" s="276">
        <f>+CI18*(1+'Conversion Factors'!$H18)</f>
        <v>0</v>
      </c>
      <c r="CJ71" s="276">
        <f>+CJ18*(1+'Conversion Factors'!$H18)</f>
        <v>20.301489162166671</v>
      </c>
      <c r="CK71" s="276">
        <f>+CK18*(1+'Conversion Factors'!$H18)</f>
        <v>0</v>
      </c>
      <c r="CL71" s="276">
        <f>+CL18*(1+'Conversion Factors'!$H18)</f>
        <v>16.928000000000001</v>
      </c>
      <c r="CM71" s="276">
        <f>+CM18*(1+'Conversion Factors'!$H18)</f>
        <v>0</v>
      </c>
      <c r="CN71" s="276">
        <f>+CN18*(1+'Conversion Factors'!$H18)</f>
        <v>0</v>
      </c>
      <c r="CO71" s="276">
        <f>+CO18*(1+'Conversion Factors'!$H18)</f>
        <v>0</v>
      </c>
      <c r="CP71" s="276">
        <f>+CP18*(1+'Conversion Factors'!$H18)</f>
        <v>0</v>
      </c>
      <c r="CQ71" s="276">
        <f>+CQ18*(1+'Conversion Factors'!$H18)</f>
        <v>0</v>
      </c>
      <c r="CR71" s="276">
        <f>+CR18*(1+'Conversion Factors'!$H18)</f>
        <v>0</v>
      </c>
      <c r="CS71" s="996">
        <f>+CS18*(1+'Conversion Factors'!$H18)</f>
        <v>0</v>
      </c>
      <c r="CT71" s="277">
        <f t="shared" si="42"/>
        <v>200.84851468519125</v>
      </c>
      <c r="CU71" s="276">
        <f>+CU18*(1+'Conversion Factors'!$H18)</f>
        <v>0</v>
      </c>
      <c r="CV71" s="276">
        <f>+CV18*(1+'Conversion Factors'!$H18)</f>
        <v>0</v>
      </c>
      <c r="CW71" s="276">
        <f>+CW18*(1+'Conversion Factors'!$H18)</f>
        <v>1.7695050000000003</v>
      </c>
      <c r="CX71" s="276">
        <f>+CX18*(1+'Conversion Factors'!$H18)</f>
        <v>0</v>
      </c>
      <c r="CY71" s="1106">
        <f t="shared" si="43"/>
        <v>1.7695050000000003</v>
      </c>
      <c r="CZ71" s="718">
        <f t="shared" si="37"/>
        <v>202.61801968519126</v>
      </c>
      <c r="DA71" s="162">
        <f t="shared" si="38"/>
        <v>202.61801968519126</v>
      </c>
      <c r="DB71" s="162">
        <f t="shared" si="44"/>
        <v>0</v>
      </c>
    </row>
    <row r="72" spans="1:106" x14ac:dyDescent="0.2">
      <c r="A72" s="269">
        <v>2008</v>
      </c>
      <c r="B72" s="275">
        <f>+B19*(1+'Conversion Factors'!$F19)</f>
        <v>14.181931635322194</v>
      </c>
      <c r="C72" s="276">
        <f>+C19*(1+'Conversion Factors'!$F19)</f>
        <v>0.42035550000000005</v>
      </c>
      <c r="D72" s="738">
        <f>+D19*(1+'Conversion Factors'!$F19)</f>
        <v>8.4827249999999993E-2</v>
      </c>
      <c r="E72" s="276">
        <f>+E19*(1+'Conversion Factors'!$F19)</f>
        <v>1.0289007054393584</v>
      </c>
      <c r="F72" s="276">
        <f>+F19*(1+'Conversion Factors'!$F19)</f>
        <v>1.3014299999999998E-2</v>
      </c>
      <c r="G72" s="738">
        <f>+G19*(1+'Conversion Factors'!$F19)</f>
        <v>1.9436249999999998E-3</v>
      </c>
      <c r="H72" s="276">
        <f>+H19*(1+'Conversion Factors'!$F19)</f>
        <v>0</v>
      </c>
      <c r="I72" s="276">
        <f>+I19*(1+'Conversion Factors'!$F19)</f>
        <v>0</v>
      </c>
      <c r="J72" s="738">
        <f>+J19*(1+'Conversion Factors'!$F19)</f>
        <v>0</v>
      </c>
      <c r="K72" s="276">
        <f>+K19*(1+'Conversion Factors'!$F19)</f>
        <v>0.10091407499999999</v>
      </c>
      <c r="L72" s="276">
        <f>+L19*(1+'Conversion Factors'!$F19)</f>
        <v>5.230214999999999E-3</v>
      </c>
      <c r="M72" s="276">
        <f>+M19*(1+'Conversion Factors'!$F19)</f>
        <v>0</v>
      </c>
      <c r="N72" s="276">
        <f>+N19*(1+'Conversion Factors'!$F19)</f>
        <v>0</v>
      </c>
      <c r="O72" s="738">
        <f>+O19*(1+'Conversion Factors'!$F19)</f>
        <v>34.855006198848685</v>
      </c>
      <c r="P72" s="276">
        <f>+P19*(1+'Conversion Factors'!$F19)</f>
        <v>0</v>
      </c>
      <c r="Q72" s="276">
        <f>+Q19*(1+'Conversion Factors'!$F19)</f>
        <v>0</v>
      </c>
      <c r="R72" s="276">
        <f>+R19*(1+'Conversion Factors'!$F19)</f>
        <v>5.2508635749999995</v>
      </c>
      <c r="S72" s="276">
        <f>+S19*(1+'Conversion Factors'!$F19)</f>
        <v>0</v>
      </c>
      <c r="T72" s="738">
        <f>+T19*(1+'Conversion Factors'!$F19)</f>
        <v>0</v>
      </c>
      <c r="U72" s="276">
        <f>+U19*(1+'Conversion Factors'!$F19)</f>
        <v>0</v>
      </c>
      <c r="V72" s="738">
        <f>+V19*(1+'Conversion Factors'!$F19)</f>
        <v>0</v>
      </c>
      <c r="W72" s="276">
        <f>+W19*(1+'Conversion Factors'!$F19)</f>
        <v>0</v>
      </c>
      <c r="X72" s="738">
        <f>+X19*(1+'Conversion Factors'!$F19)</f>
        <v>0</v>
      </c>
      <c r="Y72" s="738">
        <f>+Y19*(1+'Conversion Factors'!$F19)</f>
        <v>0</v>
      </c>
      <c r="Z72" s="738">
        <f>+Z19*(1+'Conversion Factors'!$F19)</f>
        <v>0</v>
      </c>
      <c r="AA72" s="738">
        <f>+AA19*(1+'Conversion Factors'!$F19)</f>
        <v>0</v>
      </c>
      <c r="AB72" s="679">
        <f t="shared" si="25"/>
        <v>55.942987079610234</v>
      </c>
      <c r="AC72" s="276">
        <f>+AC19*(1+'Conversion Factors'!$F19)</f>
        <v>0.44719350000000002</v>
      </c>
      <c r="AD72" s="276">
        <f>+AD19*(1+'Conversion Factors'!$F19)</f>
        <v>0</v>
      </c>
      <c r="AE72" s="276">
        <f>+AE19*(1+'Conversion Factors'!$F19)</f>
        <v>17.679000000000002</v>
      </c>
      <c r="AF72" s="276">
        <f>+AF19*(1+'Conversion Factors'!$F19)</f>
        <v>37.117513125000002</v>
      </c>
      <c r="AG72" s="277">
        <f t="shared" si="39"/>
        <v>55.243706625000002</v>
      </c>
      <c r="AH72" s="718">
        <f t="shared" si="27"/>
        <v>111.18669370461024</v>
      </c>
      <c r="AJ72" s="748">
        <v>2008</v>
      </c>
      <c r="AK72" s="276">
        <f>+AK19*(1+'Conversion Factors'!$G19)</f>
        <v>34.448195104295955</v>
      </c>
      <c r="AL72" s="276">
        <f>+AL19*(1+'Conversion Factors'!$G19)</f>
        <v>0.97385729999999993</v>
      </c>
      <c r="AM72" s="738">
        <f>+AM19*(1+'Conversion Factors'!$G19)</f>
        <v>6.4325999999999994E-2</v>
      </c>
      <c r="AN72" s="276">
        <f>+AN19*(1+'Conversion Factors'!$G19)</f>
        <v>0</v>
      </c>
      <c r="AO72" s="276">
        <f>+AO19*(1+'Conversion Factors'!$G19)</f>
        <v>0</v>
      </c>
      <c r="AP72" s="738">
        <f>+AP19*(1+'Conversion Factors'!$G19)</f>
        <v>0</v>
      </c>
      <c r="AQ72" s="276">
        <f>+AQ19*(1+'Conversion Factors'!$G19)</f>
        <v>0</v>
      </c>
      <c r="AR72" s="276">
        <f>+AR19*(1+'Conversion Factors'!$G19)</f>
        <v>0</v>
      </c>
      <c r="AS72" s="738">
        <f>+AS19*(1+'Conversion Factors'!$G19)</f>
        <v>0</v>
      </c>
      <c r="AT72" s="276">
        <f>+AT19*(1+'Conversion Factors'!$G19)</f>
        <v>0</v>
      </c>
      <c r="AU72" s="276">
        <f>+AU19*(1+'Conversion Factors'!$G19)</f>
        <v>0</v>
      </c>
      <c r="AV72" s="276">
        <f>+AV19*(1+'Conversion Factors'!$G19)</f>
        <v>0</v>
      </c>
      <c r="AW72" s="276">
        <f>+AW19*(1+'Conversion Factors'!$G19)</f>
        <v>0</v>
      </c>
      <c r="AX72" s="738">
        <f>+AX19*(1+'Conversion Factors'!$G19)</f>
        <v>13.141278416861493</v>
      </c>
      <c r="AY72" s="276">
        <f>+AY19*(1+'Conversion Factors'!$G19)</f>
        <v>0</v>
      </c>
      <c r="AZ72" s="276">
        <f>+AZ19*(1+'Conversion Factors'!$G19)</f>
        <v>0</v>
      </c>
      <c r="BA72" s="276">
        <f>+BA19*(1+'Conversion Factors'!$G19)</f>
        <v>3.3300952499999994</v>
      </c>
      <c r="BB72" s="276">
        <f>+BB19*(1+'Conversion Factors'!$G19)</f>
        <v>0</v>
      </c>
      <c r="BC72" s="738">
        <f>+BC19*(1+'Conversion Factors'!$G19)</f>
        <v>0</v>
      </c>
      <c r="BD72" s="276">
        <f>+BD19*(1+'Conversion Factors'!$G19)</f>
        <v>0</v>
      </c>
      <c r="BE72" s="738">
        <f>+BE19*(1+'Conversion Factors'!$G19)</f>
        <v>0</v>
      </c>
      <c r="BF72" s="276">
        <f>+BF19*(1+'Conversion Factors'!$G19)</f>
        <v>0</v>
      </c>
      <c r="BG72" s="738">
        <f>+BG19*(1+'Conversion Factors'!$G19)</f>
        <v>0</v>
      </c>
      <c r="BH72" s="738">
        <f>+BH19*(1+'Conversion Factors'!$G19)</f>
        <v>0</v>
      </c>
      <c r="BI72" s="276">
        <f>+BI19*(1+'Conversion Factors'!$G19)</f>
        <v>0</v>
      </c>
      <c r="BJ72" s="276">
        <f>+BJ19*(1+'Conversion Factors'!$G19)</f>
        <v>0</v>
      </c>
      <c r="BK72" s="277">
        <f t="shared" si="40"/>
        <v>51.957752071157444</v>
      </c>
      <c r="BL72" s="276">
        <f>+BL19*(1+'Conversion Factors'!$G19)</f>
        <v>0</v>
      </c>
      <c r="BM72" s="276">
        <f>+BM19*(1+'Conversion Factors'!$G19)</f>
        <v>0</v>
      </c>
      <c r="BN72" s="276">
        <f>+BN19*(1+'Conversion Factors'!$G19)</f>
        <v>24.282</v>
      </c>
      <c r="BO72" s="276">
        <f>+BO19*(1+'Conversion Factors'!$G19)</f>
        <v>37.117513125000002</v>
      </c>
      <c r="BP72" s="1106">
        <f t="shared" si="41"/>
        <v>61.399513124999999</v>
      </c>
      <c r="BQ72" s="718">
        <f t="shared" si="32"/>
        <v>113.35726519615744</v>
      </c>
      <c r="BS72" s="994">
        <v>2008</v>
      </c>
      <c r="BT72" s="275">
        <f>+BT19*(1+'Conversion Factors'!$H19)</f>
        <v>21.804200016892601</v>
      </c>
      <c r="BU72" s="276">
        <f>+BU19*(1+'Conversion Factors'!$H19)</f>
        <v>0.23348420100000003</v>
      </c>
      <c r="BV72" s="276">
        <f>+BV19*(1+'Conversion Factors'!$H19)</f>
        <v>0.35955072000000005</v>
      </c>
      <c r="BW72" s="276">
        <f>+BW19*(1+'Conversion Factors'!$H19)</f>
        <v>4.0548468841495247</v>
      </c>
      <c r="BX72" s="276">
        <f>+BX19*(1+'Conversion Factors'!$H19)</f>
        <v>1.8815472000000003E-2</v>
      </c>
      <c r="BY72" s="276">
        <f>+BY19*(1+'Conversion Factors'!$H19)</f>
        <v>6.7712000000000007E-3</v>
      </c>
      <c r="BZ72" s="276">
        <f>+BZ19*(1+'Conversion Factors'!$H19)</f>
        <v>0</v>
      </c>
      <c r="CA72" s="276">
        <f>+CA19*(1+'Conversion Factors'!$H19)</f>
        <v>0</v>
      </c>
      <c r="CB72" s="276">
        <f>+CB19*(1+'Conversion Factors'!$H19)</f>
        <v>0</v>
      </c>
      <c r="CC72" s="276">
        <f>+CC19*(1+'Conversion Factors'!$H19)</f>
        <v>0.34365691500000001</v>
      </c>
      <c r="CD72" s="276">
        <f>+CD19*(1+'Conversion Factors'!$H19)</f>
        <v>1.1589861000000002E-2</v>
      </c>
      <c r="CE72" s="276">
        <f>+CE19*(1+'Conversion Factors'!$H19)</f>
        <v>0</v>
      </c>
      <c r="CF72" s="276">
        <f>+CF19*(1+'Conversion Factors'!$H19)</f>
        <v>0</v>
      </c>
      <c r="CG72" s="276">
        <f>+CG19*(1+'Conversion Factors'!$H19)</f>
        <v>167.98605489358249</v>
      </c>
      <c r="CH72" s="276">
        <f>+CH19*(1+'Conversion Factors'!$H19)</f>
        <v>0</v>
      </c>
      <c r="CI72" s="276">
        <f>+CI19*(1+'Conversion Factors'!$H19)</f>
        <v>0</v>
      </c>
      <c r="CJ72" s="276">
        <f>+CJ19*(1+'Conversion Factors'!$H19)</f>
        <v>20.301489162166671</v>
      </c>
      <c r="CK72" s="276">
        <f>+CK19*(1+'Conversion Factors'!$H19)</f>
        <v>0</v>
      </c>
      <c r="CL72" s="276">
        <f>+CL19*(1+'Conversion Factors'!$H19)</f>
        <v>16.928000000000001</v>
      </c>
      <c r="CM72" s="276">
        <f>+CM19*(1+'Conversion Factors'!$H19)</f>
        <v>0</v>
      </c>
      <c r="CN72" s="276">
        <f>+CN19*(1+'Conversion Factors'!$H19)</f>
        <v>0</v>
      </c>
      <c r="CO72" s="276">
        <f>+CO19*(1+'Conversion Factors'!$H19)</f>
        <v>0</v>
      </c>
      <c r="CP72" s="276">
        <f>+CP19*(1+'Conversion Factors'!$H19)</f>
        <v>0</v>
      </c>
      <c r="CQ72" s="276">
        <f>+CQ19*(1+'Conversion Factors'!$H19)</f>
        <v>0</v>
      </c>
      <c r="CR72" s="276">
        <f>+CR19*(1+'Conversion Factors'!$H19)</f>
        <v>0</v>
      </c>
      <c r="CS72" s="996">
        <f>+CS19*(1+'Conversion Factors'!$H19)</f>
        <v>0</v>
      </c>
      <c r="CT72" s="277">
        <f t="shared" si="42"/>
        <v>215.12045932579127</v>
      </c>
      <c r="CU72" s="276">
        <f>+CU19*(1+'Conversion Factors'!$H19)</f>
        <v>0</v>
      </c>
      <c r="CV72" s="276">
        <f>+CV19*(1+'Conversion Factors'!$H19)</f>
        <v>0</v>
      </c>
      <c r="CW72" s="276">
        <f>+CW19*(1+'Conversion Factors'!$H19)</f>
        <v>2.0295966666666665</v>
      </c>
      <c r="CX72" s="276">
        <f>+CX19*(1+'Conversion Factors'!$H19)</f>
        <v>1.1637883620000002</v>
      </c>
      <c r="CY72" s="1106">
        <f t="shared" si="43"/>
        <v>3.1933850286666665</v>
      </c>
      <c r="CZ72" s="718">
        <f t="shared" si="37"/>
        <v>218.31384435445793</v>
      </c>
      <c r="DA72" s="162">
        <f t="shared" si="38"/>
        <v>216.76922254445793</v>
      </c>
      <c r="DB72" s="162">
        <f t="shared" si="44"/>
        <v>1.5446218099999953</v>
      </c>
    </row>
    <row r="73" spans="1:106" x14ac:dyDescent="0.2">
      <c r="A73" s="269">
        <v>2009</v>
      </c>
      <c r="B73" s="275">
        <f>+B20*(1+'Conversion Factors'!$F20)</f>
        <v>14.266237035322193</v>
      </c>
      <c r="C73" s="276">
        <f>+C20*(1+'Conversion Factors'!$F20)</f>
        <v>0.42035550000000005</v>
      </c>
      <c r="D73" s="738">
        <f>+D20*(1+'Conversion Factors'!$F20)</f>
        <v>8.4827249999999993E-2</v>
      </c>
      <c r="E73" s="276">
        <f>+E20*(1+'Conversion Factors'!$F20)</f>
        <v>1.2924382591128278</v>
      </c>
      <c r="F73" s="276">
        <f>+F20*(1+'Conversion Factors'!$F20)</f>
        <v>0.32260447499999995</v>
      </c>
      <c r="G73" s="738">
        <f>+G20*(1+'Conversion Factors'!$F20)</f>
        <v>1.7378566935483869E-2</v>
      </c>
      <c r="H73" s="276">
        <f>+H20*(1+'Conversion Factors'!$F20)</f>
        <v>0</v>
      </c>
      <c r="I73" s="276">
        <f>+I20*(1+'Conversion Factors'!$F20)</f>
        <v>0</v>
      </c>
      <c r="J73" s="738">
        <f>+J20*(1+'Conversion Factors'!$F20)</f>
        <v>1.1715E-3</v>
      </c>
      <c r="K73" s="276">
        <f>+K20*(1+'Conversion Factors'!$F20)</f>
        <v>0.62127307500000006</v>
      </c>
      <c r="L73" s="276">
        <f>+L20*(1+'Conversion Factors'!$F20)</f>
        <v>4.806952049999999E-2</v>
      </c>
      <c r="M73" s="276">
        <f>+M20*(1+'Conversion Factors'!$F20)</f>
        <v>0</v>
      </c>
      <c r="N73" s="276">
        <f>+N20*(1+'Conversion Factors'!$F20)</f>
        <v>0</v>
      </c>
      <c r="O73" s="738">
        <f>+O20*(1+'Conversion Factors'!$F20)</f>
        <v>37.157951548848686</v>
      </c>
      <c r="P73" s="276">
        <f>+P20*(1+'Conversion Factors'!$F20)</f>
        <v>0</v>
      </c>
      <c r="Q73" s="276">
        <f>+Q20*(1+'Conversion Factors'!$F20)</f>
        <v>0</v>
      </c>
      <c r="R73" s="276">
        <f>+R20*(1+'Conversion Factors'!$F20)</f>
        <v>5.2508635749999995</v>
      </c>
      <c r="S73" s="276">
        <f>+S20*(1+'Conversion Factors'!$F20)</f>
        <v>0</v>
      </c>
      <c r="T73" s="738">
        <f>+T20*(1+'Conversion Factors'!$F20)</f>
        <v>0</v>
      </c>
      <c r="U73" s="276">
        <f>+U20*(1+'Conversion Factors'!$F20)</f>
        <v>0</v>
      </c>
      <c r="V73" s="738">
        <f>+V20*(1+'Conversion Factors'!$F20)</f>
        <v>0</v>
      </c>
      <c r="W73" s="276">
        <f>+W20*(1+'Conversion Factors'!$F20)</f>
        <v>0</v>
      </c>
      <c r="X73" s="738">
        <f>+X20*(1+'Conversion Factors'!$F20)</f>
        <v>0</v>
      </c>
      <c r="Y73" s="738">
        <f>+Y20*(1+'Conversion Factors'!$F20)</f>
        <v>0</v>
      </c>
      <c r="Z73" s="738">
        <f>+Z20*(1+'Conversion Factors'!$F20)</f>
        <v>0</v>
      </c>
      <c r="AA73" s="738">
        <f>+AA20*(1+'Conversion Factors'!$F20)</f>
        <v>0</v>
      </c>
      <c r="AB73" s="679">
        <f t="shared" si="25"/>
        <v>59.483170305719192</v>
      </c>
      <c r="AC73" s="276">
        <f>+AC20*(1+'Conversion Factors'!$F20)</f>
        <v>0.21513000000000002</v>
      </c>
      <c r="AD73" s="276">
        <f>+AD20*(1+'Conversion Factors'!$F20)</f>
        <v>0</v>
      </c>
      <c r="AE73" s="276">
        <f>+AE20*(1+'Conversion Factors'!$F20)</f>
        <v>40.150500000000001</v>
      </c>
      <c r="AF73" s="276">
        <f>+AF20*(1+'Conversion Factors'!$F20)</f>
        <v>37.117513125000002</v>
      </c>
      <c r="AG73" s="277">
        <f t="shared" si="39"/>
        <v>77.483143124999998</v>
      </c>
      <c r="AH73" s="719">
        <f t="shared" si="27"/>
        <v>136.9663134307192</v>
      </c>
      <c r="AI73" s="2"/>
      <c r="AJ73" s="748">
        <v>2009</v>
      </c>
      <c r="AK73" s="276">
        <f>+AK20*(1+'Conversion Factors'!$G20)</f>
        <v>34.51017810429596</v>
      </c>
      <c r="AL73" s="276">
        <f>+AL20*(1+'Conversion Factors'!$G20)</f>
        <v>0.97385729999999993</v>
      </c>
      <c r="AM73" s="738">
        <f>+AM20*(1+'Conversion Factors'!$G20)</f>
        <v>6.4325999999999994E-2</v>
      </c>
      <c r="AN73" s="276">
        <f>+AN20*(1+'Conversion Factors'!$G20)</f>
        <v>0</v>
      </c>
      <c r="AO73" s="276">
        <f>+AO20*(1+'Conversion Factors'!$G20)</f>
        <v>9.4146000000000004E-3</v>
      </c>
      <c r="AP73" s="738">
        <f>+AP20*(1+'Conversion Factors'!$G20)</f>
        <v>1.2367741935483868E-4</v>
      </c>
      <c r="AQ73" s="276">
        <f>+AQ20*(1+'Conversion Factors'!$G20)</f>
        <v>0</v>
      </c>
      <c r="AR73" s="276">
        <f>+AR20*(1+'Conversion Factors'!$G20)</f>
        <v>0</v>
      </c>
      <c r="AS73" s="738">
        <f>+AS20*(1+'Conversion Factors'!$G20)</f>
        <v>0</v>
      </c>
      <c r="AT73" s="276">
        <f>+AT20*(1+'Conversion Factors'!$G20)</f>
        <v>0.11430582352941178</v>
      </c>
      <c r="AU73" s="276">
        <f>+AU20*(1+'Conversion Factors'!$G20)</f>
        <v>1.1175470999999999E-2</v>
      </c>
      <c r="AV73" s="276">
        <f>+AV20*(1+'Conversion Factors'!$G20)</f>
        <v>0</v>
      </c>
      <c r="AW73" s="276">
        <f>+AW20*(1+'Conversion Factors'!$G20)</f>
        <v>0</v>
      </c>
      <c r="AX73" s="738">
        <f>+AX20*(1+'Conversion Factors'!$G20)</f>
        <v>13.820451738290064</v>
      </c>
      <c r="AY73" s="276">
        <f>+AY20*(1+'Conversion Factors'!$G20)</f>
        <v>0</v>
      </c>
      <c r="AZ73" s="276">
        <f>+AZ20*(1+'Conversion Factors'!$G20)</f>
        <v>0</v>
      </c>
      <c r="BA73" s="276">
        <f>+BA20*(1+'Conversion Factors'!$G20)</f>
        <v>3.3300952499999994</v>
      </c>
      <c r="BB73" s="276">
        <f>+BB20*(1+'Conversion Factors'!$G20)</f>
        <v>0</v>
      </c>
      <c r="BC73" s="738">
        <f>+BC20*(1+'Conversion Factors'!$G20)</f>
        <v>0</v>
      </c>
      <c r="BD73" s="276">
        <f>+BD20*(1+'Conversion Factors'!$G20)</f>
        <v>0</v>
      </c>
      <c r="BE73" s="738">
        <f>+BE20*(1+'Conversion Factors'!$G20)</f>
        <v>0</v>
      </c>
      <c r="BF73" s="276">
        <f>+BF20*(1+'Conversion Factors'!$G20)</f>
        <v>0</v>
      </c>
      <c r="BG73" s="738">
        <f>+BG20*(1+'Conversion Factors'!$G20)</f>
        <v>0</v>
      </c>
      <c r="BH73" s="738">
        <f>+BH20*(1+'Conversion Factors'!$G20)</f>
        <v>0</v>
      </c>
      <c r="BI73" s="276">
        <f>+BI20*(1+'Conversion Factors'!$G20)</f>
        <v>0</v>
      </c>
      <c r="BJ73" s="276">
        <f>+BJ20*(1+'Conversion Factors'!$G20)</f>
        <v>0</v>
      </c>
      <c r="BK73" s="277">
        <f t="shared" si="40"/>
        <v>52.833927964534794</v>
      </c>
      <c r="BL73" s="276">
        <f>+BL20*(1+'Conversion Factors'!$G20)</f>
        <v>0</v>
      </c>
      <c r="BM73" s="276">
        <f>+BM20*(1+'Conversion Factors'!$G20)</f>
        <v>0</v>
      </c>
      <c r="BN73" s="276">
        <f>+BN20*(1+'Conversion Factors'!$G20)</f>
        <v>17.966550000000002</v>
      </c>
      <c r="BO73" s="738">
        <f>+BO20*(1+'Conversion Factors'!$G20)</f>
        <v>37.117513125000002</v>
      </c>
      <c r="BP73" s="1106">
        <f t="shared" si="41"/>
        <v>55.084063125</v>
      </c>
      <c r="BQ73" s="719">
        <f t="shared" si="32"/>
        <v>107.91799108953479</v>
      </c>
      <c r="BS73" s="994">
        <v>2009</v>
      </c>
      <c r="BT73" s="275">
        <f>+BT20*(1+'Conversion Factors'!$H20)</f>
        <v>22.161189847892601</v>
      </c>
      <c r="BU73" s="276">
        <f>+BU20*(1+'Conversion Factors'!$H20)</f>
        <v>0.23348420100000003</v>
      </c>
      <c r="BV73" s="276">
        <f>+BV20*(1+'Conversion Factors'!$H20)</f>
        <v>0.35955072000000005</v>
      </c>
      <c r="BW73" s="276">
        <f>+BW20*(1+'Conversion Factors'!$H20)</f>
        <v>5.0952221944870821</v>
      </c>
      <c r="BX73" s="276">
        <f>+BX20*(1+'Conversion Factors'!$H20)</f>
        <v>0.46640660400000006</v>
      </c>
      <c r="BY73" s="276">
        <f>+BY20*(1+'Conversion Factors'!$H20)</f>
        <v>6.9846156645161292E-2</v>
      </c>
      <c r="BZ73" s="276">
        <f>+BZ20*(1+'Conversion Factors'!$H20)</f>
        <v>0</v>
      </c>
      <c r="CA73" s="276">
        <f>+CA20*(1+'Conversion Factors'!$H20)</f>
        <v>0</v>
      </c>
      <c r="CB73" s="276">
        <f>+CB20*(1+'Conversion Factors'!$H20)</f>
        <v>2.8885516000000007E-3</v>
      </c>
      <c r="CC73" s="276">
        <f>+CC20*(1+'Conversion Factors'!$H20)</f>
        <v>1.781012772647059</v>
      </c>
      <c r="CD73" s="276">
        <f>+CD20*(1+'Conversion Factors'!$H20)</f>
        <v>4.4924034240000008E-2</v>
      </c>
      <c r="CE73" s="276">
        <f>+CE20*(1+'Conversion Factors'!$H20)</f>
        <v>0</v>
      </c>
      <c r="CF73" s="276">
        <f>+CF20*(1+'Conversion Factors'!$H20)</f>
        <v>0</v>
      </c>
      <c r="CG73" s="276">
        <f>+CG20*(1+'Conversion Factors'!$H20)</f>
        <v>183.37711386129675</v>
      </c>
      <c r="CH73" s="276">
        <f>+CH20*(1+'Conversion Factors'!$H20)</f>
        <v>0</v>
      </c>
      <c r="CI73" s="276">
        <f>+CI20*(1+'Conversion Factors'!$H20)</f>
        <v>0</v>
      </c>
      <c r="CJ73" s="276">
        <f>+CJ20*(1+'Conversion Factors'!$H20)</f>
        <v>20.301489162166671</v>
      </c>
      <c r="CK73" s="276">
        <f>+CK20*(1+'Conversion Factors'!$H20)</f>
        <v>0</v>
      </c>
      <c r="CL73" s="276">
        <f>+CL20*(1+'Conversion Factors'!$H20)</f>
        <v>16.928000000000001</v>
      </c>
      <c r="CM73" s="276">
        <f>+CM20*(1+'Conversion Factors'!$H20)</f>
        <v>0</v>
      </c>
      <c r="CN73" s="276">
        <f>+CN20*(1+'Conversion Factors'!$H20)</f>
        <v>0</v>
      </c>
      <c r="CO73" s="276">
        <f>+CO20*(1+'Conversion Factors'!$H20)</f>
        <v>0</v>
      </c>
      <c r="CP73" s="276">
        <f>+CP20*(1+'Conversion Factors'!$H20)</f>
        <v>0</v>
      </c>
      <c r="CQ73" s="276">
        <f>+CQ20*(1+'Conversion Factors'!$H20)</f>
        <v>0</v>
      </c>
      <c r="CR73" s="276">
        <f>+CR20*(1+'Conversion Factors'!$H20)</f>
        <v>0</v>
      </c>
      <c r="CS73" s="996">
        <f>+CS20*(1+'Conversion Factors'!$H20)</f>
        <v>0</v>
      </c>
      <c r="CT73" s="277">
        <f t="shared" si="42"/>
        <v>233.89312810597531</v>
      </c>
      <c r="CU73" s="276">
        <f>+CU20*(1+'Conversion Factors'!$H20)</f>
        <v>0</v>
      </c>
      <c r="CV73" s="276">
        <f>+CV20*(1+'Conversion Factors'!$H20)</f>
        <v>0</v>
      </c>
      <c r="CW73" s="276">
        <f>+CW20*(1+'Conversion Factors'!$H20)</f>
        <v>3.0704041666666675</v>
      </c>
      <c r="CX73" s="738">
        <f>+CX20*(1+'Conversion Factors'!$H20)</f>
        <v>2.3843468880000005</v>
      </c>
      <c r="CY73" s="1106">
        <f t="shared" si="43"/>
        <v>5.4547510546666675</v>
      </c>
      <c r="CZ73" s="719">
        <f t="shared" si="37"/>
        <v>239.34787916064198</v>
      </c>
      <c r="DA73" s="162">
        <f t="shared" si="38"/>
        <v>234.59845415350975</v>
      </c>
      <c r="DB73" s="162">
        <f t="shared" si="44"/>
        <v>4.7494250071322313</v>
      </c>
    </row>
    <row r="74" spans="1:106" x14ac:dyDescent="0.2">
      <c r="A74" s="269">
        <v>2010</v>
      </c>
      <c r="B74" s="275">
        <f>+B21*(1+'Conversion Factors'!$F21)</f>
        <v>14.336995635322195</v>
      </c>
      <c r="C74" s="276">
        <f>+C21*(1+'Conversion Factors'!$F21)</f>
        <v>0.42035550000000005</v>
      </c>
      <c r="D74" s="738">
        <f>+D21*(1+'Conversion Factors'!$F21)</f>
        <v>8.4827249999999993E-2</v>
      </c>
      <c r="E74" s="276">
        <f>+E21*(1+'Conversion Factors'!$F21)</f>
        <v>1.5467315041128276</v>
      </c>
      <c r="F74" s="276">
        <f>+F21*(1+'Conversion Factors'!$F21)</f>
        <v>1.9941911999999997</v>
      </c>
      <c r="G74" s="738">
        <f>+G21*(1+'Conversion Factors'!$F21)</f>
        <v>0.14296762693548384</v>
      </c>
      <c r="H74" s="276">
        <f>+H21*(1+'Conversion Factors'!$F21)</f>
        <v>0</v>
      </c>
      <c r="I74" s="276">
        <f>+I21*(1+'Conversion Factors'!$F21)</f>
        <v>0</v>
      </c>
      <c r="J74" s="738">
        <f>+J21*(1+'Conversion Factors'!$F21)</f>
        <v>2.8307699999999998E-2</v>
      </c>
      <c r="K74" s="276">
        <f>+K21*(1+'Conversion Factors'!$F21)</f>
        <v>0.95764267499999989</v>
      </c>
      <c r="L74" s="276">
        <f>+L21*(1+'Conversion Factors'!$F21)</f>
        <v>0.75624127050000001</v>
      </c>
      <c r="M74" s="276">
        <f>+M21*(1+'Conversion Factors'!$F21)</f>
        <v>0</v>
      </c>
      <c r="N74" s="276">
        <f>+N21*(1+'Conversion Factors'!$F21)</f>
        <v>0</v>
      </c>
      <c r="O74" s="738">
        <f>+O21*(1+'Conversion Factors'!$F21)</f>
        <v>38.171831548848687</v>
      </c>
      <c r="P74" s="276">
        <f>+P21*(1+'Conversion Factors'!$F21)</f>
        <v>0</v>
      </c>
      <c r="Q74" s="276">
        <f>+Q21*(1+'Conversion Factors'!$F21)</f>
        <v>0</v>
      </c>
      <c r="R74" s="276">
        <f>+R21*(1+'Conversion Factors'!$F21)</f>
        <v>5.5326625749999989</v>
      </c>
      <c r="S74" s="276">
        <f>+S21*(1+'Conversion Factors'!$F21)</f>
        <v>0</v>
      </c>
      <c r="T74" s="738">
        <f>+T21*(1+'Conversion Factors'!$F21)</f>
        <v>0</v>
      </c>
      <c r="U74" s="276">
        <f>+U21*(1+'Conversion Factors'!$F21)</f>
        <v>0</v>
      </c>
      <c r="V74" s="738">
        <f>+V21*(1+'Conversion Factors'!$F21)</f>
        <v>0</v>
      </c>
      <c r="W74" s="276">
        <f>+W21*(1+'Conversion Factors'!$F21)</f>
        <v>0</v>
      </c>
      <c r="X74" s="738">
        <f>+X21*(1+'Conversion Factors'!$F21)</f>
        <v>0</v>
      </c>
      <c r="Y74" s="738">
        <f>+Y21*(1+'Conversion Factors'!$F21)</f>
        <v>0</v>
      </c>
      <c r="Z74" s="738">
        <f>+Z21*(1+'Conversion Factors'!$F21)</f>
        <v>0</v>
      </c>
      <c r="AA74" s="738">
        <f>+AA21*(1+'Conversion Factors'!$F21)</f>
        <v>0</v>
      </c>
      <c r="AB74" s="679">
        <f t="shared" si="25"/>
        <v>63.972754485719186</v>
      </c>
      <c r="AC74" s="276">
        <f>+AC21*(1+'Conversion Factors'!$F21)</f>
        <v>0.21470400000000003</v>
      </c>
      <c r="AD74" s="276">
        <f>+AD21*(1+'Conversion Factors'!$F21)</f>
        <v>0</v>
      </c>
      <c r="AE74" s="276">
        <f>+AE21*(1+'Conversion Factors'!$F21)</f>
        <v>40.150500000000001</v>
      </c>
      <c r="AF74" s="276">
        <f>+AF21*(1+'Conversion Factors'!$F21)</f>
        <v>37.117513125000002</v>
      </c>
      <c r="AG74" s="277">
        <f t="shared" si="39"/>
        <v>77.482717124999994</v>
      </c>
      <c r="AH74" s="719">
        <f t="shared" si="27"/>
        <v>141.45547161071917</v>
      </c>
      <c r="AI74" s="211"/>
      <c r="AJ74" s="748">
        <v>2010</v>
      </c>
      <c r="AK74" s="276">
        <f>+AK21*(1+'Conversion Factors'!$G21)</f>
        <v>34.574653204295963</v>
      </c>
      <c r="AL74" s="276">
        <f>+AL21*(1+'Conversion Factors'!$G21)</f>
        <v>0.97385729999999993</v>
      </c>
      <c r="AM74" s="738">
        <f>+AM21*(1+'Conversion Factors'!$G21)</f>
        <v>6.4325999999999994E-2</v>
      </c>
      <c r="AN74" s="276">
        <f>+AN21*(1+'Conversion Factors'!$G21)</f>
        <v>0</v>
      </c>
      <c r="AO74" s="276">
        <f>+AO21*(1+'Conversion Factors'!$G21)</f>
        <v>0.22395885000000001</v>
      </c>
      <c r="AP74" s="738">
        <f>+AP21*(1+'Conversion Factors'!$G21)</f>
        <v>6.1324074193548376E-3</v>
      </c>
      <c r="AQ74" s="276">
        <f>+AQ21*(1+'Conversion Factors'!$G21)</f>
        <v>0</v>
      </c>
      <c r="AR74" s="276">
        <f>+AR21*(1+'Conversion Factors'!$G21)</f>
        <v>0</v>
      </c>
      <c r="AS74" s="738">
        <f>+AS21*(1+'Conversion Factors'!$G21)</f>
        <v>6.7840499999999998E-3</v>
      </c>
      <c r="AT74" s="276">
        <f>+AT21*(1+'Conversion Factors'!$G21)</f>
        <v>0.49903707352941179</v>
      </c>
      <c r="AU74" s="276">
        <f>+AU21*(1+'Conversion Factors'!$G21)</f>
        <v>0.35048447100000002</v>
      </c>
      <c r="AV74" s="276">
        <f>+AV21*(1+'Conversion Factors'!$G21)</f>
        <v>0</v>
      </c>
      <c r="AW74" s="276">
        <f>+AW21*(1+'Conversion Factors'!$G21)</f>
        <v>0</v>
      </c>
      <c r="AX74" s="738">
        <f>+AX21*(1+'Conversion Factors'!$G21)</f>
        <v>15.892941738290062</v>
      </c>
      <c r="AY74" s="276">
        <f>+AY21*(1+'Conversion Factors'!$G21)</f>
        <v>0</v>
      </c>
      <c r="AZ74" s="276">
        <f>+AZ21*(1+'Conversion Factors'!$G21)</f>
        <v>0</v>
      </c>
      <c r="BA74" s="276">
        <f>+BA21*(1+'Conversion Factors'!$G21)</f>
        <v>3.3300952499999994</v>
      </c>
      <c r="BB74" s="276">
        <f>+BB21*(1+'Conversion Factors'!$G21)</f>
        <v>0</v>
      </c>
      <c r="BC74" s="738">
        <f>+BC21*(1+'Conversion Factors'!$G21)</f>
        <v>0</v>
      </c>
      <c r="BD74" s="276">
        <f>+BD21*(1+'Conversion Factors'!$G21)</f>
        <v>0</v>
      </c>
      <c r="BE74" s="738">
        <f>+BE21*(1+'Conversion Factors'!$G21)</f>
        <v>0</v>
      </c>
      <c r="BF74" s="276">
        <f>+BF21*(1+'Conversion Factors'!$G21)</f>
        <v>0</v>
      </c>
      <c r="BG74" s="738">
        <f>+BG21*(1+'Conversion Factors'!$G21)</f>
        <v>0</v>
      </c>
      <c r="BH74" s="738">
        <f>+BH21*(1+'Conversion Factors'!$G21)</f>
        <v>0</v>
      </c>
      <c r="BI74" s="276">
        <f>+BI21*(1+'Conversion Factors'!$G21)</f>
        <v>0</v>
      </c>
      <c r="BJ74" s="276">
        <f>+BJ21*(1+'Conversion Factors'!$G21)</f>
        <v>0</v>
      </c>
      <c r="BK74" s="282">
        <f t="shared" si="40"/>
        <v>55.922270344534802</v>
      </c>
      <c r="BL74" s="299">
        <f>+BL21*(1+'Conversion Factors'!$G21)</f>
        <v>0</v>
      </c>
      <c r="BM74" s="299">
        <f>+BM21*(1+'Conversion Factors'!$G21)</f>
        <v>0</v>
      </c>
      <c r="BN74" s="299">
        <f>+BN21*(1+'Conversion Factors'!$G21)</f>
        <v>40.150500000000001</v>
      </c>
      <c r="BO74" s="299">
        <f>+BO21*(1+'Conversion Factors'!$G21)</f>
        <v>37.117513125000002</v>
      </c>
      <c r="BP74" s="1106">
        <f t="shared" si="41"/>
        <v>77.26801312500001</v>
      </c>
      <c r="BQ74" s="719">
        <f t="shared" si="32"/>
        <v>133.19028346953482</v>
      </c>
      <c r="BS74" s="994">
        <v>2010</v>
      </c>
      <c r="BT74" s="275">
        <f>+BT21*(1+'Conversion Factors'!$H21)</f>
        <v>22.460815976892601</v>
      </c>
      <c r="BU74" s="276">
        <f>+BU21*(1+'Conversion Factors'!$H21)</f>
        <v>0.23348420100000003</v>
      </c>
      <c r="BV74" s="276">
        <f>+BV21*(1+'Conversion Factors'!$H21)</f>
        <v>0.35955072000000005</v>
      </c>
      <c r="BW74" s="276">
        <f>+BW21*(1+'Conversion Factors'!$H21)</f>
        <v>6.0911027824870825</v>
      </c>
      <c r="BX74" s="276">
        <f>+BX21*(1+'Conversion Factors'!$H21)</f>
        <v>2.8831092480000002</v>
      </c>
      <c r="BY74" s="276">
        <f>+BY21*(1+'Conversion Factors'!$H21)</f>
        <v>0.16969966764516131</v>
      </c>
      <c r="BZ74" s="276">
        <f>+BZ21*(1+'Conversion Factors'!$H21)</f>
        <v>0</v>
      </c>
      <c r="CA74" s="276">
        <f>+CA21*(1+'Conversion Factors'!$H21)</f>
        <v>0</v>
      </c>
      <c r="CB74" s="276">
        <f>+CB21*(1+'Conversion Factors'!$H21)</f>
        <v>0.24977496760000001</v>
      </c>
      <c r="CC74" s="276">
        <f>+CC21*(1+'Conversion Factors'!$H21)</f>
        <v>2.6389497336470589</v>
      </c>
      <c r="CD74" s="276">
        <f>+CD21*(1+'Conversion Factors'!$H21)</f>
        <v>0.26313124424000001</v>
      </c>
      <c r="CE74" s="276">
        <f>+CE21*(1+'Conversion Factors'!$H21)</f>
        <v>0</v>
      </c>
      <c r="CF74" s="276">
        <f>+CF21*(1+'Conversion Factors'!$H21)</f>
        <v>0</v>
      </c>
      <c r="CG74" s="276">
        <f>+CG21*(1+'Conversion Factors'!$H21)</f>
        <v>189.59548770129675</v>
      </c>
      <c r="CH74" s="276">
        <f>+CH21*(1+'Conversion Factors'!$H21)</f>
        <v>0</v>
      </c>
      <c r="CI74" s="276">
        <f>+CI21*(1+'Conversion Factors'!$H21)</f>
        <v>0</v>
      </c>
      <c r="CJ74" s="276">
        <f>+CJ21*(1+'Conversion Factors'!$H21)</f>
        <v>20.53034514216667</v>
      </c>
      <c r="CK74" s="276">
        <f>+CK21*(1+'Conversion Factors'!$H21)</f>
        <v>0</v>
      </c>
      <c r="CL74" s="276">
        <f>+CL21*(1+'Conversion Factors'!$H21)</f>
        <v>16.928000000000001</v>
      </c>
      <c r="CM74" s="276">
        <f>+CM21*(1+'Conversion Factors'!$H21)</f>
        <v>0</v>
      </c>
      <c r="CN74" s="276">
        <f>+CN21*(1+'Conversion Factors'!$H21)</f>
        <v>0</v>
      </c>
      <c r="CO74" s="276">
        <f>+CO21*(1+'Conversion Factors'!$H21)</f>
        <v>0</v>
      </c>
      <c r="CP74" s="276">
        <f>+CP21*(1+'Conversion Factors'!$H21)</f>
        <v>0</v>
      </c>
      <c r="CQ74" s="276">
        <f>+CQ21*(1+'Conversion Factors'!$H21)</f>
        <v>0</v>
      </c>
      <c r="CR74" s="276">
        <f>+CR21*(1+'Conversion Factors'!$H21)</f>
        <v>0</v>
      </c>
      <c r="CS74" s="996">
        <f>+CS21*(1+'Conversion Factors'!$H21)</f>
        <v>0</v>
      </c>
      <c r="CT74" s="282">
        <f t="shared" si="42"/>
        <v>245.47545138497537</v>
      </c>
      <c r="CU74" s="299">
        <f>+CU21*(1+'Conversion Factors'!$H21)</f>
        <v>0</v>
      </c>
      <c r="CV74" s="299">
        <f>+CV21*(1+'Conversion Factors'!$H21)</f>
        <v>0</v>
      </c>
      <c r="CW74" s="299">
        <f>+CW21*(1+'Conversion Factors'!$H21)</f>
        <v>3.9886600000000008</v>
      </c>
      <c r="CX74" s="299">
        <f>+CX21*(1+'Conversion Factors'!$H21)</f>
        <v>2.8009343879999999</v>
      </c>
      <c r="CY74" s="1106">
        <f t="shared" si="43"/>
        <v>6.7895943880000011</v>
      </c>
      <c r="CZ74" s="719">
        <f t="shared" si="37"/>
        <v>252.26504577297538</v>
      </c>
      <c r="DA74" s="162">
        <f t="shared" si="38"/>
        <v>243.25944652384311</v>
      </c>
      <c r="DB74" s="162">
        <f t="shared" si="44"/>
        <v>9.0055992491322741</v>
      </c>
    </row>
    <row r="75" spans="1:106" x14ac:dyDescent="0.2">
      <c r="A75" s="269">
        <v>2011</v>
      </c>
      <c r="B75" s="275">
        <f>+B22*(1+'Conversion Factors'!$F22)</f>
        <v>14.392444860322195</v>
      </c>
      <c r="C75" s="276">
        <f>+C22*(1+'Conversion Factors'!$F22)</f>
        <v>0.42035550000000005</v>
      </c>
      <c r="D75" s="738">
        <f>+D22*(1+'Conversion Factors'!$F22)</f>
        <v>8.4827249999999993E-2</v>
      </c>
      <c r="E75" s="276">
        <f>+E22*(1+'Conversion Factors'!$F22)</f>
        <v>1.9141991041128277</v>
      </c>
      <c r="F75" s="276">
        <f>+F22*(1+'Conversion Factors'!$F22)</f>
        <v>4.814763825</v>
      </c>
      <c r="G75" s="738">
        <f>+G22*(1+'Conversion Factors'!$F22)</f>
        <v>0.14296762693548384</v>
      </c>
      <c r="H75" s="276">
        <f>+H22*(1+'Conversion Factors'!$F22)</f>
        <v>0</v>
      </c>
      <c r="I75" s="276">
        <f>+I22*(1+'Conversion Factors'!$F22)</f>
        <v>0</v>
      </c>
      <c r="J75" s="738">
        <f>+J22*(1+'Conversion Factors'!$F22)</f>
        <v>3.8659499999999999E-2</v>
      </c>
      <c r="K75" s="276">
        <f>+K22*(1+'Conversion Factors'!$F22)</f>
        <v>1.0857568499999999</v>
      </c>
      <c r="L75" s="276">
        <f>+L22*(1+'Conversion Factors'!$F22)</f>
        <v>2.0203696455000002</v>
      </c>
      <c r="M75" s="276">
        <f>+M22*(1+'Conversion Factors'!$F22)</f>
        <v>0</v>
      </c>
      <c r="N75" s="276">
        <f>+N22*(1+'Conversion Factors'!$F22)</f>
        <v>0</v>
      </c>
      <c r="O75" s="738">
        <f>+O22*(1+'Conversion Factors'!$F22)</f>
        <v>38.171831548848687</v>
      </c>
      <c r="P75" s="276">
        <f>+P22*(1+'Conversion Factors'!$F22)</f>
        <v>0</v>
      </c>
      <c r="Q75" s="276">
        <f>+Q22*(1+'Conversion Factors'!$F22)</f>
        <v>0</v>
      </c>
      <c r="R75" s="276">
        <f>+R22*(1+'Conversion Factors'!$F22)</f>
        <v>5.6226071499999994</v>
      </c>
      <c r="S75" s="276">
        <f>+S22*(1+'Conversion Factors'!$F22)</f>
        <v>0</v>
      </c>
      <c r="T75" s="738">
        <f>+T22*(1+'Conversion Factors'!$F22)</f>
        <v>0</v>
      </c>
      <c r="U75" s="276">
        <f>+U22*(1+'Conversion Factors'!$F22)</f>
        <v>0</v>
      </c>
      <c r="V75" s="738">
        <f>+V22*(1+'Conversion Factors'!$F22)</f>
        <v>0</v>
      </c>
      <c r="W75" s="276">
        <f>+W22*(1+'Conversion Factors'!$F22)</f>
        <v>7.8144374999999988E-2</v>
      </c>
      <c r="X75" s="738">
        <f>+X22*(1+'Conversion Factors'!$F22)</f>
        <v>0</v>
      </c>
      <c r="Y75" s="738">
        <f>+Y22*(1+'Conversion Factors'!$F22)</f>
        <v>0</v>
      </c>
      <c r="Z75" s="738">
        <f>+Z22*(1+'Conversion Factors'!$F22)</f>
        <v>2.9819999999999998E-3</v>
      </c>
      <c r="AA75" s="738">
        <f>+AA22*(1+'Conversion Factors'!$F22)</f>
        <v>2.2109400000000001E-2</v>
      </c>
      <c r="AB75" s="679">
        <f t="shared" si="25"/>
        <v>68.812018635719184</v>
      </c>
      <c r="AC75" s="276">
        <f>+AC22*(1+'Conversion Factors'!$F22)</f>
        <v>0.21470400000000003</v>
      </c>
      <c r="AD75" s="276">
        <f>+AD22*(1+'Conversion Factors'!$F22)</f>
        <v>0</v>
      </c>
      <c r="AE75" s="276">
        <f>+AE22*(1+'Conversion Factors'!$F22)</f>
        <v>40.150500000000001</v>
      </c>
      <c r="AF75" s="724">
        <f>+AF22*(1+'Conversion Factors'!$F22)</f>
        <v>39.238513875000002</v>
      </c>
      <c r="AG75" s="277">
        <f t="shared" si="39"/>
        <v>79.603717875000001</v>
      </c>
      <c r="AH75" s="719">
        <f t="shared" si="27"/>
        <v>148.41573651071917</v>
      </c>
      <c r="AI75" s="211"/>
      <c r="AJ75" s="748">
        <v>2011</v>
      </c>
      <c r="AK75" s="276">
        <f>+AK22*(1+'Conversion Factors'!$G22)</f>
        <v>34.630203604295964</v>
      </c>
      <c r="AL75" s="276">
        <f>+AL22*(1+'Conversion Factors'!$G22)</f>
        <v>0.97385729999999993</v>
      </c>
      <c r="AM75" s="738">
        <f>+AM22*(1+'Conversion Factors'!$G22)</f>
        <v>6.4325999999999994E-2</v>
      </c>
      <c r="AN75" s="276">
        <f>+AN22*(1+'Conversion Factors'!$G22)</f>
        <v>0</v>
      </c>
      <c r="AO75" s="276">
        <f>+AO22*(1+'Conversion Factors'!$G22)</f>
        <v>0.80906984999999998</v>
      </c>
      <c r="AP75" s="738">
        <f>+AP22*(1+'Conversion Factors'!$G22)</f>
        <v>6.1324074193548376E-3</v>
      </c>
      <c r="AQ75" s="276">
        <f>+AQ22*(1+'Conversion Factors'!$G22)</f>
        <v>0</v>
      </c>
      <c r="AR75" s="276">
        <f>+AR22*(1+'Conversion Factors'!$G22)</f>
        <v>0</v>
      </c>
      <c r="AS75" s="738">
        <f>+AS22*(1+'Conversion Factors'!$G22)</f>
        <v>1.4611799999999999E-2</v>
      </c>
      <c r="AT75" s="276">
        <f>+AT22*(1+'Conversion Factors'!$G22)</f>
        <v>0.62683707352941165</v>
      </c>
      <c r="AU75" s="276">
        <f>+AU22*(1+'Conversion Factors'!$G22)</f>
        <v>1.4843899709999999</v>
      </c>
      <c r="AV75" s="276">
        <f>+AV22*(1+'Conversion Factors'!$G22)</f>
        <v>0</v>
      </c>
      <c r="AW75" s="276">
        <f>+AW22*(1+'Conversion Factors'!$G22)</f>
        <v>0</v>
      </c>
      <c r="AX75" s="738">
        <f>+AX22*(1+'Conversion Factors'!$G22)</f>
        <v>15.892941738290062</v>
      </c>
      <c r="AY75" s="276">
        <f>+AY22*(1+'Conversion Factors'!$G22)</f>
        <v>0</v>
      </c>
      <c r="AZ75" s="276">
        <f>+AZ22*(1+'Conversion Factors'!$G22)</f>
        <v>0</v>
      </c>
      <c r="BA75" s="276">
        <f>+BA22*(1+'Conversion Factors'!$G22)</f>
        <v>3.3997462499999993</v>
      </c>
      <c r="BB75" s="276">
        <f>+BB22*(1+'Conversion Factors'!$G22)</f>
        <v>0</v>
      </c>
      <c r="BC75" s="738">
        <f>+BC22*(1+'Conversion Factors'!$G22)</f>
        <v>0</v>
      </c>
      <c r="BD75" s="276">
        <f>+BD22*(1+'Conversion Factors'!$G22)</f>
        <v>0</v>
      </c>
      <c r="BE75" s="738">
        <f>+BE22*(1+'Conversion Factors'!$G22)</f>
        <v>0</v>
      </c>
      <c r="BF75" s="276">
        <f>+BF22*(1+'Conversion Factors'!$G22)</f>
        <v>0</v>
      </c>
      <c r="BG75" s="738">
        <f>+BG22*(1+'Conversion Factors'!$G22)</f>
        <v>0</v>
      </c>
      <c r="BH75" s="738">
        <f>+BH22*(1+'Conversion Factors'!$G22)</f>
        <v>0</v>
      </c>
      <c r="BI75" s="276">
        <f>+BI22*(1+'Conversion Factors'!$G22)</f>
        <v>0</v>
      </c>
      <c r="BJ75" s="276">
        <f>+BJ22*(1+'Conversion Factors'!$G22)</f>
        <v>0</v>
      </c>
      <c r="BK75" s="282">
        <f t="shared" si="40"/>
        <v>57.902115994534789</v>
      </c>
      <c r="BL75" s="299">
        <f>+BL22*(1+'Conversion Factors'!$G22)</f>
        <v>0</v>
      </c>
      <c r="BM75" s="299">
        <f>+BM22*(1+'Conversion Factors'!$G22)</f>
        <v>0</v>
      </c>
      <c r="BN75" s="299">
        <f>+BN22*(1+'Conversion Factors'!$G22)</f>
        <v>40.150500000000001</v>
      </c>
      <c r="BO75" s="299">
        <f>+BO22*(1+'Conversion Factors'!$G22)</f>
        <v>39.238513875000002</v>
      </c>
      <c r="BP75" s="1106">
        <f t="shared" si="41"/>
        <v>79.389013875000003</v>
      </c>
      <c r="BQ75" s="719">
        <f t="shared" si="32"/>
        <v>137.29112986953479</v>
      </c>
      <c r="BS75" s="994">
        <v>2011</v>
      </c>
      <c r="BT75" s="275">
        <f>+BT22*(1+'Conversion Factors'!$H22)</f>
        <v>22.8262116178926</v>
      </c>
      <c r="BU75" s="276">
        <f>+BU22*(1+'Conversion Factors'!$H22)</f>
        <v>0.23348420100000003</v>
      </c>
      <c r="BV75" s="276">
        <f>+BV22*(1+'Conversion Factors'!$H22)</f>
        <v>0.35955072000000005</v>
      </c>
      <c r="BW75" s="276">
        <f>+BW22*(1+'Conversion Factors'!$H22)</f>
        <v>6.7734450704870826</v>
      </c>
      <c r="BX75" s="276">
        <f>+BX22*(1+'Conversion Factors'!$H22)</f>
        <v>13.341160994000001</v>
      </c>
      <c r="BY75" s="276">
        <f>+BY22*(1+'Conversion Factors'!$H22)</f>
        <v>0.16969966764516131</v>
      </c>
      <c r="BZ75" s="276">
        <f>+BZ22*(1+'Conversion Factors'!$H22)</f>
        <v>0</v>
      </c>
      <c r="CA75" s="276">
        <f>+CA22*(1+'Conversion Factors'!$H22)</f>
        <v>0</v>
      </c>
      <c r="CB75" s="276">
        <f>+CB22*(1+'Conversion Factors'!$H22)</f>
        <v>0.28251160359999999</v>
      </c>
      <c r="CC75" s="276">
        <f>+CC22*(1+'Conversion Factors'!$H22)</f>
        <v>3.133707563647059</v>
      </c>
      <c r="CD75" s="276">
        <f>+CD22*(1+'Conversion Factors'!$H22)</f>
        <v>1.82034748624</v>
      </c>
      <c r="CE75" s="276">
        <f>+CE22*(1+'Conversion Factors'!$H22)</f>
        <v>0</v>
      </c>
      <c r="CF75" s="276">
        <f>+CF22*(1+'Conversion Factors'!$H22)</f>
        <v>0</v>
      </c>
      <c r="CG75" s="276">
        <f>+CG22*(1+'Conversion Factors'!$H22)</f>
        <v>189.59548770129675</v>
      </c>
      <c r="CH75" s="276">
        <f>+CH22*(1+'Conversion Factors'!$H22)</f>
        <v>0</v>
      </c>
      <c r="CI75" s="276">
        <f>+CI22*(1+'Conversion Factors'!$H22)</f>
        <v>0</v>
      </c>
      <c r="CJ75" s="276">
        <f>+CJ22*(1+'Conversion Factors'!$H22)</f>
        <v>20.959315474166669</v>
      </c>
      <c r="CK75" s="276">
        <f>+CK22*(1+'Conversion Factors'!$H22)</f>
        <v>0</v>
      </c>
      <c r="CL75" s="276">
        <f>+CL22*(1+'Conversion Factors'!$H22)</f>
        <v>16.928000000000001</v>
      </c>
      <c r="CM75" s="276">
        <f>+CM22*(1+'Conversion Factors'!$H22)</f>
        <v>0</v>
      </c>
      <c r="CN75" s="276">
        <f>+CN22*(1+'Conversion Factors'!$H22)</f>
        <v>0</v>
      </c>
      <c r="CO75" s="276">
        <f>+CO22*(1+'Conversion Factors'!$H22)</f>
        <v>0.45423907499999999</v>
      </c>
      <c r="CP75" s="276">
        <f>+CP22*(1+'Conversion Factors'!$H22)</f>
        <v>0</v>
      </c>
      <c r="CQ75" s="276">
        <f>+CQ22*(1+'Conversion Factors'!$H22)</f>
        <v>0</v>
      </c>
      <c r="CR75" s="276">
        <f>+CR22*(1+'Conversion Factors'!$H22)</f>
        <v>8.3412720000000003E-3</v>
      </c>
      <c r="CS75" s="996">
        <f>+CS22*(1+'Conversion Factors'!$H22)</f>
        <v>6.1859144000000005E-2</v>
      </c>
      <c r="CT75" s="282">
        <f t="shared" si="42"/>
        <v>260.01936159097528</v>
      </c>
      <c r="CU75" s="299">
        <f>+CU22*(1+'Conversion Factors'!$H22)</f>
        <v>0</v>
      </c>
      <c r="CV75" s="299">
        <f>+CV22*(1+'Conversion Factors'!$H22)</f>
        <v>0</v>
      </c>
      <c r="CW75" s="299">
        <f>+CW22*(1+'Conversion Factors'!$H22)</f>
        <v>3.9886600000000008</v>
      </c>
      <c r="CX75" s="299">
        <f>+CX22*(1+'Conversion Factors'!$H22)</f>
        <v>2.9456661430000004</v>
      </c>
      <c r="CY75" s="1106">
        <f t="shared" si="43"/>
        <v>6.9343261430000016</v>
      </c>
      <c r="CZ75" s="719">
        <f t="shared" si="37"/>
        <v>266.9536877339753</v>
      </c>
      <c r="DA75" s="162">
        <f t="shared" si="38"/>
        <v>244.73615478484311</v>
      </c>
      <c r="DB75" s="162">
        <f t="shared" si="44"/>
        <v>22.217532949132192</v>
      </c>
    </row>
    <row r="76" spans="1:106" x14ac:dyDescent="0.2">
      <c r="A76" s="269">
        <v>2012</v>
      </c>
      <c r="B76" s="275">
        <f>+B23*(1+'Conversion Factors'!$F23)</f>
        <v>14.450593860322195</v>
      </c>
      <c r="C76" s="276">
        <f>+C23*(1+'Conversion Factors'!$F23)</f>
        <v>0.42035550000000005</v>
      </c>
      <c r="D76" s="738">
        <f>+D23*(1+'Conversion Factors'!$F23)</f>
        <v>8.4827249999999993E-2</v>
      </c>
      <c r="E76" s="276">
        <f>+E23*(1+'Conversion Factors'!$F23)</f>
        <v>2.070012643768</v>
      </c>
      <c r="F76" s="276">
        <f>+F23*(1+'Conversion Factors'!$F23)</f>
        <v>5.3591811749999998</v>
      </c>
      <c r="G76" s="738">
        <f>+G23*(1+'Conversion Factors'!$F23)</f>
        <v>0.25395660193548381</v>
      </c>
      <c r="H76" s="276">
        <f>+H23*(1+'Conversion Factors'!$F23)</f>
        <v>0</v>
      </c>
      <c r="I76" s="276">
        <f>+I23*(1+'Conversion Factors'!$F23)</f>
        <v>0</v>
      </c>
      <c r="J76" s="738">
        <f>+J23*(1+'Conversion Factors'!$F23)</f>
        <v>5.1439499999999992E-2</v>
      </c>
      <c r="K76" s="276">
        <f>+K23*(1+'Conversion Factors'!$F23)</f>
        <v>1.2318748499999999</v>
      </c>
      <c r="L76" s="276">
        <f>+L23*(1+'Conversion Factors'!$F23)</f>
        <v>2.5789355205</v>
      </c>
      <c r="M76" s="276">
        <f>+M23*(1+'Conversion Factors'!$F23)</f>
        <v>0</v>
      </c>
      <c r="N76" s="276">
        <f>+N23*(1+'Conversion Factors'!$F23)</f>
        <v>0</v>
      </c>
      <c r="O76" s="738">
        <f>+O23*(1+'Conversion Factors'!$F23)</f>
        <v>39.424287523848683</v>
      </c>
      <c r="P76" s="276">
        <f>+P23*(1+'Conversion Factors'!$F23)</f>
        <v>0</v>
      </c>
      <c r="Q76" s="276">
        <f>+Q23*(1+'Conversion Factors'!$F23)</f>
        <v>0</v>
      </c>
      <c r="R76" s="276">
        <f>+R23*(1+'Conversion Factors'!$F23)</f>
        <v>6.5128619499999996</v>
      </c>
      <c r="S76" s="276">
        <f>+S23*(1+'Conversion Factors'!$F23)</f>
        <v>0</v>
      </c>
      <c r="T76" s="738">
        <f>+T23*(1+'Conversion Factors'!$F23)</f>
        <v>0</v>
      </c>
      <c r="U76" s="276">
        <f>+U23*(1+'Conversion Factors'!$F23)</f>
        <v>0</v>
      </c>
      <c r="V76" s="738">
        <f>+V23*(1+'Conversion Factors'!$F23)</f>
        <v>0</v>
      </c>
      <c r="W76" s="276">
        <f>+W23*(1+'Conversion Factors'!$F23)</f>
        <v>0.3922022249999999</v>
      </c>
      <c r="X76" s="738">
        <f>+X23*(1+'Conversion Factors'!$F23)</f>
        <v>3.7062000000000005E-2</v>
      </c>
      <c r="Y76" s="738">
        <f>+Y23*(1+'Conversion Factors'!$F23)</f>
        <v>0</v>
      </c>
      <c r="Z76" s="738">
        <f>+Z23*(1+'Conversion Factors'!$F23)</f>
        <v>8.9459999999999991E-3</v>
      </c>
      <c r="AA76" s="738">
        <f>+AA23*(1+'Conversion Factors'!$F23)</f>
        <v>6.1088400000000001E-2</v>
      </c>
      <c r="AB76" s="679">
        <f t="shared" si="25"/>
        <v>72.937625000374382</v>
      </c>
      <c r="AC76" s="299">
        <f>+AC23*(1+'Conversion Factors'!$F23)</f>
        <v>0.35291969999999995</v>
      </c>
      <c r="AD76" s="299">
        <f>+AD23*(1+'Conversion Factors'!$F23)</f>
        <v>0</v>
      </c>
      <c r="AE76" s="299">
        <f>+AE23*(1+'Conversion Factors'!$F23)</f>
        <v>51.153014999999996</v>
      </c>
      <c r="AF76" s="299">
        <f>+AF23*(1+'Conversion Factors'!$F23)</f>
        <v>40.299014249999999</v>
      </c>
      <c r="AG76" s="277">
        <f t="shared" si="39"/>
        <v>91.804948949999996</v>
      </c>
      <c r="AH76" s="719">
        <f t="shared" si="27"/>
        <v>164.74257395037438</v>
      </c>
      <c r="AI76" s="588"/>
      <c r="AJ76" s="748">
        <v>2012</v>
      </c>
      <c r="AK76" s="276">
        <f>+AK23*(1+'Conversion Factors'!$G23)</f>
        <v>34.678607854295961</v>
      </c>
      <c r="AL76" s="276">
        <f>+AL23*(1+'Conversion Factors'!$G23)</f>
        <v>0.97385729999999993</v>
      </c>
      <c r="AM76" s="738">
        <f>+AM23*(1+'Conversion Factors'!$G23)</f>
        <v>6.4325999999999994E-2</v>
      </c>
      <c r="AN76" s="276">
        <f>+AN23*(1+'Conversion Factors'!$G23)</f>
        <v>0</v>
      </c>
      <c r="AO76" s="276">
        <f>+AO23*(1+'Conversion Factors'!$G23)</f>
        <v>0.80906984999999998</v>
      </c>
      <c r="AP76" s="738">
        <f>+AP23*(1+'Conversion Factors'!$G23)</f>
        <v>6.1324074193548376E-3</v>
      </c>
      <c r="AQ76" s="276">
        <f>+AQ23*(1+'Conversion Factors'!$G23)</f>
        <v>0</v>
      </c>
      <c r="AR76" s="276">
        <f>+AR23*(1+'Conversion Factors'!$G23)</f>
        <v>0</v>
      </c>
      <c r="AS76" s="738">
        <f>+AS23*(1+'Conversion Factors'!$G23)</f>
        <v>3.9745800000000005E-2</v>
      </c>
      <c r="AT76" s="276">
        <f>+AT23*(1+'Conversion Factors'!$G23)</f>
        <v>0.62683707352941165</v>
      </c>
      <c r="AU76" s="276">
        <f>+AU23*(1+'Conversion Factors'!$G23)</f>
        <v>2.1698452710000002</v>
      </c>
      <c r="AV76" s="276">
        <f>+AV23*(1+'Conversion Factors'!$G23)</f>
        <v>0</v>
      </c>
      <c r="AW76" s="276">
        <f>+AW23*(1+'Conversion Factors'!$G23)</f>
        <v>0</v>
      </c>
      <c r="AX76" s="738">
        <f>+AX23*(1+'Conversion Factors'!$G23)</f>
        <v>15.892941738290062</v>
      </c>
      <c r="AY76" s="276">
        <f>+AY23*(1+'Conversion Factors'!$G23)</f>
        <v>0</v>
      </c>
      <c r="AZ76" s="276">
        <f>+AZ23*(1+'Conversion Factors'!$G23)</f>
        <v>0</v>
      </c>
      <c r="BA76" s="276">
        <f>+BA23*(1+'Conversion Factors'!$G23)</f>
        <v>3.3997462499999993</v>
      </c>
      <c r="BB76" s="276">
        <f>+BB23*(1+'Conversion Factors'!$G23)</f>
        <v>0</v>
      </c>
      <c r="BC76" s="738">
        <f>+BC23*(1+'Conversion Factors'!$G23)</f>
        <v>0</v>
      </c>
      <c r="BD76" s="276">
        <f>+BD23*(1+'Conversion Factors'!$G23)</f>
        <v>0</v>
      </c>
      <c r="BE76" s="738">
        <f>+BE23*(1+'Conversion Factors'!$G23)</f>
        <v>0</v>
      </c>
      <c r="BF76" s="276">
        <f>+BF23*(1+'Conversion Factors'!$G23)</f>
        <v>0</v>
      </c>
      <c r="BG76" s="738">
        <f>+BG23*(1+'Conversion Factors'!$G23)</f>
        <v>0</v>
      </c>
      <c r="BH76" s="738">
        <f>+BH23*(1+'Conversion Factors'!$G23)</f>
        <v>0</v>
      </c>
      <c r="BI76" s="276">
        <f>+BI23*(1+'Conversion Factors'!$G23)</f>
        <v>0</v>
      </c>
      <c r="BJ76" s="276">
        <f>+BJ23*(1+'Conversion Factors'!$G23)</f>
        <v>0</v>
      </c>
      <c r="BK76" s="282">
        <f t="shared" si="40"/>
        <v>58.661109544534789</v>
      </c>
      <c r="BL76" s="299">
        <f>+BL23*(1+'Conversion Factors'!$G23)</f>
        <v>0</v>
      </c>
      <c r="BM76" s="299">
        <f>+BM23*(1+'Conversion Factors'!$G23)</f>
        <v>0</v>
      </c>
      <c r="BN76" s="299">
        <f>+BN23*(1+'Conversion Factors'!$G23)</f>
        <v>48.540996</v>
      </c>
      <c r="BO76" s="299">
        <f>+BO23*(1+'Conversion Factors'!$G23)</f>
        <v>40.299014249999999</v>
      </c>
      <c r="BP76" s="1106">
        <f t="shared" si="41"/>
        <v>88.840010250000006</v>
      </c>
      <c r="BQ76" s="719">
        <f t="shared" si="32"/>
        <v>147.50111979453479</v>
      </c>
      <c r="BS76" s="994">
        <v>2012</v>
      </c>
      <c r="BT76" s="275">
        <f>+BT23*(1+'Conversion Factors'!$H23)</f>
        <v>23.258307281892602</v>
      </c>
      <c r="BU76" s="276">
        <f>+BU23*(1+'Conversion Factors'!$H23)</f>
        <v>0.23348420100000003</v>
      </c>
      <c r="BV76" s="276">
        <f>+BV23*(1+'Conversion Factors'!$H23)</f>
        <v>0.35955072000000005</v>
      </c>
      <c r="BW76" s="276">
        <f>+BW23*(1+'Conversion Factors'!$H23)</f>
        <v>7.0731061134870821</v>
      </c>
      <c r="BX76" s="276">
        <f>+BX23*(1+'Conversion Factors'!$H23)</f>
        <v>15.870891894</v>
      </c>
      <c r="BY76" s="276">
        <f>+BY23*(1+'Conversion Factors'!$H23)</f>
        <v>0.4824957806451613</v>
      </c>
      <c r="BZ76" s="276">
        <f>+BZ23*(1+'Conversion Factors'!$H23)</f>
        <v>0</v>
      </c>
      <c r="CA76" s="276">
        <f>+CA23*(1+'Conversion Factors'!$H23)</f>
        <v>0</v>
      </c>
      <c r="CB76" s="276">
        <f>+CB23*(1+'Conversion Factors'!$H23)</f>
        <v>0.31333114359999997</v>
      </c>
      <c r="CC76" s="276">
        <f>+CC23*(1+'Conversion Factors'!$H23)</f>
        <v>3.3591832336470593</v>
      </c>
      <c r="CD76" s="276">
        <f>+CD23*(1+'Conversion Factors'!$H23)</f>
        <v>2.4853163562399998</v>
      </c>
      <c r="CE76" s="276">
        <f>+CE23*(1+'Conversion Factors'!$H23)</f>
        <v>0</v>
      </c>
      <c r="CF76" s="276">
        <f>+CF23*(1+'Conversion Factors'!$H23)</f>
        <v>0</v>
      </c>
      <c r="CG76" s="276">
        <f>+CG23*(1+'Conversion Factors'!$H23)</f>
        <v>197.12043969929672</v>
      </c>
      <c r="CH76" s="276">
        <f>+CH23*(1+'Conversion Factors'!$H23)</f>
        <v>0</v>
      </c>
      <c r="CI76" s="276">
        <f>+CI23*(1+'Conversion Factors'!$H23)</f>
        <v>0</v>
      </c>
      <c r="CJ76" s="276">
        <f>+CJ23*(1+'Conversion Factors'!$H23)</f>
        <v>21.120465802166667</v>
      </c>
      <c r="CK76" s="276">
        <f>+CK23*(1+'Conversion Factors'!$H23)</f>
        <v>0</v>
      </c>
      <c r="CL76" s="276">
        <f>+CL23*(1+'Conversion Factors'!$H23)</f>
        <v>16.928000000000001</v>
      </c>
      <c r="CM76" s="276">
        <f>+CM23*(1+'Conversion Factors'!$H23)</f>
        <v>0</v>
      </c>
      <c r="CN76" s="276">
        <f>+CN23*(1+'Conversion Factors'!$H23)</f>
        <v>0.142441185</v>
      </c>
      <c r="CO76" s="276">
        <f>+CO23*(1+'Conversion Factors'!$H23)</f>
        <v>2.040434995</v>
      </c>
      <c r="CP76" s="276">
        <f>+CP23*(1+'Conversion Factors'!$H23)</f>
        <v>0.142441185</v>
      </c>
      <c r="CQ76" s="276">
        <f>+CQ23*(1+'Conversion Factors'!$H23)</f>
        <v>0</v>
      </c>
      <c r="CR76" s="276">
        <f>+CR23*(1+'Conversion Factors'!$H23)</f>
        <v>2.5023816000000001E-2</v>
      </c>
      <c r="CS76" s="996">
        <f>+CS23*(1+'Conversion Factors'!$H23)</f>
        <v>0.170893979</v>
      </c>
      <c r="CT76" s="282">
        <f>SUM(BT76:CS76)-CL76</f>
        <v>274.1978073859753</v>
      </c>
      <c r="CU76" s="299">
        <f>+CU23*(1+'Conversion Factors'!$H23)</f>
        <v>0</v>
      </c>
      <c r="CV76" s="299">
        <f>+CV23*(1+'Conversion Factors'!$H23)</f>
        <v>0</v>
      </c>
      <c r="CW76" s="299">
        <f>+CW23*(1+'Conversion Factors'!$H23)</f>
        <v>4.9735610166666664</v>
      </c>
      <c r="CX76" s="299">
        <f>+CX23*(1+'Conversion Factors'!$H23)</f>
        <v>3.0873587930000004</v>
      </c>
      <c r="CY76" s="1106">
        <f t="shared" si="43"/>
        <v>8.0609198096666663</v>
      </c>
      <c r="CZ76" s="719">
        <f t="shared" si="37"/>
        <v>282.25872719564194</v>
      </c>
      <c r="DA76" s="162">
        <f t="shared" si="38"/>
        <v>254.13891483450976</v>
      </c>
      <c r="DB76" s="162">
        <f t="shared" si="44"/>
        <v>28.119812361132176</v>
      </c>
    </row>
    <row r="77" spans="1:106" s="211" customFormat="1" x14ac:dyDescent="0.2">
      <c r="A77" s="588">
        <v>2013</v>
      </c>
      <c r="B77" s="720">
        <f>+B24*(1+'Conversion Factors'!$F24)</f>
        <v>14.59783102398568</v>
      </c>
      <c r="C77" s="497">
        <f>+C24*(1+'Conversion Factors'!$F24)</f>
        <v>0.42248950000000007</v>
      </c>
      <c r="D77" s="984">
        <f>+D24*(1+'Conversion Factors'!$F24)</f>
        <v>8.522550000000001E-2</v>
      </c>
      <c r="E77" s="497">
        <f>+E24*(1+'Conversion Factors'!$F24)</f>
        <v>2.2925540129875683</v>
      </c>
      <c r="F77" s="497">
        <f>+F24*(1+'Conversion Factors'!$F24)</f>
        <v>5.8572870000000004</v>
      </c>
      <c r="G77" s="984">
        <f>+G24*(1+'Conversion Factors'!$F24)</f>
        <v>0.45890157875930526</v>
      </c>
      <c r="H77" s="497">
        <f>+H24*(1+'Conversion Factors'!$F24)</f>
        <v>0</v>
      </c>
      <c r="I77" s="497">
        <f>+I24*(1+'Conversion Factors'!$F24)</f>
        <v>0</v>
      </c>
      <c r="J77" s="984">
        <f>+J24*(1+'Conversion Factors'!$F24)</f>
        <v>5.2697500000000001E-2</v>
      </c>
      <c r="K77" s="497">
        <f>+K24*(1+'Conversion Factors'!$F24)</f>
        <v>1.3597025</v>
      </c>
      <c r="L77" s="497">
        <f>+L24*(1+'Conversion Factors'!$F24)</f>
        <v>3.0319687990000004</v>
      </c>
      <c r="M77" s="497">
        <f>+M24*(1+'Conversion Factors'!$F24)</f>
        <v>0</v>
      </c>
      <c r="N77" s="497">
        <f>+N24*(1+'Conversion Factors'!$F24)</f>
        <v>0</v>
      </c>
      <c r="O77" s="984">
        <f>+O24*(1+'Conversion Factors'!$F24)</f>
        <v>41.856404627455703</v>
      </c>
      <c r="P77" s="497">
        <f>+P24*(1+'Conversion Factors'!$F24)</f>
        <v>0</v>
      </c>
      <c r="Q77" s="497">
        <f>+Q24*(1+'Conversion Factors'!$F24)</f>
        <v>0</v>
      </c>
      <c r="R77" s="497">
        <f>+R24*(1+'Conversion Factors'!$F24)</f>
        <v>6.6338056166666668</v>
      </c>
      <c r="S77" s="497">
        <f>+S24*(1+'Conversion Factors'!$F24)</f>
        <v>0</v>
      </c>
      <c r="T77" s="984">
        <f>+T24*(1+'Conversion Factors'!$F24)</f>
        <v>0</v>
      </c>
      <c r="U77" s="497">
        <f>+U24*(1+'Conversion Factors'!$F24)</f>
        <v>0</v>
      </c>
      <c r="V77" s="984">
        <f>+V24*(1+'Conversion Factors'!$F24)</f>
        <v>0</v>
      </c>
      <c r="W77" s="497">
        <f>+W24*(1+'Conversion Factors'!$F24)</f>
        <v>0.99944955000000013</v>
      </c>
      <c r="X77" s="984">
        <f>+X24*(1+'Conversion Factors'!$F24)</f>
        <v>0.14701800000000004</v>
      </c>
      <c r="Y77" s="984">
        <f>+Y24*(1+'Conversion Factors'!$F24)</f>
        <v>1.0705349999999999E-2</v>
      </c>
      <c r="Z77" s="984">
        <f>+Z24*(1+'Conversion Factors'!$F24)</f>
        <v>1.4979999999999999E-2</v>
      </c>
      <c r="AA77" s="984">
        <f>+AA24*(1+'Conversion Factors'!$F24)</f>
        <v>0.1269448</v>
      </c>
      <c r="AB77" s="679">
        <f t="shared" si="25"/>
        <v>77.947965358854916</v>
      </c>
      <c r="AC77" s="299">
        <f>+AC24*(1+'Conversion Factors'!$F24)</f>
        <v>0.35952000000000006</v>
      </c>
      <c r="AD77" s="299">
        <f>+AD24*(1+'Conversion Factors'!$F24)</f>
        <v>0</v>
      </c>
      <c r="AE77" s="299">
        <f>+AE24*(1+'Conversion Factors'!$F24)</f>
        <v>50.718000000000004</v>
      </c>
      <c r="AF77" s="299">
        <f>+AF24*(1+'Conversion Factors'!$F24)</f>
        <v>41.553690750000001</v>
      </c>
      <c r="AG77" s="277">
        <f t="shared" si="39"/>
        <v>92.631210750000008</v>
      </c>
      <c r="AH77" s="719">
        <f t="shared" si="27"/>
        <v>170.57917610885494</v>
      </c>
      <c r="AI77" s="1046"/>
      <c r="AJ77" s="1047">
        <v>2013</v>
      </c>
      <c r="AK77" s="497">
        <f>+AK24*(1+'Conversion Factors'!$G24)</f>
        <v>34.897946319809094</v>
      </c>
      <c r="AL77" s="497">
        <f>+AL24*(1+'Conversion Factors'!$G24)</f>
        <v>0.97842940000000012</v>
      </c>
      <c r="AM77" s="984">
        <f>+AM24*(1+'Conversion Factors'!$G24)</f>
        <v>6.4628000000000005E-2</v>
      </c>
      <c r="AN77" s="497">
        <f>+AN24*(1+'Conversion Factors'!$G24)</f>
        <v>0</v>
      </c>
      <c r="AO77" s="497">
        <f>+AO24*(1+'Conversion Factors'!$G24)</f>
        <v>0.81974840000000004</v>
      </c>
      <c r="AP77" s="984">
        <f>+AP24*(1+'Conversion Factors'!$G24)</f>
        <v>7.9785519106699756E-3</v>
      </c>
      <c r="AQ77" s="497">
        <f>+AQ24*(1+'Conversion Factors'!$G24)</f>
        <v>0</v>
      </c>
      <c r="AR77" s="497">
        <f>+AR24*(1+'Conversion Factors'!$G24)</f>
        <v>0</v>
      </c>
      <c r="AS77" s="984">
        <f>+AS24*(1+'Conversion Factors'!$G24)</f>
        <v>4.0339000000000007E-2</v>
      </c>
      <c r="AT77" s="497">
        <f>+AT24*(1+'Conversion Factors'!$G24)</f>
        <v>0.62977997058823532</v>
      </c>
      <c r="AU77" s="497">
        <f>+AU24*(1+'Conversion Factors'!$G24)</f>
        <v>2.3373972379999999</v>
      </c>
      <c r="AV77" s="497">
        <f>+AV24*(1+'Conversion Factors'!$G24)</f>
        <v>0</v>
      </c>
      <c r="AW77" s="497">
        <f>+AW24*(1+'Conversion Factors'!$G24)</f>
        <v>0</v>
      </c>
      <c r="AX77" s="984">
        <f>+AX24*(1+'Conversion Factors'!$G24)</f>
        <v>17.787805878358547</v>
      </c>
      <c r="AY77" s="497">
        <f>+AY24*(1+'Conversion Factors'!$G24)</f>
        <v>0</v>
      </c>
      <c r="AZ77" s="497">
        <f>+AZ24*(1+'Conversion Factors'!$G24)</f>
        <v>0</v>
      </c>
      <c r="BA77" s="497">
        <f>+BA24*(1+'Conversion Factors'!$G24)</f>
        <v>3.5136766999999995</v>
      </c>
      <c r="BB77" s="497">
        <f>+BB24*(1+'Conversion Factors'!$G24)</f>
        <v>0</v>
      </c>
      <c r="BC77" s="984">
        <f>+BC24*(1+'Conversion Factors'!$G24)</f>
        <v>0</v>
      </c>
      <c r="BD77" s="497">
        <f>+BD24*(1+'Conversion Factors'!$G24)</f>
        <v>0</v>
      </c>
      <c r="BE77" s="984">
        <f>+BE24*(1+'Conversion Factors'!$G24)</f>
        <v>0</v>
      </c>
      <c r="BF77" s="497">
        <f>+BF24*(1+'Conversion Factors'!$G24)</f>
        <v>0</v>
      </c>
      <c r="BG77" s="984">
        <f>+BG24*(1+'Conversion Factors'!$G24)</f>
        <v>0</v>
      </c>
      <c r="BH77" s="984">
        <f>+BH24*(1+'Conversion Factors'!$G24)</f>
        <v>0</v>
      </c>
      <c r="BI77" s="497">
        <f>+BI24*(1+'Conversion Factors'!$G24)</f>
        <v>0</v>
      </c>
      <c r="BJ77" s="497">
        <f>+BJ24*(1+'Conversion Factors'!$G24)</f>
        <v>0</v>
      </c>
      <c r="BK77" s="721">
        <f t="shared" si="40"/>
        <v>61.077729458666553</v>
      </c>
      <c r="BL77" s="497">
        <f>+BL24*(1+'Conversion Factors'!$G24)</f>
        <v>0</v>
      </c>
      <c r="BM77" s="497">
        <f>+BM24*(1+'Conversion Factors'!$G24)</f>
        <v>0</v>
      </c>
      <c r="BN77" s="497">
        <f>+BN24*(1+'Conversion Factors'!$G24)</f>
        <v>51.36</v>
      </c>
      <c r="BO77" s="497">
        <f>+BO24*(1+'Conversion Factors'!$G24)</f>
        <v>41.553690750000001</v>
      </c>
      <c r="BP77" s="1106">
        <f t="shared" si="41"/>
        <v>92.913690750000001</v>
      </c>
      <c r="BQ77" s="722">
        <f t="shared" si="32"/>
        <v>153.99142020866657</v>
      </c>
      <c r="BS77" s="1048">
        <v>2013</v>
      </c>
      <c r="BT77" s="720">
        <f>+BT24*(1+'Conversion Factors'!$H24)</f>
        <v>23.710284450668254</v>
      </c>
      <c r="BU77" s="497">
        <f>+BU24*(1+'Conversion Factors'!$H24)</f>
        <v>0.23334043800000004</v>
      </c>
      <c r="BV77" s="497">
        <f>+BV24*(1+'Conversion Factors'!$H24)</f>
        <v>0.35751168000000005</v>
      </c>
      <c r="BW77" s="497">
        <f>+BW24*(1+'Conversion Factors'!$H24)</f>
        <v>7.4339085505183462</v>
      </c>
      <c r="BX77" s="497">
        <f>+BX24*(1+'Conversion Factors'!$H24)</f>
        <v>17.809181760000001</v>
      </c>
      <c r="BY77" s="497">
        <f>+BY24*(1+'Conversion Factors'!$H24)</f>
        <v>1.1414917866004963</v>
      </c>
      <c r="BZ77" s="497">
        <f>+BZ24*(1+'Conversion Factors'!$H24)</f>
        <v>0</v>
      </c>
      <c r="CA77" s="497">
        <f>+CA24*(1+'Conversion Factors'!$H24)</f>
        <v>0</v>
      </c>
      <c r="CB77" s="497">
        <f>+CB24*(1+'Conversion Factors'!$H24)</f>
        <v>0.31554655840000001</v>
      </c>
      <c r="CC77" s="497">
        <f>+CC24*(1+'Conversion Factors'!$H24)</f>
        <v>3.6119025171764707</v>
      </c>
      <c r="CD77" s="497">
        <f>+CD24*(1+'Conversion Factors'!$H24)</f>
        <v>2.90361918256</v>
      </c>
      <c r="CE77" s="497">
        <f>+CE24*(1+'Conversion Factors'!$H24)</f>
        <v>0</v>
      </c>
      <c r="CF77" s="497">
        <f>+CF24*(1+'Conversion Factors'!$H24)</f>
        <v>0</v>
      </c>
      <c r="CG77" s="497">
        <f>+CG24*(1+'Conversion Factors'!$H24)</f>
        <v>209.56766378932969</v>
      </c>
      <c r="CH77" s="497">
        <f>+CH24*(1+'Conversion Factors'!$H24)</f>
        <v>0</v>
      </c>
      <c r="CI77" s="497">
        <f>+CI24*(1+'Conversion Factors'!$H24)</f>
        <v>0</v>
      </c>
      <c r="CJ77" s="497">
        <f>+CJ24*(1+'Conversion Factors'!$H24)</f>
        <v>21.427227611666666</v>
      </c>
      <c r="CK77" s="497">
        <f>+CK24*(1+'Conversion Factors'!$H24)</f>
        <v>0</v>
      </c>
      <c r="CL77" s="497">
        <f>+CL24*(1+'Conversion Factors'!$H24)</f>
        <v>16.832000000000001</v>
      </c>
      <c r="CM77" s="497">
        <f>+CM24*(1+'Conversion Factors'!$H24)</f>
        <v>0</v>
      </c>
      <c r="CN77" s="497">
        <f>+CN24*(1+'Conversion Factors'!$H24)</f>
        <v>0.453805974</v>
      </c>
      <c r="CO77" s="497">
        <f>+CO24*(1+'Conversion Factors'!$H24)</f>
        <v>5.5857723140000006</v>
      </c>
      <c r="CP77" s="497">
        <f>+CP24*(1+'Conversion Factors'!$H24)</f>
        <v>0.453805974</v>
      </c>
      <c r="CQ77" s="497">
        <f>+CQ24*(1+'Conversion Factors'!$H24)</f>
        <v>1.6479054000000003E-2</v>
      </c>
      <c r="CR77" s="497">
        <f>+CR24*(1+'Conversion Factors'!$H24)</f>
        <v>4.1469840000000001E-2</v>
      </c>
      <c r="CS77" s="722">
        <f>+CS24*(1+'Conversion Factors'!$H24)</f>
        <v>0.35145794600000002</v>
      </c>
      <c r="CT77" s="721">
        <f t="shared" si="42"/>
        <v>295.41446942691982</v>
      </c>
      <c r="CU77" s="497">
        <f>+CU24*(1+'Conversion Factors'!$H24)</f>
        <v>0</v>
      </c>
      <c r="CV77" s="497">
        <f>+CV24*(1+'Conversion Factors'!$H24)</f>
        <v>0</v>
      </c>
      <c r="CW77" s="497">
        <f>+CW24*(1+'Conversion Factors'!$H24)</f>
        <v>5.0127800000000002</v>
      </c>
      <c r="CX77" s="497">
        <f>+CX24*(1+'Conversion Factors'!$H24)</f>
        <v>3.1487480380000004</v>
      </c>
      <c r="CY77" s="1106">
        <f t="shared" si="43"/>
        <v>8.1615280380000002</v>
      </c>
      <c r="CZ77" s="719">
        <f t="shared" si="37"/>
        <v>303.57599746491985</v>
      </c>
      <c r="DA77" s="723">
        <f t="shared" si="38"/>
        <v>267.74271652018297</v>
      </c>
      <c r="DB77" s="723">
        <f t="shared" si="44"/>
        <v>35.833280944736885</v>
      </c>
    </row>
    <row r="78" spans="1:106" s="2" customFormat="1" x14ac:dyDescent="0.2">
      <c r="A78" s="588">
        <v>2014</v>
      </c>
      <c r="B78" s="327">
        <f>+B25*(1+'Conversion Factors'!$F25)</f>
        <v>14.683966023985681</v>
      </c>
      <c r="C78" s="299">
        <f>+C25*(1+'Conversion Factors'!$F25)</f>
        <v>0.42281050000000009</v>
      </c>
      <c r="D78" s="738">
        <f>+D25*(1+'Conversion Factors'!$F25)</f>
        <v>8.522550000000001E-2</v>
      </c>
      <c r="E78" s="276">
        <f>+E25*(1+'Conversion Factors'!$F25)</f>
        <v>2.543490412987568</v>
      </c>
      <c r="F78" s="276">
        <f>+F25*(1+'Conversion Factors'!$F25)</f>
        <v>5.9404902000000002</v>
      </c>
      <c r="G78" s="738">
        <f>+G25*(1+'Conversion Factors'!$F25)</f>
        <v>1.0558909587593053</v>
      </c>
      <c r="H78" s="276">
        <f>+H25*(1+'Conversion Factors'!$F25)</f>
        <v>0</v>
      </c>
      <c r="I78" s="276">
        <f>+I25*(1+'Conversion Factors'!$F25)</f>
        <v>0</v>
      </c>
      <c r="J78" s="738">
        <f>+J25*(1+'Conversion Factors'!$F25)</f>
        <v>6.0358700000000001E-2</v>
      </c>
      <c r="K78" s="276">
        <f>+K25*(1+'Conversion Factors'!$F25)</f>
        <v>1.5070415000000001</v>
      </c>
      <c r="L78" s="276">
        <f>+L25*(1+'Conversion Factors'!$F25)</f>
        <v>3.5053635490000006</v>
      </c>
      <c r="M78" s="276">
        <f>+M25*(1+'Conversion Factors'!$F25)</f>
        <v>0</v>
      </c>
      <c r="N78" s="276">
        <f>+N25*(1+'Conversion Factors'!$F25)</f>
        <v>0</v>
      </c>
      <c r="O78" s="738">
        <f>+O25*(1+'Conversion Factors'!$F25)</f>
        <v>45.783130660214319</v>
      </c>
      <c r="P78" s="276">
        <f>+P25*(1+'Conversion Factors'!$F25)</f>
        <v>0</v>
      </c>
      <c r="Q78" s="276">
        <f>+Q25*(1+'Conversion Factors'!$F25)</f>
        <v>0</v>
      </c>
      <c r="R78" s="276">
        <f>+R25*(1+'Conversion Factors'!$F25)</f>
        <v>6.8954206166666667</v>
      </c>
      <c r="S78" s="276">
        <f>+S25*(1+'Conversion Factors'!$F25)</f>
        <v>0</v>
      </c>
      <c r="T78" s="738">
        <f>+T25*(1+'Conversion Factors'!$F25)</f>
        <v>0</v>
      </c>
      <c r="U78" s="276">
        <f>+U25*(1+'Conversion Factors'!$F25)</f>
        <v>0</v>
      </c>
      <c r="V78" s="738">
        <f>+V25*(1+'Conversion Factors'!$F25)</f>
        <v>0</v>
      </c>
      <c r="W78" s="276">
        <f>+W25*(1+'Conversion Factors'!$F25)</f>
        <v>1.2008770500000001</v>
      </c>
      <c r="X78" s="738">
        <f>+X25*(1+'Conversion Factors'!$F25)</f>
        <v>0.16714470000000003</v>
      </c>
      <c r="Y78" s="738">
        <f>+Y25*(1+'Conversion Factors'!$F25)</f>
        <v>2.1410699999999998E-2</v>
      </c>
      <c r="Z78" s="738">
        <f>+Z25*(1+'Conversion Factors'!$F25)</f>
        <v>2.0972000000000001E-2</v>
      </c>
      <c r="AA78" s="738">
        <f>+AA25*(1+'Conversion Factors'!$F25)</f>
        <v>0.1798563</v>
      </c>
      <c r="AB78" s="679">
        <f t="shared" si="25"/>
        <v>84.073449371613535</v>
      </c>
      <c r="AC78" s="299">
        <f>+AC25*(1+'Conversion Factors'!$F25)</f>
        <v>0.21400000000000002</v>
      </c>
      <c r="AD78" s="299">
        <f>+AD25*(1+'Conversion Factors'!$F25)</f>
        <v>0</v>
      </c>
      <c r="AE78" s="299">
        <f>+AE25*(1+'Conversion Factors'!$F25)</f>
        <v>51.969900000000003</v>
      </c>
      <c r="AF78" s="299">
        <f>+AF25*(1+'Conversion Factors'!$F25)</f>
        <v>43.540873350000005</v>
      </c>
      <c r="AG78" s="277">
        <f t="shared" si="39"/>
        <v>95.724773350000007</v>
      </c>
      <c r="AH78" s="719">
        <f t="shared" si="27"/>
        <v>179.79822272161354</v>
      </c>
      <c r="AJ78" s="748">
        <v>2014</v>
      </c>
      <c r="AK78" s="299">
        <f>+AK25*(1+'Conversion Factors'!$G25)</f>
        <v>34.984327419809098</v>
      </c>
      <c r="AL78" s="299">
        <f>+AL25*(1+'Conversion Factors'!$G25)</f>
        <v>0.97871830000000004</v>
      </c>
      <c r="AM78" s="984">
        <f>+AM25*(1+'Conversion Factors'!$G25)</f>
        <v>6.4628000000000005E-2</v>
      </c>
      <c r="AN78" s="299">
        <f>+AN25*(1+'Conversion Factors'!$G25)</f>
        <v>0</v>
      </c>
      <c r="AO78" s="299">
        <f>+AO25*(1+'Conversion Factors'!$G25)</f>
        <v>0.81974840000000004</v>
      </c>
      <c r="AP78" s="984">
        <f>+AP25*(1+'Conversion Factors'!$G25)</f>
        <v>1.0375351910669975E-2</v>
      </c>
      <c r="AQ78" s="299">
        <f>+AQ25*(1+'Conversion Factors'!$G25)</f>
        <v>0</v>
      </c>
      <c r="AR78" s="299">
        <f>+AR25*(1+'Conversion Factors'!$G25)</f>
        <v>0</v>
      </c>
      <c r="AS78" s="984">
        <f>+AS25*(1+'Conversion Factors'!$G25)</f>
        <v>4.6416600000000002E-2</v>
      </c>
      <c r="AT78" s="299">
        <f>+AT25*(1+'Conversion Factors'!$G25)</f>
        <v>0.72582317058823542</v>
      </c>
      <c r="AU78" s="299">
        <f>+AU25*(1+'Conversion Factors'!$G25)</f>
        <v>2.658472138</v>
      </c>
      <c r="AV78" s="299">
        <f>+AV25*(1+'Conversion Factors'!$G25)</f>
        <v>0</v>
      </c>
      <c r="AW78" s="299">
        <f>+AW25*(1+'Conversion Factors'!$G25)</f>
        <v>0</v>
      </c>
      <c r="AX78" s="984">
        <f>+AX25*(1+'Conversion Factors'!$G25)</f>
        <v>20.654688092841305</v>
      </c>
      <c r="AY78" s="299">
        <f>+AY25*(1+'Conversion Factors'!$G25)</f>
        <v>0</v>
      </c>
      <c r="AZ78" s="299">
        <f>+AZ25*(1+'Conversion Factors'!$G25)</f>
        <v>0</v>
      </c>
      <c r="BA78" s="299">
        <f>+BA25*(1+'Conversion Factors'!$G25)</f>
        <v>3.5136766999999995</v>
      </c>
      <c r="BB78" s="299">
        <f>+BB25*(1+'Conversion Factors'!$G25)</f>
        <v>0</v>
      </c>
      <c r="BC78" s="984">
        <f>+BC25*(1+'Conversion Factors'!$G25)</f>
        <v>0</v>
      </c>
      <c r="BD78" s="299">
        <f>+BD25*(1+'Conversion Factors'!$G25)</f>
        <v>0</v>
      </c>
      <c r="BE78" s="984">
        <f>+BE25*(1+'Conversion Factors'!$G25)</f>
        <v>0</v>
      </c>
      <c r="BF78" s="299">
        <f>+BF25*(1+'Conversion Factors'!$G25)</f>
        <v>0</v>
      </c>
      <c r="BG78" s="984">
        <f>+BG25*(1+'Conversion Factors'!$G25)</f>
        <v>0</v>
      </c>
      <c r="BH78" s="984">
        <f>+BH25*(1+'Conversion Factors'!$G25)</f>
        <v>2.2919399999999999E-2</v>
      </c>
      <c r="BI78" s="299">
        <f>+BI25*(1+'Conversion Factors'!$G25)</f>
        <v>0</v>
      </c>
      <c r="BJ78" s="299">
        <f>+BJ25*(1+'Conversion Factors'!$G25)</f>
        <v>0</v>
      </c>
      <c r="BK78" s="282">
        <f t="shared" si="40"/>
        <v>64.479793573149308</v>
      </c>
      <c r="BL78" s="299">
        <f>+BL25*(1+'Conversion Factors'!$G25)</f>
        <v>0</v>
      </c>
      <c r="BM78" s="299">
        <f>+BM25*(1+'Conversion Factors'!$G25)</f>
        <v>0</v>
      </c>
      <c r="BN78" s="299">
        <f>+BN25*(1+'Conversion Factors'!$G25)</f>
        <v>57.523200000000003</v>
      </c>
      <c r="BO78" s="299">
        <f>+BO25*(1+'Conversion Factors'!$G25)</f>
        <v>42.623712150000003</v>
      </c>
      <c r="BP78" s="1106">
        <f t="shared" si="41"/>
        <v>100.14691215000001</v>
      </c>
      <c r="BQ78" s="719">
        <f t="shared" si="32"/>
        <v>164.62670572314931</v>
      </c>
      <c r="BS78" s="994">
        <v>2014</v>
      </c>
      <c r="BT78" s="327">
        <f>+BT25*(1+'Conversion Factors'!$H25)</f>
        <v>24.343735730668254</v>
      </c>
      <c r="BU78" s="299">
        <f>+BU25*(1+'Conversion Factors'!$H25)</f>
        <v>0.23570112600000001</v>
      </c>
      <c r="BV78" s="299">
        <f>+BV25*(1+'Conversion Factors'!$H25)</f>
        <v>0.35751168000000005</v>
      </c>
      <c r="BW78" s="299">
        <f>+BW25*(1+'Conversion Factors'!$H25)</f>
        <v>7.8999592785183461</v>
      </c>
      <c r="BX78" s="299">
        <f>+BX25*(1+'Conversion Factors'!$H25)</f>
        <v>18.207973919999997</v>
      </c>
      <c r="BY78" s="299">
        <f>+BY25*(1+'Conversion Factors'!$H25)</f>
        <v>1.7578759446004963</v>
      </c>
      <c r="BZ78" s="299">
        <f>+BZ25*(1+'Conversion Factors'!$H25)</f>
        <v>0</v>
      </c>
      <c r="CA78" s="299">
        <f>+CA25*(1+'Conversion Factors'!$H25)</f>
        <v>0</v>
      </c>
      <c r="CB78" s="299">
        <f>+CB25*(1+'Conversion Factors'!$H25)</f>
        <v>0.32381107039999996</v>
      </c>
      <c r="CC78" s="299">
        <f>+CC25*(1+'Conversion Factors'!$H25)</f>
        <v>3.9032991531764707</v>
      </c>
      <c r="CD78" s="299">
        <f>+CD25*(1+'Conversion Factors'!$H25)</f>
        <v>3.3355177825600002</v>
      </c>
      <c r="CE78" s="299">
        <f>+CE25*(1+'Conversion Factors'!$H25)</f>
        <v>0</v>
      </c>
      <c r="CF78" s="299">
        <f>+CF25*(1+'Conversion Factors'!$H25)</f>
        <v>0</v>
      </c>
      <c r="CG78" s="299">
        <f>+CG25*(1+'Conversion Factors'!$H25)</f>
        <v>216.37193615058487</v>
      </c>
      <c r="CH78" s="299">
        <f>+CH25*(1+'Conversion Factors'!$H25)</f>
        <v>0</v>
      </c>
      <c r="CI78" s="299">
        <f>+CI25*(1+'Conversion Factors'!$H25)</f>
        <v>0</v>
      </c>
      <c r="CJ78" s="299">
        <f>+CJ25*(1+'Conversion Factors'!$H25)</f>
        <v>21.453527611666665</v>
      </c>
      <c r="CK78" s="299">
        <f>+CK25*(1+'Conversion Factors'!$H25)</f>
        <v>0</v>
      </c>
      <c r="CL78" s="299">
        <f>+CL25*(1+'Conversion Factors'!$H25)</f>
        <v>16.832000000000001</v>
      </c>
      <c r="CM78" s="299">
        <f>+CM25*(1+'Conversion Factors'!$H25)</f>
        <v>0</v>
      </c>
      <c r="CN78" s="299">
        <f>+CN25*(1+'Conversion Factors'!$H25)</f>
        <v>0.57099561799999998</v>
      </c>
      <c r="CO78" s="299">
        <f>+CO25*(1+'Conversion Factors'!$H25)</f>
        <v>6.7209855140000005</v>
      </c>
      <c r="CP78" s="299">
        <f>+CP25*(1+'Conversion Factors'!$H25)</f>
        <v>0.57099561799999998</v>
      </c>
      <c r="CQ78" s="299">
        <f>+CQ25*(1+'Conversion Factors'!$H25)</f>
        <v>3.2958108000000007E-2</v>
      </c>
      <c r="CR78" s="299">
        <f>+CR25*(1+'Conversion Factors'!$H25)</f>
        <v>5.8057776000000005E-2</v>
      </c>
      <c r="CS78" s="997">
        <f>+CS25*(1+'Conversion Factors'!$H25)</f>
        <v>0.43394000599999999</v>
      </c>
      <c r="CT78" s="282">
        <f t="shared" si="42"/>
        <v>306.5787820881751</v>
      </c>
      <c r="CU78" s="299">
        <f>+CU25*(1+'Conversion Factors'!$H25)</f>
        <v>0</v>
      </c>
      <c r="CV78" s="299">
        <f>+CV25*(1+'Conversion Factors'!$H25)</f>
        <v>0</v>
      </c>
      <c r="CW78" s="299">
        <f>+CW25*(1+'Conversion Factors'!$H25)</f>
        <v>5.3370589999999991</v>
      </c>
      <c r="CX78" s="299">
        <f>+CX25*(1+'Conversion Factors'!$H25)</f>
        <v>3.2952727020000006</v>
      </c>
      <c r="CY78" s="1106">
        <f t="shared" si="43"/>
        <v>8.6323317020000001</v>
      </c>
      <c r="CZ78" s="719">
        <f t="shared" si="37"/>
        <v>315.21111379017509</v>
      </c>
      <c r="DA78" s="162">
        <f t="shared" si="38"/>
        <v>275.99943057743815</v>
      </c>
      <c r="DB78" s="162">
        <f t="shared" si="44"/>
        <v>39.211683212736943</v>
      </c>
    </row>
    <row r="79" spans="1:106" s="1031" customFormat="1" ht="13.5" thickBot="1" x14ac:dyDescent="0.25">
      <c r="A79" s="1097">
        <v>2015</v>
      </c>
      <c r="B79" s="1164">
        <f>+B26*(1+'Conversion Factors'!$F26)</f>
        <v>14.683966023985681</v>
      </c>
      <c r="C79" s="1165">
        <f>+C26*(1+'Conversion Factors'!$F26)</f>
        <v>0.42281050000000009</v>
      </c>
      <c r="D79" s="1075">
        <f>+D26*(1+'Conversion Factors'!$F26)</f>
        <v>8.522550000000001E-2</v>
      </c>
      <c r="E79" s="1074">
        <f>+E26*(1+'Conversion Factors'!$F26)</f>
        <v>2.8582082097824402</v>
      </c>
      <c r="F79" s="1074">
        <f>+F26*(1+'Conversion Factors'!$F26)</f>
        <v>5.9916800824902721</v>
      </c>
      <c r="G79" s="1075">
        <f>+G26*(1+'Conversion Factors'!$F26)</f>
        <v>1.649658033759305</v>
      </c>
      <c r="H79" s="1074">
        <f>+H26*(1+'Conversion Factors'!$F26)</f>
        <v>1.5926949999999999E-2</v>
      </c>
      <c r="I79" s="1074">
        <f>+I26*(1+'Conversion Factors'!$F26)</f>
        <v>0</v>
      </c>
      <c r="J79" s="1075">
        <f>+J26*(1+'Conversion Factors'!$F26)</f>
        <v>6.4189300000000005E-2</v>
      </c>
      <c r="K79" s="1074">
        <f>+K26*(1+'Conversion Factors'!$F26)</f>
        <v>1.7349622</v>
      </c>
      <c r="L79" s="1074">
        <f>+L26*(1+'Conversion Factors'!$F26)</f>
        <v>3.9012635490000007</v>
      </c>
      <c r="M79" s="1074">
        <f>+M26*(1+'Conversion Factors'!$F26)</f>
        <v>0</v>
      </c>
      <c r="N79" s="1074">
        <f>+N26*(1+'Conversion Factors'!$F26)</f>
        <v>0</v>
      </c>
      <c r="O79" s="1075">
        <f>+O26*(1+'Conversion Factors'!$F26)</f>
        <v>45.792953260214325</v>
      </c>
      <c r="P79" s="1074">
        <f>+P26*(1+'Conversion Factors'!$F26)</f>
        <v>0.51945825000000012</v>
      </c>
      <c r="Q79" s="1074">
        <f>+Q26*(1+'Conversion Factors'!$F26)</f>
        <v>9.7573300000000002E-2</v>
      </c>
      <c r="R79" s="1074">
        <f>+R26*(1+'Conversion Factors'!$F26)</f>
        <v>8.3467498916666685</v>
      </c>
      <c r="S79" s="1074">
        <f>+S26*(1+'Conversion Factors'!$F26)</f>
        <v>0</v>
      </c>
      <c r="T79" s="1075">
        <f>+T26*(1+'Conversion Factors'!$F26)</f>
        <v>0</v>
      </c>
      <c r="U79" s="1074">
        <f>+U26*(1+'Conversion Factors'!$F26)</f>
        <v>1.8190000000000001E-3</v>
      </c>
      <c r="V79" s="1075">
        <f>+V26*(1+'Conversion Factors'!$F26)</f>
        <v>0</v>
      </c>
      <c r="W79" s="1074">
        <f>+W26*(1+'Conversion Factors'!$F26)</f>
        <v>1.3569145555555555</v>
      </c>
      <c r="X79" s="1075">
        <f>+X26*(1+'Conversion Factors'!$F26)</f>
        <v>0.52271640000000008</v>
      </c>
      <c r="Y79" s="1075">
        <f>+Y26*(1+'Conversion Factors'!$F26)</f>
        <v>2.1410699999999998E-2</v>
      </c>
      <c r="Z79" s="1075">
        <f>+Z26*(1+'Conversion Factors'!$F26)</f>
        <v>2.6964000000000002E-2</v>
      </c>
      <c r="AA79" s="1075">
        <f>+AA26*(1+'Conversion Factors'!$F26)</f>
        <v>0.18584829999999999</v>
      </c>
      <c r="AB79" s="1098">
        <f t="shared" si="25"/>
        <v>88.280298006454245</v>
      </c>
      <c r="AC79" s="1076">
        <f>+AC26*(1+'Conversion Factors'!$F26)</f>
        <v>0.21400000000000002</v>
      </c>
      <c r="AD79" s="1076">
        <f>+AD26*(1+'Conversion Factors'!$F26)</f>
        <v>0</v>
      </c>
      <c r="AE79" s="1076">
        <f>+AE26*(1+'Conversion Factors'!$F26)</f>
        <v>58.533280000000005</v>
      </c>
      <c r="AF79" s="1076">
        <f>+AF26*(1+'Conversion Factors'!$F26)</f>
        <v>42.800000000000004</v>
      </c>
      <c r="AG79" s="1104">
        <f t="shared" si="39"/>
        <v>101.54728</v>
      </c>
      <c r="AH79" s="1092">
        <f t="shared" si="27"/>
        <v>189.82757800645425</v>
      </c>
      <c r="AJ79" s="1093">
        <v>2015</v>
      </c>
      <c r="AK79" s="1165">
        <f>+AK26*(1+'Conversion Factors'!$G26)</f>
        <v>34.984327419809098</v>
      </c>
      <c r="AL79" s="1165">
        <f>+AL26*(1+'Conversion Factors'!$G26)</f>
        <v>0.97871830000000004</v>
      </c>
      <c r="AM79" s="1080">
        <f>+AM26*(1+'Conversion Factors'!$G26)</f>
        <v>6.4628000000000005E-2</v>
      </c>
      <c r="AN79" s="1076">
        <f>+AN26*(1+'Conversion Factors'!$G26)</f>
        <v>3.4809294871794871E-3</v>
      </c>
      <c r="AO79" s="1076">
        <f>+AO26*(1+'Conversion Factors'!$G26)</f>
        <v>0.81974840000000004</v>
      </c>
      <c r="AP79" s="1080">
        <f>+AP26*(1+'Conversion Factors'!$G26)</f>
        <v>2.4007151910669978E-2</v>
      </c>
      <c r="AQ79" s="1076">
        <f>+AQ26*(1+'Conversion Factors'!$G26)</f>
        <v>0</v>
      </c>
      <c r="AR79" s="1076">
        <f>+AR26*(1+'Conversion Factors'!$G26)</f>
        <v>0</v>
      </c>
      <c r="AS79" s="1080">
        <f>+AS26*(1+'Conversion Factors'!$G26)</f>
        <v>5.2494200000000005E-2</v>
      </c>
      <c r="AT79" s="1076">
        <f>+AT26*(1+'Conversion Factors'!$G26)</f>
        <v>0.92826717058823538</v>
      </c>
      <c r="AU79" s="1076">
        <f>+AU26*(1+'Conversion Factors'!$G26)</f>
        <v>3.2537345379999998</v>
      </c>
      <c r="AV79" s="1076">
        <f>+AV26*(1+'Conversion Factors'!$G26)</f>
        <v>0</v>
      </c>
      <c r="AW79" s="1076">
        <f>+AW26*(1+'Conversion Factors'!$G26)</f>
        <v>0</v>
      </c>
      <c r="AX79" s="1080">
        <f>+AX26*(1+'Conversion Factors'!$G26)</f>
        <v>20.669668092841306</v>
      </c>
      <c r="AY79" s="1076">
        <f>+AY26*(1+'Conversion Factors'!$G26)</f>
        <v>0</v>
      </c>
      <c r="AZ79" s="1076">
        <f>+AZ26*(1+'Conversion Factors'!$G26)</f>
        <v>0</v>
      </c>
      <c r="BA79" s="1076">
        <f>+BA26*(1+'Conversion Factors'!$G26)</f>
        <v>3.5136766999999995</v>
      </c>
      <c r="BB79" s="1076">
        <f>+BB26*(1+'Conversion Factors'!$G26)</f>
        <v>0</v>
      </c>
      <c r="BC79" s="1080">
        <f>+BC26*(1+'Conversion Factors'!$G26)</f>
        <v>0</v>
      </c>
      <c r="BD79" s="1076">
        <f>+BD26*(1+'Conversion Factors'!$G26)</f>
        <v>0</v>
      </c>
      <c r="BE79" s="1080">
        <f>+BE26*(1+'Conversion Factors'!$G26)</f>
        <v>0</v>
      </c>
      <c r="BF79" s="1076">
        <f>+BF26*(1+'Conversion Factors'!$G26)</f>
        <v>0</v>
      </c>
      <c r="BG79" s="1080">
        <f>+BG26*(1+'Conversion Factors'!$G26)</f>
        <v>0</v>
      </c>
      <c r="BH79" s="1080">
        <f>+BH26*(1+'Conversion Factors'!$G26)</f>
        <v>2.2919399999999999E-2</v>
      </c>
      <c r="BI79" s="1076">
        <f>+BI26*(1+'Conversion Factors'!$G26)</f>
        <v>0</v>
      </c>
      <c r="BJ79" s="1076">
        <f>+BJ26*(1+'Conversion Factors'!$G26)</f>
        <v>0</v>
      </c>
      <c r="BK79" s="1077">
        <f t="shared" si="40"/>
        <v>65.315670302636505</v>
      </c>
      <c r="BL79" s="1076">
        <f>+BL26*(1+'Conversion Factors'!$G26)</f>
        <v>0</v>
      </c>
      <c r="BM79" s="1076">
        <f>+BM26*(1+'Conversion Factors'!$G26)</f>
        <v>0</v>
      </c>
      <c r="BN79" s="1076">
        <f>+BN26*(1+'Conversion Factors'!$G26)</f>
        <v>56.450846000000006</v>
      </c>
      <c r="BO79" s="1076">
        <f>+BO26*(1+'Conversion Factors'!$G26)</f>
        <v>42.800000000000004</v>
      </c>
      <c r="BP79" s="1092">
        <f t="shared" si="41"/>
        <v>99.25084600000001</v>
      </c>
      <c r="BQ79" s="1092">
        <f t="shared" si="32"/>
        <v>164.5665163026365</v>
      </c>
      <c r="BS79" s="1099">
        <v>2015</v>
      </c>
      <c r="BT79" s="1164">
        <f>+BT26*(1+'Conversion Factors'!$H26)</f>
        <v>24.343735730668254</v>
      </c>
      <c r="BU79" s="1165">
        <f>+BU26*(1+'Conversion Factors'!$H26)</f>
        <v>0.23570112600000001</v>
      </c>
      <c r="BV79" s="1076">
        <f>+BV26*(1+'Conversion Factors'!$H26)</f>
        <v>0.35751168000000005</v>
      </c>
      <c r="BW79" s="1076">
        <f>+BW26*(1+'Conversion Factors'!$H26)</f>
        <v>10.858258306753731</v>
      </c>
      <c r="BX79" s="1076">
        <f>+BX26*(1+'Conversion Factors'!$H26)</f>
        <v>18.442488527230736</v>
      </c>
      <c r="BY79" s="1076">
        <f>+BY26*(1+'Conversion Factors'!$H26)</f>
        <v>2.1953722366004964</v>
      </c>
      <c r="BZ79" s="1076">
        <f>+BZ26*(1+'Conversion Factors'!$H26)</f>
        <v>0.20475835544000001</v>
      </c>
      <c r="CA79" s="1076">
        <f>+CA26*(1+'Conversion Factors'!$H26)</f>
        <v>0</v>
      </c>
      <c r="CB79" s="1076">
        <f>+CB26*(1+'Conversion Factors'!$H26)</f>
        <v>0.32794332639999996</v>
      </c>
      <c r="CC79" s="1076">
        <f>+CC26*(1+'Conversion Factors'!$H26)</f>
        <v>4.424635637176471</v>
      </c>
      <c r="CD79" s="1076">
        <f>+CD26*(1+'Conversion Factors'!$H26)</f>
        <v>3.6527483825600005</v>
      </c>
      <c r="CE79" s="1076">
        <f>+CE26*(1+'Conversion Factors'!$H26)</f>
        <v>0</v>
      </c>
      <c r="CF79" s="1076">
        <f>+CF26*(1+'Conversion Factors'!$H26)</f>
        <v>0</v>
      </c>
      <c r="CG79" s="1076">
        <f>+CG26*(1+'Conversion Factors'!$H26)</f>
        <v>216.37939377858487</v>
      </c>
      <c r="CH79" s="1076">
        <f>+CH26*(1+'Conversion Factors'!$H26)</f>
        <v>1.7723682143200001</v>
      </c>
      <c r="CI79" s="1076">
        <f>+CI26*(1+'Conversion Factors'!$H26)</f>
        <v>0.41601385236000005</v>
      </c>
      <c r="CJ79" s="1076">
        <f>+CJ26*(1+'Conversion Factors'!$H26)</f>
        <v>22.784753667556664</v>
      </c>
      <c r="CK79" s="1076">
        <f>+CK26*(1+'Conversion Factors'!$H26)</f>
        <v>0</v>
      </c>
      <c r="CL79" s="1076">
        <f>+CL26*(1+'Conversion Factors'!$H26)</f>
        <v>16.832000000000001</v>
      </c>
      <c r="CM79" s="1076">
        <f>+CM26*(1+'Conversion Factors'!$H26)</f>
        <v>1.3322370200000001E-2</v>
      </c>
      <c r="CN79" s="1076">
        <f>+CN26*(1+'Conversion Factors'!$H26)</f>
        <v>1.1945707219999999</v>
      </c>
      <c r="CO79" s="1076">
        <f>+CO26*(1+'Conversion Factors'!$H26)</f>
        <v>7.3376035417693348</v>
      </c>
      <c r="CP79" s="1076">
        <f>+CP26*(1+'Conversion Factors'!$H26)</f>
        <v>1.1945707219999999</v>
      </c>
      <c r="CQ79" s="1076">
        <f>+CQ26*(1+'Conversion Factors'!$H26)</f>
        <v>3.2958108000000007E-2</v>
      </c>
      <c r="CR79" s="1076">
        <f>+CR26*(1+'Conversion Factors'!$H26)</f>
        <v>7.4645712000000003E-2</v>
      </c>
      <c r="CS79" s="1100">
        <f>+CS26*(1+'Conversion Factors'!$H26)</f>
        <v>0.45052794200000001</v>
      </c>
      <c r="CT79" s="1077">
        <f t="shared" si="42"/>
        <v>316.69388193962055</v>
      </c>
      <c r="CU79" s="1076">
        <f>+CU26*(1+'Conversion Factors'!$H26)</f>
        <v>0</v>
      </c>
      <c r="CV79" s="1076">
        <f>+CV26*(1+'Conversion Factors'!$H26)</f>
        <v>0</v>
      </c>
      <c r="CW79" s="1076">
        <f>+CW26*(1+'Conversion Factors'!$H26)</f>
        <v>5.6695523666666663</v>
      </c>
      <c r="CX79" s="1076">
        <f>+CX26*(1+'Conversion Factors'!$H26)</f>
        <v>3.5323178895000003</v>
      </c>
      <c r="CY79" s="1092">
        <f t="shared" si="43"/>
        <v>9.2018702561666661</v>
      </c>
      <c r="CZ79" s="1092">
        <f t="shared" si="37"/>
        <v>325.89575219578722</v>
      </c>
      <c r="DA79" s="1074">
        <f t="shared" si="38"/>
        <v>280.62890665623019</v>
      </c>
      <c r="DB79" s="1074">
        <f t="shared" si="44"/>
        <v>45.266845539557039</v>
      </c>
    </row>
    <row r="80" spans="1:106" s="2" customFormat="1" x14ac:dyDescent="0.2">
      <c r="A80" s="588">
        <v>2016</v>
      </c>
      <c r="B80" s="1085">
        <f>+B27*(1+'Conversion Factors'!$F27)</f>
        <v>14.683966023985681</v>
      </c>
      <c r="C80" s="1086">
        <f>+C27*(1+'Conversion Factors'!$F27)</f>
        <v>0.42281050000000009</v>
      </c>
      <c r="D80" s="738">
        <f>+D27*(1+'Conversion Factors'!$F27)</f>
        <v>8.522550000000001E-2</v>
      </c>
      <c r="E80" s="276">
        <f>+E27*(1+'Conversion Factors'!$F27)</f>
        <v>2.9791128597824401</v>
      </c>
      <c r="F80" s="276">
        <f>+F27*(1+'Conversion Factors'!$F27)</f>
        <v>6.0275625324902711</v>
      </c>
      <c r="G80" s="738">
        <f>+G27*(1+'Conversion Factors'!$F27)</f>
        <v>1.649658033759305</v>
      </c>
      <c r="H80" s="276">
        <f>+H27*(1+'Conversion Factors'!$F27)</f>
        <v>3.79957E-2</v>
      </c>
      <c r="I80" s="276">
        <f>+I27*(1+'Conversion Factors'!$F27)</f>
        <v>0</v>
      </c>
      <c r="J80" s="738">
        <f>+J27*(1+'Conversion Factors'!$F27)</f>
        <v>6.4189300000000005E-2</v>
      </c>
      <c r="K80" s="276">
        <f>+K27*(1+'Conversion Factors'!$F27)</f>
        <v>1.8444232</v>
      </c>
      <c r="L80" s="276">
        <f>+L27*(1+'Conversion Factors'!$F27)</f>
        <v>4.018781649000001</v>
      </c>
      <c r="M80" s="276">
        <f>+M27*(1+'Conversion Factors'!$F27)</f>
        <v>0</v>
      </c>
      <c r="N80" s="276">
        <f>+N27*(1+'Conversion Factors'!$F27)</f>
        <v>0</v>
      </c>
      <c r="O80" s="738">
        <f>+O27*(1+'Conversion Factors'!$F27)</f>
        <v>45.792953260214325</v>
      </c>
      <c r="P80" s="276">
        <f>+P27*(1+'Conversion Factors'!$F27)</f>
        <v>2.4711650000000001</v>
      </c>
      <c r="Q80" s="276">
        <f>+Q27*(1+'Conversion Factors'!$F27)</f>
        <v>0.54280030000000001</v>
      </c>
      <c r="R80" s="276">
        <f>+R27*(1+'Conversion Factors'!$F27)</f>
        <v>8.9213398916666691</v>
      </c>
      <c r="S80" s="276">
        <f>+S27*(1+'Conversion Factors'!$F27)</f>
        <v>0</v>
      </c>
      <c r="T80" s="738">
        <f>+T27*(1+'Conversion Factors'!$F27)</f>
        <v>0</v>
      </c>
      <c r="U80" s="276">
        <f>+U27*(1+'Conversion Factors'!$F27)</f>
        <v>2.9852999999999998E-2</v>
      </c>
      <c r="V80" s="738">
        <f>+V27*(1+'Conversion Factors'!$F27)</f>
        <v>0</v>
      </c>
      <c r="W80" s="276">
        <f>+W27*(1+'Conversion Factors'!$F27)</f>
        <v>1.9051825555555555</v>
      </c>
      <c r="X80" s="738">
        <f>+X27*(1+'Conversion Factors'!$F27)</f>
        <v>0.52271640000000008</v>
      </c>
      <c r="Y80" s="738">
        <f>+Y27*(1+'Conversion Factors'!$F27)</f>
        <v>2.1410699999999998E-2</v>
      </c>
      <c r="Z80" s="738">
        <f>+Z27*(1+'Conversion Factors'!$F27)</f>
        <v>2.6964000000000002E-2</v>
      </c>
      <c r="AA80" s="738">
        <f>+AA27*(1+'Conversion Factors'!$F27)</f>
        <v>0.18584829999999999</v>
      </c>
      <c r="AB80" s="282">
        <f t="shared" si="25"/>
        <v>92.233958706454246</v>
      </c>
      <c r="AC80" s="299">
        <f>+AC27*(1+'Conversion Factors'!$F27)</f>
        <v>0.21400000000000002</v>
      </c>
      <c r="AD80" s="299">
        <f>+AD27*(1+'Conversion Factors'!$F27)</f>
        <v>0</v>
      </c>
      <c r="AE80" s="299">
        <f>+AE27*(1+'Conversion Factors'!$F27)</f>
        <v>57.539321333333341</v>
      </c>
      <c r="AF80" s="299">
        <f>+AF27*(1+'Conversion Factors'!$F27)</f>
        <v>42.800000000000004</v>
      </c>
      <c r="AG80" s="277">
        <f t="shared" si="39"/>
        <v>100.55332133333334</v>
      </c>
      <c r="AH80" s="719">
        <f t="shared" si="27"/>
        <v>192.78728003978759</v>
      </c>
      <c r="AJ80" s="748">
        <v>2016</v>
      </c>
      <c r="AK80" s="1086">
        <f>+AK27*(1+'Conversion Factors'!$G27)</f>
        <v>34.984327419809098</v>
      </c>
      <c r="AL80" s="1086">
        <f>+AL27*(1+'Conversion Factors'!$G27)</f>
        <v>0.97871830000000004</v>
      </c>
      <c r="AM80" s="984">
        <f>+AM27*(1+'Conversion Factors'!$G27)</f>
        <v>6.4628000000000005E-2</v>
      </c>
      <c r="AN80" s="299">
        <f>+AN27*(1+'Conversion Factors'!$G27)</f>
        <v>3.4809294871794871E-3</v>
      </c>
      <c r="AO80" s="299">
        <f>+AO27*(1+'Conversion Factors'!$G27)</f>
        <v>0.81974840000000004</v>
      </c>
      <c r="AP80" s="984">
        <f>+AP27*(1+'Conversion Factors'!$G27)</f>
        <v>2.4007151910669978E-2</v>
      </c>
      <c r="AQ80" s="299">
        <f>+AQ27*(1+'Conversion Factors'!$G27)</f>
        <v>8.7740000000000018E-4</v>
      </c>
      <c r="AR80" s="299">
        <f>+AR27*(1+'Conversion Factors'!$G27)</f>
        <v>0</v>
      </c>
      <c r="AS80" s="984">
        <f>+AS27*(1+'Conversion Factors'!$G27)</f>
        <v>5.2494200000000005E-2</v>
      </c>
      <c r="AT80" s="299">
        <f>+AT27*(1+'Conversion Factors'!$G27)</f>
        <v>1.0240642705882355</v>
      </c>
      <c r="AU80" s="299">
        <f>+AU27*(1+'Conversion Factors'!$G27)</f>
        <v>3.2805915379999999</v>
      </c>
      <c r="AV80" s="299">
        <f>+AV27*(1+'Conversion Factors'!$G27)</f>
        <v>0</v>
      </c>
      <c r="AW80" s="299">
        <f>+AW27*(1+'Conversion Factors'!$G27)</f>
        <v>0</v>
      </c>
      <c r="AX80" s="984">
        <f>+AX27*(1+'Conversion Factors'!$G27)</f>
        <v>20.669668092841306</v>
      </c>
      <c r="AY80" s="299">
        <f>+AY27*(1+'Conversion Factors'!$G27)</f>
        <v>1.0674320000000002</v>
      </c>
      <c r="AZ80" s="299">
        <f>+AZ27*(1+'Conversion Factors'!$G27)</f>
        <v>0.18746399999999999</v>
      </c>
      <c r="BA80" s="299">
        <f>+BA27*(1+'Conversion Factors'!$G27)</f>
        <v>3.5136766999999995</v>
      </c>
      <c r="BB80" s="299">
        <f>+BB27*(1+'Conversion Factors'!$G27)</f>
        <v>0</v>
      </c>
      <c r="BC80" s="984">
        <f>+BC27*(1+'Conversion Factors'!$G27)</f>
        <v>0</v>
      </c>
      <c r="BD80" s="299">
        <f>+BD27*(1+'Conversion Factors'!$G27)</f>
        <v>0</v>
      </c>
      <c r="BE80" s="984">
        <f>+BE27*(1+'Conversion Factors'!$G27)</f>
        <v>0</v>
      </c>
      <c r="BF80" s="299">
        <f>+BF27*(1+'Conversion Factors'!$G27)</f>
        <v>0</v>
      </c>
      <c r="BG80" s="984">
        <f>+BG27*(1+'Conversion Factors'!$G27)</f>
        <v>0</v>
      </c>
      <c r="BH80" s="984">
        <f>+BH27*(1+'Conversion Factors'!$G27)</f>
        <v>2.2919399999999999E-2</v>
      </c>
      <c r="BI80" s="299">
        <f>+BI27*(1+'Conversion Factors'!$G27)</f>
        <v>0</v>
      </c>
      <c r="BJ80" s="299">
        <f>+BJ27*(1+'Conversion Factors'!$G27)</f>
        <v>0</v>
      </c>
      <c r="BK80" s="282">
        <f t="shared" si="40"/>
        <v>66.694097802636492</v>
      </c>
      <c r="BL80" s="299">
        <f>+BL27*(1+'Conversion Factors'!$G27)</f>
        <v>0</v>
      </c>
      <c r="BM80" s="299">
        <f>+BM27*(1+'Conversion Factors'!$G27)</f>
        <v>0</v>
      </c>
      <c r="BN80" s="299">
        <f>+BN27*(1+'Conversion Factors'!$G27)</f>
        <v>54.740214303030314</v>
      </c>
      <c r="BO80" s="299">
        <f>+BO27*(1+'Conversion Factors'!$G27)</f>
        <v>42.800000000000004</v>
      </c>
      <c r="BP80" s="1106">
        <f t="shared" si="41"/>
        <v>97.540214303030325</v>
      </c>
      <c r="BQ80" s="719">
        <f t="shared" si="32"/>
        <v>164.23431210566682</v>
      </c>
      <c r="BS80" s="994">
        <v>2016</v>
      </c>
      <c r="BT80" s="1085">
        <f>+BT27*(1+'Conversion Factors'!$H27)</f>
        <v>24.343735730668254</v>
      </c>
      <c r="BU80" s="1086">
        <f>+BU27*(1+'Conversion Factors'!$H27)</f>
        <v>0.23570112600000001</v>
      </c>
      <c r="BV80" s="299">
        <f>+BV27*(1+'Conversion Factors'!$H27)</f>
        <v>0.35751168000000005</v>
      </c>
      <c r="BW80" s="299">
        <f>+BW27*(1+'Conversion Factors'!$H27)</f>
        <v>11.090120158753733</v>
      </c>
      <c r="BX80" s="299">
        <f>+BX27*(1+'Conversion Factors'!$H27)</f>
        <v>18.603471353230734</v>
      </c>
      <c r="BY80" s="299">
        <f>+BY27*(1+'Conversion Factors'!$H27)</f>
        <v>2.1953722366004964</v>
      </c>
      <c r="BZ80" s="299">
        <f>+BZ27*(1+'Conversion Factors'!$H27)</f>
        <v>0.47973800544</v>
      </c>
      <c r="CA80" s="299">
        <f>+CA27*(1+'Conversion Factors'!$H27)</f>
        <v>0</v>
      </c>
      <c r="CB80" s="299">
        <f>+CB27*(1+'Conversion Factors'!$H27)</f>
        <v>0.32794332639999996</v>
      </c>
      <c r="CC80" s="299">
        <f>+CC27*(1+'Conversion Factors'!$H27)</f>
        <v>4.7268983811764702</v>
      </c>
      <c r="CD80" s="299">
        <f>+CD27*(1+'Conversion Factors'!$H27)</f>
        <v>4.3583079505599995</v>
      </c>
      <c r="CE80" s="299">
        <f>+CE27*(1+'Conversion Factors'!$H27)</f>
        <v>0</v>
      </c>
      <c r="CF80" s="299">
        <f>+CF27*(1+'Conversion Factors'!$H27)</f>
        <v>0</v>
      </c>
      <c r="CG80" s="299">
        <f>+CG27*(1+'Conversion Factors'!$H27)</f>
        <v>216.37939377858487</v>
      </c>
      <c r="CH80" s="299">
        <f>+CH27*(1+'Conversion Factors'!$H27)</f>
        <v>10.79855188432</v>
      </c>
      <c r="CI80" s="299">
        <f>+CI27*(1+'Conversion Factors'!$H27)</f>
        <v>2.58846959636</v>
      </c>
      <c r="CJ80" s="299">
        <f>+CJ27*(1+'Conversion Factors'!$H27)</f>
        <v>22.800145479556665</v>
      </c>
      <c r="CK80" s="299">
        <f>+CK27*(1+'Conversion Factors'!$H27)</f>
        <v>0</v>
      </c>
      <c r="CL80" s="299">
        <f>+CL27*(1+'Conversion Factors'!$H27)</f>
        <v>16.832000000000001</v>
      </c>
      <c r="CM80" s="299">
        <f>+CM27*(1+'Conversion Factors'!$H27)</f>
        <v>2.1591090200000003E-2</v>
      </c>
      <c r="CN80" s="299">
        <f>+CN27*(1+'Conversion Factors'!$H27)</f>
        <v>1.1945707219999999</v>
      </c>
      <c r="CO80" s="299">
        <f>+CO27*(1+'Conversion Factors'!$H27)</f>
        <v>8.651782981769335</v>
      </c>
      <c r="CP80" s="299">
        <f>+CP27*(1+'Conversion Factors'!$H27)</f>
        <v>1.1945707219999999</v>
      </c>
      <c r="CQ80" s="299">
        <f>+CQ27*(1+'Conversion Factors'!$H27)</f>
        <v>3.2958108000000007E-2</v>
      </c>
      <c r="CR80" s="299">
        <f>+CR27*(1+'Conversion Factors'!$H27)</f>
        <v>7.4645712000000003E-2</v>
      </c>
      <c r="CS80" s="997">
        <f>+CS27*(1+'Conversion Factors'!$H27)</f>
        <v>0.45052794200000001</v>
      </c>
      <c r="CT80" s="282">
        <f t="shared" si="42"/>
        <v>330.90600796562052</v>
      </c>
      <c r="CU80" s="299">
        <f>+CU27*(1+'Conversion Factors'!$H27)</f>
        <v>0</v>
      </c>
      <c r="CV80" s="299">
        <f>+CV27*(1+'Conversion Factors'!$H27)</f>
        <v>0</v>
      </c>
      <c r="CW80" s="299">
        <f>+CW27*(1+'Conversion Factors'!$H27)</f>
        <v>5.5424695446464654</v>
      </c>
      <c r="CX80" s="299">
        <f>+CX27*(1+'Conversion Factors'!$H27)</f>
        <v>3.6065764655000003</v>
      </c>
      <c r="CY80" s="1106">
        <f t="shared" si="43"/>
        <v>9.1490460101464652</v>
      </c>
      <c r="CZ80" s="719">
        <f t="shared" si="37"/>
        <v>340.05505397576701</v>
      </c>
      <c r="DA80" s="162">
        <f t="shared" si="38"/>
        <v>280.74907749820994</v>
      </c>
      <c r="DB80" s="162">
        <f t="shared" si="44"/>
        <v>59.305976477557067</v>
      </c>
    </row>
    <row r="81" spans="1:106" s="2" customFormat="1" x14ac:dyDescent="0.2">
      <c r="A81" s="588">
        <v>2017</v>
      </c>
      <c r="B81" s="1085">
        <f>+B28*(1+'Conversion Factors'!$F28)</f>
        <v>14.683966023985681</v>
      </c>
      <c r="C81" s="1086">
        <f>+C28*(1+'Conversion Factors'!$F28)</f>
        <v>0.42281050000000009</v>
      </c>
      <c r="D81" s="738">
        <f>+D28*(1+'Conversion Factors'!$F28)</f>
        <v>8.522550000000001E-2</v>
      </c>
      <c r="E81" s="276">
        <f>+E28*(1+'Conversion Factors'!$F28)</f>
        <v>3.06075385978244</v>
      </c>
      <c r="F81" s="276">
        <f>+F28*(1+'Conversion Factors'!$F28)</f>
        <v>6.0627334324902717</v>
      </c>
      <c r="G81" s="738">
        <f>+G28*(1+'Conversion Factors'!$F28)</f>
        <v>1.649658033759305</v>
      </c>
      <c r="H81" s="276">
        <f>+H28*(1+'Conversion Factors'!$F28)</f>
        <v>6.3675700000000002E-2</v>
      </c>
      <c r="I81" s="276">
        <f>+I28*(1+'Conversion Factors'!$F28)</f>
        <v>5.3499999999999999E-4</v>
      </c>
      <c r="J81" s="738">
        <f>+J28*(1+'Conversion Factors'!$F28)</f>
        <v>6.4189300000000005E-2</v>
      </c>
      <c r="K81" s="276">
        <f>+K28*(1+'Conversion Factors'!$F28)</f>
        <v>1.9356407000000002</v>
      </c>
      <c r="L81" s="276">
        <f>+L28*(1+'Conversion Factors'!$F28)</f>
        <v>4.3775954490000011</v>
      </c>
      <c r="M81" s="276">
        <f>+M28*(1+'Conversion Factors'!$F28)</f>
        <v>8.5814000000000018E-4</v>
      </c>
      <c r="N81" s="276">
        <f>+N28*(1+'Conversion Factors'!$F28)</f>
        <v>3.3758500000000006E-4</v>
      </c>
      <c r="O81" s="738">
        <f>+O28*(1+'Conversion Factors'!$F28)</f>
        <v>45.792953260214325</v>
      </c>
      <c r="P81" s="276">
        <f>+P28*(1+'Conversion Factors'!$F28)</f>
        <v>3.9369366000000001</v>
      </c>
      <c r="Q81" s="276">
        <f>+Q28*(1+'Conversion Factors'!$F28)</f>
        <v>0.92358655000000001</v>
      </c>
      <c r="R81" s="276">
        <f>+R28*(1+'Conversion Factors'!$F28)</f>
        <v>9.3043998916666695</v>
      </c>
      <c r="S81" s="276">
        <f>+S28*(1+'Conversion Factors'!$F28)</f>
        <v>0.29714969999999996</v>
      </c>
      <c r="T81" s="738">
        <f>+T28*(1+'Conversion Factors'!$F28)</f>
        <v>0</v>
      </c>
      <c r="U81" s="276">
        <f>+U28*(1+'Conversion Factors'!$F28)</f>
        <v>5.6175000000000003E-2</v>
      </c>
      <c r="V81" s="738">
        <f>+V28*(1+'Conversion Factors'!$F28)</f>
        <v>0</v>
      </c>
      <c r="W81" s="276">
        <f>+W28*(1+'Conversion Factors'!$F28)</f>
        <v>2.2576405555555557</v>
      </c>
      <c r="X81" s="738">
        <f>+X28*(1+'Conversion Factors'!$F28)</f>
        <v>0.52271640000000008</v>
      </c>
      <c r="Y81" s="738">
        <f>+Y28*(1+'Conversion Factors'!$F28)</f>
        <v>2.1410699999999998E-2</v>
      </c>
      <c r="Z81" s="738">
        <f>+Z28*(1+'Conversion Factors'!$F28)</f>
        <v>2.6964000000000002E-2</v>
      </c>
      <c r="AA81" s="738">
        <f>+AA28*(1+'Conversion Factors'!$F28)</f>
        <v>0.18584829999999999</v>
      </c>
      <c r="AB81" s="282">
        <f t="shared" si="25"/>
        <v>95.733760181454258</v>
      </c>
      <c r="AC81" s="299">
        <f>+AC28*(1+'Conversion Factors'!$F28)</f>
        <v>0.21029066666666668</v>
      </c>
      <c r="AD81" s="299">
        <f>+AD28*(1+'Conversion Factors'!$F28)</f>
        <v>4.922E-2</v>
      </c>
      <c r="AE81" s="299">
        <f>+AE28*(1+'Conversion Factors'!$F28)</f>
        <v>56.01199990017826</v>
      </c>
      <c r="AF81" s="299">
        <f>+AF28*(1+'Conversion Factors'!$F28)</f>
        <v>42.800000000000004</v>
      </c>
      <c r="AG81" s="277">
        <f t="shared" si="39"/>
        <v>99.071510566844921</v>
      </c>
      <c r="AH81" s="719">
        <f t="shared" si="27"/>
        <v>194.80527074829917</v>
      </c>
      <c r="AJ81" s="748">
        <v>2017</v>
      </c>
      <c r="AK81" s="1086">
        <f>+AK28*(1+'Conversion Factors'!$G28)</f>
        <v>34.984327419809098</v>
      </c>
      <c r="AL81" s="1086">
        <f>+AL28*(1+'Conversion Factors'!$G28)</f>
        <v>0.97871830000000004</v>
      </c>
      <c r="AM81" s="984">
        <f>+AM28*(1+'Conversion Factors'!$G28)</f>
        <v>6.4628000000000005E-2</v>
      </c>
      <c r="AN81" s="299">
        <f>+AN28*(1+'Conversion Factors'!$G28)</f>
        <v>3.4809294871794871E-3</v>
      </c>
      <c r="AO81" s="299">
        <f>+AO28*(1+'Conversion Factors'!$G28)</f>
        <v>0.81974840000000004</v>
      </c>
      <c r="AP81" s="984">
        <f>+AP28*(1+'Conversion Factors'!$G28)</f>
        <v>2.4007151910669978E-2</v>
      </c>
      <c r="AQ81" s="299">
        <f>+AQ28*(1+'Conversion Factors'!$G28)</f>
        <v>1.1770000000000001E-3</v>
      </c>
      <c r="AR81" s="299">
        <f>+AR28*(1+'Conversion Factors'!$G28)</f>
        <v>0</v>
      </c>
      <c r="AS81" s="984">
        <f>+AS28*(1+'Conversion Factors'!$G28)</f>
        <v>5.2494200000000005E-2</v>
      </c>
      <c r="AT81" s="299">
        <f>+AT28*(1+'Conversion Factors'!$G28)</f>
        <v>1.0924907705882354</v>
      </c>
      <c r="AU81" s="299">
        <f>+AU28*(1+'Conversion Factors'!$G28)</f>
        <v>3.5308431380000003</v>
      </c>
      <c r="AV81" s="299">
        <f>+AV28*(1+'Conversion Factors'!$G28)</f>
        <v>0</v>
      </c>
      <c r="AW81" s="299">
        <f>+AW28*(1+'Conversion Factors'!$G28)</f>
        <v>0</v>
      </c>
      <c r="AX81" s="984">
        <f>+AX28*(1+'Conversion Factors'!$G28)</f>
        <v>20.669668092841306</v>
      </c>
      <c r="AY81" s="299">
        <f>+AY28*(1+'Conversion Factors'!$G28)</f>
        <v>3.04094</v>
      </c>
      <c r="AZ81" s="299">
        <f>+AZ28*(1+'Conversion Factors'!$G28)</f>
        <v>0.89045400000000008</v>
      </c>
      <c r="BA81" s="299">
        <f>+BA28*(1+'Conversion Factors'!$G28)</f>
        <v>3.5136766999999995</v>
      </c>
      <c r="BB81" s="299">
        <f>+BB28*(1+'Conversion Factors'!$G28)</f>
        <v>0</v>
      </c>
      <c r="BC81" s="984">
        <f>+BC28*(1+'Conversion Factors'!$G28)</f>
        <v>0</v>
      </c>
      <c r="BD81" s="299">
        <f>+BD28*(1+'Conversion Factors'!$G28)</f>
        <v>0</v>
      </c>
      <c r="BE81" s="984">
        <f>+BE28*(1+'Conversion Factors'!$G28)</f>
        <v>0</v>
      </c>
      <c r="BF81" s="299">
        <f>+BF28*(1+'Conversion Factors'!$G28)</f>
        <v>0</v>
      </c>
      <c r="BG81" s="984">
        <f>+BG28*(1+'Conversion Factors'!$G28)</f>
        <v>0</v>
      </c>
      <c r="BH81" s="984">
        <f>+BH28*(1+'Conversion Factors'!$G28)</f>
        <v>2.2919399999999999E-2</v>
      </c>
      <c r="BI81" s="299">
        <f>+BI28*(1+'Conversion Factors'!$G28)</f>
        <v>0</v>
      </c>
      <c r="BJ81" s="299">
        <f>+BJ28*(1+'Conversion Factors'!$G28)</f>
        <v>0</v>
      </c>
      <c r="BK81" s="282">
        <f t="shared" si="40"/>
        <v>69.689573502636506</v>
      </c>
      <c r="BL81" s="299">
        <f>+BL28*(1+'Conversion Factors'!$G28)</f>
        <v>0</v>
      </c>
      <c r="BM81" s="299">
        <f>+BM28*(1+'Conversion Factors'!$G28)</f>
        <v>0</v>
      </c>
      <c r="BN81" s="299">
        <f>+BN28*(1+'Conversion Factors'!$G28)</f>
        <v>51.889161474747496</v>
      </c>
      <c r="BO81" s="299">
        <f>+BO28*(1+'Conversion Factors'!$G28)</f>
        <v>42.800000000000004</v>
      </c>
      <c r="BP81" s="1106">
        <f t="shared" si="41"/>
        <v>94.689161474747493</v>
      </c>
      <c r="BQ81" s="719">
        <f t="shared" si="32"/>
        <v>164.378734977384</v>
      </c>
      <c r="BS81" s="994">
        <v>2017</v>
      </c>
      <c r="BT81" s="1085">
        <f>+BT28*(1+'Conversion Factors'!$H28)</f>
        <v>24.343735730668254</v>
      </c>
      <c r="BU81" s="1086">
        <f>+BU28*(1+'Conversion Factors'!$H28)</f>
        <v>0.23570112600000001</v>
      </c>
      <c r="BV81" s="299">
        <f>+BV28*(1+'Conversion Factors'!$H28)</f>
        <v>0.35751168000000005</v>
      </c>
      <c r="BW81" s="299">
        <f>+BW28*(1+'Conversion Factors'!$H28)</f>
        <v>11.245093960753731</v>
      </c>
      <c r="BX81" s="299">
        <f>+BX28*(1+'Conversion Factors'!$H28)</f>
        <v>18.761261885230734</v>
      </c>
      <c r="BY81" s="299">
        <f>+BY28*(1+'Conversion Factors'!$H28)</f>
        <v>2.1953722366004964</v>
      </c>
      <c r="BZ81" s="299">
        <f>+BZ28*(1+'Conversion Factors'!$H28)</f>
        <v>0.7997143254400001</v>
      </c>
      <c r="CA81" s="299">
        <f>+CA28*(1+'Conversion Factors'!$H28)</f>
        <v>7.1746400000000001E-4</v>
      </c>
      <c r="CB81" s="299">
        <f>+CB28*(1+'Conversion Factors'!$H28)</f>
        <v>0.32794332639999996</v>
      </c>
      <c r="CC81" s="299">
        <f>+CC28*(1+'Conversion Factors'!$H28)</f>
        <v>4.9787840011764706</v>
      </c>
      <c r="CD81" s="299">
        <f>+CD28*(1+'Conversion Factors'!$H28)</f>
        <v>4.7527258945599993</v>
      </c>
      <c r="CE81" s="299">
        <f>+CE28*(1+'Conversion Factors'!$H28)</f>
        <v>1.3605516E-2</v>
      </c>
      <c r="CF81" s="299">
        <f>+CF28*(1+'Conversion Factors'!$H28)</f>
        <v>2.4906099999999999E-3</v>
      </c>
      <c r="CG81" s="299">
        <f>+CG28*(1+'Conversion Factors'!$H28)</f>
        <v>216.37939377858487</v>
      </c>
      <c r="CH81" s="299">
        <f>+CH28*(1+'Conversion Factors'!$H28)</f>
        <v>17.57740002832</v>
      </c>
      <c r="CI81" s="299">
        <f>+CI28*(1+'Conversion Factors'!$H28)</f>
        <v>4.4464909563599999</v>
      </c>
      <c r="CJ81" s="299">
        <f>+CJ28*(1+'Conversion Factors'!$H28)</f>
        <v>22.810406687556664</v>
      </c>
      <c r="CK81" s="299">
        <f>+CK28*(1+'Conversion Factors'!$H28)</f>
        <v>3.0367032000000002E-2</v>
      </c>
      <c r="CL81" s="299">
        <f>+CL28*(1+'Conversion Factors'!$H28)</f>
        <v>16.832000000000001</v>
      </c>
      <c r="CM81" s="299">
        <f>+CM28*(1+'Conversion Factors'!$H28)</f>
        <v>2.9354850200000004E-2</v>
      </c>
      <c r="CN81" s="299">
        <f>+CN28*(1+'Conversion Factors'!$H28)</f>
        <v>1.1945707219999999</v>
      </c>
      <c r="CO81" s="299">
        <f>+CO28*(1+'Conversion Factors'!$H28)</f>
        <v>9.4966126217693354</v>
      </c>
      <c r="CP81" s="299">
        <f>+CP28*(1+'Conversion Factors'!$H28)</f>
        <v>1.1945707219999999</v>
      </c>
      <c r="CQ81" s="299">
        <f>+CQ28*(1+'Conversion Factors'!$H28)</f>
        <v>3.2958108000000007E-2</v>
      </c>
      <c r="CR81" s="299">
        <f>+CR28*(1+'Conversion Factors'!$H28)</f>
        <v>7.4645712000000003E-2</v>
      </c>
      <c r="CS81" s="997">
        <f>+CS28*(1+'Conversion Factors'!$H28)</f>
        <v>0.45052794200000001</v>
      </c>
      <c r="CT81" s="282">
        <f t="shared" si="42"/>
        <v>341.73195691762055</v>
      </c>
      <c r="CU81" s="299">
        <f>+CU28*(1+'Conversion Factors'!$H28)</f>
        <v>0</v>
      </c>
      <c r="CV81" s="299">
        <f>+CV28*(1+'Conversion Factors'!$H28)</f>
        <v>0</v>
      </c>
      <c r="CW81" s="299">
        <f>+CW28*(1+'Conversion Factors'!$H28)</f>
        <v>5.3380791014181037</v>
      </c>
      <c r="CX81" s="299">
        <f>+CX28*(1+'Conversion Factors'!$H28)</f>
        <v>3.6251411095000003</v>
      </c>
      <c r="CY81" s="1106">
        <f t="shared" si="43"/>
        <v>8.9632202109181041</v>
      </c>
      <c r="CZ81" s="719">
        <f t="shared" si="37"/>
        <v>350.69517712853866</v>
      </c>
      <c r="DA81" s="162">
        <f t="shared" si="38"/>
        <v>280.70992206498164</v>
      </c>
      <c r="DB81" s="162">
        <f t="shared" si="44"/>
        <v>69.98525506355702</v>
      </c>
    </row>
    <row r="82" spans="1:106" s="2" customFormat="1" x14ac:dyDescent="0.2">
      <c r="A82" s="588">
        <v>2018</v>
      </c>
      <c r="B82" s="1085">
        <f>+B29*(1+'Conversion Factors'!$F29)</f>
        <v>14.683966023985681</v>
      </c>
      <c r="C82" s="1086">
        <f>+C29*(1+'Conversion Factors'!$F29)</f>
        <v>0.42281050000000009</v>
      </c>
      <c r="D82" s="738">
        <f>+D29*(1+'Conversion Factors'!$F29)</f>
        <v>8.522550000000001E-2</v>
      </c>
      <c r="E82" s="276">
        <f>+E29*(1+'Conversion Factors'!$F29)</f>
        <v>3.2105538597824399</v>
      </c>
      <c r="F82" s="276">
        <f>+F29*(1+'Conversion Factors'!$F29)</f>
        <v>6.1135584324902714</v>
      </c>
      <c r="G82" s="738">
        <f>+G29*(1+'Conversion Factors'!$F29)</f>
        <v>1.649658033759305</v>
      </c>
      <c r="H82" s="276">
        <f>+H29*(1+'Conversion Factors'!$F29)</f>
        <v>0.10380070000000001</v>
      </c>
      <c r="I82" s="276">
        <f>+I29*(1+'Conversion Factors'!$F29)</f>
        <v>1.6050000000000001E-3</v>
      </c>
      <c r="J82" s="738">
        <f>+J29*(1+'Conversion Factors'!$F29)</f>
        <v>6.4189300000000005E-2</v>
      </c>
      <c r="K82" s="276">
        <f>+K29*(1+'Conversion Factors'!$F29)</f>
        <v>2.0268582000000004</v>
      </c>
      <c r="L82" s="276">
        <f>+L29*(1+'Conversion Factors'!$F29)</f>
        <v>4.7762774490000011</v>
      </c>
      <c r="M82" s="276">
        <f>+M29*(1+'Conversion Factors'!$F29)</f>
        <v>2.5744200000000004E-3</v>
      </c>
      <c r="N82" s="276">
        <f>+N29*(1+'Conversion Factors'!$F29)</f>
        <v>1.0127550000000002E-3</v>
      </c>
      <c r="O82" s="738">
        <f>+O29*(1+'Conversion Factors'!$F29)</f>
        <v>45.792953260214325</v>
      </c>
      <c r="P82" s="276">
        <f>+P29*(1+'Conversion Factors'!$F29)</f>
        <v>4.3352441000000006</v>
      </c>
      <c r="Q82" s="276">
        <f>+Q29*(1+'Conversion Factors'!$F29)</f>
        <v>0.98216904999999999</v>
      </c>
      <c r="R82" s="276">
        <f>+R29*(1+'Conversion Factors'!$F29)</f>
        <v>9.6874598916666699</v>
      </c>
      <c r="S82" s="276">
        <f>+S29*(1+'Conversion Factors'!$F29)</f>
        <v>1.0895489</v>
      </c>
      <c r="T82" s="738">
        <f>+T29*(1+'Conversion Factors'!$F29)</f>
        <v>0</v>
      </c>
      <c r="U82" s="276">
        <f>+U29*(1+'Conversion Factors'!$F29)</f>
        <v>5.6389000000000002E-2</v>
      </c>
      <c r="V82" s="738">
        <f>+V29*(1+'Conversion Factors'!$F29)</f>
        <v>0</v>
      </c>
      <c r="W82" s="276">
        <f>+W29*(1+'Conversion Factors'!$F29)</f>
        <v>2.5709365555555559</v>
      </c>
      <c r="X82" s="738">
        <f>+X29*(1+'Conversion Factors'!$F29)</f>
        <v>0.52271640000000008</v>
      </c>
      <c r="Y82" s="738">
        <f>+Y29*(1+'Conversion Factors'!$F29)</f>
        <v>2.1410699999999998E-2</v>
      </c>
      <c r="Z82" s="738">
        <f>+Z29*(1+'Conversion Factors'!$F29)</f>
        <v>2.6964000000000002E-2</v>
      </c>
      <c r="AA82" s="738">
        <f>+AA29*(1+'Conversion Factors'!$F29)</f>
        <v>0.18584829999999999</v>
      </c>
      <c r="AB82" s="282">
        <f t="shared" si="25"/>
        <v>98.413730331454246</v>
      </c>
      <c r="AC82" s="299">
        <f>+AC29*(1+'Conversion Factors'!$F29)</f>
        <v>0.22441466666666671</v>
      </c>
      <c r="AD82" s="299">
        <f>+AD29*(1+'Conversion Factors'!$F29)</f>
        <v>0.14766000000000001</v>
      </c>
      <c r="AE82" s="299">
        <f>+AE29*(1+'Conversion Factors'!$F29)</f>
        <v>56.330859900178261</v>
      </c>
      <c r="AF82" s="299">
        <f>+AF29*(1+'Conversion Factors'!$F29)</f>
        <v>42.800000000000004</v>
      </c>
      <c r="AG82" s="277">
        <f t="shared" si="39"/>
        <v>99.502934566844942</v>
      </c>
      <c r="AH82" s="719">
        <f t="shared" si="27"/>
        <v>197.91666489829919</v>
      </c>
      <c r="AJ82" s="748">
        <v>2018</v>
      </c>
      <c r="AK82" s="1086">
        <f>+AK29*(1+'Conversion Factors'!$G29)</f>
        <v>34.984327419809098</v>
      </c>
      <c r="AL82" s="1086">
        <f>+AL29*(1+'Conversion Factors'!$G29)</f>
        <v>0.97871830000000004</v>
      </c>
      <c r="AM82" s="984">
        <f>+AM29*(1+'Conversion Factors'!$G29)</f>
        <v>6.4628000000000005E-2</v>
      </c>
      <c r="AN82" s="299">
        <f>+AN29*(1+'Conversion Factors'!$G29)</f>
        <v>3.4809294871794871E-3</v>
      </c>
      <c r="AO82" s="299">
        <f>+AO29*(1+'Conversion Factors'!$G29)</f>
        <v>0.81974840000000004</v>
      </c>
      <c r="AP82" s="984">
        <f>+AP29*(1+'Conversion Factors'!$G29)</f>
        <v>2.4007151910669978E-2</v>
      </c>
      <c r="AQ82" s="299">
        <f>+AQ29*(1+'Conversion Factors'!$G29)</f>
        <v>2.2470000000000003E-3</v>
      </c>
      <c r="AR82" s="299">
        <f>+AR29*(1+'Conversion Factors'!$G29)</f>
        <v>8.3460000000000001E-4</v>
      </c>
      <c r="AS82" s="984">
        <f>+AS29*(1+'Conversion Factors'!$G29)</f>
        <v>5.2494200000000005E-2</v>
      </c>
      <c r="AT82" s="299">
        <f>+AT29*(1+'Conversion Factors'!$G29)</f>
        <v>1.1609172705882354</v>
      </c>
      <c r="AU82" s="299">
        <f>+AU29*(1+'Conversion Factors'!$G29)</f>
        <v>3.8436576379999998</v>
      </c>
      <c r="AV82" s="299">
        <f>+AV29*(1+'Conversion Factors'!$G29)</f>
        <v>2.8162400000000002E-3</v>
      </c>
      <c r="AW82" s="299">
        <f>+AW29*(1+'Conversion Factors'!$G29)</f>
        <v>3.5203000000000003E-4</v>
      </c>
      <c r="AX82" s="984">
        <f>+AX29*(1+'Conversion Factors'!$G29)</f>
        <v>20.669668092841306</v>
      </c>
      <c r="AY82" s="299">
        <f>+AY29*(1+'Conversion Factors'!$G29)</f>
        <v>3.3512399999999998</v>
      </c>
      <c r="AZ82" s="299">
        <f>+AZ29*(1+'Conversion Factors'!$G29)</f>
        <v>0.94903650000000006</v>
      </c>
      <c r="BA82" s="299">
        <f>+BA29*(1+'Conversion Factors'!$G29)</f>
        <v>3.5136766999999995</v>
      </c>
      <c r="BB82" s="299">
        <f>+BB29*(1+'Conversion Factors'!$G29)</f>
        <v>0</v>
      </c>
      <c r="BC82" s="984">
        <f>+BC29*(1+'Conversion Factors'!$G29)</f>
        <v>0</v>
      </c>
      <c r="BD82" s="299">
        <f>+BD29*(1+'Conversion Factors'!$G29)</f>
        <v>0</v>
      </c>
      <c r="BE82" s="984">
        <f>+BE29*(1+'Conversion Factors'!$G29)</f>
        <v>0</v>
      </c>
      <c r="BF82" s="299">
        <f>+BF29*(1+'Conversion Factors'!$G29)</f>
        <v>0</v>
      </c>
      <c r="BG82" s="984">
        <f>+BG29*(1+'Conversion Factors'!$G29)</f>
        <v>0</v>
      </c>
      <c r="BH82" s="984">
        <f>+BH29*(1+'Conversion Factors'!$G29)</f>
        <v>2.2919399999999999E-2</v>
      </c>
      <c r="BI82" s="299">
        <f>+BI29*(1+'Conversion Factors'!$G29)</f>
        <v>0</v>
      </c>
      <c r="BJ82" s="299">
        <f>+BJ29*(1+'Conversion Factors'!$G29)</f>
        <v>0</v>
      </c>
      <c r="BK82" s="282">
        <f t="shared" si="40"/>
        <v>70.444769872636513</v>
      </c>
      <c r="BL82" s="299">
        <f>+BL29*(1+'Conversion Factors'!$G29)</f>
        <v>0</v>
      </c>
      <c r="BM82" s="299">
        <f>+BM29*(1+'Conversion Factors'!$G29)</f>
        <v>6.4200000000000007E-2</v>
      </c>
      <c r="BN82" s="299">
        <f>+BN29*(1+'Conversion Factors'!$G29)</f>
        <v>52.459372040404055</v>
      </c>
      <c r="BO82" s="299">
        <f>+BO29*(1+'Conversion Factors'!$G29)</f>
        <v>42.800000000000004</v>
      </c>
      <c r="BP82" s="1106">
        <f t="shared" si="41"/>
        <v>95.323572040404059</v>
      </c>
      <c r="BQ82" s="719">
        <f t="shared" si="32"/>
        <v>165.76834191304056</v>
      </c>
      <c r="BS82" s="994">
        <v>2018</v>
      </c>
      <c r="BT82" s="1085">
        <f>+BT29*(1+'Conversion Factors'!$H29)</f>
        <v>24.343735730668254</v>
      </c>
      <c r="BU82" s="1086">
        <f>+BU29*(1+'Conversion Factors'!$H29)</f>
        <v>0.23570112600000001</v>
      </c>
      <c r="BV82" s="299">
        <f>+BV29*(1+'Conversion Factors'!$H29)</f>
        <v>0.35751168000000005</v>
      </c>
      <c r="BW82" s="299">
        <f>+BW29*(1+'Conversion Factors'!$H29)</f>
        <v>11.529449560753733</v>
      </c>
      <c r="BX82" s="299">
        <f>+BX29*(1+'Conversion Factors'!$H29)</f>
        <v>18.989282885230736</v>
      </c>
      <c r="BY82" s="299">
        <f>+BY29*(1+'Conversion Factors'!$H29)</f>
        <v>2.1953722366004964</v>
      </c>
      <c r="BZ82" s="299">
        <f>+BZ29*(1+'Conversion Factors'!$H29)</f>
        <v>1.29967732544</v>
      </c>
      <c r="CA82" s="299">
        <f>+CA29*(1+'Conversion Factors'!$H29)</f>
        <v>2.1523920000000004E-3</v>
      </c>
      <c r="CB82" s="299">
        <f>+CB29*(1+'Conversion Factors'!$H29)</f>
        <v>0.32794332639999996</v>
      </c>
      <c r="CC82" s="299">
        <f>+CC29*(1+'Conversion Factors'!$H29)</f>
        <v>5.2306696211764709</v>
      </c>
      <c r="CD82" s="299">
        <f>+CD29*(1+'Conversion Factors'!$H29)</f>
        <v>5.190968054559999</v>
      </c>
      <c r="CE82" s="299">
        <f>+CE29*(1+'Conversion Factors'!$H29)</f>
        <v>4.0816548000000001E-2</v>
      </c>
      <c r="CF82" s="299">
        <f>+CF29*(1+'Conversion Factors'!$H29)</f>
        <v>7.4718299999999996E-3</v>
      </c>
      <c r="CG82" s="299">
        <f>+CG29*(1+'Conversion Factors'!$H29)</f>
        <v>216.37939377858487</v>
      </c>
      <c r="CH82" s="299">
        <f>+CH29*(1+'Conversion Factors'!$H29)</f>
        <v>19.41947832832</v>
      </c>
      <c r="CI82" s="299">
        <f>+CI29*(1+'Conversion Factors'!$H29)</f>
        <v>4.7323403963599997</v>
      </c>
      <c r="CJ82" s="299">
        <f>+CJ29*(1+'Conversion Factors'!$H29)</f>
        <v>22.820667895556667</v>
      </c>
      <c r="CK82" s="299">
        <f>+CK29*(1+'Conversion Factors'!$H29)</f>
        <v>0.11134578400000002</v>
      </c>
      <c r="CL82" s="299">
        <f>+CL29*(1+'Conversion Factors'!$H29)</f>
        <v>16.832000000000001</v>
      </c>
      <c r="CM82" s="299">
        <f>+CM29*(1+'Conversion Factors'!$H29)</f>
        <v>2.9417970200000008E-2</v>
      </c>
      <c r="CN82" s="299">
        <f>+CN29*(1+'Conversion Factors'!$H29)</f>
        <v>1.1945707219999999</v>
      </c>
      <c r="CO82" s="299">
        <f>+CO29*(1+'Conversion Factors'!$H29)</f>
        <v>10.247572301769335</v>
      </c>
      <c r="CP82" s="299">
        <f>+CP29*(1+'Conversion Factors'!$H29)</f>
        <v>1.1945707219999999</v>
      </c>
      <c r="CQ82" s="299">
        <f>+CQ29*(1+'Conversion Factors'!$H29)</f>
        <v>3.2958108000000007E-2</v>
      </c>
      <c r="CR82" s="299">
        <f>+CR29*(1+'Conversion Factors'!$H29)</f>
        <v>7.4645712000000003E-2</v>
      </c>
      <c r="CS82" s="997">
        <f>+CS29*(1+'Conversion Factors'!$H29)</f>
        <v>0.45052794200000001</v>
      </c>
      <c r="CT82" s="282">
        <f t="shared" si="42"/>
        <v>346.43824197762041</v>
      </c>
      <c r="CU82" s="299">
        <f>+CU29*(1+'Conversion Factors'!$H29)</f>
        <v>0</v>
      </c>
      <c r="CV82" s="299">
        <f>+CV29*(1+'Conversion Factors'!$H29)</f>
        <v>0</v>
      </c>
      <c r="CW82" s="299">
        <f>+CW29*(1+'Conversion Factors'!$H29)</f>
        <v>5.3797254613507643</v>
      </c>
      <c r="CX82" s="299">
        <f>+CX29*(1+'Conversion Factors'!$H29)</f>
        <v>3.6622703975000004</v>
      </c>
      <c r="CY82" s="1106">
        <f t="shared" si="43"/>
        <v>9.0419958588507647</v>
      </c>
      <c r="CZ82" s="719">
        <f t="shared" si="37"/>
        <v>355.48023783647119</v>
      </c>
      <c r="DA82" s="162">
        <f t="shared" si="38"/>
        <v>281.04618523291424</v>
      </c>
      <c r="DB82" s="162">
        <f t="shared" si="44"/>
        <v>74.43405260355695</v>
      </c>
    </row>
    <row r="83" spans="1:106" s="2" customFormat="1" x14ac:dyDescent="0.2">
      <c r="A83" s="588">
        <v>2019</v>
      </c>
      <c r="B83" s="1085">
        <f>+B30*(1+'Conversion Factors'!$F30)</f>
        <v>14.683966023985681</v>
      </c>
      <c r="C83" s="1086">
        <f>+C30*(1+'Conversion Factors'!$F30)</f>
        <v>0.42281050000000009</v>
      </c>
      <c r="D83" s="738">
        <f>+D30*(1+'Conversion Factors'!$F30)</f>
        <v>8.522550000000001E-2</v>
      </c>
      <c r="E83" s="276">
        <f>+E30*(1+'Conversion Factors'!$F30)</f>
        <v>3.3603538597824403</v>
      </c>
      <c r="F83" s="276">
        <f>+F30*(1+'Conversion Factors'!$F30)</f>
        <v>6.164383432490272</v>
      </c>
      <c r="G83" s="738">
        <f>+G30*(1+'Conversion Factors'!$F30)</f>
        <v>1.649658033759305</v>
      </c>
      <c r="H83" s="276">
        <f>+H30*(1+'Conversion Factors'!$F30)</f>
        <v>0.14392569999999999</v>
      </c>
      <c r="I83" s="276">
        <f>+I30*(1+'Conversion Factors'!$F30)</f>
        <v>2.6750000000000003E-3</v>
      </c>
      <c r="J83" s="738">
        <f>+J30*(1+'Conversion Factors'!$F30)</f>
        <v>6.4189300000000005E-2</v>
      </c>
      <c r="K83" s="276">
        <f>+K30*(1+'Conversion Factors'!$F30)</f>
        <v>2.1180757000000003</v>
      </c>
      <c r="L83" s="276">
        <f>+L30*(1+'Conversion Factors'!$F30)</f>
        <v>5.174959449000001</v>
      </c>
      <c r="M83" s="276">
        <f>+M30*(1+'Conversion Factors'!$F30)</f>
        <v>4.7197699999999999E-3</v>
      </c>
      <c r="N83" s="276">
        <f>+N30*(1+'Conversion Factors'!$F30)</f>
        <v>1.6879250000000003E-3</v>
      </c>
      <c r="O83" s="738">
        <f>+O30*(1+'Conversion Factors'!$F30)</f>
        <v>45.792953260214325</v>
      </c>
      <c r="P83" s="276">
        <f>+P30*(1+'Conversion Factors'!$F30)</f>
        <v>4.8530438500000006</v>
      </c>
      <c r="Q83" s="276">
        <f>+Q30*(1+'Conversion Factors'!$F30)</f>
        <v>1.04075155</v>
      </c>
      <c r="R83" s="276">
        <f>+R30*(1+'Conversion Factors'!$F30)</f>
        <v>10.07051989166667</v>
      </c>
      <c r="S83" s="276">
        <f>+S30*(1+'Conversion Factors'!$F30)</f>
        <v>2.0800479000000003</v>
      </c>
      <c r="T83" s="738">
        <f>+T30*(1+'Conversion Factors'!$F30)</f>
        <v>0</v>
      </c>
      <c r="U83" s="276">
        <f>+U30*(1+'Conversion Factors'!$F30)</f>
        <v>5.6603000000000001E-2</v>
      </c>
      <c r="V83" s="738">
        <f>+V30*(1+'Conversion Factors'!$F30)</f>
        <v>0</v>
      </c>
      <c r="W83" s="276">
        <f>+W30*(1+'Conversion Factors'!$F30)</f>
        <v>2.8842325555555561</v>
      </c>
      <c r="X83" s="738">
        <f>+X30*(1+'Conversion Factors'!$F30)</f>
        <v>0.52271640000000008</v>
      </c>
      <c r="Y83" s="738">
        <f>+Y30*(1+'Conversion Factors'!$F30)</f>
        <v>2.1410699999999998E-2</v>
      </c>
      <c r="Z83" s="738">
        <f>+Z30*(1+'Conversion Factors'!$F30)</f>
        <v>2.6964000000000002E-2</v>
      </c>
      <c r="AA83" s="738">
        <f>+AA30*(1+'Conversion Factors'!$F30)</f>
        <v>0.18584829999999999</v>
      </c>
      <c r="AB83" s="282">
        <f t="shared" si="25"/>
        <v>101.41172160145426</v>
      </c>
      <c r="AC83" s="299">
        <f>+AC30*(1+'Conversion Factors'!$F30)</f>
        <v>0.23853866666666673</v>
      </c>
      <c r="AD83" s="299">
        <f>+AD30*(1+'Conversion Factors'!$F30)</f>
        <v>0.24610000000000001</v>
      </c>
      <c r="AE83" s="299">
        <f>+AE30*(1+'Conversion Factors'!$F30)</f>
        <v>56.649719900178262</v>
      </c>
      <c r="AF83" s="299">
        <f>+AF30*(1+'Conversion Factors'!$F30)</f>
        <v>42.800000000000004</v>
      </c>
      <c r="AG83" s="277">
        <f t="shared" si="39"/>
        <v>99.934358566844935</v>
      </c>
      <c r="AH83" s="718">
        <f t="shared" si="27"/>
        <v>201.34608016829918</v>
      </c>
      <c r="AJ83" s="748">
        <v>2019</v>
      </c>
      <c r="AK83" s="1086">
        <f>+AK30*(1+'Conversion Factors'!$G30)</f>
        <v>34.984327419809098</v>
      </c>
      <c r="AL83" s="1086">
        <f>+AL30*(1+'Conversion Factors'!$G30)</f>
        <v>0.97871830000000004</v>
      </c>
      <c r="AM83" s="984">
        <f>+AM30*(1+'Conversion Factors'!$G30)</f>
        <v>6.4628000000000005E-2</v>
      </c>
      <c r="AN83" s="299">
        <f>+AN30*(1+'Conversion Factors'!$G30)</f>
        <v>3.4809294871794871E-3</v>
      </c>
      <c r="AO83" s="299">
        <f>+AO30*(1+'Conversion Factors'!$G30)</f>
        <v>0.81974840000000004</v>
      </c>
      <c r="AP83" s="984">
        <f>+AP30*(1+'Conversion Factors'!$G30)</f>
        <v>2.4007151910669978E-2</v>
      </c>
      <c r="AQ83" s="299">
        <f>+AQ30*(1+'Conversion Factors'!$G30)</f>
        <v>3.3170000000000005E-3</v>
      </c>
      <c r="AR83" s="299">
        <f>+AR30*(1+'Conversion Factors'!$G30)</f>
        <v>1.6692E-3</v>
      </c>
      <c r="AS83" s="984">
        <f>+AS30*(1+'Conversion Factors'!$G30)</f>
        <v>5.2494200000000005E-2</v>
      </c>
      <c r="AT83" s="299">
        <f>+AT30*(1+'Conversion Factors'!$G30)</f>
        <v>1.2293437705882353</v>
      </c>
      <c r="AU83" s="299">
        <f>+AU30*(1+'Conversion Factors'!$G30)</f>
        <v>4.1564721379999998</v>
      </c>
      <c r="AV83" s="299">
        <f>+AV30*(1+'Conversion Factors'!$G30)</f>
        <v>5.6324800000000005E-3</v>
      </c>
      <c r="AW83" s="299">
        <f>+AW30*(1+'Conversion Factors'!$G30)</f>
        <v>7.0406000000000006E-4</v>
      </c>
      <c r="AX83" s="984">
        <f>+AX30*(1+'Conversion Factors'!$G30)</f>
        <v>20.669668092841306</v>
      </c>
      <c r="AY83" s="299">
        <f>+AY30*(1+'Conversion Factors'!$G30)</f>
        <v>3.66154</v>
      </c>
      <c r="AZ83" s="299">
        <f>+AZ30*(1+'Conversion Factors'!$G30)</f>
        <v>1.007619</v>
      </c>
      <c r="BA83" s="299">
        <f>+BA30*(1+'Conversion Factors'!$G30)</f>
        <v>3.5136766999999995</v>
      </c>
      <c r="BB83" s="299">
        <f>+BB30*(1+'Conversion Factors'!$G30)</f>
        <v>0</v>
      </c>
      <c r="BC83" s="984">
        <f>+BC30*(1+'Conversion Factors'!$G30)</f>
        <v>0</v>
      </c>
      <c r="BD83" s="299">
        <f>+BD30*(1+'Conversion Factors'!$G30)</f>
        <v>0</v>
      </c>
      <c r="BE83" s="984">
        <f>+BE30*(1+'Conversion Factors'!$G30)</f>
        <v>0</v>
      </c>
      <c r="BF83" s="299">
        <f>+BF30*(1+'Conversion Factors'!$G30)</f>
        <v>0</v>
      </c>
      <c r="BG83" s="984">
        <f>+BG30*(1+'Conversion Factors'!$G30)</f>
        <v>0</v>
      </c>
      <c r="BH83" s="984">
        <f>+BH30*(1+'Conversion Factors'!$G30)</f>
        <v>2.2919399999999999E-2</v>
      </c>
      <c r="BI83" s="299">
        <f>+BI30*(1+'Conversion Factors'!$G30)</f>
        <v>0</v>
      </c>
      <c r="BJ83" s="299">
        <f>+BJ30*(1+'Conversion Factors'!$G30)</f>
        <v>0</v>
      </c>
      <c r="BK83" s="282">
        <f t="shared" si="40"/>
        <v>71.199966242636506</v>
      </c>
      <c r="BL83" s="299">
        <f>+BL30*(1+'Conversion Factors'!$G30)</f>
        <v>0</v>
      </c>
      <c r="BM83" s="299">
        <f>+BM30*(1+'Conversion Factors'!$G30)</f>
        <v>0.12840000000000001</v>
      </c>
      <c r="BN83" s="299">
        <f>+BN30*(1+'Conversion Factors'!$G30)</f>
        <v>53.029582606060629</v>
      </c>
      <c r="BO83" s="299">
        <f>+BO30*(1+'Conversion Factors'!$G30)</f>
        <v>42.800000000000004</v>
      </c>
      <c r="BP83" s="1106">
        <f t="shared" si="41"/>
        <v>95.957982606060625</v>
      </c>
      <c r="BQ83" s="718">
        <f t="shared" si="32"/>
        <v>167.15794884869712</v>
      </c>
      <c r="BS83" s="994">
        <v>2019</v>
      </c>
      <c r="BT83" s="1085">
        <f>+BT30*(1+'Conversion Factors'!$H30)</f>
        <v>24.343735730668254</v>
      </c>
      <c r="BU83" s="1086">
        <f>+BU30*(1+'Conversion Factors'!$H30)</f>
        <v>0.23570112600000001</v>
      </c>
      <c r="BV83" s="299">
        <f>+BV30*(1+'Conversion Factors'!$H30)</f>
        <v>0.35751168000000005</v>
      </c>
      <c r="BW83" s="299">
        <f>+BW30*(1+'Conversion Factors'!$H30)</f>
        <v>11.813805160753732</v>
      </c>
      <c r="BX83" s="299">
        <f>+BX30*(1+'Conversion Factors'!$H30)</f>
        <v>19.217303885230738</v>
      </c>
      <c r="BY83" s="299">
        <f>+BY30*(1+'Conversion Factors'!$H30)</f>
        <v>2.1953722366004964</v>
      </c>
      <c r="BZ83" s="299">
        <f>+BZ30*(1+'Conversion Factors'!$H30)</f>
        <v>1.79964032544</v>
      </c>
      <c r="CA83" s="299">
        <f>+CA30*(1+'Conversion Factors'!$H30)</f>
        <v>3.5873200000000002E-3</v>
      </c>
      <c r="CB83" s="299">
        <f>+CB30*(1+'Conversion Factors'!$H30)</f>
        <v>0.32794332639999996</v>
      </c>
      <c r="CC83" s="299">
        <f>+CC30*(1+'Conversion Factors'!$H30)</f>
        <v>5.4825552411764713</v>
      </c>
      <c r="CD83" s="299">
        <f>+CD30*(1+'Conversion Factors'!$H30)</f>
        <v>5.6292102145599987</v>
      </c>
      <c r="CE83" s="299">
        <f>+CE30*(1+'Conversion Factors'!$H30)</f>
        <v>7.483033800000001E-2</v>
      </c>
      <c r="CF83" s="299">
        <f>+CF30*(1+'Conversion Factors'!$H30)</f>
        <v>1.245305E-2</v>
      </c>
      <c r="CG83" s="299">
        <f>+CG30*(1+'Conversion Factors'!$H30)</f>
        <v>216.37939377858487</v>
      </c>
      <c r="CH83" s="299">
        <f>+CH30*(1+'Conversion Factors'!$H30)</f>
        <v>21.814180118319996</v>
      </c>
      <c r="CI83" s="299">
        <f>+CI30*(1+'Conversion Factors'!$H30)</f>
        <v>5.0181898363600004</v>
      </c>
      <c r="CJ83" s="299">
        <f>+CJ30*(1+'Conversion Factors'!$H30)</f>
        <v>22.830929103556667</v>
      </c>
      <c r="CK83" s="299">
        <f>+CK30*(1+'Conversion Factors'!$H30)</f>
        <v>0.21256922400000003</v>
      </c>
      <c r="CL83" s="299">
        <f>+CL30*(1+'Conversion Factors'!$H30)</f>
        <v>16.832000000000001</v>
      </c>
      <c r="CM83" s="299">
        <f>+CM30*(1+'Conversion Factors'!$H30)</f>
        <v>2.9481090200000008E-2</v>
      </c>
      <c r="CN83" s="299">
        <f>+CN30*(1+'Conversion Factors'!$H30)</f>
        <v>1.1945707219999999</v>
      </c>
      <c r="CO83" s="299">
        <f>+CO30*(1+'Conversion Factors'!$H30)</f>
        <v>10.998531981769334</v>
      </c>
      <c r="CP83" s="299">
        <f>+CP30*(1+'Conversion Factors'!$H30)</f>
        <v>1.1945707219999999</v>
      </c>
      <c r="CQ83" s="299">
        <f>+CQ30*(1+'Conversion Factors'!$H30)</f>
        <v>3.2958108000000007E-2</v>
      </c>
      <c r="CR83" s="299">
        <f>+CR30*(1+'Conversion Factors'!$H30)</f>
        <v>7.4645712000000003E-2</v>
      </c>
      <c r="CS83" s="997">
        <f>+CS30*(1+'Conversion Factors'!$H30)</f>
        <v>0.45052794200000001</v>
      </c>
      <c r="CT83" s="282">
        <f t="shared" si="42"/>
        <v>351.72419797362062</v>
      </c>
      <c r="CU83" s="299">
        <f>+CU30*(1+'Conversion Factors'!$H30)</f>
        <v>0</v>
      </c>
      <c r="CV83" s="299">
        <f>+CV30*(1+'Conversion Factors'!$H30)</f>
        <v>0</v>
      </c>
      <c r="CW83" s="299">
        <f>+CW30*(1+'Conversion Factors'!$H30)</f>
        <v>5.4213718212834223</v>
      </c>
      <c r="CX83" s="299">
        <f>+CX30*(1+'Conversion Factors'!$H30)</f>
        <v>3.6993996855000004</v>
      </c>
      <c r="CY83" s="1106">
        <f t="shared" si="43"/>
        <v>9.1207715067834236</v>
      </c>
      <c r="CZ83" s="718">
        <f t="shared" si="37"/>
        <v>360.84496948040402</v>
      </c>
      <c r="DA83" s="162">
        <f t="shared" si="38"/>
        <v>281.38244840084695</v>
      </c>
      <c r="DB83" s="162">
        <f t="shared" si="44"/>
        <v>79.462521079557064</v>
      </c>
    </row>
    <row r="84" spans="1:106" s="2" customFormat="1" x14ac:dyDescent="0.2">
      <c r="A84" s="588">
        <v>2020</v>
      </c>
      <c r="B84" s="1085">
        <f>+B31*(1+'Conversion Factors'!$F31)</f>
        <v>14.683966023985681</v>
      </c>
      <c r="C84" s="1086">
        <f>+C31*(1+'Conversion Factors'!$F31)</f>
        <v>0.42281050000000009</v>
      </c>
      <c r="D84" s="738">
        <f>+D31*(1+'Conversion Factors'!$F31)</f>
        <v>8.522550000000001E-2</v>
      </c>
      <c r="E84" s="276">
        <f>+E31*(1+'Conversion Factors'!$F31)</f>
        <v>3.5101538597824402</v>
      </c>
      <c r="F84" s="276">
        <f>+F31*(1+'Conversion Factors'!$F31)</f>
        <v>6.2101259324902722</v>
      </c>
      <c r="G84" s="738">
        <f>+G31*(1+'Conversion Factors'!$F31)</f>
        <v>1.649658033759305</v>
      </c>
      <c r="H84" s="276">
        <f>+H31*(1+'Conversion Factors'!$F31)</f>
        <v>0.18405070000000001</v>
      </c>
      <c r="I84" s="276">
        <f>+I31*(1+'Conversion Factors'!$F31)</f>
        <v>3.7450000000000005E-3</v>
      </c>
      <c r="J84" s="738">
        <f>+J31*(1+'Conversion Factors'!$F31)</f>
        <v>6.4189300000000005E-2</v>
      </c>
      <c r="K84" s="276">
        <f>+K31*(1+'Conversion Factors'!$F31)</f>
        <v>2.2092932000000003</v>
      </c>
      <c r="L84" s="276">
        <f>+L31*(1+'Conversion Factors'!$F31)</f>
        <v>5.5736414490000019</v>
      </c>
      <c r="M84" s="276">
        <f>+M31*(1+'Conversion Factors'!$F31)</f>
        <v>7.2941900000000007E-3</v>
      </c>
      <c r="N84" s="276">
        <f>+N31*(1+'Conversion Factors'!$F31)</f>
        <v>2.3630950000000004E-3</v>
      </c>
      <c r="O84" s="738">
        <f>+O31*(1+'Conversion Factors'!$F31)</f>
        <v>45.792953260214325</v>
      </c>
      <c r="P84" s="276">
        <f>+P31*(1+'Conversion Factors'!$F31)</f>
        <v>5.490335850000001</v>
      </c>
      <c r="Q84" s="276">
        <f>+Q31*(1+'Conversion Factors'!$F31)</f>
        <v>1.1286252999999999</v>
      </c>
      <c r="R84" s="276">
        <f>+R31*(1+'Conversion Factors'!$F31)</f>
        <v>10.453579891666671</v>
      </c>
      <c r="S84" s="276">
        <f>+S31*(1+'Conversion Factors'!$F31)</f>
        <v>3.0705469000000005</v>
      </c>
      <c r="T84" s="738">
        <f>+T31*(1+'Conversion Factors'!$F31)</f>
        <v>0</v>
      </c>
      <c r="U84" s="276">
        <f>+U31*(1+'Conversion Factors'!$F31)</f>
        <v>5.6816999999999999E-2</v>
      </c>
      <c r="V84" s="738">
        <f>+V31*(1+'Conversion Factors'!$F31)</f>
        <v>0</v>
      </c>
      <c r="W84" s="276">
        <f>+W31*(1+'Conversion Factors'!$F31)</f>
        <v>3.1975285555555564</v>
      </c>
      <c r="X84" s="738">
        <f>+X31*(1+'Conversion Factors'!$F31)</f>
        <v>0.52271640000000008</v>
      </c>
      <c r="Y84" s="738">
        <f>+Y31*(1+'Conversion Factors'!$F31)</f>
        <v>2.1410699999999998E-2</v>
      </c>
      <c r="Z84" s="738">
        <f>+Z31*(1+'Conversion Factors'!$F31)</f>
        <v>2.6964000000000002E-2</v>
      </c>
      <c r="AA84" s="738">
        <f>+AA31*(1+'Conversion Factors'!$F31)</f>
        <v>0.18584829999999999</v>
      </c>
      <c r="AB84" s="277">
        <f t="shared" si="25"/>
        <v>104.55384294145426</v>
      </c>
      <c r="AC84" s="276">
        <f>+AC31*(1+'Conversion Factors'!$F31)</f>
        <v>0.25266266666666676</v>
      </c>
      <c r="AD84" s="276">
        <f>+AD31*(1+'Conversion Factors'!$F31)</f>
        <v>0.34454000000000001</v>
      </c>
      <c r="AE84" s="276">
        <f>+AE31*(1+'Conversion Factors'!$F31)</f>
        <v>56.968579900178256</v>
      </c>
      <c r="AF84" s="276">
        <f>+AF31*(1+'Conversion Factors'!$F31)</f>
        <v>42.800000000000004</v>
      </c>
      <c r="AG84" s="277">
        <f t="shared" si="39"/>
        <v>100.36578256684493</v>
      </c>
      <c r="AH84" s="718">
        <f t="shared" si="27"/>
        <v>204.91962550829919</v>
      </c>
      <c r="AJ84" s="748">
        <v>2020</v>
      </c>
      <c r="AK84" s="1086">
        <f>+AK31*(1+'Conversion Factors'!$G31)</f>
        <v>34.984327419809098</v>
      </c>
      <c r="AL84" s="1086">
        <f>+AL31*(1+'Conversion Factors'!$G31)</f>
        <v>0.97871830000000004</v>
      </c>
      <c r="AM84" s="984">
        <f>+AM31*(1+'Conversion Factors'!$G31)</f>
        <v>6.4628000000000005E-2</v>
      </c>
      <c r="AN84" s="299">
        <f>+AN31*(1+'Conversion Factors'!$G31)</f>
        <v>3.4809294871794871E-3</v>
      </c>
      <c r="AO84" s="299">
        <f>+AO31*(1+'Conversion Factors'!$G31)</f>
        <v>0.81974840000000004</v>
      </c>
      <c r="AP84" s="984">
        <f>+AP31*(1+'Conversion Factors'!$G31)</f>
        <v>2.4007151910669978E-2</v>
      </c>
      <c r="AQ84" s="299">
        <f>+AQ31*(1+'Conversion Factors'!$G31)</f>
        <v>4.3870000000000003E-3</v>
      </c>
      <c r="AR84" s="299">
        <f>+AR31*(1+'Conversion Factors'!$G31)</f>
        <v>2.5038E-3</v>
      </c>
      <c r="AS84" s="984">
        <f>+AS31*(1+'Conversion Factors'!$G31)</f>
        <v>5.2494200000000005E-2</v>
      </c>
      <c r="AT84" s="299">
        <f>+AT31*(1+'Conversion Factors'!$G31)</f>
        <v>1.2977702705882352</v>
      </c>
      <c r="AU84" s="299">
        <f>+AU31*(1+'Conversion Factors'!$G31)</f>
        <v>4.4692866379999998</v>
      </c>
      <c r="AV84" s="299">
        <f>+AV31*(1+'Conversion Factors'!$G31)</f>
        <v>9.8568400000000021E-3</v>
      </c>
      <c r="AW84" s="299">
        <f>+AW31*(1+'Conversion Factors'!$G31)</f>
        <v>1.0560900000000002E-3</v>
      </c>
      <c r="AX84" s="984">
        <f>+AX31*(1+'Conversion Factors'!$G31)</f>
        <v>20.669668092841306</v>
      </c>
      <c r="AY84" s="299">
        <f>+AY31*(1+'Conversion Factors'!$G31)</f>
        <v>4.1580199999999996</v>
      </c>
      <c r="AZ84" s="299">
        <f>+AZ31*(1+'Conversion Factors'!$G31)</f>
        <v>1.0662015</v>
      </c>
      <c r="BA84" s="299">
        <f>+BA31*(1+'Conversion Factors'!$G31)</f>
        <v>3.5136766999999995</v>
      </c>
      <c r="BB84" s="299">
        <f>+BB31*(1+'Conversion Factors'!$G31)</f>
        <v>0</v>
      </c>
      <c r="BC84" s="984">
        <f>+BC31*(1+'Conversion Factors'!$G31)</f>
        <v>0</v>
      </c>
      <c r="BD84" s="299">
        <f>+BD31*(1+'Conversion Factors'!$G31)</f>
        <v>0</v>
      </c>
      <c r="BE84" s="984">
        <f>+BE31*(1+'Conversion Factors'!$G31)</f>
        <v>0</v>
      </c>
      <c r="BF84" s="299">
        <f>+BF31*(1+'Conversion Factors'!$G31)</f>
        <v>0</v>
      </c>
      <c r="BG84" s="984">
        <f>+BG31*(1+'Conversion Factors'!$G31)</f>
        <v>0</v>
      </c>
      <c r="BH84" s="984">
        <f>+BH31*(1+'Conversion Factors'!$G31)</f>
        <v>2.2919399999999999E-2</v>
      </c>
      <c r="BI84" s="299">
        <f>+BI31*(1+'Conversion Factors'!$G31)</f>
        <v>0</v>
      </c>
      <c r="BJ84" s="299">
        <f>+BJ31*(1+'Conversion Factors'!$G31)</f>
        <v>0</v>
      </c>
      <c r="BK84" s="277">
        <f t="shared" si="40"/>
        <v>72.1427507326365</v>
      </c>
      <c r="BL84" s="276">
        <f>+BL31*(1+'Conversion Factors'!$G31)</f>
        <v>0</v>
      </c>
      <c r="BM84" s="276">
        <f>+BM31*(1+'Conversion Factors'!$G31)</f>
        <v>0.19259999999999999</v>
      </c>
      <c r="BN84" s="276">
        <f>+BN31*(1+'Conversion Factors'!$G31)</f>
        <v>53.599793171717188</v>
      </c>
      <c r="BO84" s="276">
        <f>+BO31*(1+'Conversion Factors'!$G31)</f>
        <v>42.800000000000004</v>
      </c>
      <c r="BP84" s="1106">
        <f t="shared" si="41"/>
        <v>96.592393171717191</v>
      </c>
      <c r="BQ84" s="718">
        <f t="shared" si="32"/>
        <v>168.73514390435369</v>
      </c>
      <c r="BS84" s="994">
        <v>2020</v>
      </c>
      <c r="BT84" s="1085">
        <f>+BT31*(1+'Conversion Factors'!$H31)</f>
        <v>24.343735730668254</v>
      </c>
      <c r="BU84" s="1086">
        <f>+BU31*(1+'Conversion Factors'!$H31)</f>
        <v>0.23570112600000001</v>
      </c>
      <c r="BV84" s="299">
        <f>+BV31*(1+'Conversion Factors'!$H31)</f>
        <v>0.35751168000000005</v>
      </c>
      <c r="BW84" s="299">
        <f>+BW31*(1+'Conversion Factors'!$H31)</f>
        <v>12.098160760753734</v>
      </c>
      <c r="BX84" s="299">
        <f>+BX31*(1+'Conversion Factors'!$H31)</f>
        <v>19.422522785230736</v>
      </c>
      <c r="BY84" s="299">
        <f>+BY31*(1+'Conversion Factors'!$H31)</f>
        <v>2.1953722366004964</v>
      </c>
      <c r="BZ84" s="299">
        <f>+BZ31*(1+'Conversion Factors'!$H31)</f>
        <v>2.2996033254400001</v>
      </c>
      <c r="CA84" s="299">
        <f>+CA31*(1+'Conversion Factors'!$H31)</f>
        <v>5.022248E-3</v>
      </c>
      <c r="CB84" s="299">
        <f>+CB31*(1+'Conversion Factors'!$H31)</f>
        <v>0.32794332639999996</v>
      </c>
      <c r="CC84" s="299">
        <f>+CC31*(1+'Conversion Factors'!$H31)</f>
        <v>5.7344408611764717</v>
      </c>
      <c r="CD84" s="299">
        <f>+CD31*(1+'Conversion Factors'!$H31)</f>
        <v>6.0674523745599984</v>
      </c>
      <c r="CE84" s="299">
        <f>+CE31*(1+'Conversion Factors'!$H31)</f>
        <v>0.115646886</v>
      </c>
      <c r="CF84" s="299">
        <f>+CF31*(1+'Conversion Factors'!$H31)</f>
        <v>1.7434269999999998E-2</v>
      </c>
      <c r="CG84" s="299">
        <f>+CG31*(1+'Conversion Factors'!$H31)</f>
        <v>216.37939377858487</v>
      </c>
      <c r="CH84" s="299">
        <f>+CH31*(1+'Conversion Factors'!$H31)</f>
        <v>24.761505398319997</v>
      </c>
      <c r="CI84" s="299">
        <f>+CI31*(1+'Conversion Factors'!$H31)</f>
        <v>5.4469639963600001</v>
      </c>
      <c r="CJ84" s="299">
        <f>+CJ31*(1+'Conversion Factors'!$H31)</f>
        <v>22.841190311556669</v>
      </c>
      <c r="CK84" s="299">
        <f>+CK31*(1+'Conversion Factors'!$H31)</f>
        <v>0.31379266400000005</v>
      </c>
      <c r="CL84" s="299">
        <f>+CL31*(1+'Conversion Factors'!$H31)</f>
        <v>16.832000000000001</v>
      </c>
      <c r="CM84" s="299">
        <f>+CM31*(1+'Conversion Factors'!$H31)</f>
        <v>2.9544210200000007E-2</v>
      </c>
      <c r="CN84" s="299">
        <f>+CN31*(1+'Conversion Factors'!$H31)</f>
        <v>1.1945707219999999</v>
      </c>
      <c r="CO84" s="299">
        <f>+CO31*(1+'Conversion Factors'!$H31)</f>
        <v>11.749491661769333</v>
      </c>
      <c r="CP84" s="299">
        <f>+CP31*(1+'Conversion Factors'!$H31)</f>
        <v>1.1945707219999999</v>
      </c>
      <c r="CQ84" s="299">
        <f>+CQ31*(1+'Conversion Factors'!$H31)</f>
        <v>3.2958108000000007E-2</v>
      </c>
      <c r="CR84" s="299">
        <f>+CR31*(1+'Conversion Factors'!$H31)</f>
        <v>7.4645712000000003E-2</v>
      </c>
      <c r="CS84" s="997">
        <f>+CS31*(1+'Conversion Factors'!$H31)</f>
        <v>0.45052794200000001</v>
      </c>
      <c r="CT84" s="277">
        <f t="shared" si="42"/>
        <v>357.68970283762053</v>
      </c>
      <c r="CU84" s="276">
        <f>+CU31*(1+'Conversion Factors'!$H31)</f>
        <v>0</v>
      </c>
      <c r="CV84" s="276">
        <f>+CV31*(1+'Conversion Factors'!$H31)</f>
        <v>0</v>
      </c>
      <c r="CW84" s="276">
        <f>+CW31*(1+'Conversion Factors'!$H31)</f>
        <v>5.4630181812160821</v>
      </c>
      <c r="CX84" s="276">
        <f>+CX31*(1+'Conversion Factors'!$H31)</f>
        <v>3.7365289735</v>
      </c>
      <c r="CY84" s="1106">
        <f t="shared" si="43"/>
        <v>9.1995471547160825</v>
      </c>
      <c r="CZ84" s="718">
        <f t="shared" si="37"/>
        <v>366.8892499923366</v>
      </c>
      <c r="DA84" s="162">
        <f t="shared" si="38"/>
        <v>281.71871156877961</v>
      </c>
      <c r="DB84" s="162">
        <f t="shared" si="44"/>
        <v>85.170538423556991</v>
      </c>
    </row>
    <row r="85" spans="1:106" s="2" customFormat="1" x14ac:dyDescent="0.2">
      <c r="A85" s="588">
        <v>2021</v>
      </c>
      <c r="B85" s="1085">
        <f>+B32*(1+'Conversion Factors'!$F32)</f>
        <v>14.683966023985681</v>
      </c>
      <c r="C85" s="1086">
        <f>+C32*(1+'Conversion Factors'!$F32)</f>
        <v>0.42281050000000009</v>
      </c>
      <c r="D85" s="738">
        <f>+D32*(1+'Conversion Factors'!$F32)</f>
        <v>8.522550000000001E-2</v>
      </c>
      <c r="E85" s="276">
        <f>+E32*(1+'Conversion Factors'!$F32)</f>
        <v>3.6599538597824406</v>
      </c>
      <c r="F85" s="276">
        <f>+F32*(1+'Conversion Factors'!$F32)</f>
        <v>6.2507859324902721</v>
      </c>
      <c r="G85" s="738">
        <f>+G32*(1+'Conversion Factors'!$F32)</f>
        <v>1.649658033759305</v>
      </c>
      <c r="H85" s="276">
        <f>+H32*(1+'Conversion Factors'!$F32)</f>
        <v>0.22417570000000001</v>
      </c>
      <c r="I85" s="276">
        <f>+I32*(1+'Conversion Factors'!$F32)</f>
        <v>4.8150000000000007E-3</v>
      </c>
      <c r="J85" s="738">
        <f>+J32*(1+'Conversion Factors'!$F32)</f>
        <v>6.4189300000000005E-2</v>
      </c>
      <c r="K85" s="276">
        <f>+K32*(1+'Conversion Factors'!$F32)</f>
        <v>2.3005107000000002</v>
      </c>
      <c r="L85" s="276">
        <f>+L32*(1+'Conversion Factors'!$F32)</f>
        <v>5.9723234490000019</v>
      </c>
      <c r="M85" s="276">
        <f>+M32*(1+'Conversion Factors'!$F32)</f>
        <v>9.8686100000000016E-3</v>
      </c>
      <c r="N85" s="276">
        <f>+N32*(1+'Conversion Factors'!$F32)</f>
        <v>3.0382650000000005E-3</v>
      </c>
      <c r="O85" s="738">
        <f>+O32*(1+'Conversion Factors'!$F32)</f>
        <v>45.792953260214325</v>
      </c>
      <c r="P85" s="276">
        <f>+P32*(1+'Conversion Factors'!$F32)</f>
        <v>6.1276278500000014</v>
      </c>
      <c r="Q85" s="276">
        <f>+Q32*(1+'Conversion Factors'!$F32)</f>
        <v>1.2457902999999999</v>
      </c>
      <c r="R85" s="276">
        <f>+R32*(1+'Conversion Factors'!$F32)</f>
        <v>10.836639891666671</v>
      </c>
      <c r="S85" s="276">
        <f>+S32*(1+'Conversion Factors'!$F32)</f>
        <v>4.0610459000000008</v>
      </c>
      <c r="T85" s="738">
        <f>+T32*(1+'Conversion Factors'!$F32)</f>
        <v>0</v>
      </c>
      <c r="U85" s="276">
        <f>+U32*(1+'Conversion Factors'!$F32)</f>
        <v>5.7030999999999998E-2</v>
      </c>
      <c r="V85" s="738">
        <f>+V32*(1+'Conversion Factors'!$F32)</f>
        <v>0</v>
      </c>
      <c r="W85" s="276">
        <f>+W32*(1+'Conversion Factors'!$F32)</f>
        <v>3.5108245555555566</v>
      </c>
      <c r="X85" s="738">
        <f>+X32*(1+'Conversion Factors'!$F32)</f>
        <v>0.52271640000000008</v>
      </c>
      <c r="Y85" s="738">
        <f>+Y32*(1+'Conversion Factors'!$F32)</f>
        <v>2.1410699999999998E-2</v>
      </c>
      <c r="Z85" s="738">
        <f>+Z32*(1+'Conversion Factors'!$F32)</f>
        <v>2.6964000000000002E-2</v>
      </c>
      <c r="AA85" s="738">
        <f>+AA32*(1+'Conversion Factors'!$F32)</f>
        <v>0.18584829999999999</v>
      </c>
      <c r="AB85" s="277">
        <f t="shared" si="25"/>
        <v>107.72017303145424</v>
      </c>
      <c r="AC85" s="276">
        <f>+AC32*(1+'Conversion Factors'!$F32)</f>
        <v>0.26678666666666673</v>
      </c>
      <c r="AD85" s="276">
        <f>+AD32*(1+'Conversion Factors'!$F32)</f>
        <v>0.44297999999999998</v>
      </c>
      <c r="AE85" s="276">
        <f>+AE32*(1+'Conversion Factors'!$F32)</f>
        <v>57.287439900178249</v>
      </c>
      <c r="AF85" s="276">
        <f>+AF32*(1+'Conversion Factors'!$F32)</f>
        <v>42.800000000000004</v>
      </c>
      <c r="AG85" s="277">
        <f t="shared" si="39"/>
        <v>100.79720656684492</v>
      </c>
      <c r="AH85" s="718">
        <f t="shared" si="27"/>
        <v>208.51737959829916</v>
      </c>
      <c r="AJ85" s="748">
        <v>2021</v>
      </c>
      <c r="AK85" s="1086">
        <f>+AK32*(1+'Conversion Factors'!$G32)</f>
        <v>34.984327419809098</v>
      </c>
      <c r="AL85" s="1086">
        <f>+AL32*(1+'Conversion Factors'!$G32)</f>
        <v>0.97871830000000004</v>
      </c>
      <c r="AM85" s="984">
        <f>+AM32*(1+'Conversion Factors'!$G32)</f>
        <v>6.4628000000000005E-2</v>
      </c>
      <c r="AN85" s="299">
        <f>+AN32*(1+'Conversion Factors'!$G32)</f>
        <v>3.4809294871794871E-3</v>
      </c>
      <c r="AO85" s="299">
        <f>+AO32*(1+'Conversion Factors'!$G32)</f>
        <v>0.81974840000000004</v>
      </c>
      <c r="AP85" s="984">
        <f>+AP32*(1+'Conversion Factors'!$G32)</f>
        <v>2.4007151910669978E-2</v>
      </c>
      <c r="AQ85" s="299">
        <f>+AQ32*(1+'Conversion Factors'!$G32)</f>
        <v>5.4570000000000009E-3</v>
      </c>
      <c r="AR85" s="299">
        <f>+AR32*(1+'Conversion Factors'!$G32)</f>
        <v>3.3384E-3</v>
      </c>
      <c r="AS85" s="984">
        <f>+AS32*(1+'Conversion Factors'!$G32)</f>
        <v>5.2494200000000005E-2</v>
      </c>
      <c r="AT85" s="299">
        <f>+AT32*(1+'Conversion Factors'!$G32)</f>
        <v>1.3661967705882354</v>
      </c>
      <c r="AU85" s="299">
        <f>+AU32*(1+'Conversion Factors'!$G32)</f>
        <v>4.7821011379999998</v>
      </c>
      <c r="AV85" s="299">
        <f>+AV32*(1+'Conversion Factors'!$G32)</f>
        <v>1.4081200000000002E-2</v>
      </c>
      <c r="AW85" s="299">
        <f>+AW32*(1+'Conversion Factors'!$G32)</f>
        <v>1.4081200000000001E-3</v>
      </c>
      <c r="AX85" s="984">
        <f>+AX32*(1+'Conversion Factors'!$G32)</f>
        <v>20.669668092841306</v>
      </c>
      <c r="AY85" s="299">
        <f>+AY32*(1+'Conversion Factors'!$G32)</f>
        <v>4.6544999999999996</v>
      </c>
      <c r="AZ85" s="299">
        <f>+AZ32*(1+'Conversion Factors'!$G32)</f>
        <v>1.1833665</v>
      </c>
      <c r="BA85" s="299">
        <f>+BA32*(1+'Conversion Factors'!$G32)</f>
        <v>3.5136766999999995</v>
      </c>
      <c r="BB85" s="299">
        <f>+BB32*(1+'Conversion Factors'!$G32)</f>
        <v>0</v>
      </c>
      <c r="BC85" s="984">
        <f>+BC32*(1+'Conversion Factors'!$G32)</f>
        <v>0</v>
      </c>
      <c r="BD85" s="299">
        <f>+BD32*(1+'Conversion Factors'!$G32)</f>
        <v>0</v>
      </c>
      <c r="BE85" s="984">
        <f>+BE32*(1+'Conversion Factors'!$G32)</f>
        <v>0</v>
      </c>
      <c r="BF85" s="299">
        <f>+BF32*(1+'Conversion Factors'!$G32)</f>
        <v>0</v>
      </c>
      <c r="BG85" s="984">
        <f>+BG32*(1+'Conversion Factors'!$G32)</f>
        <v>0</v>
      </c>
      <c r="BH85" s="984">
        <f>+BH32*(1+'Conversion Factors'!$G32)</f>
        <v>2.2919399999999999E-2</v>
      </c>
      <c r="BI85" s="299">
        <f>+BI32*(1+'Conversion Factors'!$G32)</f>
        <v>0</v>
      </c>
      <c r="BJ85" s="299">
        <f>+BJ32*(1+'Conversion Factors'!$G32)</f>
        <v>0</v>
      </c>
      <c r="BK85" s="277">
        <f t="shared" si="40"/>
        <v>73.144117722636508</v>
      </c>
      <c r="BL85" s="276">
        <f>+BL32*(1+'Conversion Factors'!$G32)</f>
        <v>0</v>
      </c>
      <c r="BM85" s="276">
        <f>+BM32*(1+'Conversion Factors'!$G32)</f>
        <v>0.25680000000000003</v>
      </c>
      <c r="BN85" s="276">
        <f>+BN32*(1+'Conversion Factors'!$G32)</f>
        <v>54.170003737373754</v>
      </c>
      <c r="BO85" s="276">
        <f>+BO32*(1+'Conversion Factors'!$G32)</f>
        <v>42.800000000000004</v>
      </c>
      <c r="BP85" s="1106">
        <f t="shared" si="41"/>
        <v>97.226803737373757</v>
      </c>
      <c r="BQ85" s="718">
        <f t="shared" si="32"/>
        <v>170.37092146001027</v>
      </c>
      <c r="BS85" s="994">
        <v>2021</v>
      </c>
      <c r="BT85" s="1085">
        <f>+BT32*(1+'Conversion Factors'!$H32)</f>
        <v>24.343735730668254</v>
      </c>
      <c r="BU85" s="1086">
        <f>+BU32*(1+'Conversion Factors'!$H32)</f>
        <v>0.23570112600000001</v>
      </c>
      <c r="BV85" s="299">
        <f>+BV32*(1+'Conversion Factors'!$H32)</f>
        <v>0.35751168000000005</v>
      </c>
      <c r="BW85" s="299">
        <f>+BW32*(1+'Conversion Factors'!$H32)</f>
        <v>12.382516360753735</v>
      </c>
      <c r="BX85" s="299">
        <f>+BX32*(1+'Conversion Factors'!$H32)</f>
        <v>19.604939585230738</v>
      </c>
      <c r="BY85" s="299">
        <f>+BY32*(1+'Conversion Factors'!$H32)</f>
        <v>2.1953722366004964</v>
      </c>
      <c r="BZ85" s="299">
        <f>+BZ32*(1+'Conversion Factors'!$H32)</f>
        <v>2.7995663254400003</v>
      </c>
      <c r="CA85" s="299">
        <f>+CA32*(1+'Conversion Factors'!$H32)</f>
        <v>6.4571759999999994E-3</v>
      </c>
      <c r="CB85" s="299">
        <f>+CB32*(1+'Conversion Factors'!$H32)</f>
        <v>0.32794332639999996</v>
      </c>
      <c r="CC85" s="299">
        <f>+CC32*(1+'Conversion Factors'!$H32)</f>
        <v>5.986326481176472</v>
      </c>
      <c r="CD85" s="299">
        <f>+CD32*(1+'Conversion Factors'!$H32)</f>
        <v>6.5056945345599981</v>
      </c>
      <c r="CE85" s="299">
        <f>+CE32*(1+'Conversion Factors'!$H32)</f>
        <v>0.15646343400000001</v>
      </c>
      <c r="CF85" s="299">
        <f>+CF32*(1+'Conversion Factors'!$H32)</f>
        <v>2.2415489999999996E-2</v>
      </c>
      <c r="CG85" s="299">
        <f>+CG32*(1+'Conversion Factors'!$H32)</f>
        <v>216.37939377858487</v>
      </c>
      <c r="CH85" s="299">
        <f>+CH32*(1+'Conversion Factors'!$H32)</f>
        <v>27.708830678319995</v>
      </c>
      <c r="CI85" s="299">
        <f>+CI32*(1+'Conversion Factors'!$H32)</f>
        <v>6.0186628763600005</v>
      </c>
      <c r="CJ85" s="299">
        <f>+CJ32*(1+'Conversion Factors'!$H32)</f>
        <v>22.851451519556669</v>
      </c>
      <c r="CK85" s="299">
        <f>+CK32*(1+'Conversion Factors'!$H32)</f>
        <v>0.41501610400000005</v>
      </c>
      <c r="CL85" s="299">
        <f>+CL32*(1+'Conversion Factors'!$H32)</f>
        <v>16.832000000000001</v>
      </c>
      <c r="CM85" s="299">
        <f>+CM32*(1+'Conversion Factors'!$H32)</f>
        <v>2.9607330200000011E-2</v>
      </c>
      <c r="CN85" s="299">
        <f>+CN32*(1+'Conversion Factors'!$H32)</f>
        <v>1.1945707219999999</v>
      </c>
      <c r="CO85" s="299">
        <f>+CO32*(1+'Conversion Factors'!$H32)</f>
        <v>12.500451341769333</v>
      </c>
      <c r="CP85" s="299">
        <f>+CP32*(1+'Conversion Factors'!$H32)</f>
        <v>1.1945707219999999</v>
      </c>
      <c r="CQ85" s="299">
        <f>+CQ32*(1+'Conversion Factors'!$H32)</f>
        <v>3.2958108000000007E-2</v>
      </c>
      <c r="CR85" s="299">
        <f>+CR32*(1+'Conversion Factors'!$H32)</f>
        <v>7.4645712000000003E-2</v>
      </c>
      <c r="CS85" s="997">
        <f>+CS32*(1+'Conversion Factors'!$H32)</f>
        <v>0.45052794200000001</v>
      </c>
      <c r="CT85" s="277">
        <f t="shared" si="42"/>
        <v>363.77533032162057</v>
      </c>
      <c r="CU85" s="276">
        <f>+CU32*(1+'Conversion Factors'!$H32)</f>
        <v>0</v>
      </c>
      <c r="CV85" s="276">
        <f>+CV32*(1+'Conversion Factors'!$H32)</f>
        <v>0</v>
      </c>
      <c r="CW85" s="276">
        <f>+CW32*(1+'Conversion Factors'!$H32)</f>
        <v>5.5046645411487436</v>
      </c>
      <c r="CX85" s="276">
        <f>+CX32*(1+'Conversion Factors'!$H32)</f>
        <v>3.7736582615000001</v>
      </c>
      <c r="CY85" s="1106">
        <f t="shared" si="43"/>
        <v>9.2783228026487432</v>
      </c>
      <c r="CZ85" s="718">
        <f t="shared" si="37"/>
        <v>373.05365312426932</v>
      </c>
      <c r="DA85" s="162">
        <f t="shared" si="38"/>
        <v>282.05497473671232</v>
      </c>
      <c r="DB85" s="162">
        <f t="shared" si="44"/>
        <v>90.998678387556993</v>
      </c>
    </row>
    <row r="86" spans="1:106" s="2" customFormat="1" x14ac:dyDescent="0.2">
      <c r="A86" s="588">
        <v>2022</v>
      </c>
      <c r="B86" s="1085">
        <f>+B33*(1+'Conversion Factors'!$F33)</f>
        <v>14.683966023985681</v>
      </c>
      <c r="C86" s="1086">
        <f>+C33*(1+'Conversion Factors'!$F33)</f>
        <v>0.42281050000000009</v>
      </c>
      <c r="D86" s="738">
        <f>+D33*(1+'Conversion Factors'!$F33)</f>
        <v>8.522550000000001E-2</v>
      </c>
      <c r="E86" s="276">
        <f>+E33*(1+'Conversion Factors'!$F33)</f>
        <v>3.8097538597824405</v>
      </c>
      <c r="F86" s="276">
        <f>+F33*(1+'Conversion Factors'!$F33)</f>
        <v>6.2914459324902721</v>
      </c>
      <c r="G86" s="738">
        <f>+G33*(1+'Conversion Factors'!$F33)</f>
        <v>1.649658033759305</v>
      </c>
      <c r="H86" s="276">
        <f>+H33*(1+'Conversion Factors'!$F33)</f>
        <v>0.2643007</v>
      </c>
      <c r="I86" s="276">
        <f>+I33*(1+'Conversion Factors'!$F33)</f>
        <v>5.8850000000000013E-3</v>
      </c>
      <c r="J86" s="738">
        <f>+J33*(1+'Conversion Factors'!$F33)</f>
        <v>6.4189300000000005E-2</v>
      </c>
      <c r="K86" s="276">
        <f>+K33*(1+'Conversion Factors'!$F33)</f>
        <v>2.3917281999999997</v>
      </c>
      <c r="L86" s="276">
        <f>+L33*(1+'Conversion Factors'!$F33)</f>
        <v>6.3710054490000019</v>
      </c>
      <c r="M86" s="276">
        <f>+M33*(1+'Conversion Factors'!$F33)</f>
        <v>1.2872100000000001E-2</v>
      </c>
      <c r="N86" s="276">
        <f>+N33*(1+'Conversion Factors'!$F33)</f>
        <v>3.7134350000000006E-3</v>
      </c>
      <c r="O86" s="738">
        <f>+O33*(1+'Conversion Factors'!$F33)</f>
        <v>45.792953260214325</v>
      </c>
      <c r="P86" s="276">
        <f>+P33*(1+'Conversion Factors'!$F33)</f>
        <v>6.764919850000001</v>
      </c>
      <c r="Q86" s="276">
        <f>+Q33*(1+'Conversion Factors'!$F33)</f>
        <v>1.3629552999999999</v>
      </c>
      <c r="R86" s="276">
        <f>+R33*(1+'Conversion Factors'!$F33)</f>
        <v>11.219699891666671</v>
      </c>
      <c r="S86" s="276">
        <f>+S33*(1+'Conversion Factors'!$F33)</f>
        <v>5.0515449000000006</v>
      </c>
      <c r="T86" s="738">
        <f>+T33*(1+'Conversion Factors'!$F33)</f>
        <v>0</v>
      </c>
      <c r="U86" s="276">
        <f>+U33*(1+'Conversion Factors'!$F33)</f>
        <v>5.7244999999999997E-2</v>
      </c>
      <c r="V86" s="738">
        <f>+V33*(1+'Conversion Factors'!$F33)</f>
        <v>0</v>
      </c>
      <c r="W86" s="276">
        <f>+W33*(1+'Conversion Factors'!$F33)</f>
        <v>3.8241205555555569</v>
      </c>
      <c r="X86" s="738">
        <f>+X33*(1+'Conversion Factors'!$F33)</f>
        <v>0.52271640000000008</v>
      </c>
      <c r="Y86" s="738">
        <f>+Y33*(1+'Conversion Factors'!$F33)</f>
        <v>2.1410699999999998E-2</v>
      </c>
      <c r="Z86" s="738">
        <f>+Z33*(1+'Conversion Factors'!$F33)</f>
        <v>2.6964000000000002E-2</v>
      </c>
      <c r="AA86" s="738">
        <f>+AA33*(1+'Conversion Factors'!$F33)</f>
        <v>0.18584829999999999</v>
      </c>
      <c r="AB86" s="277">
        <f t="shared" si="25"/>
        <v>110.88693219145425</v>
      </c>
      <c r="AC86" s="276">
        <f>+AC33*(1+'Conversion Factors'!$F33)</f>
        <v>0.28091066666666675</v>
      </c>
      <c r="AD86" s="276">
        <f>+AD33*(1+'Conversion Factors'!$F33)</f>
        <v>0.54142000000000001</v>
      </c>
      <c r="AE86" s="276">
        <f>+AE33*(1+'Conversion Factors'!$F33)</f>
        <v>57.606299900178257</v>
      </c>
      <c r="AF86" s="276">
        <f>+AF33*(1+'Conversion Factors'!$F33)</f>
        <v>42.800000000000004</v>
      </c>
      <c r="AG86" s="277">
        <f t="shared" si="39"/>
        <v>101.22863056684493</v>
      </c>
      <c r="AH86" s="718">
        <f t="shared" si="27"/>
        <v>212.11556275829918</v>
      </c>
      <c r="AJ86" s="748">
        <v>2022</v>
      </c>
      <c r="AK86" s="1086">
        <f>+AK33*(1+'Conversion Factors'!$G33)</f>
        <v>34.984327419809098</v>
      </c>
      <c r="AL86" s="1086">
        <f>+AL33*(1+'Conversion Factors'!$G33)</f>
        <v>0.97871830000000004</v>
      </c>
      <c r="AM86" s="984">
        <f>+AM33*(1+'Conversion Factors'!$G33)</f>
        <v>6.4628000000000005E-2</v>
      </c>
      <c r="AN86" s="299">
        <f>+AN33*(1+'Conversion Factors'!$G33)</f>
        <v>3.4809294871794871E-3</v>
      </c>
      <c r="AO86" s="299">
        <f>+AO33*(1+'Conversion Factors'!$G33)</f>
        <v>0.81974840000000004</v>
      </c>
      <c r="AP86" s="984">
        <f>+AP33*(1+'Conversion Factors'!$G33)</f>
        <v>2.4007151910669978E-2</v>
      </c>
      <c r="AQ86" s="299">
        <f>+AQ33*(1+'Conversion Factors'!$G33)</f>
        <v>6.5270000000000007E-3</v>
      </c>
      <c r="AR86" s="299">
        <f>+AR33*(1+'Conversion Factors'!$G33)</f>
        <v>4.1729999999999996E-3</v>
      </c>
      <c r="AS86" s="984">
        <f>+AS33*(1+'Conversion Factors'!$G33)</f>
        <v>5.2494200000000005E-2</v>
      </c>
      <c r="AT86" s="299">
        <f>+AT33*(1+'Conversion Factors'!$G33)</f>
        <v>1.4346232705882354</v>
      </c>
      <c r="AU86" s="299">
        <f>+AU33*(1+'Conversion Factors'!$G33)</f>
        <v>5.0949156379999998</v>
      </c>
      <c r="AV86" s="299">
        <f>+AV33*(1+'Conversion Factors'!$G33)</f>
        <v>1.8305560000000002E-2</v>
      </c>
      <c r="AW86" s="299">
        <f>+AW33*(1+'Conversion Factors'!$G33)</f>
        <v>1.7601500000000003E-3</v>
      </c>
      <c r="AX86" s="984">
        <f>+AX33*(1+'Conversion Factors'!$G33)</f>
        <v>20.669668092841306</v>
      </c>
      <c r="AY86" s="299">
        <f>+AY33*(1+'Conversion Factors'!$G33)</f>
        <v>5.1509800000000006</v>
      </c>
      <c r="AZ86" s="299">
        <f>+AZ33*(1+'Conversion Factors'!$G33)</f>
        <v>1.3005315</v>
      </c>
      <c r="BA86" s="299">
        <f>+BA33*(1+'Conversion Factors'!$G33)</f>
        <v>3.5136766999999995</v>
      </c>
      <c r="BB86" s="299">
        <f>+BB33*(1+'Conversion Factors'!$G33)</f>
        <v>0</v>
      </c>
      <c r="BC86" s="984">
        <f>+BC33*(1+'Conversion Factors'!$G33)</f>
        <v>0</v>
      </c>
      <c r="BD86" s="299">
        <f>+BD33*(1+'Conversion Factors'!$G33)</f>
        <v>0</v>
      </c>
      <c r="BE86" s="984">
        <f>+BE33*(1+'Conversion Factors'!$G33)</f>
        <v>0</v>
      </c>
      <c r="BF86" s="299">
        <f>+BF33*(1+'Conversion Factors'!$G33)</f>
        <v>0</v>
      </c>
      <c r="BG86" s="984">
        <f>+BG33*(1+'Conversion Factors'!$G33)</f>
        <v>0</v>
      </c>
      <c r="BH86" s="984">
        <f>+BH33*(1+'Conversion Factors'!$G33)</f>
        <v>2.2919399999999999E-2</v>
      </c>
      <c r="BI86" s="299">
        <f>+BI33*(1+'Conversion Factors'!$G33)</f>
        <v>0</v>
      </c>
      <c r="BJ86" s="299">
        <f>+BJ33*(1+'Conversion Factors'!$G33)</f>
        <v>0</v>
      </c>
      <c r="BK86" s="277">
        <f t="shared" si="40"/>
        <v>74.145484712636502</v>
      </c>
      <c r="BL86" s="276">
        <f>+BL33*(1+'Conversion Factors'!$G33)</f>
        <v>0</v>
      </c>
      <c r="BM86" s="276">
        <f>+BM33*(1+'Conversion Factors'!$G33)</f>
        <v>0.32100000000000001</v>
      </c>
      <c r="BN86" s="276">
        <f>+BN33*(1+'Conversion Factors'!$G33)</f>
        <v>54.740214303030314</v>
      </c>
      <c r="BO86" s="276">
        <f>+BO33*(1+'Conversion Factors'!$G33)</f>
        <v>42.800000000000004</v>
      </c>
      <c r="BP86" s="1106">
        <f t="shared" si="41"/>
        <v>97.861214303030323</v>
      </c>
      <c r="BQ86" s="718">
        <f t="shared" si="32"/>
        <v>172.00669901566681</v>
      </c>
      <c r="BS86" s="994">
        <v>2022</v>
      </c>
      <c r="BT86" s="1085">
        <f>+BT33*(1+'Conversion Factors'!$H33)</f>
        <v>24.343735730668254</v>
      </c>
      <c r="BU86" s="1086">
        <f>+BU33*(1+'Conversion Factors'!$H33)</f>
        <v>0.23570112600000001</v>
      </c>
      <c r="BV86" s="299">
        <f>+BV33*(1+'Conversion Factors'!$H33)</f>
        <v>0.35751168000000005</v>
      </c>
      <c r="BW86" s="299">
        <f>+BW33*(1+'Conversion Factors'!$H33)</f>
        <v>12.666871960753735</v>
      </c>
      <c r="BX86" s="299">
        <f>+BX33*(1+'Conversion Factors'!$H33)</f>
        <v>19.787356385230741</v>
      </c>
      <c r="BY86" s="299">
        <f>+BY33*(1+'Conversion Factors'!$H33)</f>
        <v>2.1953722366004964</v>
      </c>
      <c r="BZ86" s="299">
        <f>+BZ33*(1+'Conversion Factors'!$H33)</f>
        <v>3.29952932544</v>
      </c>
      <c r="CA86" s="299">
        <f>+CA33*(1+'Conversion Factors'!$H33)</f>
        <v>7.8921039999999987E-3</v>
      </c>
      <c r="CB86" s="299">
        <f>+CB33*(1+'Conversion Factors'!$H33)</f>
        <v>0.32794332639999996</v>
      </c>
      <c r="CC86" s="299">
        <f>+CC33*(1+'Conversion Factors'!$H33)</f>
        <v>6.2382121011764724</v>
      </c>
      <c r="CD86" s="299">
        <f>+CD33*(1+'Conversion Factors'!$H33)</f>
        <v>6.9439366945599987</v>
      </c>
      <c r="CE86" s="299">
        <f>+CE33*(1+'Conversion Factors'!$H33)</f>
        <v>0.20408274000000004</v>
      </c>
      <c r="CF86" s="299">
        <f>+CF33*(1+'Conversion Factors'!$H33)</f>
        <v>2.7396709999999998E-2</v>
      </c>
      <c r="CG86" s="299">
        <f>+CG33*(1+'Conversion Factors'!$H33)</f>
        <v>216.37939377858487</v>
      </c>
      <c r="CH86" s="299">
        <f>+CH33*(1+'Conversion Factors'!$H33)</f>
        <v>30.656155958319996</v>
      </c>
      <c r="CI86" s="299">
        <f>+CI33*(1+'Conversion Factors'!$H33)</f>
        <v>6.590361756360001</v>
      </c>
      <c r="CJ86" s="299">
        <f>+CJ33*(1+'Conversion Factors'!$H33)</f>
        <v>22.861712727556672</v>
      </c>
      <c r="CK86" s="299">
        <f>+CK33*(1+'Conversion Factors'!$H33)</f>
        <v>0.51623954400000005</v>
      </c>
      <c r="CL86" s="299">
        <f>+CL33*(1+'Conversion Factors'!$H33)</f>
        <v>16.832000000000001</v>
      </c>
      <c r="CM86" s="299">
        <f>+CM33*(1+'Conversion Factors'!$H33)</f>
        <v>2.9670450200000011E-2</v>
      </c>
      <c r="CN86" s="299">
        <f>+CN33*(1+'Conversion Factors'!$H33)</f>
        <v>1.1945707219999999</v>
      </c>
      <c r="CO86" s="299">
        <f>+CO33*(1+'Conversion Factors'!$H33)</f>
        <v>13.251411021769332</v>
      </c>
      <c r="CP86" s="299">
        <f>+CP33*(1+'Conversion Factors'!$H33)</f>
        <v>1.1945707219999999</v>
      </c>
      <c r="CQ86" s="299">
        <f>+CQ33*(1+'Conversion Factors'!$H33)</f>
        <v>3.2958108000000007E-2</v>
      </c>
      <c r="CR86" s="299">
        <f>+CR33*(1+'Conversion Factors'!$H33)</f>
        <v>7.4645712000000003E-2</v>
      </c>
      <c r="CS86" s="997">
        <f>+CS33*(1+'Conversion Factors'!$H33)</f>
        <v>0.45052794200000001</v>
      </c>
      <c r="CT86" s="277">
        <f t="shared" si="42"/>
        <v>369.86776056362049</v>
      </c>
      <c r="CU86" s="276">
        <f>+CU33*(1+'Conversion Factors'!$H33)</f>
        <v>0</v>
      </c>
      <c r="CV86" s="276">
        <f>+CV33*(1+'Conversion Factors'!$H33)</f>
        <v>0</v>
      </c>
      <c r="CW86" s="276">
        <f>+CW33*(1+'Conversion Factors'!$H33)</f>
        <v>5.5463109010814033</v>
      </c>
      <c r="CX86" s="276">
        <f>+CX33*(1+'Conversion Factors'!$H33)</f>
        <v>3.8107875495000001</v>
      </c>
      <c r="CY86" s="1106">
        <f t="shared" si="43"/>
        <v>9.3570984505814039</v>
      </c>
      <c r="CZ86" s="718">
        <f t="shared" si="37"/>
        <v>379.22485901420191</v>
      </c>
      <c r="DA86" s="162">
        <f t="shared" si="38"/>
        <v>282.39123790464498</v>
      </c>
      <c r="DB86" s="162">
        <f t="shared" si="44"/>
        <v>96.83362110955693</v>
      </c>
    </row>
    <row r="87" spans="1:106" x14ac:dyDescent="0.2">
      <c r="A87" s="269">
        <v>2023</v>
      </c>
      <c r="B87" s="1087">
        <f>+B34*(1+'Conversion Factors'!$F34)</f>
        <v>14.683966023985681</v>
      </c>
      <c r="C87" s="1088">
        <f>+C34*(1+'Conversion Factors'!$F34)</f>
        <v>0.42281050000000009</v>
      </c>
      <c r="D87" s="738">
        <f>+D34*(1+'Conversion Factors'!$F34)</f>
        <v>8.522550000000001E-2</v>
      </c>
      <c r="E87" s="276">
        <f>+E34*(1+'Conversion Factors'!$F34)</f>
        <v>3.9595538597824409</v>
      </c>
      <c r="F87" s="276">
        <f>+F34*(1+'Conversion Factors'!$F34)</f>
        <v>6.3321059324902729</v>
      </c>
      <c r="G87" s="738">
        <f>+G34*(1+'Conversion Factors'!$F34)</f>
        <v>1.649658033759305</v>
      </c>
      <c r="H87" s="276">
        <f>+H34*(1+'Conversion Factors'!$F34)</f>
        <v>0.30442570000000002</v>
      </c>
      <c r="I87" s="276">
        <f>+I34*(1+'Conversion Factors'!$F34)</f>
        <v>6.9550000000000011E-3</v>
      </c>
      <c r="J87" s="738">
        <f>+J34*(1+'Conversion Factors'!$F34)</f>
        <v>6.4189300000000005E-2</v>
      </c>
      <c r="K87" s="276">
        <f>+K34*(1+'Conversion Factors'!$F34)</f>
        <v>2.4829456999999997</v>
      </c>
      <c r="L87" s="276">
        <f>+L34*(1+'Conversion Factors'!$F34)</f>
        <v>6.7696874490000027</v>
      </c>
      <c r="M87" s="276">
        <f>+M34*(1+'Conversion Factors'!$F34)</f>
        <v>1.6304660000000002E-2</v>
      </c>
      <c r="N87" s="276">
        <f>+N34*(1+'Conversion Factors'!$F34)</f>
        <v>4.3886050000000012E-3</v>
      </c>
      <c r="O87" s="738">
        <f>+O34*(1+'Conversion Factors'!$F34)</f>
        <v>45.792953260214325</v>
      </c>
      <c r="P87" s="276">
        <f>+P34*(1+'Conversion Factors'!$F34)</f>
        <v>7.4022118500000014</v>
      </c>
      <c r="Q87" s="276">
        <f>+Q34*(1+'Conversion Factors'!$F34)</f>
        <v>1.4801202999999998</v>
      </c>
      <c r="R87" s="276">
        <f>+R34*(1+'Conversion Factors'!$F34)</f>
        <v>11.602759891666674</v>
      </c>
      <c r="S87" s="276">
        <f>+S34*(1+'Conversion Factors'!$F34)</f>
        <v>6.0420439000000004</v>
      </c>
      <c r="T87" s="738">
        <f>+T34*(1+'Conversion Factors'!$F34)</f>
        <v>0</v>
      </c>
      <c r="U87" s="276">
        <f>+U34*(1+'Conversion Factors'!$F34)</f>
        <v>5.7458999999999996E-2</v>
      </c>
      <c r="V87" s="738">
        <f>+V34*(1+'Conversion Factors'!$F34)</f>
        <v>0</v>
      </c>
      <c r="W87" s="276">
        <f>+W34*(1+'Conversion Factors'!$F34)</f>
        <v>4.1374165555555571</v>
      </c>
      <c r="X87" s="738">
        <f>+X34*(1+'Conversion Factors'!$F34)</f>
        <v>0.52271640000000008</v>
      </c>
      <c r="Y87" s="738">
        <f>+Y34*(1+'Conversion Factors'!$F34)</f>
        <v>2.1410699999999998E-2</v>
      </c>
      <c r="Z87" s="738">
        <f>+Z34*(1+'Conversion Factors'!$F34)</f>
        <v>2.6964000000000002E-2</v>
      </c>
      <c r="AA87" s="738">
        <f>+AA34*(1+'Conversion Factors'!$F34)</f>
        <v>0.18584829999999999</v>
      </c>
      <c r="AB87" s="277">
        <f t="shared" si="25"/>
        <v>114.05412042145426</v>
      </c>
      <c r="AC87" s="276">
        <f>+AC34*(1+'Conversion Factors'!$F34)</f>
        <v>0.29503466666666672</v>
      </c>
      <c r="AD87" s="276">
        <f>+AD34*(1+'Conversion Factors'!$F34)</f>
        <v>0.63985999999999998</v>
      </c>
      <c r="AE87" s="276">
        <f>+AE34*(1+'Conversion Factors'!$F34)</f>
        <v>57.925159900178258</v>
      </c>
      <c r="AF87" s="276">
        <f>+AF34*(1+'Conversion Factors'!$F34)</f>
        <v>42.800000000000004</v>
      </c>
      <c r="AG87" s="277">
        <f t="shared" si="39"/>
        <v>101.66005456684493</v>
      </c>
      <c r="AH87" s="718">
        <f t="shared" si="27"/>
        <v>215.71417498829919</v>
      </c>
      <c r="AJ87" s="748">
        <v>2023</v>
      </c>
      <c r="AK87" s="1088">
        <f>+AK34*(1+'Conversion Factors'!$G34)</f>
        <v>34.984327419809098</v>
      </c>
      <c r="AL87" s="1088">
        <f>+AL34*(1+'Conversion Factors'!$G34)</f>
        <v>0.97871830000000004</v>
      </c>
      <c r="AM87" s="738">
        <f>+AM34*(1+'Conversion Factors'!$G34)</f>
        <v>6.4628000000000005E-2</v>
      </c>
      <c r="AN87" s="276">
        <f>+AN34*(1+'Conversion Factors'!$G34)</f>
        <v>3.4809294871794871E-3</v>
      </c>
      <c r="AO87" s="276">
        <f>+AO34*(1+'Conversion Factors'!$G34)</f>
        <v>0.81974840000000004</v>
      </c>
      <c r="AP87" s="738">
        <f>+AP34*(1+'Conversion Factors'!$G34)</f>
        <v>2.4007151910669978E-2</v>
      </c>
      <c r="AQ87" s="276">
        <f>+AQ34*(1+'Conversion Factors'!$G34)</f>
        <v>7.5970000000000005E-3</v>
      </c>
      <c r="AR87" s="276">
        <f>+AR34*(1+'Conversion Factors'!$G34)</f>
        <v>5.0076000000000001E-3</v>
      </c>
      <c r="AS87" s="738">
        <f>+AS34*(1+'Conversion Factors'!$G34)</f>
        <v>5.2494200000000005E-2</v>
      </c>
      <c r="AT87" s="276">
        <f>+AT34*(1+'Conversion Factors'!$G34)</f>
        <v>1.5030497705882353</v>
      </c>
      <c r="AU87" s="276">
        <f>+AU34*(1+'Conversion Factors'!$G34)</f>
        <v>5.4077301379999998</v>
      </c>
      <c r="AV87" s="276">
        <f>+AV34*(1+'Conversion Factors'!$G34)</f>
        <v>2.3938040000000004E-2</v>
      </c>
      <c r="AW87" s="276">
        <f>+AW34*(1+'Conversion Factors'!$G34)</f>
        <v>2.1121800000000004E-3</v>
      </c>
      <c r="AX87" s="738">
        <f>+AX34*(1+'Conversion Factors'!$G34)</f>
        <v>20.669668092841306</v>
      </c>
      <c r="AY87" s="276">
        <f>+AY34*(1+'Conversion Factors'!$G34)</f>
        <v>5.6474600000000006</v>
      </c>
      <c r="AZ87" s="276">
        <f>+AZ34*(1+'Conversion Factors'!$G34)</f>
        <v>1.4176964999999999</v>
      </c>
      <c r="BA87" s="276">
        <f>+BA34*(1+'Conversion Factors'!$G34)</f>
        <v>3.5136766999999995</v>
      </c>
      <c r="BB87" s="276">
        <f>+BB34*(1+'Conversion Factors'!$G34)</f>
        <v>0</v>
      </c>
      <c r="BC87" s="738">
        <f>+BC34*(1+'Conversion Factors'!$G34)</f>
        <v>0</v>
      </c>
      <c r="BD87" s="276">
        <f>+BD34*(1+'Conversion Factors'!$G34)</f>
        <v>0</v>
      </c>
      <c r="BE87" s="738">
        <f>+BE34*(1+'Conversion Factors'!$G34)</f>
        <v>0</v>
      </c>
      <c r="BF87" s="276">
        <f>+BF34*(1+'Conversion Factors'!$G34)</f>
        <v>0</v>
      </c>
      <c r="BG87" s="738">
        <f>+BG34*(1+'Conversion Factors'!$G34)</f>
        <v>0</v>
      </c>
      <c r="BH87" s="738">
        <f>+BH34*(1+'Conversion Factors'!$G34)</f>
        <v>2.2919399999999999E-2</v>
      </c>
      <c r="BI87" s="276">
        <f>+BI34*(1+'Conversion Factors'!$G34)</f>
        <v>0</v>
      </c>
      <c r="BJ87" s="276">
        <f>+BJ34*(1+'Conversion Factors'!$G34)</f>
        <v>0</v>
      </c>
      <c r="BK87" s="277">
        <f t="shared" si="40"/>
        <v>75.14825982263649</v>
      </c>
      <c r="BL87" s="276">
        <f>+BL34*(1+'Conversion Factors'!$G34)</f>
        <v>0</v>
      </c>
      <c r="BM87" s="276">
        <f>+BM34*(1+'Conversion Factors'!$G34)</f>
        <v>0.38519999999999999</v>
      </c>
      <c r="BN87" s="276">
        <f>+BN34*(1+'Conversion Factors'!$G34)</f>
        <v>55.31042486868688</v>
      </c>
      <c r="BO87" s="276">
        <f>+BO34*(1+'Conversion Factors'!$G34)</f>
        <v>42.800000000000004</v>
      </c>
      <c r="BP87" s="1106">
        <f t="shared" si="41"/>
        <v>98.495624868686889</v>
      </c>
      <c r="BQ87" s="718">
        <f t="shared" si="32"/>
        <v>173.64388469132336</v>
      </c>
      <c r="BS87" s="994">
        <v>2023</v>
      </c>
      <c r="BT87" s="1087">
        <f>+BT34*(1+'Conversion Factors'!$H34)</f>
        <v>24.343735730668254</v>
      </c>
      <c r="BU87" s="1088">
        <f>+BU34*(1+'Conversion Factors'!$H34)</f>
        <v>0.23570112600000001</v>
      </c>
      <c r="BV87" s="276">
        <f>+BV34*(1+'Conversion Factors'!$H34)</f>
        <v>0.35751168000000005</v>
      </c>
      <c r="BW87" s="276">
        <f>+BW34*(1+'Conversion Factors'!$H34)</f>
        <v>12.951227560753736</v>
      </c>
      <c r="BX87" s="276">
        <f>+BX34*(1+'Conversion Factors'!$H34)</f>
        <v>19.969773185230739</v>
      </c>
      <c r="BY87" s="276">
        <f>+BY34*(1+'Conversion Factors'!$H34)</f>
        <v>2.1953722366004964</v>
      </c>
      <c r="BZ87" s="276">
        <f>+BZ34*(1+'Conversion Factors'!$H34)</f>
        <v>3.7994923254400002</v>
      </c>
      <c r="CA87" s="276">
        <f>+CA34*(1+'Conversion Factors'!$H34)</f>
        <v>9.327031999999999E-3</v>
      </c>
      <c r="CB87" s="276">
        <f>+CB34*(1+'Conversion Factors'!$H34)</f>
        <v>0.32794332639999996</v>
      </c>
      <c r="CC87" s="276">
        <f>+CC34*(1+'Conversion Factors'!$H34)</f>
        <v>6.4900977211764728</v>
      </c>
      <c r="CD87" s="276">
        <f>+CD34*(1+'Conversion Factors'!$H34)</f>
        <v>7.3821788545599984</v>
      </c>
      <c r="CE87" s="276">
        <f>+CE34*(1+'Conversion Factors'!$H34)</f>
        <v>0.25850480400000003</v>
      </c>
      <c r="CF87" s="276">
        <f>+CF34*(1+'Conversion Factors'!$H34)</f>
        <v>3.2377929999999999E-2</v>
      </c>
      <c r="CG87" s="276">
        <f>+CG34*(1+'Conversion Factors'!$H34)</f>
        <v>216.37939377858487</v>
      </c>
      <c r="CH87" s="276">
        <f>+CH34*(1+'Conversion Factors'!$H34)</f>
        <v>33.603481238319993</v>
      </c>
      <c r="CI87" s="276">
        <f>+CI34*(1+'Conversion Factors'!$H34)</f>
        <v>7.1620606363600015</v>
      </c>
      <c r="CJ87" s="276">
        <f>+CJ34*(1+'Conversion Factors'!$H34)</f>
        <v>22.871973935556671</v>
      </c>
      <c r="CK87" s="276">
        <f>+CK34*(1+'Conversion Factors'!$H34)</f>
        <v>0.61746298399999999</v>
      </c>
      <c r="CL87" s="276">
        <f>+CL34*(1+'Conversion Factors'!$H34)</f>
        <v>16.832000000000001</v>
      </c>
      <c r="CM87" s="276">
        <f>+CM34*(1+'Conversion Factors'!$H34)</f>
        <v>2.9733570200000014E-2</v>
      </c>
      <c r="CN87" s="276">
        <f>+CN34*(1+'Conversion Factors'!$H34)</f>
        <v>1.1945707219999999</v>
      </c>
      <c r="CO87" s="276">
        <f>+CO34*(1+'Conversion Factors'!$H34)</f>
        <v>14.002370701769332</v>
      </c>
      <c r="CP87" s="276">
        <f>+CP34*(1+'Conversion Factors'!$H34)</f>
        <v>1.1945707219999999</v>
      </c>
      <c r="CQ87" s="276">
        <f>+CQ34*(1+'Conversion Factors'!$H34)</f>
        <v>3.2958108000000007E-2</v>
      </c>
      <c r="CR87" s="276">
        <f>+CR34*(1+'Conversion Factors'!$H34)</f>
        <v>7.4645712000000003E-2</v>
      </c>
      <c r="CS87" s="996">
        <f>+CS34*(1+'Conversion Factors'!$H34)</f>
        <v>0.45052794200000001</v>
      </c>
      <c r="CT87" s="277">
        <f t="shared" si="42"/>
        <v>375.96699356362058</v>
      </c>
      <c r="CU87" s="276">
        <f>+CU34*(1+'Conversion Factors'!$H34)</f>
        <v>0</v>
      </c>
      <c r="CV87" s="276">
        <f>+CV34*(1+'Conversion Factors'!$H34)</f>
        <v>0</v>
      </c>
      <c r="CW87" s="276">
        <f>+CW34*(1+'Conversion Factors'!$H34)</f>
        <v>5.587957261014064</v>
      </c>
      <c r="CX87" s="276">
        <f>+CX34*(1+'Conversion Factors'!$H34)</f>
        <v>3.8479168375000001</v>
      </c>
      <c r="CY87" s="1106">
        <f t="shared" si="43"/>
        <v>9.4358740985140646</v>
      </c>
      <c r="CZ87" s="718">
        <f t="shared" si="37"/>
        <v>385.40286766213467</v>
      </c>
      <c r="DA87" s="162">
        <f t="shared" si="38"/>
        <v>282.72750107257764</v>
      </c>
      <c r="DB87" s="162">
        <f t="shared" si="44"/>
        <v>102.67536658955703</v>
      </c>
    </row>
    <row r="88" spans="1:106" x14ac:dyDescent="0.2">
      <c r="A88" s="269">
        <v>2024</v>
      </c>
      <c r="B88" s="1087">
        <f>+B35*(1+'Conversion Factors'!$F35)</f>
        <v>14.683966023985681</v>
      </c>
      <c r="C88" s="1088">
        <f>+C35*(1+'Conversion Factors'!$F35)</f>
        <v>0.42281050000000009</v>
      </c>
      <c r="D88" s="738">
        <f>+D35*(1+'Conversion Factors'!$F35)</f>
        <v>8.522550000000001E-2</v>
      </c>
      <c r="E88" s="276">
        <f>+E35*(1+'Conversion Factors'!$F35)</f>
        <v>4.1093538597824413</v>
      </c>
      <c r="F88" s="276">
        <f>+F35*(1+'Conversion Factors'!$F35)</f>
        <v>6.3727659324902728</v>
      </c>
      <c r="G88" s="738">
        <f>+G35*(1+'Conversion Factors'!$F35)</f>
        <v>1.649658033759305</v>
      </c>
      <c r="H88" s="276">
        <f>+H35*(1+'Conversion Factors'!$F35)</f>
        <v>0.34455069999999999</v>
      </c>
      <c r="I88" s="276">
        <f>+I35*(1+'Conversion Factors'!$F35)</f>
        <v>8.0250000000000009E-3</v>
      </c>
      <c r="J88" s="738">
        <f>+J35*(1+'Conversion Factors'!$F35)</f>
        <v>6.4189300000000005E-2</v>
      </c>
      <c r="K88" s="276">
        <f>+K35*(1+'Conversion Factors'!$F35)</f>
        <v>2.5741631999999997</v>
      </c>
      <c r="L88" s="276">
        <f>+L35*(1+'Conversion Factors'!$F35)</f>
        <v>7.1683694490000027</v>
      </c>
      <c r="M88" s="276">
        <f>+M35*(1+'Conversion Factors'!$F35)</f>
        <v>1.9737220000000003E-2</v>
      </c>
      <c r="N88" s="276">
        <f>+N35*(1+'Conversion Factors'!$F35)</f>
        <v>5.0637750000000013E-3</v>
      </c>
      <c r="O88" s="738">
        <f>+O35*(1+'Conversion Factors'!$F35)</f>
        <v>45.792953260214325</v>
      </c>
      <c r="P88" s="276">
        <f>+P35*(1+'Conversion Factors'!$F35)</f>
        <v>8.0395038500000009</v>
      </c>
      <c r="Q88" s="276">
        <f>+Q35*(1+'Conversion Factors'!$F35)</f>
        <v>1.5972852999999996</v>
      </c>
      <c r="R88" s="276">
        <f>+R35*(1+'Conversion Factors'!$F35)</f>
        <v>11.985819891666674</v>
      </c>
      <c r="S88" s="276">
        <f>+S35*(1+'Conversion Factors'!$F35)</f>
        <v>7.0325429000000002</v>
      </c>
      <c r="T88" s="738">
        <f>+T35*(1+'Conversion Factors'!$F35)</f>
        <v>0</v>
      </c>
      <c r="U88" s="276">
        <f>+U35*(1+'Conversion Factors'!$F35)</f>
        <v>5.7672999999999995E-2</v>
      </c>
      <c r="V88" s="738">
        <f>+V35*(1+'Conversion Factors'!$F35)</f>
        <v>0</v>
      </c>
      <c r="W88" s="276">
        <f>+W35*(1+'Conversion Factors'!$F35)</f>
        <v>4.4507125555555564</v>
      </c>
      <c r="X88" s="738">
        <f>+X35*(1+'Conversion Factors'!$F35)</f>
        <v>0.52271640000000008</v>
      </c>
      <c r="Y88" s="738">
        <f>+Y35*(1+'Conversion Factors'!$F35)</f>
        <v>2.1410699999999998E-2</v>
      </c>
      <c r="Z88" s="738">
        <f>+Z35*(1+'Conversion Factors'!$F35)</f>
        <v>2.6964000000000002E-2</v>
      </c>
      <c r="AA88" s="738">
        <f>+AA35*(1+'Conversion Factors'!$F35)</f>
        <v>0.18584829999999999</v>
      </c>
      <c r="AB88" s="277">
        <f t="shared" si="25"/>
        <v>117.22130865145427</v>
      </c>
      <c r="AC88" s="276">
        <f>+AC35*(1+'Conversion Factors'!$F35)</f>
        <v>0.30915866666666675</v>
      </c>
      <c r="AD88" s="276">
        <f>+AD35*(1+'Conversion Factors'!$F35)</f>
        <v>0.73829999999999996</v>
      </c>
      <c r="AE88" s="276">
        <f>+AE35*(1+'Conversion Factors'!$F35)</f>
        <v>58.244019900178266</v>
      </c>
      <c r="AF88" s="276">
        <f>+AF35*(1+'Conversion Factors'!$F35)</f>
        <v>42.800000000000004</v>
      </c>
      <c r="AG88" s="277">
        <f t="shared" si="39"/>
        <v>102.09147856684493</v>
      </c>
      <c r="AH88" s="718">
        <f t="shared" si="27"/>
        <v>219.31278721829921</v>
      </c>
      <c r="AJ88" s="748">
        <v>2024</v>
      </c>
      <c r="AK88" s="1088">
        <f>+AK35*(1+'Conversion Factors'!$G35)</f>
        <v>34.984327419809098</v>
      </c>
      <c r="AL88" s="1088">
        <f>+AL35*(1+'Conversion Factors'!$G35)</f>
        <v>0.97871830000000004</v>
      </c>
      <c r="AM88" s="738">
        <f>+AM35*(1+'Conversion Factors'!$G35)</f>
        <v>6.4628000000000005E-2</v>
      </c>
      <c r="AN88" s="276">
        <f>+AN35*(1+'Conversion Factors'!$G35)</f>
        <v>3.4809294871794871E-3</v>
      </c>
      <c r="AO88" s="276">
        <f>+AO35*(1+'Conversion Factors'!$G35)</f>
        <v>0.81974840000000004</v>
      </c>
      <c r="AP88" s="738">
        <f>+AP35*(1+'Conversion Factors'!$G35)</f>
        <v>2.4007151910669978E-2</v>
      </c>
      <c r="AQ88" s="276">
        <f>+AQ35*(1+'Conversion Factors'!$G35)</f>
        <v>8.6669999999999994E-3</v>
      </c>
      <c r="AR88" s="276">
        <f>+AR35*(1+'Conversion Factors'!$G35)</f>
        <v>5.8422000000000005E-3</v>
      </c>
      <c r="AS88" s="738">
        <f>+AS35*(1+'Conversion Factors'!$G35)</f>
        <v>5.2494200000000005E-2</v>
      </c>
      <c r="AT88" s="276">
        <f>+AT35*(1+'Conversion Factors'!$G35)</f>
        <v>1.5714762705882352</v>
      </c>
      <c r="AU88" s="276">
        <f>+AU35*(1+'Conversion Factors'!$G35)</f>
        <v>5.7205446379999998</v>
      </c>
      <c r="AV88" s="276">
        <f>+AV35*(1+'Conversion Factors'!$G35)</f>
        <v>2.9570520000000006E-2</v>
      </c>
      <c r="AW88" s="276">
        <f>+AW35*(1+'Conversion Factors'!$G35)</f>
        <v>2.4642100000000001E-3</v>
      </c>
      <c r="AX88" s="738">
        <f>+AX35*(1+'Conversion Factors'!$G35)</f>
        <v>20.669668092841306</v>
      </c>
      <c r="AY88" s="276">
        <f>+AY35*(1+'Conversion Factors'!$G35)</f>
        <v>6.1439400000000015</v>
      </c>
      <c r="AZ88" s="276">
        <f>+AZ35*(1+'Conversion Factors'!$G35)</f>
        <v>1.5348614999999999</v>
      </c>
      <c r="BA88" s="276">
        <f>+BA35*(1+'Conversion Factors'!$G35)</f>
        <v>3.5136766999999995</v>
      </c>
      <c r="BB88" s="276">
        <f>+BB35*(1+'Conversion Factors'!$G35)</f>
        <v>0</v>
      </c>
      <c r="BC88" s="738">
        <f>+BC35*(1+'Conversion Factors'!$G35)</f>
        <v>0</v>
      </c>
      <c r="BD88" s="276">
        <f>+BD35*(1+'Conversion Factors'!$G35)</f>
        <v>0</v>
      </c>
      <c r="BE88" s="738">
        <f>+BE35*(1+'Conversion Factors'!$G35)</f>
        <v>0</v>
      </c>
      <c r="BF88" s="276">
        <f>+BF35*(1+'Conversion Factors'!$G35)</f>
        <v>0</v>
      </c>
      <c r="BG88" s="738">
        <f>+BG35*(1+'Conversion Factors'!$G35)</f>
        <v>0</v>
      </c>
      <c r="BH88" s="738">
        <f>+BH35*(1+'Conversion Factors'!$G35)</f>
        <v>2.2919399999999999E-2</v>
      </c>
      <c r="BI88" s="276">
        <f>+BI35*(1+'Conversion Factors'!$G35)</f>
        <v>0</v>
      </c>
      <c r="BJ88" s="276">
        <f>+BJ35*(1+'Conversion Factors'!$G35)</f>
        <v>0</v>
      </c>
      <c r="BK88" s="277">
        <f t="shared" si="40"/>
        <v>76.151034932636506</v>
      </c>
      <c r="BL88" s="276">
        <f>+BL35*(1+'Conversion Factors'!$G35)</f>
        <v>0</v>
      </c>
      <c r="BM88" s="276">
        <f>+BM35*(1+'Conversion Factors'!$G35)</f>
        <v>0.44940000000000002</v>
      </c>
      <c r="BN88" s="276">
        <f>+BN35*(1+'Conversion Factors'!$G35)</f>
        <v>55.880635434343453</v>
      </c>
      <c r="BO88" s="276">
        <f>+BO35*(1+'Conversion Factors'!$G35)</f>
        <v>42.800000000000004</v>
      </c>
      <c r="BP88" s="1106">
        <f t="shared" si="41"/>
        <v>99.130035434343455</v>
      </c>
      <c r="BQ88" s="718">
        <f t="shared" si="32"/>
        <v>175.28107036697998</v>
      </c>
      <c r="BS88" s="994">
        <v>2024</v>
      </c>
      <c r="BT88" s="1087">
        <f>+BT35*(1+'Conversion Factors'!$H35)</f>
        <v>24.343735730668254</v>
      </c>
      <c r="BU88" s="1088">
        <f>+BU35*(1+'Conversion Factors'!$H35)</f>
        <v>0.23570112600000001</v>
      </c>
      <c r="BV88" s="276">
        <f>+BV35*(1+'Conversion Factors'!$H35)</f>
        <v>0.35751168000000005</v>
      </c>
      <c r="BW88" s="276">
        <f>+BW35*(1+'Conversion Factors'!$H35)</f>
        <v>13.235583160753736</v>
      </c>
      <c r="BX88" s="276">
        <f>+BX35*(1+'Conversion Factors'!$H35)</f>
        <v>20.152189985230741</v>
      </c>
      <c r="BY88" s="276">
        <f>+BY35*(1+'Conversion Factors'!$H35)</f>
        <v>2.1953722366004964</v>
      </c>
      <c r="BZ88" s="276">
        <f>+BZ35*(1+'Conversion Factors'!$H35)</f>
        <v>4.2994553254400003</v>
      </c>
      <c r="CA88" s="276">
        <f>+CA35*(1+'Conversion Factors'!$H35)</f>
        <v>1.0761959999999999E-2</v>
      </c>
      <c r="CB88" s="276">
        <f>+CB35*(1+'Conversion Factors'!$H35)</f>
        <v>0.32794332639999996</v>
      </c>
      <c r="CC88" s="276">
        <f>+CC35*(1+'Conversion Factors'!$H35)</f>
        <v>6.7419833411764731</v>
      </c>
      <c r="CD88" s="276">
        <f>+CD35*(1+'Conversion Factors'!$H35)</f>
        <v>7.8204210145599982</v>
      </c>
      <c r="CE88" s="276">
        <f>+CE35*(1+'Conversion Factors'!$H35)</f>
        <v>0.31292686800000002</v>
      </c>
      <c r="CF88" s="276">
        <f>+CF35*(1+'Conversion Factors'!$H35)</f>
        <v>3.7359149999999994E-2</v>
      </c>
      <c r="CG88" s="276">
        <f>+CG35*(1+'Conversion Factors'!$H35)</f>
        <v>216.37939377858487</v>
      </c>
      <c r="CH88" s="276">
        <f>+CH35*(1+'Conversion Factors'!$H35)</f>
        <v>36.550806518319995</v>
      </c>
      <c r="CI88" s="276">
        <f>+CI35*(1+'Conversion Factors'!$H35)</f>
        <v>7.7337595163600019</v>
      </c>
      <c r="CJ88" s="276">
        <f>+CJ35*(1+'Conversion Factors'!$H35)</f>
        <v>22.882235143556674</v>
      </c>
      <c r="CK88" s="276">
        <f>+CK35*(1+'Conversion Factors'!$H35)</f>
        <v>0.71868642399999993</v>
      </c>
      <c r="CL88" s="276">
        <f>+CL35*(1+'Conversion Factors'!$H35)</f>
        <v>16.832000000000001</v>
      </c>
      <c r="CM88" s="276">
        <f>+CM35*(1+'Conversion Factors'!$H35)</f>
        <v>2.9796690200000014E-2</v>
      </c>
      <c r="CN88" s="276">
        <f>+CN35*(1+'Conversion Factors'!$H35)</f>
        <v>1.1945707219999999</v>
      </c>
      <c r="CO88" s="276">
        <f>+CO35*(1+'Conversion Factors'!$H35)</f>
        <v>14.753330381769331</v>
      </c>
      <c r="CP88" s="276">
        <f>+CP35*(1+'Conversion Factors'!$H35)</f>
        <v>1.1945707219999999</v>
      </c>
      <c r="CQ88" s="276">
        <f>+CQ35*(1+'Conversion Factors'!$H35)</f>
        <v>3.2958108000000007E-2</v>
      </c>
      <c r="CR88" s="276">
        <f>+CR35*(1+'Conversion Factors'!$H35)</f>
        <v>7.4645712000000003E-2</v>
      </c>
      <c r="CS88" s="996">
        <f>+CS35*(1+'Conversion Factors'!$H35)</f>
        <v>0.45052794200000001</v>
      </c>
      <c r="CT88" s="277">
        <f t="shared" si="42"/>
        <v>382.06622656362055</v>
      </c>
      <c r="CU88" s="276">
        <f>+CU35*(1+'Conversion Factors'!$H35)</f>
        <v>0</v>
      </c>
      <c r="CV88" s="276">
        <f>+CV35*(1+'Conversion Factors'!$H35)</f>
        <v>0</v>
      </c>
      <c r="CW88" s="276">
        <f>+CW35*(1+'Conversion Factors'!$H35)</f>
        <v>5.6296036209467237</v>
      </c>
      <c r="CX88" s="276">
        <f>+CX35*(1+'Conversion Factors'!$H35)</f>
        <v>3.8850461254999997</v>
      </c>
      <c r="CY88" s="1106">
        <f t="shared" si="43"/>
        <v>9.5146497464467235</v>
      </c>
      <c r="CZ88" s="718">
        <f t="shared" si="37"/>
        <v>391.58087631006725</v>
      </c>
      <c r="DA88" s="162">
        <f t="shared" si="38"/>
        <v>283.0637642405103</v>
      </c>
      <c r="DB88" s="162">
        <f t="shared" si="44"/>
        <v>108.51711206955696</v>
      </c>
    </row>
    <row r="89" spans="1:106" x14ac:dyDescent="0.2">
      <c r="A89" s="269">
        <v>2025</v>
      </c>
      <c r="B89" s="1087">
        <f>+B36*(1+'Conversion Factors'!$F36)</f>
        <v>14.683966023985681</v>
      </c>
      <c r="C89" s="1088">
        <f>+C36*(1+'Conversion Factors'!$F36)</f>
        <v>0.42281050000000009</v>
      </c>
      <c r="D89" s="738">
        <f>+D36*(1+'Conversion Factors'!$F36)</f>
        <v>8.522550000000001E-2</v>
      </c>
      <c r="E89" s="276">
        <f>+E36*(1+'Conversion Factors'!$F36)</f>
        <v>4.2591538597824412</v>
      </c>
      <c r="F89" s="276">
        <f>+F36*(1+'Conversion Factors'!$F36)</f>
        <v>6.4134259324902736</v>
      </c>
      <c r="G89" s="738">
        <f>+G36*(1+'Conversion Factors'!$F36)</f>
        <v>1.649658033759305</v>
      </c>
      <c r="H89" s="276">
        <f>+H36*(1+'Conversion Factors'!$F36)</f>
        <v>0.38467569999999995</v>
      </c>
      <c r="I89" s="276">
        <f>+I36*(1+'Conversion Factors'!$F36)</f>
        <v>9.0950000000000007E-3</v>
      </c>
      <c r="J89" s="738">
        <f>+J36*(1+'Conversion Factors'!$F36)</f>
        <v>6.4189300000000005E-2</v>
      </c>
      <c r="K89" s="276">
        <f>+K36*(1+'Conversion Factors'!$F36)</f>
        <v>2.6653806999999996</v>
      </c>
      <c r="L89" s="276">
        <f>+L36*(1+'Conversion Factors'!$F36)</f>
        <v>7.5670514490000036</v>
      </c>
      <c r="M89" s="276">
        <f>+M36*(1+'Conversion Factors'!$F36)</f>
        <v>2.3169780000000001E-2</v>
      </c>
      <c r="N89" s="276">
        <f>+N36*(1+'Conversion Factors'!$F36)</f>
        <v>5.7389450000000005E-3</v>
      </c>
      <c r="O89" s="738">
        <f>+O36*(1+'Conversion Factors'!$F36)</f>
        <v>45.792953260214325</v>
      </c>
      <c r="P89" s="276">
        <f>+P36*(1+'Conversion Factors'!$F36)</f>
        <v>8.6767958500000013</v>
      </c>
      <c r="Q89" s="276">
        <f>+Q36*(1+'Conversion Factors'!$F36)</f>
        <v>1.7144502999999995</v>
      </c>
      <c r="R89" s="276">
        <f>+R36*(1+'Conversion Factors'!$F36)</f>
        <v>12.368879891666674</v>
      </c>
      <c r="S89" s="276">
        <f>+S36*(1+'Conversion Factors'!$F36)</f>
        <v>8.0230419000000008</v>
      </c>
      <c r="T89" s="738">
        <f>+T36*(1+'Conversion Factors'!$F36)</f>
        <v>0</v>
      </c>
      <c r="U89" s="276">
        <f>+U36*(1+'Conversion Factors'!$F36)</f>
        <v>5.7886999999999994E-2</v>
      </c>
      <c r="V89" s="738">
        <f>+V36*(1+'Conversion Factors'!$F36)</f>
        <v>0</v>
      </c>
      <c r="W89" s="276">
        <f>+W36*(1+'Conversion Factors'!$F36)</f>
        <v>4.7640085555555567</v>
      </c>
      <c r="X89" s="738">
        <f>+X36*(1+'Conversion Factors'!$F36)</f>
        <v>0.52271640000000008</v>
      </c>
      <c r="Y89" s="738">
        <f>+Y36*(1+'Conversion Factors'!$F36)</f>
        <v>2.1410699999999998E-2</v>
      </c>
      <c r="Z89" s="738">
        <f>+Z36*(1+'Conversion Factors'!$F36)</f>
        <v>2.6964000000000002E-2</v>
      </c>
      <c r="AA89" s="738">
        <f>+AA36*(1+'Conversion Factors'!$F36)</f>
        <v>0.18584829999999999</v>
      </c>
      <c r="AB89" s="277">
        <f t="shared" si="25"/>
        <v>120.38849688145426</v>
      </c>
      <c r="AC89" s="276">
        <f>+AC36*(1+'Conversion Factors'!$F36)</f>
        <v>0.32328266666666672</v>
      </c>
      <c r="AD89" s="276">
        <f>+AD36*(1+'Conversion Factors'!$F36)</f>
        <v>0.83674000000000004</v>
      </c>
      <c r="AE89" s="276">
        <f>+AE36*(1+'Conversion Factors'!$F36)</f>
        <v>58.562879900178267</v>
      </c>
      <c r="AF89" s="276">
        <f>+AF36*(1+'Conversion Factors'!$F36)</f>
        <v>42.800000000000004</v>
      </c>
      <c r="AG89" s="277">
        <f t="shared" si="39"/>
        <v>102.52290256684495</v>
      </c>
      <c r="AH89" s="718">
        <f t="shared" ref="AH89:AH105" si="45">+AG89+AB89</f>
        <v>222.91139944829922</v>
      </c>
      <c r="AJ89" s="748">
        <v>2025</v>
      </c>
      <c r="AK89" s="1088">
        <f>+AK36*(1+'Conversion Factors'!$G36)</f>
        <v>34.984327419809098</v>
      </c>
      <c r="AL89" s="1088">
        <f>+AL36*(1+'Conversion Factors'!$G36)</f>
        <v>0.97871830000000004</v>
      </c>
      <c r="AM89" s="738">
        <f>+AM36*(1+'Conversion Factors'!$G36)</f>
        <v>6.4628000000000005E-2</v>
      </c>
      <c r="AN89" s="276">
        <f>+AN36*(1+'Conversion Factors'!$G36)</f>
        <v>3.4809294871794871E-3</v>
      </c>
      <c r="AO89" s="276">
        <f>+AO36*(1+'Conversion Factors'!$G36)</f>
        <v>0.81974840000000004</v>
      </c>
      <c r="AP89" s="738">
        <f>+AP36*(1+'Conversion Factors'!$G36)</f>
        <v>2.4007151910669978E-2</v>
      </c>
      <c r="AQ89" s="276">
        <f>+AQ36*(1+'Conversion Factors'!$G36)</f>
        <v>9.7370000000000009E-3</v>
      </c>
      <c r="AR89" s="276">
        <f>+AR36*(1+'Conversion Factors'!$G36)</f>
        <v>6.676800000000001E-3</v>
      </c>
      <c r="AS89" s="738">
        <f>+AS36*(1+'Conversion Factors'!$G36)</f>
        <v>5.2494200000000005E-2</v>
      </c>
      <c r="AT89" s="276">
        <f>+AT36*(1+'Conversion Factors'!$G36)</f>
        <v>1.6399027705882352</v>
      </c>
      <c r="AU89" s="276">
        <f>+AU36*(1+'Conversion Factors'!$G36)</f>
        <v>6.0333591379999989</v>
      </c>
      <c r="AV89" s="276">
        <f>+AV36*(1+'Conversion Factors'!$G36)</f>
        <v>3.5203000000000005E-2</v>
      </c>
      <c r="AW89" s="276">
        <f>+AW36*(1+'Conversion Factors'!$G36)</f>
        <v>2.8162399999999998E-3</v>
      </c>
      <c r="AX89" s="738">
        <f>+AX36*(1+'Conversion Factors'!$G36)</f>
        <v>20.669668092841306</v>
      </c>
      <c r="AY89" s="276">
        <f>+AY36*(1+'Conversion Factors'!$G36)</f>
        <v>6.6404200000000015</v>
      </c>
      <c r="AZ89" s="276">
        <f>+AZ36*(1+'Conversion Factors'!$G36)</f>
        <v>1.6520264999999998</v>
      </c>
      <c r="BA89" s="276">
        <f>+BA36*(1+'Conversion Factors'!$G36)</f>
        <v>3.5136766999999995</v>
      </c>
      <c r="BB89" s="276">
        <f>+BB36*(1+'Conversion Factors'!$G36)</f>
        <v>0</v>
      </c>
      <c r="BC89" s="738">
        <f>+BC36*(1+'Conversion Factors'!$G36)</f>
        <v>0</v>
      </c>
      <c r="BD89" s="276">
        <f>+BD36*(1+'Conversion Factors'!$G36)</f>
        <v>0</v>
      </c>
      <c r="BE89" s="738">
        <f>+BE36*(1+'Conversion Factors'!$G36)</f>
        <v>0</v>
      </c>
      <c r="BF89" s="276">
        <f>+BF36*(1+'Conversion Factors'!$G36)</f>
        <v>0</v>
      </c>
      <c r="BG89" s="738">
        <f>+BG36*(1+'Conversion Factors'!$G36)</f>
        <v>0</v>
      </c>
      <c r="BH89" s="738">
        <f>+BH36*(1+'Conversion Factors'!$G36)</f>
        <v>2.2919399999999999E-2</v>
      </c>
      <c r="BI89" s="276">
        <f>+BI36*(1+'Conversion Factors'!$G36)</f>
        <v>0</v>
      </c>
      <c r="BJ89" s="276">
        <f>+BJ36*(1+'Conversion Factors'!$G36)</f>
        <v>0</v>
      </c>
      <c r="BK89" s="277">
        <f t="shared" ref="BK89:BK92" si="46">SUM(AK89:BJ89)</f>
        <v>77.153810042636522</v>
      </c>
      <c r="BL89" s="276">
        <f>+BL36*(1+'Conversion Factors'!$G36)</f>
        <v>0</v>
      </c>
      <c r="BM89" s="276">
        <f>+BM36*(1+'Conversion Factors'!$G36)</f>
        <v>0.51360000000000006</v>
      </c>
      <c r="BN89" s="276">
        <f>+BN36*(1+'Conversion Factors'!$G36)</f>
        <v>56.450846000000013</v>
      </c>
      <c r="BO89" s="276">
        <f>+BO36*(1+'Conversion Factors'!$G36)</f>
        <v>42.800000000000004</v>
      </c>
      <c r="BP89" s="1106">
        <f t="shared" si="41"/>
        <v>99.764446000000021</v>
      </c>
      <c r="BQ89" s="718">
        <f t="shared" ref="BQ89:BQ105" si="47">+BP89+BK89</f>
        <v>176.91825604263653</v>
      </c>
      <c r="BS89" s="994">
        <v>2025</v>
      </c>
      <c r="BT89" s="1087">
        <f>+BT36*(1+'Conversion Factors'!$H36)</f>
        <v>24.343735730668254</v>
      </c>
      <c r="BU89" s="1088">
        <f>+BU36*(1+'Conversion Factors'!$H36)</f>
        <v>0.23570112600000001</v>
      </c>
      <c r="BV89" s="276">
        <f>+BV36*(1+'Conversion Factors'!$H36)</f>
        <v>0.35751168000000005</v>
      </c>
      <c r="BW89" s="276">
        <f>+BW36*(1+'Conversion Factors'!$H36)</f>
        <v>13.519938760753737</v>
      </c>
      <c r="BX89" s="276">
        <f>+BX36*(1+'Conversion Factors'!$H36)</f>
        <v>20.334606785230743</v>
      </c>
      <c r="BY89" s="276">
        <f>+BY36*(1+'Conversion Factors'!$H36)</f>
        <v>2.1953722366004964</v>
      </c>
      <c r="BZ89" s="276">
        <f>+BZ36*(1+'Conversion Factors'!$H36)</f>
        <v>4.7994183254400005</v>
      </c>
      <c r="CA89" s="276">
        <f>+CA36*(1+'Conversion Factors'!$H36)</f>
        <v>1.2196888000000001E-2</v>
      </c>
      <c r="CB89" s="276">
        <f>+CB36*(1+'Conversion Factors'!$H36)</f>
        <v>0.32794332639999996</v>
      </c>
      <c r="CC89" s="276">
        <f>+CC36*(1+'Conversion Factors'!$H36)</f>
        <v>6.9938689611764735</v>
      </c>
      <c r="CD89" s="276">
        <f>+CD36*(1+'Conversion Factors'!$H36)</f>
        <v>8.258663174559997</v>
      </c>
      <c r="CE89" s="276">
        <f>+CE36*(1+'Conversion Factors'!$H36)</f>
        <v>0.36734893200000007</v>
      </c>
      <c r="CF89" s="276">
        <f>+CF36*(1+'Conversion Factors'!$H36)</f>
        <v>4.2340369999999995E-2</v>
      </c>
      <c r="CG89" s="276">
        <f>+CG36*(1+'Conversion Factors'!$H36)</f>
        <v>216.37939377858487</v>
      </c>
      <c r="CH89" s="276">
        <f>+CH36*(1+'Conversion Factors'!$H36)</f>
        <v>39.498131798319989</v>
      </c>
      <c r="CI89" s="276">
        <f>+CI36*(1+'Conversion Factors'!$H36)</f>
        <v>8.3054583963600024</v>
      </c>
      <c r="CJ89" s="276">
        <f>+CJ36*(1+'Conversion Factors'!$H36)</f>
        <v>22.892496351556673</v>
      </c>
      <c r="CK89" s="276">
        <f>+CK36*(1+'Conversion Factors'!$H36)</f>
        <v>0.81990986399999999</v>
      </c>
      <c r="CL89" s="276">
        <f>+CL36*(1+'Conversion Factors'!$H36)</f>
        <v>16.832000000000001</v>
      </c>
      <c r="CM89" s="276">
        <f>+CM36*(1+'Conversion Factors'!$H36)</f>
        <v>2.9859810200000014E-2</v>
      </c>
      <c r="CN89" s="276">
        <f>+CN36*(1+'Conversion Factors'!$H36)</f>
        <v>1.1945707219999999</v>
      </c>
      <c r="CO89" s="276">
        <f>+CO36*(1+'Conversion Factors'!$H36)</f>
        <v>15.50429006176933</v>
      </c>
      <c r="CP89" s="276">
        <f>+CP36*(1+'Conversion Factors'!$H36)</f>
        <v>1.1945707219999999</v>
      </c>
      <c r="CQ89" s="276">
        <f>+CQ36*(1+'Conversion Factors'!$H36)</f>
        <v>3.2958108000000007E-2</v>
      </c>
      <c r="CR89" s="276">
        <f>+CR36*(1+'Conversion Factors'!$H36)</f>
        <v>7.4645712000000003E-2</v>
      </c>
      <c r="CS89" s="996">
        <f>+CS36*(1+'Conversion Factors'!$H36)</f>
        <v>0.45052794200000001</v>
      </c>
      <c r="CT89" s="277">
        <f t="shared" si="42"/>
        <v>388.16545956362057</v>
      </c>
      <c r="CU89" s="276">
        <f>+CU36*(1+'Conversion Factors'!$H36)</f>
        <v>0</v>
      </c>
      <c r="CV89" s="276">
        <f>+CV36*(1+'Conversion Factors'!$H36)</f>
        <v>0</v>
      </c>
      <c r="CW89" s="276">
        <f>+CW36*(1+'Conversion Factors'!$H36)</f>
        <v>5.6712499808793826</v>
      </c>
      <c r="CX89" s="276">
        <f>+CX36*(1+'Conversion Factors'!$H36)</f>
        <v>3.9221754134999998</v>
      </c>
      <c r="CY89" s="1106">
        <f t="shared" si="43"/>
        <v>9.5934253943793824</v>
      </c>
      <c r="CZ89" s="718">
        <f t="shared" ref="CZ89:CZ105" si="48">+CY89+CT89</f>
        <v>397.75888495799995</v>
      </c>
      <c r="DA89" s="162">
        <f t="shared" ref="DA89:DA105" si="49">+BT89+BU89+BV89+BW89+CG89+CJ89+CU89+CV89+CW89</f>
        <v>283.4000274084429</v>
      </c>
      <c r="DB89" s="162">
        <f t="shared" si="44"/>
        <v>114.35885754955706</v>
      </c>
    </row>
    <row r="90" spans="1:106" x14ac:dyDescent="0.2">
      <c r="A90" s="269">
        <v>2026</v>
      </c>
      <c r="B90" s="1087">
        <f>+B37*(1+'Conversion Factors'!$F37)</f>
        <v>14.683966023985681</v>
      </c>
      <c r="C90" s="1088">
        <f>+C37*(1+'Conversion Factors'!$F37)</f>
        <v>0.42281050000000009</v>
      </c>
      <c r="D90" s="738">
        <f>+D37*(1+'Conversion Factors'!$F37)</f>
        <v>8.522550000000001E-2</v>
      </c>
      <c r="E90" s="276">
        <f>+E37*(1+'Conversion Factors'!$F37)</f>
        <v>4.4089538597824411</v>
      </c>
      <c r="F90" s="276">
        <f>+F37*(1+'Conversion Factors'!$F37)</f>
        <v>6.4540859324902735</v>
      </c>
      <c r="G90" s="738">
        <f>+G37*(1+'Conversion Factors'!$F37)</f>
        <v>1.649658033759305</v>
      </c>
      <c r="H90" s="276">
        <f>+H37*(1+'Conversion Factors'!$F37)</f>
        <v>0.42480069999999992</v>
      </c>
      <c r="I90" s="276">
        <f>+I37*(1+'Conversion Factors'!$F37)</f>
        <v>1.0165000000000002E-2</v>
      </c>
      <c r="J90" s="738">
        <f>+J37*(1+'Conversion Factors'!$F37)</f>
        <v>6.4189300000000005E-2</v>
      </c>
      <c r="K90" s="276">
        <f>+K37*(1+'Conversion Factors'!$F37)</f>
        <v>2.7565981999999991</v>
      </c>
      <c r="L90" s="276">
        <f>+L37*(1+'Conversion Factors'!$F37)</f>
        <v>7.9657334490000036</v>
      </c>
      <c r="M90" s="276">
        <f>+M37*(1+'Conversion Factors'!$F37)</f>
        <v>2.6602339999999999E-2</v>
      </c>
      <c r="N90" s="276">
        <f>+N37*(1+'Conversion Factors'!$F37)</f>
        <v>6.4141150000000006E-3</v>
      </c>
      <c r="O90" s="738">
        <f>+O37*(1+'Conversion Factors'!$F37)</f>
        <v>45.792953260214325</v>
      </c>
      <c r="P90" s="276">
        <f>+P37*(1+'Conversion Factors'!$F37)</f>
        <v>9.3140878500000017</v>
      </c>
      <c r="Q90" s="276">
        <f>+Q37*(1+'Conversion Factors'!$F37)</f>
        <v>1.8316152999999995</v>
      </c>
      <c r="R90" s="276">
        <f>+R37*(1+'Conversion Factors'!$F37)</f>
        <v>12.751939891666675</v>
      </c>
      <c r="S90" s="276">
        <f>+S37*(1+'Conversion Factors'!$F37)</f>
        <v>9.0135409000000006</v>
      </c>
      <c r="T90" s="738">
        <f>+T37*(1+'Conversion Factors'!$F37)</f>
        <v>0</v>
      </c>
      <c r="U90" s="276">
        <f>+U37*(1+'Conversion Factors'!$F37)</f>
        <v>5.8100999999999993E-2</v>
      </c>
      <c r="V90" s="738">
        <f>+V37*(1+'Conversion Factors'!$F37)</f>
        <v>0</v>
      </c>
      <c r="W90" s="276">
        <f>+W37*(1+'Conversion Factors'!$F37)</f>
        <v>5.077304555555556</v>
      </c>
      <c r="X90" s="738">
        <f>+X37*(1+'Conversion Factors'!$F37)</f>
        <v>0.52271640000000008</v>
      </c>
      <c r="Y90" s="738">
        <f>+Y37*(1+'Conversion Factors'!$F37)</f>
        <v>2.1410699999999998E-2</v>
      </c>
      <c r="Z90" s="738">
        <f>+Z37*(1+'Conversion Factors'!$F37)</f>
        <v>2.6964000000000002E-2</v>
      </c>
      <c r="AA90" s="738">
        <f>+AA37*(1+'Conversion Factors'!$F37)</f>
        <v>0.18584829999999999</v>
      </c>
      <c r="AB90" s="277">
        <f t="shared" si="25"/>
        <v>123.55568511145427</v>
      </c>
      <c r="AC90" s="276">
        <f>+AC37*(1+'Conversion Factors'!$F37)</f>
        <v>0.33740666666666669</v>
      </c>
      <c r="AD90" s="276">
        <f>+AD37*(1+'Conversion Factors'!$F37)</f>
        <v>0.93518000000000001</v>
      </c>
      <c r="AE90" s="276">
        <f>+AE37*(1+'Conversion Factors'!$F37)</f>
        <v>58.881739900178268</v>
      </c>
      <c r="AF90" s="276">
        <f>+AF37*(1+'Conversion Factors'!$F37)</f>
        <v>42.800000000000004</v>
      </c>
      <c r="AG90" s="277">
        <f t="shared" si="39"/>
        <v>102.95432656684494</v>
      </c>
      <c r="AH90" s="718">
        <f t="shared" si="45"/>
        <v>226.51001167829921</v>
      </c>
      <c r="AJ90" s="748">
        <v>2026</v>
      </c>
      <c r="AK90" s="1088">
        <f>+AK37*(1+'Conversion Factors'!$G37)</f>
        <v>34.984327419809098</v>
      </c>
      <c r="AL90" s="1088">
        <f>+AL37*(1+'Conversion Factors'!$G37)</f>
        <v>0.97871830000000004</v>
      </c>
      <c r="AM90" s="738">
        <f>+AM37*(1+'Conversion Factors'!$G37)</f>
        <v>6.4628000000000005E-2</v>
      </c>
      <c r="AN90" s="276">
        <f>+AN37*(1+'Conversion Factors'!$G37)</f>
        <v>3.4809294871794871E-3</v>
      </c>
      <c r="AO90" s="276">
        <f>+AO37*(1+'Conversion Factors'!$G37)</f>
        <v>0.81974840000000004</v>
      </c>
      <c r="AP90" s="738">
        <f>+AP37*(1+'Conversion Factors'!$G37)</f>
        <v>2.4007151910669978E-2</v>
      </c>
      <c r="AQ90" s="276">
        <f>+AQ37*(1+'Conversion Factors'!$G37)</f>
        <v>1.0807000000000002E-2</v>
      </c>
      <c r="AR90" s="276">
        <f>+AR37*(1+'Conversion Factors'!$G37)</f>
        <v>7.5114000000000014E-3</v>
      </c>
      <c r="AS90" s="738">
        <f>+AS37*(1+'Conversion Factors'!$G37)</f>
        <v>5.2494200000000005E-2</v>
      </c>
      <c r="AT90" s="276">
        <f>+AT37*(1+'Conversion Factors'!$G37)</f>
        <v>1.7083292705882351</v>
      </c>
      <c r="AU90" s="276">
        <f>+AU37*(1+'Conversion Factors'!$G37)</f>
        <v>6.3461736379999989</v>
      </c>
      <c r="AV90" s="276">
        <f>+AV37*(1+'Conversion Factors'!$G37)</f>
        <v>4.0835480000000007E-2</v>
      </c>
      <c r="AW90" s="276">
        <f>+AW37*(1+'Conversion Factors'!$G37)</f>
        <v>3.1682699999999999E-3</v>
      </c>
      <c r="AX90" s="738">
        <f>+AX37*(1+'Conversion Factors'!$G37)</f>
        <v>20.669668092841306</v>
      </c>
      <c r="AY90" s="276">
        <f>+AY37*(1+'Conversion Factors'!$G37)</f>
        <v>7.1369000000000025</v>
      </c>
      <c r="AZ90" s="276">
        <f>+AZ37*(1+'Conversion Factors'!$G37)</f>
        <v>1.7691914999999998</v>
      </c>
      <c r="BA90" s="276">
        <f>+BA37*(1+'Conversion Factors'!$G37)</f>
        <v>3.5136766999999995</v>
      </c>
      <c r="BB90" s="276">
        <f>+BB37*(1+'Conversion Factors'!$G37)</f>
        <v>0</v>
      </c>
      <c r="BC90" s="738">
        <f>+BC37*(1+'Conversion Factors'!$G37)</f>
        <v>0</v>
      </c>
      <c r="BD90" s="276">
        <f>+BD37*(1+'Conversion Factors'!$G37)</f>
        <v>0</v>
      </c>
      <c r="BE90" s="738">
        <f>+BE37*(1+'Conversion Factors'!$G37)</f>
        <v>0</v>
      </c>
      <c r="BF90" s="276">
        <f>+BF37*(1+'Conversion Factors'!$G37)</f>
        <v>0</v>
      </c>
      <c r="BG90" s="738">
        <f>+BG37*(1+'Conversion Factors'!$G37)</f>
        <v>0</v>
      </c>
      <c r="BH90" s="738">
        <f>+BH37*(1+'Conversion Factors'!$G37)</f>
        <v>2.2919399999999999E-2</v>
      </c>
      <c r="BI90" s="276">
        <f>+BI37*(1+'Conversion Factors'!$G37)</f>
        <v>0</v>
      </c>
      <c r="BJ90" s="276">
        <f>+BJ37*(1+'Conversion Factors'!$G37)</f>
        <v>0</v>
      </c>
      <c r="BK90" s="277">
        <f t="shared" si="46"/>
        <v>78.156585152636509</v>
      </c>
      <c r="BL90" s="276">
        <f>+BL37*(1+'Conversion Factors'!$G37)</f>
        <v>0</v>
      </c>
      <c r="BM90" s="276">
        <f>+BM37*(1+'Conversion Factors'!$G37)</f>
        <v>0.57780000000000009</v>
      </c>
      <c r="BN90" s="276">
        <f>+BN37*(1+'Conversion Factors'!$G37)</f>
        <v>57.021056565656579</v>
      </c>
      <c r="BO90" s="276">
        <f>+BO37*(1+'Conversion Factors'!$G37)</f>
        <v>42.800000000000004</v>
      </c>
      <c r="BP90" s="1106">
        <f t="shared" si="41"/>
        <v>100.39885656565659</v>
      </c>
      <c r="BQ90" s="718">
        <f t="shared" si="47"/>
        <v>178.55544171829308</v>
      </c>
      <c r="BS90" s="994">
        <v>2026</v>
      </c>
      <c r="BT90" s="1087">
        <f>+BT37*(1+'Conversion Factors'!$H37)</f>
        <v>24.343735730668254</v>
      </c>
      <c r="BU90" s="1088">
        <f>+BU37*(1+'Conversion Factors'!$H37)</f>
        <v>0.23570112600000001</v>
      </c>
      <c r="BV90" s="276">
        <f>+BV37*(1+'Conversion Factors'!$H37)</f>
        <v>0.35751168000000005</v>
      </c>
      <c r="BW90" s="276">
        <f>+BW37*(1+'Conversion Factors'!$H37)</f>
        <v>13.804294360753739</v>
      </c>
      <c r="BX90" s="276">
        <f>+BX37*(1+'Conversion Factors'!$H37)</f>
        <v>20.517023585230742</v>
      </c>
      <c r="BY90" s="276">
        <f>+BY37*(1+'Conversion Factors'!$H37)</f>
        <v>2.1953722366004964</v>
      </c>
      <c r="BZ90" s="276">
        <f>+BZ37*(1+'Conversion Factors'!$H37)</f>
        <v>5.2993813254400006</v>
      </c>
      <c r="CA90" s="276">
        <f>+CA37*(1+'Conversion Factors'!$H37)</f>
        <v>1.3631816000000001E-2</v>
      </c>
      <c r="CB90" s="276">
        <f>+CB37*(1+'Conversion Factors'!$H37)</f>
        <v>0.32794332639999996</v>
      </c>
      <c r="CC90" s="276">
        <f>+CC37*(1+'Conversion Factors'!$H37)</f>
        <v>7.2457545811764739</v>
      </c>
      <c r="CD90" s="276">
        <f>+CD37*(1+'Conversion Factors'!$H37)</f>
        <v>8.6969053345599967</v>
      </c>
      <c r="CE90" s="276">
        <f>+CE37*(1+'Conversion Factors'!$H37)</f>
        <v>0.42177099600000006</v>
      </c>
      <c r="CF90" s="276">
        <f>+CF37*(1+'Conversion Factors'!$H37)</f>
        <v>4.7321589999999997E-2</v>
      </c>
      <c r="CG90" s="276">
        <f>+CG37*(1+'Conversion Factors'!$H37)</f>
        <v>216.37939377858487</v>
      </c>
      <c r="CH90" s="276">
        <f>+CH37*(1+'Conversion Factors'!$H37)</f>
        <v>42.44545707831999</v>
      </c>
      <c r="CI90" s="276">
        <f>+CI37*(1+'Conversion Factors'!$H37)</f>
        <v>8.877157276360002</v>
      </c>
      <c r="CJ90" s="276">
        <f>+CJ37*(1+'Conversion Factors'!$H37)</f>
        <v>22.897626955556674</v>
      </c>
      <c r="CK90" s="276">
        <f>+CK37*(1+'Conversion Factors'!$H37)</f>
        <v>0.92113330399999993</v>
      </c>
      <c r="CL90" s="276">
        <f>+CL37*(1+'Conversion Factors'!$H37)</f>
        <v>16.832000000000001</v>
      </c>
      <c r="CM90" s="276">
        <f>+CM37*(1+'Conversion Factors'!$H37)</f>
        <v>2.9922930200000017E-2</v>
      </c>
      <c r="CN90" s="276">
        <f>+CN37*(1+'Conversion Factors'!$H37)</f>
        <v>1.1945707219999999</v>
      </c>
      <c r="CO90" s="276">
        <f>+CO37*(1+'Conversion Factors'!$H37)</f>
        <v>16.25524974176933</v>
      </c>
      <c r="CP90" s="276">
        <f>+CP37*(1+'Conversion Factors'!$H37)</f>
        <v>1.1945707219999999</v>
      </c>
      <c r="CQ90" s="276">
        <f>+CQ37*(1+'Conversion Factors'!$H37)</f>
        <v>3.2958108000000007E-2</v>
      </c>
      <c r="CR90" s="276">
        <f>+CR37*(1+'Conversion Factors'!$H37)</f>
        <v>7.4645712000000003E-2</v>
      </c>
      <c r="CS90" s="996">
        <f>+CS37*(1+'Conversion Factors'!$H37)</f>
        <v>0.45052794200000001</v>
      </c>
      <c r="CT90" s="277">
        <f t="shared" si="42"/>
        <v>394.2595619596205</v>
      </c>
      <c r="CU90" s="276">
        <f>+CU37*(1+'Conversion Factors'!$H37)</f>
        <v>0</v>
      </c>
      <c r="CV90" s="276">
        <f>+CV37*(1+'Conversion Factors'!$H37)</f>
        <v>0</v>
      </c>
      <c r="CW90" s="276">
        <f>+CW37*(1+'Conversion Factors'!$H37)</f>
        <v>5.7128963408120441</v>
      </c>
      <c r="CX90" s="276">
        <f>+CX37*(1+'Conversion Factors'!$H37)</f>
        <v>3.9221754134999998</v>
      </c>
      <c r="CY90" s="1106">
        <f t="shared" si="43"/>
        <v>9.6350717543120439</v>
      </c>
      <c r="CZ90" s="718">
        <f t="shared" si="48"/>
        <v>403.89463371393254</v>
      </c>
      <c r="DA90" s="162">
        <f t="shared" si="49"/>
        <v>283.73115997237556</v>
      </c>
      <c r="DB90" s="162">
        <f t="shared" si="44"/>
        <v>120.16347374155697</v>
      </c>
    </row>
    <row r="91" spans="1:106" x14ac:dyDescent="0.2">
      <c r="A91" s="269">
        <v>2027</v>
      </c>
      <c r="B91" s="1087">
        <f>+B38*(1+'Conversion Factors'!$F38)</f>
        <v>14.683966023985681</v>
      </c>
      <c r="C91" s="1088">
        <f>+C38*(1+'Conversion Factors'!$F38)</f>
        <v>0.42281050000000009</v>
      </c>
      <c r="D91" s="738">
        <f>+D38*(1+'Conversion Factors'!$F38)</f>
        <v>8.522550000000001E-2</v>
      </c>
      <c r="E91" s="276">
        <f>+E38*(1+'Conversion Factors'!$F38)</f>
        <v>4.5587538597824411</v>
      </c>
      <c r="F91" s="276">
        <f>+F38*(1+'Conversion Factors'!$F38)</f>
        <v>6.4947459324902743</v>
      </c>
      <c r="G91" s="738">
        <f>+G38*(1+'Conversion Factors'!$F38)</f>
        <v>1.649658033759305</v>
      </c>
      <c r="H91" s="276">
        <f>+H38*(1+'Conversion Factors'!$F38)</f>
        <v>0.46492569999999994</v>
      </c>
      <c r="I91" s="276">
        <f>+I38*(1+'Conversion Factors'!$F38)</f>
        <v>1.1235000000000004E-2</v>
      </c>
      <c r="J91" s="738">
        <f>+J38*(1+'Conversion Factors'!$F38)</f>
        <v>6.4189300000000005E-2</v>
      </c>
      <c r="K91" s="276">
        <f>+K38*(1+'Conversion Factors'!$F38)</f>
        <v>2.8478156999999991</v>
      </c>
      <c r="L91" s="276">
        <f>+L38*(1+'Conversion Factors'!$F38)</f>
        <v>8.3644154490000044</v>
      </c>
      <c r="M91" s="276">
        <f>+M38*(1+'Conversion Factors'!$F38)</f>
        <v>3.00349E-2</v>
      </c>
      <c r="N91" s="276">
        <f>+N38*(1+'Conversion Factors'!$F38)</f>
        <v>7.0892849999999999E-3</v>
      </c>
      <c r="O91" s="738">
        <f>+O38*(1+'Conversion Factors'!$F38)</f>
        <v>45.792953260214325</v>
      </c>
      <c r="P91" s="276">
        <f>+P38*(1+'Conversion Factors'!$F38)</f>
        <v>9.9513798500000004</v>
      </c>
      <c r="Q91" s="276">
        <f>+Q38*(1+'Conversion Factors'!$F38)</f>
        <v>1.9487802999999995</v>
      </c>
      <c r="R91" s="276">
        <f>+R38*(1+'Conversion Factors'!$F38)</f>
        <v>13.134999891666675</v>
      </c>
      <c r="S91" s="276">
        <f>+S38*(1+'Conversion Factors'!$F38)</f>
        <v>10.0040399</v>
      </c>
      <c r="T91" s="738">
        <f>+T38*(1+'Conversion Factors'!$F38)</f>
        <v>0</v>
      </c>
      <c r="U91" s="276">
        <f>+U38*(1+'Conversion Factors'!$F38)</f>
        <v>5.8314999999999985E-2</v>
      </c>
      <c r="V91" s="738">
        <f>+V38*(1+'Conversion Factors'!$F38)</f>
        <v>0</v>
      </c>
      <c r="W91" s="276">
        <f>+W38*(1+'Conversion Factors'!$F38)</f>
        <v>5.3906005555555554</v>
      </c>
      <c r="X91" s="738">
        <f>+X38*(1+'Conversion Factors'!$F38)</f>
        <v>0.52271640000000008</v>
      </c>
      <c r="Y91" s="738">
        <f>+Y38*(1+'Conversion Factors'!$F38)</f>
        <v>2.1410699999999998E-2</v>
      </c>
      <c r="Z91" s="738">
        <f>+Z38*(1+'Conversion Factors'!$F38)</f>
        <v>2.6964000000000002E-2</v>
      </c>
      <c r="AA91" s="738">
        <f>+AA38*(1+'Conversion Factors'!$F38)</f>
        <v>0.18584829999999999</v>
      </c>
      <c r="AB91" s="277">
        <f t="shared" si="25"/>
        <v>126.72287334145423</v>
      </c>
      <c r="AC91" s="276">
        <f>+AC38*(1+'Conversion Factors'!$F38)</f>
        <v>0.35153066666666671</v>
      </c>
      <c r="AD91" s="276">
        <f>+AD38*(1+'Conversion Factors'!$F38)</f>
        <v>1.03362</v>
      </c>
      <c r="AE91" s="276">
        <f>+AE38*(1+'Conversion Factors'!$F38)</f>
        <v>59.200599900178268</v>
      </c>
      <c r="AF91" s="276">
        <f>+AF38*(1+'Conversion Factors'!$F38)</f>
        <v>42.800000000000004</v>
      </c>
      <c r="AG91" s="277">
        <f t="shared" si="39"/>
        <v>103.38575056684493</v>
      </c>
      <c r="AH91" s="277">
        <f t="shared" si="45"/>
        <v>230.10862390829917</v>
      </c>
      <c r="AJ91" s="748">
        <v>2027</v>
      </c>
      <c r="AK91" s="1088">
        <f>+AK38*(1+'Conversion Factors'!$G38)</f>
        <v>34.984327419809098</v>
      </c>
      <c r="AL91" s="1088">
        <f>+AL38*(1+'Conversion Factors'!$G38)</f>
        <v>0.97871830000000004</v>
      </c>
      <c r="AM91" s="738">
        <f>+AM38*(1+'Conversion Factors'!$G38)</f>
        <v>6.4628000000000005E-2</v>
      </c>
      <c r="AN91" s="276">
        <f>+AN38*(1+'Conversion Factors'!$G38)</f>
        <v>3.4809294871794871E-3</v>
      </c>
      <c r="AO91" s="276">
        <f>+AO38*(1+'Conversion Factors'!$G38)</f>
        <v>0.81974840000000004</v>
      </c>
      <c r="AP91" s="738">
        <f>+AP38*(1+'Conversion Factors'!$G38)</f>
        <v>2.4007151910669978E-2</v>
      </c>
      <c r="AQ91" s="276">
        <f>+AQ38*(1+'Conversion Factors'!$G38)</f>
        <v>1.1877000000000004E-2</v>
      </c>
      <c r="AR91" s="276">
        <f>+AR38*(1+'Conversion Factors'!$G38)</f>
        <v>8.3460000000000027E-3</v>
      </c>
      <c r="AS91" s="738">
        <f>+AS38*(1+'Conversion Factors'!$G38)</f>
        <v>5.2494200000000005E-2</v>
      </c>
      <c r="AT91" s="276">
        <f>+AT38*(1+'Conversion Factors'!$G38)</f>
        <v>1.7767557705882351</v>
      </c>
      <c r="AU91" s="276">
        <f>+AU38*(1+'Conversion Factors'!$G38)</f>
        <v>6.6589881379999989</v>
      </c>
      <c r="AV91" s="276">
        <f>+AV38*(1+'Conversion Factors'!$G38)</f>
        <v>4.6467960000000003E-2</v>
      </c>
      <c r="AW91" s="276">
        <f>+AW38*(1+'Conversion Factors'!$G38)</f>
        <v>3.5202999999999996E-3</v>
      </c>
      <c r="AX91" s="738">
        <f>+AX38*(1+'Conversion Factors'!$G38)</f>
        <v>20.669668092841306</v>
      </c>
      <c r="AY91" s="276">
        <f>+AY38*(1+'Conversion Factors'!$G38)</f>
        <v>7.6333800000000025</v>
      </c>
      <c r="AZ91" s="276">
        <f>+AZ38*(1+'Conversion Factors'!$G38)</f>
        <v>1.8863564999999995</v>
      </c>
      <c r="BA91" s="276">
        <f>+BA38*(1+'Conversion Factors'!$G38)</f>
        <v>3.5136766999999995</v>
      </c>
      <c r="BB91" s="276">
        <f>+BB38*(1+'Conversion Factors'!$G38)</f>
        <v>0</v>
      </c>
      <c r="BC91" s="738">
        <f>+BC38*(1+'Conversion Factors'!$G38)</f>
        <v>0</v>
      </c>
      <c r="BD91" s="276">
        <f>+BD38*(1+'Conversion Factors'!$G38)</f>
        <v>0</v>
      </c>
      <c r="BE91" s="738">
        <f>+BE38*(1+'Conversion Factors'!$G38)</f>
        <v>0</v>
      </c>
      <c r="BF91" s="276">
        <f>+BF38*(1+'Conversion Factors'!$G38)</f>
        <v>0</v>
      </c>
      <c r="BG91" s="738">
        <f>+BG38*(1+'Conversion Factors'!$G38)</f>
        <v>0</v>
      </c>
      <c r="BH91" s="738">
        <f>+BH38*(1+'Conversion Factors'!$G38)</f>
        <v>2.2919399999999999E-2</v>
      </c>
      <c r="BI91" s="276">
        <f>+BI38*(1+'Conversion Factors'!$G38)</f>
        <v>0</v>
      </c>
      <c r="BJ91" s="276">
        <f>+BJ38*(1+'Conversion Factors'!$G38)</f>
        <v>0</v>
      </c>
      <c r="BK91" s="277">
        <f t="shared" si="46"/>
        <v>79.159360262636511</v>
      </c>
      <c r="BL91" s="276">
        <f>+BL38*(1+'Conversion Factors'!$G38)</f>
        <v>0</v>
      </c>
      <c r="BM91" s="276">
        <f>+BM38*(1+'Conversion Factors'!$G38)</f>
        <v>0.64200000000000002</v>
      </c>
      <c r="BN91" s="276">
        <f>+BN38*(1+'Conversion Factors'!$G38)</f>
        <v>57.591267131313145</v>
      </c>
      <c r="BO91" s="276">
        <f>+BO38*(1+'Conversion Factors'!$G38)</f>
        <v>42.800000000000004</v>
      </c>
      <c r="BP91" s="1106">
        <f t="shared" si="41"/>
        <v>101.03326713131315</v>
      </c>
      <c r="BQ91" s="718">
        <f t="shared" si="47"/>
        <v>180.19262739394966</v>
      </c>
      <c r="BS91" s="994">
        <v>2027</v>
      </c>
      <c r="BT91" s="1087">
        <f>+BT38*(1+'Conversion Factors'!$H38)</f>
        <v>24.343735730668254</v>
      </c>
      <c r="BU91" s="1088">
        <f>+BU38*(1+'Conversion Factors'!$H38)</f>
        <v>0.23570112600000001</v>
      </c>
      <c r="BV91" s="276">
        <f>+BV38*(1+'Conversion Factors'!$H38)</f>
        <v>0.35751168000000005</v>
      </c>
      <c r="BW91" s="276">
        <f>+BW38*(1+'Conversion Factors'!$H38)</f>
        <v>14.088649960753738</v>
      </c>
      <c r="BX91" s="276">
        <f>+BX38*(1+'Conversion Factors'!$H38)</f>
        <v>20.699440385230744</v>
      </c>
      <c r="BY91" s="276">
        <f>+BY38*(1+'Conversion Factors'!$H38)</f>
        <v>2.1953722366004964</v>
      </c>
      <c r="BZ91" s="276">
        <f>+BZ38*(1+'Conversion Factors'!$H38)</f>
        <v>5.7993443254400008</v>
      </c>
      <c r="CA91" s="276">
        <f>+CA38*(1+'Conversion Factors'!$H38)</f>
        <v>1.5066744000000002E-2</v>
      </c>
      <c r="CB91" s="276">
        <f>+CB38*(1+'Conversion Factors'!$H38)</f>
        <v>0.32794332639999996</v>
      </c>
      <c r="CC91" s="276">
        <f>+CC38*(1+'Conversion Factors'!$H38)</f>
        <v>7.4976402011764742</v>
      </c>
      <c r="CD91" s="276">
        <f>+CD38*(1+'Conversion Factors'!$H38)</f>
        <v>9.1351474945599964</v>
      </c>
      <c r="CE91" s="276">
        <f>+CE38*(1+'Conversion Factors'!$H38)</f>
        <v>0.47619306000000006</v>
      </c>
      <c r="CF91" s="276">
        <f>+CF38*(1+'Conversion Factors'!$H38)</f>
        <v>5.2302809999999998E-2</v>
      </c>
      <c r="CG91" s="276">
        <f>+CG38*(1+'Conversion Factors'!$H38)</f>
        <v>216.37939377858487</v>
      </c>
      <c r="CH91" s="276">
        <f>+CH38*(1+'Conversion Factors'!$H38)</f>
        <v>45.392782358319991</v>
      </c>
      <c r="CI91" s="276">
        <f>+CI38*(1+'Conversion Factors'!$H38)</f>
        <v>9.4488561563600015</v>
      </c>
      <c r="CJ91" s="276">
        <f>+CJ38*(1+'Conversion Factors'!$H38)</f>
        <v>22.907888163556674</v>
      </c>
      <c r="CK91" s="276">
        <f>+CK38*(1+'Conversion Factors'!$H38)</f>
        <v>1.0223567439999999</v>
      </c>
      <c r="CL91" s="276">
        <f>+CL38*(1+'Conversion Factors'!$H38)</f>
        <v>16.832000000000001</v>
      </c>
      <c r="CM91" s="276">
        <f>+CM38*(1+'Conversion Factors'!$H38)</f>
        <v>2.9986050200000017E-2</v>
      </c>
      <c r="CN91" s="276">
        <f>+CN38*(1+'Conversion Factors'!$H38)</f>
        <v>1.1945707219999999</v>
      </c>
      <c r="CO91" s="276">
        <f>+CO38*(1+'Conversion Factors'!$H38)</f>
        <v>17.006209421769331</v>
      </c>
      <c r="CP91" s="276">
        <f>+CP38*(1+'Conversion Factors'!$H38)</f>
        <v>1.1945707219999999</v>
      </c>
      <c r="CQ91" s="276">
        <f>+CQ38*(1+'Conversion Factors'!$H38)</f>
        <v>3.2958108000000007E-2</v>
      </c>
      <c r="CR91" s="276">
        <f>+CR38*(1+'Conversion Factors'!$H38)</f>
        <v>7.4645712000000003E-2</v>
      </c>
      <c r="CS91" s="996">
        <f>+CS38*(1+'Conversion Factors'!$H38)</f>
        <v>0.45052794200000001</v>
      </c>
      <c r="CT91" s="277">
        <f t="shared" si="42"/>
        <v>400.35879495962058</v>
      </c>
      <c r="CU91" s="276">
        <f>+CU38*(1+'Conversion Factors'!$H38)</f>
        <v>0</v>
      </c>
      <c r="CV91" s="276">
        <f>+CV38*(1+'Conversion Factors'!$H38)</f>
        <v>0</v>
      </c>
      <c r="CW91" s="276">
        <f>+CW38*(1+'Conversion Factors'!$H38)</f>
        <v>5.754542700744703</v>
      </c>
      <c r="CX91" s="276">
        <f>+CX38*(1+'Conversion Factors'!$H38)</f>
        <v>3.9593047014999998</v>
      </c>
      <c r="CY91" s="1106">
        <f t="shared" si="43"/>
        <v>9.7138474022447028</v>
      </c>
      <c r="CZ91" s="718">
        <f t="shared" si="48"/>
        <v>410.07264236186529</v>
      </c>
      <c r="DA91" s="162">
        <f t="shared" si="49"/>
        <v>284.06742314030822</v>
      </c>
      <c r="DB91" s="162">
        <f t="shared" si="44"/>
        <v>126.00521922155707</v>
      </c>
    </row>
    <row r="92" spans="1:106" x14ac:dyDescent="0.2">
      <c r="A92" s="269">
        <v>2028</v>
      </c>
      <c r="B92" s="1087">
        <f>+B39*(1+'Conversion Factors'!$F39)</f>
        <v>14.683966023985681</v>
      </c>
      <c r="C92" s="1088">
        <f>+C39*(1+'Conversion Factors'!$F39)</f>
        <v>0.42281050000000009</v>
      </c>
      <c r="D92" s="738">
        <f>+D39*(1+'Conversion Factors'!$F39)</f>
        <v>8.522550000000001E-2</v>
      </c>
      <c r="E92" s="276">
        <f>+E39*(1+'Conversion Factors'!$F39)</f>
        <v>4.708553859782441</v>
      </c>
      <c r="F92" s="276">
        <f>+F39*(1+'Conversion Factors'!$F39)</f>
        <v>6.5354059324902742</v>
      </c>
      <c r="G92" s="738">
        <f>+G39*(1+'Conversion Factors'!$F39)</f>
        <v>1.649658033759305</v>
      </c>
      <c r="H92" s="276">
        <f>+H39*(1+'Conversion Factors'!$F39)</f>
        <v>0.50505069999999985</v>
      </c>
      <c r="I92" s="276">
        <f>+I39*(1+'Conversion Factors'!$F39)</f>
        <v>1.2305000000000003E-2</v>
      </c>
      <c r="J92" s="738">
        <f>+J39*(1+'Conversion Factors'!$F39)</f>
        <v>6.4189300000000005E-2</v>
      </c>
      <c r="K92" s="276">
        <f>+K39*(1+'Conversion Factors'!$F39)</f>
        <v>2.939033199999999</v>
      </c>
      <c r="L92" s="276">
        <f>+L39*(1+'Conversion Factors'!$F39)</f>
        <v>8.7630974490000035</v>
      </c>
      <c r="M92" s="276">
        <f>+M39*(1+'Conversion Factors'!$F39)</f>
        <v>3.3467460000000004E-2</v>
      </c>
      <c r="N92" s="276">
        <f>+N39*(1+'Conversion Factors'!$F39)</f>
        <v>7.7644549999999991E-3</v>
      </c>
      <c r="O92" s="738">
        <f>+O39*(1+'Conversion Factors'!$F39)</f>
        <v>45.792953260214325</v>
      </c>
      <c r="P92" s="276">
        <f>+P39*(1+'Conversion Factors'!$F39)</f>
        <v>10.588671849999999</v>
      </c>
      <c r="Q92" s="276">
        <f>+Q39*(1+'Conversion Factors'!$F39)</f>
        <v>2.0659452999999992</v>
      </c>
      <c r="R92" s="276">
        <f>+R39*(1+'Conversion Factors'!$F39)</f>
        <v>13.518059891666676</v>
      </c>
      <c r="S92" s="276">
        <f>+S39*(1+'Conversion Factors'!$F39)</f>
        <v>10.9945389</v>
      </c>
      <c r="T92" s="738">
        <f>+T39*(1+'Conversion Factors'!$F39)</f>
        <v>0</v>
      </c>
      <c r="U92" s="276">
        <f>+U39*(1+'Conversion Factors'!$F39)</f>
        <v>5.8528999999999984E-2</v>
      </c>
      <c r="V92" s="738">
        <f>+V39*(1+'Conversion Factors'!$F39)</f>
        <v>0</v>
      </c>
      <c r="W92" s="276">
        <f>+W39*(1+'Conversion Factors'!$F39)</f>
        <v>5.7038965555555556</v>
      </c>
      <c r="X92" s="738">
        <f>+X39*(1+'Conversion Factors'!$F39)</f>
        <v>0.52271640000000008</v>
      </c>
      <c r="Y92" s="738">
        <f>+Y39*(1+'Conversion Factors'!$F39)</f>
        <v>2.1410699999999998E-2</v>
      </c>
      <c r="Z92" s="738">
        <f>+Z39*(1+'Conversion Factors'!$F39)</f>
        <v>2.6964000000000002E-2</v>
      </c>
      <c r="AA92" s="738">
        <f>+AA39*(1+'Conversion Factors'!$F39)</f>
        <v>0.18584829999999999</v>
      </c>
      <c r="AB92" s="277">
        <f>SUM(B92:AA92)</f>
        <v>129.89006157145423</v>
      </c>
      <c r="AC92" s="276">
        <f>+AC39*(1+'Conversion Factors'!$F39)</f>
        <v>0.36565466666666668</v>
      </c>
      <c r="AD92" s="276">
        <f>+AD39*(1+'Conversion Factors'!$F39)</f>
        <v>1.1320600000000001</v>
      </c>
      <c r="AE92" s="276">
        <f>+AE39*(1+'Conversion Factors'!$F39)</f>
        <v>59.519459900178276</v>
      </c>
      <c r="AF92" s="276">
        <f>+AF39*(1+'Conversion Factors'!$F39)</f>
        <v>42.800000000000004</v>
      </c>
      <c r="AG92" s="277">
        <f t="shared" si="39"/>
        <v>103.81717456684495</v>
      </c>
      <c r="AH92" s="277">
        <f t="shared" si="45"/>
        <v>233.70723613829918</v>
      </c>
      <c r="AJ92" s="748">
        <v>2028</v>
      </c>
      <c r="AK92" s="1088">
        <f>+AK39*(1+'Conversion Factors'!$G39)</f>
        <v>34.984327419809098</v>
      </c>
      <c r="AL92" s="1088">
        <f>+AL39*(1+'Conversion Factors'!$G39)</f>
        <v>0.97871830000000004</v>
      </c>
      <c r="AM92" s="738">
        <f>+AM39*(1+'Conversion Factors'!$G39)</f>
        <v>6.4628000000000005E-2</v>
      </c>
      <c r="AN92" s="276">
        <f>+AN39*(1+'Conversion Factors'!$G39)</f>
        <v>3.4809294871794871E-3</v>
      </c>
      <c r="AO92" s="276">
        <f>+AO39*(1+'Conversion Factors'!$G39)</f>
        <v>0.81974840000000004</v>
      </c>
      <c r="AP92" s="738">
        <f>+AP39*(1+'Conversion Factors'!$G39)</f>
        <v>2.4007151910669978E-2</v>
      </c>
      <c r="AQ92" s="276">
        <f>+AQ39*(1+'Conversion Factors'!$G39)</f>
        <v>1.2947000000000004E-2</v>
      </c>
      <c r="AR92" s="276">
        <f>+AR39*(1+'Conversion Factors'!$G39)</f>
        <v>9.1806000000000006E-3</v>
      </c>
      <c r="AS92" s="738">
        <f>+AS39*(1+'Conversion Factors'!$G39)</f>
        <v>5.2494200000000005E-2</v>
      </c>
      <c r="AT92" s="276">
        <f>+AT39*(1+'Conversion Factors'!$G39)</f>
        <v>1.845182270588235</v>
      </c>
      <c r="AU92" s="276">
        <f>+AU39*(1+'Conversion Factors'!$G39)</f>
        <v>6.9718026379999989</v>
      </c>
      <c r="AV92" s="276">
        <f>+AV39*(1+'Conversion Factors'!$G39)</f>
        <v>5.2100440000000005E-2</v>
      </c>
      <c r="AW92" s="276">
        <f>+AW39*(1+'Conversion Factors'!$G39)</f>
        <v>3.8723299999999998E-3</v>
      </c>
      <c r="AX92" s="738">
        <f>+AX39*(1+'Conversion Factors'!$G39)</f>
        <v>20.669668092841306</v>
      </c>
      <c r="AY92" s="276">
        <f>+AY39*(1+'Conversion Factors'!$G39)</f>
        <v>8.1298600000000025</v>
      </c>
      <c r="AZ92" s="276">
        <f>+AZ39*(1+'Conversion Factors'!$G39)</f>
        <v>2.0035214999999997</v>
      </c>
      <c r="BA92" s="276">
        <f>+BA39*(1+'Conversion Factors'!$G39)</f>
        <v>3.5136766999999995</v>
      </c>
      <c r="BB92" s="276">
        <f>+BB39*(1+'Conversion Factors'!$G39)</f>
        <v>0</v>
      </c>
      <c r="BC92" s="738">
        <f>+BC39*(1+'Conversion Factors'!$G39)</f>
        <v>0</v>
      </c>
      <c r="BD92" s="276">
        <f>+BD39*(1+'Conversion Factors'!$G39)</f>
        <v>0</v>
      </c>
      <c r="BE92" s="738">
        <f>+BE39*(1+'Conversion Factors'!$G39)</f>
        <v>0</v>
      </c>
      <c r="BF92" s="276">
        <f>+BF39*(1+'Conversion Factors'!$G39)</f>
        <v>0</v>
      </c>
      <c r="BG92" s="738">
        <f>+BG39*(1+'Conversion Factors'!$G39)</f>
        <v>0</v>
      </c>
      <c r="BH92" s="738">
        <f>+BH39*(1+'Conversion Factors'!$G39)</f>
        <v>2.2919399999999999E-2</v>
      </c>
      <c r="BI92" s="276">
        <f>+BI39*(1+'Conversion Factors'!$G39)</f>
        <v>0</v>
      </c>
      <c r="BJ92" s="276">
        <f>+BJ39*(1+'Conversion Factors'!$G39)</f>
        <v>0</v>
      </c>
      <c r="BK92" s="277">
        <f t="shared" si="46"/>
        <v>80.162135372636513</v>
      </c>
      <c r="BL92" s="276">
        <f>+BL39*(1+'Conversion Factors'!$G39)</f>
        <v>0</v>
      </c>
      <c r="BM92" s="276">
        <f>+BM39*(1+'Conversion Factors'!$G39)</f>
        <v>0.70620000000000005</v>
      </c>
      <c r="BN92" s="276">
        <f>+BN39*(1+'Conversion Factors'!$G39)</f>
        <v>58.161477696969712</v>
      </c>
      <c r="BO92" s="276">
        <f>+BO39*(1+'Conversion Factors'!$G39)</f>
        <v>42.800000000000004</v>
      </c>
      <c r="BP92" s="1106">
        <f t="shared" si="41"/>
        <v>101.66767769696972</v>
      </c>
      <c r="BQ92" s="718">
        <f t="shared" si="47"/>
        <v>181.82981306960625</v>
      </c>
      <c r="BS92" s="994">
        <v>2028</v>
      </c>
      <c r="BT92" s="1087">
        <f>+BT39*(1+'Conversion Factors'!$H39)</f>
        <v>24.343735730668254</v>
      </c>
      <c r="BU92" s="1088">
        <f>+BU39*(1+'Conversion Factors'!$H39)</f>
        <v>0.23570112600000001</v>
      </c>
      <c r="BV92" s="276">
        <f>+BV39*(1+'Conversion Factors'!$H39)</f>
        <v>0.35751168000000005</v>
      </c>
      <c r="BW92" s="276">
        <f>+BW39*(1+'Conversion Factors'!$H39)</f>
        <v>14.373005560753739</v>
      </c>
      <c r="BX92" s="276">
        <f>+BX39*(1+'Conversion Factors'!$H39)</f>
        <v>20.881857185230746</v>
      </c>
      <c r="BY92" s="276">
        <f>+BY39*(1+'Conversion Factors'!$H39)</f>
        <v>2.1953722366004964</v>
      </c>
      <c r="BZ92" s="276">
        <f>+BZ39*(1+'Conversion Factors'!$H39)</f>
        <v>6.29930732544</v>
      </c>
      <c r="CA92" s="276">
        <f>+CA39*(1+'Conversion Factors'!$H39)</f>
        <v>1.6501672000000002E-2</v>
      </c>
      <c r="CB92" s="276">
        <f>+CB39*(1+'Conversion Factors'!$H39)</f>
        <v>0.32794332639999996</v>
      </c>
      <c r="CC92" s="276">
        <f>+CC39*(1+'Conversion Factors'!$H39)</f>
        <v>7.7495258211764737</v>
      </c>
      <c r="CD92" s="276">
        <f>+CD39*(1+'Conversion Factors'!$H39)</f>
        <v>9.5733896545599961</v>
      </c>
      <c r="CE92" s="276">
        <f>+CE39*(1+'Conversion Factors'!$H39)</f>
        <v>0.5306151240000001</v>
      </c>
      <c r="CF92" s="276">
        <f>+CF39*(1+'Conversion Factors'!$H39)</f>
        <v>5.7284030000000007E-2</v>
      </c>
      <c r="CG92" s="276">
        <f>+CG39*(1+'Conversion Factors'!$H39)</f>
        <v>216.37939377858487</v>
      </c>
      <c r="CH92" s="276">
        <f>+CH39*(1+'Conversion Factors'!$H39)</f>
        <v>48.340107638319992</v>
      </c>
      <c r="CI92" s="276">
        <f>+CI39*(1+'Conversion Factors'!$H39)</f>
        <v>10.020555036360003</v>
      </c>
      <c r="CJ92" s="276">
        <f>+CJ39*(1+'Conversion Factors'!$H39)</f>
        <v>22.918149371556677</v>
      </c>
      <c r="CK92" s="276">
        <f>+CK39*(1+'Conversion Factors'!$H39)</f>
        <v>1.1235801839999999</v>
      </c>
      <c r="CL92" s="276">
        <f>+CL39*(1+'Conversion Factors'!$H39)</f>
        <v>16.832000000000001</v>
      </c>
      <c r="CM92" s="276">
        <f>+CM39*(1+'Conversion Factors'!$H39)</f>
        <v>3.0049170200000017E-2</v>
      </c>
      <c r="CN92" s="276">
        <f>+CN39*(1+'Conversion Factors'!$H39)</f>
        <v>1.1945707219999999</v>
      </c>
      <c r="CO92" s="276">
        <f>+CO39*(1+'Conversion Factors'!$H39)</f>
        <v>17.757169101769332</v>
      </c>
      <c r="CP92" s="276">
        <f>+CP39*(1+'Conversion Factors'!$H39)</f>
        <v>1.1945707219999999</v>
      </c>
      <c r="CQ92" s="276">
        <f>+CQ39*(1+'Conversion Factors'!$H39)</f>
        <v>3.2958108000000007E-2</v>
      </c>
      <c r="CR92" s="276">
        <f>+CR39*(1+'Conversion Factors'!$H39)</f>
        <v>7.4645712000000003E-2</v>
      </c>
      <c r="CS92" s="996">
        <f>+CS39*(1+'Conversion Factors'!$H39)</f>
        <v>0.45052794200000001</v>
      </c>
      <c r="CT92" s="277">
        <f>SUM(BT92:CS92)-CL92</f>
        <v>406.45802795962055</v>
      </c>
      <c r="CU92" s="276">
        <f>+CU39*(1+'Conversion Factors'!$H39)</f>
        <v>0</v>
      </c>
      <c r="CV92" s="276">
        <f>+CV39*(1+'Conversion Factors'!$H39)</f>
        <v>0</v>
      </c>
      <c r="CW92" s="276">
        <f>+CW39*(1+'Conversion Factors'!$H39)</f>
        <v>5.7961890606773645</v>
      </c>
      <c r="CX92" s="276">
        <f>+CX39*(1+'Conversion Factors'!$H39)</f>
        <v>3.9964339894999998</v>
      </c>
      <c r="CY92" s="1106">
        <f t="shared" si="43"/>
        <v>9.7926230501773652</v>
      </c>
      <c r="CZ92" s="718">
        <f t="shared" si="48"/>
        <v>416.25065100979793</v>
      </c>
      <c r="DA92" s="162">
        <f t="shared" si="49"/>
        <v>284.40368630824094</v>
      </c>
      <c r="DB92" s="162">
        <f t="shared" si="44"/>
        <v>131.846964701557</v>
      </c>
    </row>
    <row r="93" spans="1:106" x14ac:dyDescent="0.2">
      <c r="A93" s="269">
        <v>2029</v>
      </c>
      <c r="B93" s="1087">
        <f>+B40*(1+'Conversion Factors'!$F40)</f>
        <v>14.683966023985681</v>
      </c>
      <c r="C93" s="1088">
        <f>+C40*(1+'Conversion Factors'!$F40)</f>
        <v>0.42281050000000009</v>
      </c>
      <c r="D93" s="738">
        <f>+D40*(1+'Conversion Factors'!$F40)</f>
        <v>8.522550000000001E-2</v>
      </c>
      <c r="E93" s="276">
        <f>+E40*(1+'Conversion Factors'!$F40)</f>
        <v>4.8583538597824401</v>
      </c>
      <c r="F93" s="276">
        <f>+F40*(1+'Conversion Factors'!$F40)</f>
        <v>6.5760659324902742</v>
      </c>
      <c r="G93" s="738">
        <f>+G40*(1+'Conversion Factors'!$F40)</f>
        <v>1.649658033759305</v>
      </c>
      <c r="H93" s="276">
        <f>+H40*(1+'Conversion Factors'!$F40)</f>
        <v>0.54517569999999993</v>
      </c>
      <c r="I93" s="276">
        <f>+I40*(1+'Conversion Factors'!$F40)</f>
        <v>1.3375000000000005E-2</v>
      </c>
      <c r="J93" s="738">
        <f>+J40*(1+'Conversion Factors'!$F40)</f>
        <v>6.4189300000000005E-2</v>
      </c>
      <c r="K93" s="276">
        <f>+K40*(1+'Conversion Factors'!$F40)</f>
        <v>3.0302506999999985</v>
      </c>
      <c r="L93" s="276">
        <f>+L40*(1+'Conversion Factors'!$F40)</f>
        <v>9.1617794490000026</v>
      </c>
      <c r="M93" s="276">
        <f>+M40*(1+'Conversion Factors'!$F40)</f>
        <v>3.6900020000000006E-2</v>
      </c>
      <c r="N93" s="276">
        <f>+N40*(1+'Conversion Factors'!$F40)</f>
        <v>8.4396249999999992E-3</v>
      </c>
      <c r="O93" s="738">
        <f>+O40*(1+'Conversion Factors'!$F40)</f>
        <v>45.792953260214325</v>
      </c>
      <c r="P93" s="276">
        <f>+P40*(1+'Conversion Factors'!$F40)</f>
        <v>11.225963849999999</v>
      </c>
      <c r="Q93" s="276">
        <f>+Q40*(1+'Conversion Factors'!$F40)</f>
        <v>2.1831102999999992</v>
      </c>
      <c r="R93" s="276">
        <f>+R40*(1+'Conversion Factors'!$F40)</f>
        <v>13.901119891666676</v>
      </c>
      <c r="S93" s="276">
        <f>+S40*(1+'Conversion Factors'!$F40)</f>
        <v>11.985037899999998</v>
      </c>
      <c r="T93" s="738">
        <f>+T40*(1+'Conversion Factors'!$F40)</f>
        <v>0</v>
      </c>
      <c r="U93" s="276">
        <f>+U40*(1+'Conversion Factors'!$F40)</f>
        <v>5.8742999999999983E-2</v>
      </c>
      <c r="V93" s="738">
        <f>+V40*(1+'Conversion Factors'!$F40)</f>
        <v>0</v>
      </c>
      <c r="W93" s="276">
        <f>+W40*(1+'Conversion Factors'!$F40)</f>
        <v>6.017192555555555</v>
      </c>
      <c r="X93" s="738">
        <f>+X40*(1+'Conversion Factors'!$F40)</f>
        <v>0.52271640000000008</v>
      </c>
      <c r="Y93" s="738">
        <f>+Y40*(1+'Conversion Factors'!$F40)</f>
        <v>2.1410699999999998E-2</v>
      </c>
      <c r="Z93" s="738">
        <f>+Z40*(1+'Conversion Factors'!$F40)</f>
        <v>2.6964000000000002E-2</v>
      </c>
      <c r="AA93" s="738">
        <f>+AA40*(1+'Conversion Factors'!$F40)</f>
        <v>0.18584829999999999</v>
      </c>
      <c r="AB93" s="277">
        <f t="shared" ref="AB93:AB97" si="50">SUM(B93:AA93)</f>
        <v>133.05724980145425</v>
      </c>
      <c r="AC93" s="276">
        <f>+AC40*(1+'Conversion Factors'!$F40)</f>
        <v>0.37977866666666665</v>
      </c>
      <c r="AD93" s="276">
        <f>+AD40*(1+'Conversion Factors'!$F40)</f>
        <v>1.2304999999999999</v>
      </c>
      <c r="AE93" s="276">
        <f>+AE40*(1+'Conversion Factors'!$F40)</f>
        <v>59.83831990017827</v>
      </c>
      <c r="AF93" s="276">
        <f>+AF40*(1+'Conversion Factors'!$F40)</f>
        <v>42.800000000000004</v>
      </c>
      <c r="AG93" s="277">
        <f t="shared" si="39"/>
        <v>104.24859856684495</v>
      </c>
      <c r="AH93" s="277">
        <f t="shared" si="45"/>
        <v>237.30584836829919</v>
      </c>
      <c r="AJ93" s="748">
        <v>2029</v>
      </c>
      <c r="AK93" s="1088">
        <f>+AK40*(1+'Conversion Factors'!$G40)</f>
        <v>34.984327419809098</v>
      </c>
      <c r="AL93" s="1088">
        <f>+AL40*(1+'Conversion Factors'!$G40)</f>
        <v>0.97871830000000004</v>
      </c>
      <c r="AM93" s="738">
        <f>+AM40*(1+'Conversion Factors'!$G40)</f>
        <v>6.4628000000000005E-2</v>
      </c>
      <c r="AN93" s="276">
        <f>+AN40*(1+'Conversion Factors'!$G40)</f>
        <v>3.4809294871794871E-3</v>
      </c>
      <c r="AO93" s="276">
        <f>+AO40*(1+'Conversion Factors'!$G40)</f>
        <v>0.81974840000000004</v>
      </c>
      <c r="AP93" s="738">
        <f>+AP40*(1+'Conversion Factors'!$G40)</f>
        <v>2.4007151910669978E-2</v>
      </c>
      <c r="AQ93" s="276">
        <f>+AQ40*(1+'Conversion Factors'!$G40)</f>
        <v>1.4017000000000005E-2</v>
      </c>
      <c r="AR93" s="276">
        <f>+AR40*(1+'Conversion Factors'!$G40)</f>
        <v>1.00152E-2</v>
      </c>
      <c r="AS93" s="738">
        <f>+AS40*(1+'Conversion Factors'!$G40)</f>
        <v>5.2494200000000005E-2</v>
      </c>
      <c r="AT93" s="276">
        <f>+AT40*(1+'Conversion Factors'!$G40)</f>
        <v>1.913608770588235</v>
      </c>
      <c r="AU93" s="276">
        <f>+AU40*(1+'Conversion Factors'!$G40)</f>
        <v>7.2846171379999989</v>
      </c>
      <c r="AV93" s="276">
        <f>+AV40*(1+'Conversion Factors'!$G40)</f>
        <v>5.773292E-2</v>
      </c>
      <c r="AW93" s="276">
        <f>+AW40*(1+'Conversion Factors'!$G40)</f>
        <v>4.2243599999999991E-3</v>
      </c>
      <c r="AX93" s="738">
        <f>+AX40*(1+'Conversion Factors'!$G40)</f>
        <v>20.669668092841306</v>
      </c>
      <c r="AY93" s="276">
        <f>+AY40*(1+'Conversion Factors'!$G40)</f>
        <v>8.6263400000000043</v>
      </c>
      <c r="AZ93" s="276">
        <f>+AZ40*(1+'Conversion Factors'!$G40)</f>
        <v>2.1206864999999997</v>
      </c>
      <c r="BA93" s="276">
        <f>+BA40*(1+'Conversion Factors'!$G40)</f>
        <v>3.5136766999999995</v>
      </c>
      <c r="BB93" s="276">
        <f>+BB40*(1+'Conversion Factors'!$G40)</f>
        <v>0</v>
      </c>
      <c r="BC93" s="738">
        <f>+BC40*(1+'Conversion Factors'!$G40)</f>
        <v>0</v>
      </c>
      <c r="BD93" s="276">
        <f>+BD40*(1+'Conversion Factors'!$G40)</f>
        <v>0</v>
      </c>
      <c r="BE93" s="738">
        <f>+BE40*(1+'Conversion Factors'!$G40)</f>
        <v>0</v>
      </c>
      <c r="BF93" s="276">
        <f>+BF40*(1+'Conversion Factors'!$G40)</f>
        <v>0</v>
      </c>
      <c r="BG93" s="738">
        <f>+BG40*(1+'Conversion Factors'!$G40)</f>
        <v>0</v>
      </c>
      <c r="BH93" s="738">
        <f>+BH40*(1+'Conversion Factors'!$G40)</f>
        <v>2.2919399999999999E-2</v>
      </c>
      <c r="BI93" s="276">
        <f>+BI40*(1+'Conversion Factors'!$G40)</f>
        <v>0</v>
      </c>
      <c r="BJ93" s="276">
        <f>+BJ40*(1+'Conversion Factors'!$G40)</f>
        <v>0</v>
      </c>
      <c r="BK93" s="277">
        <f t="shared" ref="BK93:BK97" si="51">SUM(AK93:BJ93)</f>
        <v>81.1649104826365</v>
      </c>
      <c r="BL93" s="276">
        <f>+BL40*(1+'Conversion Factors'!$G40)</f>
        <v>0</v>
      </c>
      <c r="BM93" s="276">
        <f>+BM40*(1+'Conversion Factors'!$G40)</f>
        <v>0.77039999999999997</v>
      </c>
      <c r="BN93" s="276">
        <f>+BN40*(1+'Conversion Factors'!$G40)</f>
        <v>58.731688262626285</v>
      </c>
      <c r="BO93" s="276">
        <f>+BO40*(1+'Conversion Factors'!$G40)</f>
        <v>42.800000000000004</v>
      </c>
      <c r="BP93" s="1106">
        <f t="shared" si="41"/>
        <v>102.30208826262628</v>
      </c>
      <c r="BQ93" s="718">
        <f t="shared" si="47"/>
        <v>183.4669987452628</v>
      </c>
      <c r="BS93" s="994">
        <v>2029</v>
      </c>
      <c r="BT93" s="1087">
        <f>+BT40*(1+'Conversion Factors'!$H40)</f>
        <v>24.343735730668254</v>
      </c>
      <c r="BU93" s="1088">
        <f>+BU40*(1+'Conversion Factors'!$H40)</f>
        <v>0.23570112600000001</v>
      </c>
      <c r="BV93" s="276">
        <f>+BV40*(1+'Conversion Factors'!$H40)</f>
        <v>0.35751168000000005</v>
      </c>
      <c r="BW93" s="276">
        <f>+BW40*(1+'Conversion Factors'!$H40)</f>
        <v>14.657361160753741</v>
      </c>
      <c r="BX93" s="276">
        <f>+BX40*(1+'Conversion Factors'!$H40)</f>
        <v>21.064273985230745</v>
      </c>
      <c r="BY93" s="276">
        <f>+BY40*(1+'Conversion Factors'!$H40)</f>
        <v>2.1953722366004964</v>
      </c>
      <c r="BZ93" s="276">
        <f>+BZ40*(1+'Conversion Factors'!$H40)</f>
        <v>6.7992703254400002</v>
      </c>
      <c r="CA93" s="276">
        <f>+CA40*(1+'Conversion Factors'!$H40)</f>
        <v>1.7936600000000004E-2</v>
      </c>
      <c r="CB93" s="276">
        <f>+CB40*(1+'Conversion Factors'!$H40)</f>
        <v>0.32794332639999996</v>
      </c>
      <c r="CC93" s="276">
        <f>+CC40*(1+'Conversion Factors'!$H40)</f>
        <v>8.0014114411764741</v>
      </c>
      <c r="CD93" s="276">
        <f>+CD40*(1+'Conversion Factors'!$H40)</f>
        <v>10.011631814559996</v>
      </c>
      <c r="CE93" s="276">
        <f>+CE40*(1+'Conversion Factors'!$H40)</f>
        <v>0.58503718800000004</v>
      </c>
      <c r="CF93" s="276">
        <f>+CF40*(1+'Conversion Factors'!$H40)</f>
        <v>6.2265250000000008E-2</v>
      </c>
      <c r="CG93" s="276">
        <f>+CG40*(1+'Conversion Factors'!$H40)</f>
        <v>216.37939377858487</v>
      </c>
      <c r="CH93" s="276">
        <f>+CH40*(1+'Conversion Factors'!$H40)</f>
        <v>51.287432918319986</v>
      </c>
      <c r="CI93" s="276">
        <f>+CI40*(1+'Conversion Factors'!$H40)</f>
        <v>10.592253916360002</v>
      </c>
      <c r="CJ93" s="276">
        <f>+CJ40*(1+'Conversion Factors'!$H40)</f>
        <v>22.928410579556676</v>
      </c>
      <c r="CK93" s="276">
        <f>+CK40*(1+'Conversion Factors'!$H40)</f>
        <v>1.224803624</v>
      </c>
      <c r="CL93" s="276">
        <f>+CL40*(1+'Conversion Factors'!$H40)</f>
        <v>16.832000000000001</v>
      </c>
      <c r="CM93" s="276">
        <f>+CM40*(1+'Conversion Factors'!$H40)</f>
        <v>3.011229020000002E-2</v>
      </c>
      <c r="CN93" s="276">
        <f>+CN40*(1+'Conversion Factors'!$H40)</f>
        <v>1.1945707219999999</v>
      </c>
      <c r="CO93" s="276">
        <f>+CO40*(1+'Conversion Factors'!$H40)</f>
        <v>18.508128781769333</v>
      </c>
      <c r="CP93" s="276">
        <f>+CP40*(1+'Conversion Factors'!$H40)</f>
        <v>1.1945707219999999</v>
      </c>
      <c r="CQ93" s="276">
        <f>+CQ40*(1+'Conversion Factors'!$H40)</f>
        <v>3.2958108000000007E-2</v>
      </c>
      <c r="CR93" s="276">
        <f>+CR40*(1+'Conversion Factors'!$H40)</f>
        <v>7.4645712000000003E-2</v>
      </c>
      <c r="CS93" s="996">
        <f>+CS40*(1+'Conversion Factors'!$H40)</f>
        <v>0.45052794200000001</v>
      </c>
      <c r="CT93" s="277">
        <f>SUM(BT93:CS93)-CL93</f>
        <v>412.55726095962058</v>
      </c>
      <c r="CU93" s="276">
        <f>+CU40*(1+'Conversion Factors'!$H40)</f>
        <v>0</v>
      </c>
      <c r="CV93" s="276">
        <f>+CV40*(1+'Conversion Factors'!$H40)</f>
        <v>0</v>
      </c>
      <c r="CW93" s="276">
        <f>+CW40*(1+'Conversion Factors'!$H40)</f>
        <v>5.8378354206100243</v>
      </c>
      <c r="CX93" s="276">
        <f>+CX40*(1+'Conversion Factors'!$H40)</f>
        <v>4.0335632774999999</v>
      </c>
      <c r="CY93" s="1106">
        <f t="shared" si="43"/>
        <v>9.8713986981100241</v>
      </c>
      <c r="CZ93" s="718">
        <f t="shared" si="48"/>
        <v>422.42865965773058</v>
      </c>
      <c r="DA93" s="162">
        <f t="shared" si="49"/>
        <v>284.73994947617354</v>
      </c>
      <c r="DB93" s="162">
        <f t="shared" si="44"/>
        <v>137.68871018155704</v>
      </c>
    </row>
    <row r="94" spans="1:106" x14ac:dyDescent="0.2">
      <c r="A94" s="269">
        <v>2030</v>
      </c>
      <c r="B94" s="1087">
        <f>+B41*(1+'Conversion Factors'!$F41)</f>
        <v>14.683966023985681</v>
      </c>
      <c r="C94" s="1088">
        <f>+C41*(1+'Conversion Factors'!$F41)</f>
        <v>0.42281050000000009</v>
      </c>
      <c r="D94" s="738">
        <f>+D41*(1+'Conversion Factors'!$F41)</f>
        <v>8.522550000000001E-2</v>
      </c>
      <c r="E94" s="276">
        <f>+E41*(1+'Conversion Factors'!$F41)</f>
        <v>5.00815385978244</v>
      </c>
      <c r="F94" s="276">
        <f>+F41*(1+'Conversion Factors'!$F41)</f>
        <v>6.616725932490275</v>
      </c>
      <c r="G94" s="738">
        <f>+G41*(1+'Conversion Factors'!$F41)</f>
        <v>1.649658033759305</v>
      </c>
      <c r="H94" s="276">
        <f>+H41*(1+'Conversion Factors'!$F41)</f>
        <v>0.5853006999999999</v>
      </c>
      <c r="I94" s="276">
        <f>+I41*(1+'Conversion Factors'!$F41)</f>
        <v>1.4445000000000006E-2</v>
      </c>
      <c r="J94" s="738">
        <f>+J41*(1+'Conversion Factors'!$F41)</f>
        <v>6.4189300000000005E-2</v>
      </c>
      <c r="K94" s="276">
        <f>+K41*(1+'Conversion Factors'!$F41)</f>
        <v>3.1214681999999985</v>
      </c>
      <c r="L94" s="276">
        <f>+L41*(1+'Conversion Factors'!$F41)</f>
        <v>9.5604614490000035</v>
      </c>
      <c r="M94" s="276">
        <f>+M41*(1+'Conversion Factors'!$F41)</f>
        <v>4.0332580000000007E-2</v>
      </c>
      <c r="N94" s="276">
        <f>+N41*(1+'Conversion Factors'!$F41)</f>
        <v>9.1147949999999985E-3</v>
      </c>
      <c r="O94" s="738">
        <f>+O41*(1+'Conversion Factors'!$F41)</f>
        <v>45.792953260214325</v>
      </c>
      <c r="P94" s="276">
        <f>+P41*(1+'Conversion Factors'!$F41)</f>
        <v>11.863255849999998</v>
      </c>
      <c r="Q94" s="276">
        <f>+Q41*(1+'Conversion Factors'!$F41)</f>
        <v>2.3002752999999996</v>
      </c>
      <c r="R94" s="276">
        <f>+R41*(1+'Conversion Factors'!$F41)</f>
        <v>14.284179891666676</v>
      </c>
      <c r="S94" s="276">
        <f>+S41*(1+'Conversion Factors'!$F41)</f>
        <v>12.975536899999998</v>
      </c>
      <c r="T94" s="738">
        <f>+T41*(1+'Conversion Factors'!$F41)</f>
        <v>0</v>
      </c>
      <c r="U94" s="276">
        <f>+U41*(1+'Conversion Factors'!$F41)</f>
        <v>5.8956999999999982E-2</v>
      </c>
      <c r="V94" s="738">
        <f>+V41*(1+'Conversion Factors'!$F41)</f>
        <v>0</v>
      </c>
      <c r="W94" s="276">
        <f>+W41*(1+'Conversion Factors'!$F41)</f>
        <v>6.3304885555555552</v>
      </c>
      <c r="X94" s="738">
        <f>+X41*(1+'Conversion Factors'!$F41)</f>
        <v>0.52271640000000008</v>
      </c>
      <c r="Y94" s="738">
        <f>+Y41*(1+'Conversion Factors'!$F41)</f>
        <v>2.1410699999999998E-2</v>
      </c>
      <c r="Z94" s="738">
        <f>+Z41*(1+'Conversion Factors'!$F41)</f>
        <v>2.6964000000000002E-2</v>
      </c>
      <c r="AA94" s="738">
        <f>+AA41*(1+'Conversion Factors'!$F41)</f>
        <v>0.18584829999999999</v>
      </c>
      <c r="AB94" s="277">
        <f t="shared" si="50"/>
        <v>136.22443803145424</v>
      </c>
      <c r="AC94" s="276">
        <f>+AC41*(1+'Conversion Factors'!$F41)</f>
        <v>0.39390266666666668</v>
      </c>
      <c r="AD94" s="276">
        <f>+AD41*(1+'Conversion Factors'!$F41)</f>
        <v>1.32894</v>
      </c>
      <c r="AE94" s="276">
        <f>+AE41*(1+'Conversion Factors'!$F41)</f>
        <v>60.157179900178285</v>
      </c>
      <c r="AF94" s="276">
        <f>+AF41*(1+'Conversion Factors'!$F41)</f>
        <v>42.800000000000004</v>
      </c>
      <c r="AG94" s="277">
        <f t="shared" si="39"/>
        <v>104.68002256684495</v>
      </c>
      <c r="AH94" s="277">
        <f t="shared" si="45"/>
        <v>240.90446059829918</v>
      </c>
      <c r="AJ94" s="748">
        <v>2030</v>
      </c>
      <c r="AK94" s="1088">
        <f>+AK41*(1+'Conversion Factors'!$G41)</f>
        <v>34.984327419809098</v>
      </c>
      <c r="AL94" s="1088">
        <f>+AL41*(1+'Conversion Factors'!$G41)</f>
        <v>0.97871830000000004</v>
      </c>
      <c r="AM94" s="738">
        <f>+AM41*(1+'Conversion Factors'!$G41)</f>
        <v>6.4628000000000005E-2</v>
      </c>
      <c r="AN94" s="276">
        <f>+AN41*(1+'Conversion Factors'!$G41)</f>
        <v>3.4809294871794871E-3</v>
      </c>
      <c r="AO94" s="276">
        <f>+AO41*(1+'Conversion Factors'!$G41)</f>
        <v>0.81974840000000004</v>
      </c>
      <c r="AP94" s="738">
        <f>+AP41*(1+'Conversion Factors'!$G41)</f>
        <v>2.4007151910669978E-2</v>
      </c>
      <c r="AQ94" s="276">
        <f>+AQ41*(1+'Conversion Factors'!$G41)</f>
        <v>1.5087000000000007E-2</v>
      </c>
      <c r="AR94" s="276">
        <f>+AR41*(1+'Conversion Factors'!$G41)</f>
        <v>1.08498E-2</v>
      </c>
      <c r="AS94" s="738">
        <f>+AS41*(1+'Conversion Factors'!$G41)</f>
        <v>5.2494200000000005E-2</v>
      </c>
      <c r="AT94" s="276">
        <f>+AT41*(1+'Conversion Factors'!$G41)</f>
        <v>1.9820352705882349</v>
      </c>
      <c r="AU94" s="276">
        <f>+AU41*(1+'Conversion Factors'!$G41)</f>
        <v>7.5974316379999989</v>
      </c>
      <c r="AV94" s="276">
        <f>+AV41*(1+'Conversion Factors'!$G41)</f>
        <v>6.3365400000000002E-2</v>
      </c>
      <c r="AW94" s="276">
        <f>+AW41*(1+'Conversion Factors'!$G41)</f>
        <v>4.5763899999999996E-3</v>
      </c>
      <c r="AX94" s="738">
        <f>+AX41*(1+'Conversion Factors'!$G41)</f>
        <v>20.669668092841306</v>
      </c>
      <c r="AY94" s="276">
        <f>+AY41*(1+'Conversion Factors'!$G41)</f>
        <v>9.1228200000000044</v>
      </c>
      <c r="AZ94" s="276">
        <f>+AZ41*(1+'Conversion Factors'!$G41)</f>
        <v>2.2378514999999997</v>
      </c>
      <c r="BA94" s="276">
        <f>+BA41*(1+'Conversion Factors'!$G41)</f>
        <v>3.5136766999999995</v>
      </c>
      <c r="BB94" s="276">
        <f>+BB41*(1+'Conversion Factors'!$G41)</f>
        <v>0</v>
      </c>
      <c r="BC94" s="738">
        <f>+BC41*(1+'Conversion Factors'!$G41)</f>
        <v>0</v>
      </c>
      <c r="BD94" s="276">
        <f>+BD41*(1+'Conversion Factors'!$G41)</f>
        <v>0</v>
      </c>
      <c r="BE94" s="738">
        <f>+BE41*(1+'Conversion Factors'!$G41)</f>
        <v>0</v>
      </c>
      <c r="BF94" s="276">
        <f>+BF41*(1+'Conversion Factors'!$G41)</f>
        <v>0</v>
      </c>
      <c r="BG94" s="738">
        <f>+BG41*(1+'Conversion Factors'!$G41)</f>
        <v>0</v>
      </c>
      <c r="BH94" s="738">
        <f>+BH41*(1+'Conversion Factors'!$G41)</f>
        <v>2.2919399999999999E-2</v>
      </c>
      <c r="BI94" s="276">
        <f>+BI41*(1+'Conversion Factors'!$G41)</f>
        <v>0</v>
      </c>
      <c r="BJ94" s="276">
        <f>+BJ41*(1+'Conversion Factors'!$G41)</f>
        <v>0</v>
      </c>
      <c r="BK94" s="277">
        <f t="shared" si="51"/>
        <v>82.167685592636502</v>
      </c>
      <c r="BL94" s="276">
        <f>+BL41*(1+'Conversion Factors'!$G41)</f>
        <v>0</v>
      </c>
      <c r="BM94" s="276">
        <f>+BM41*(1+'Conversion Factors'!$G41)</f>
        <v>0.83460000000000012</v>
      </c>
      <c r="BN94" s="276">
        <f>+BN41*(1+'Conversion Factors'!$G41)</f>
        <v>59.301898828282845</v>
      </c>
      <c r="BO94" s="276">
        <f>+BO41*(1+'Conversion Factors'!$G41)</f>
        <v>42.800000000000004</v>
      </c>
      <c r="BP94" s="1106">
        <f t="shared" si="41"/>
        <v>102.93649882828285</v>
      </c>
      <c r="BQ94" s="718">
        <f t="shared" si="47"/>
        <v>185.10418442091935</v>
      </c>
      <c r="BS94" s="994">
        <v>2030</v>
      </c>
      <c r="BT94" s="1087">
        <f>+BT41*(1+'Conversion Factors'!$H41)</f>
        <v>24.343735730668254</v>
      </c>
      <c r="BU94" s="1088">
        <f>+BU41*(1+'Conversion Factors'!$H41)</f>
        <v>0.23570112600000001</v>
      </c>
      <c r="BV94" s="276">
        <f>+BV41*(1+'Conversion Factors'!$H41)</f>
        <v>0.35751168000000005</v>
      </c>
      <c r="BW94" s="276">
        <f>+BW41*(1+'Conversion Factors'!$H41)</f>
        <v>14.94171676075374</v>
      </c>
      <c r="BX94" s="276">
        <f>+BX41*(1+'Conversion Factors'!$H41)</f>
        <v>21.246690785230747</v>
      </c>
      <c r="BY94" s="276">
        <f>+BY41*(1+'Conversion Factors'!$H41)</f>
        <v>2.1953722366004964</v>
      </c>
      <c r="BZ94" s="276">
        <f>+BZ41*(1+'Conversion Factors'!$H41)</f>
        <v>7.2992333254400004</v>
      </c>
      <c r="CA94" s="276">
        <f>+CA41*(1+'Conversion Factors'!$H41)</f>
        <v>1.9371528000000006E-2</v>
      </c>
      <c r="CB94" s="276">
        <f>+CB41*(1+'Conversion Factors'!$H41)</f>
        <v>0.32794332639999996</v>
      </c>
      <c r="CC94" s="276">
        <f>+CC41*(1+'Conversion Factors'!$H41)</f>
        <v>8.2532970611764753</v>
      </c>
      <c r="CD94" s="276">
        <f>+CD41*(1+'Conversion Factors'!$H41)</f>
        <v>10.449873974559996</v>
      </c>
      <c r="CE94" s="276">
        <f>+CE41*(1+'Conversion Factors'!$H41)</f>
        <v>0.63945925200000009</v>
      </c>
      <c r="CF94" s="276">
        <f>+CF41*(1+'Conversion Factors'!$H41)</f>
        <v>6.7246470000000017E-2</v>
      </c>
      <c r="CG94" s="276">
        <f>+CG41*(1+'Conversion Factors'!$H41)</f>
        <v>216.37939377858487</v>
      </c>
      <c r="CH94" s="276">
        <f>+CH41*(1+'Conversion Factors'!$H41)</f>
        <v>54.234758198319987</v>
      </c>
      <c r="CI94" s="276">
        <f>+CI41*(1+'Conversion Factors'!$H41)</f>
        <v>11.163952796360004</v>
      </c>
      <c r="CJ94" s="276">
        <f>+CJ41*(1+'Conversion Factors'!$H41)</f>
        <v>22.938671787556679</v>
      </c>
      <c r="CK94" s="276">
        <f>+CK41*(1+'Conversion Factors'!$H41)</f>
        <v>1.326027064</v>
      </c>
      <c r="CL94" s="276">
        <f>+CL41*(1+'Conversion Factors'!$H41)</f>
        <v>16.832000000000001</v>
      </c>
      <c r="CM94" s="276">
        <f>+CM41*(1+'Conversion Factors'!$H41)</f>
        <v>3.017541020000002E-2</v>
      </c>
      <c r="CN94" s="276">
        <f>+CN41*(1+'Conversion Factors'!$H41)</f>
        <v>1.1945707219999999</v>
      </c>
      <c r="CO94" s="276">
        <f>+CO41*(1+'Conversion Factors'!$H41)</f>
        <v>19.259088461769334</v>
      </c>
      <c r="CP94" s="276">
        <f>+CP41*(1+'Conversion Factors'!$H41)</f>
        <v>1.1945707219999999</v>
      </c>
      <c r="CQ94" s="276">
        <f>+CQ41*(1+'Conversion Factors'!$H41)</f>
        <v>3.2958108000000007E-2</v>
      </c>
      <c r="CR94" s="276">
        <f>+CR41*(1+'Conversion Factors'!$H41)</f>
        <v>7.4645712000000003E-2</v>
      </c>
      <c r="CS94" s="996">
        <f>+CS41*(1+'Conversion Factors'!$H41)</f>
        <v>0.45052794200000001</v>
      </c>
      <c r="CT94" s="277">
        <f t="shared" ref="CT94:CT97" si="52">SUM(BT94:CS94)-CL94</f>
        <v>418.65649395962055</v>
      </c>
      <c r="CU94" s="276">
        <f>+CU41*(1+'Conversion Factors'!$H41)</f>
        <v>0</v>
      </c>
      <c r="CV94" s="276">
        <f>+CV41*(1+'Conversion Factors'!$H41)</f>
        <v>0</v>
      </c>
      <c r="CW94" s="276">
        <f>+CW41*(1+'Conversion Factors'!$H41)</f>
        <v>5.879481780542684</v>
      </c>
      <c r="CX94" s="276">
        <f>+CX41*(1+'Conversion Factors'!$H41)</f>
        <v>4.0706925654999999</v>
      </c>
      <c r="CY94" s="1106">
        <f t="shared" si="43"/>
        <v>9.950174346042683</v>
      </c>
      <c r="CZ94" s="718">
        <f t="shared" si="48"/>
        <v>428.60666830566322</v>
      </c>
      <c r="DA94" s="162">
        <f t="shared" si="49"/>
        <v>285.07621264410625</v>
      </c>
      <c r="DB94" s="162">
        <f t="shared" ref="DB94:DB97" si="53">+CZ94-DA94</f>
        <v>143.53045566155697</v>
      </c>
    </row>
    <row r="95" spans="1:106" x14ac:dyDescent="0.2">
      <c r="A95" s="269">
        <v>2031</v>
      </c>
      <c r="B95" s="1087">
        <f>+B42*(1+'Conversion Factors'!$F42)</f>
        <v>14.683966023985681</v>
      </c>
      <c r="C95" s="1088">
        <f>+C42*(1+'Conversion Factors'!$F42)</f>
        <v>0.42281050000000009</v>
      </c>
      <c r="D95" s="738">
        <f>+D42*(1+'Conversion Factors'!$F42)</f>
        <v>8.522550000000001E-2</v>
      </c>
      <c r="E95" s="276">
        <f>+E42*(1+'Conversion Factors'!$F42)</f>
        <v>5.1579538597824399</v>
      </c>
      <c r="F95" s="276">
        <f>+F42*(1+'Conversion Factors'!$F42)</f>
        <v>6.6573859324902749</v>
      </c>
      <c r="G95" s="738">
        <f>+G42*(1+'Conversion Factors'!$F42)</f>
        <v>1.649658033759305</v>
      </c>
      <c r="H95" s="276">
        <f>+H42*(1+'Conversion Factors'!$F42)</f>
        <v>0.62542569999999986</v>
      </c>
      <c r="I95" s="276">
        <f>+I42*(1+'Conversion Factors'!$F42)</f>
        <v>1.5515000000000008E-2</v>
      </c>
      <c r="J95" s="738">
        <f>+J42*(1+'Conversion Factors'!$F42)</f>
        <v>6.4189300000000005E-2</v>
      </c>
      <c r="K95" s="276">
        <f>+K42*(1+'Conversion Factors'!$F42)</f>
        <v>3.2126856999999984</v>
      </c>
      <c r="L95" s="276">
        <f>+L42*(1+'Conversion Factors'!$F42)</f>
        <v>9.9591434490000044</v>
      </c>
      <c r="M95" s="276">
        <f>+M42*(1+'Conversion Factors'!$F42)</f>
        <v>4.3765140000000008E-2</v>
      </c>
      <c r="N95" s="276">
        <f>+N42*(1+'Conversion Factors'!$F42)</f>
        <v>9.7899649999999977E-3</v>
      </c>
      <c r="O95" s="738">
        <f>+O42*(1+'Conversion Factors'!$F42)</f>
        <v>45.792953260214325</v>
      </c>
      <c r="P95" s="276">
        <f>+P42*(1+'Conversion Factors'!$F42)</f>
        <v>12.500547849999997</v>
      </c>
      <c r="Q95" s="276">
        <f>+Q42*(1+'Conversion Factors'!$F42)</f>
        <v>2.4174402999999995</v>
      </c>
      <c r="R95" s="276">
        <f>+R42*(1+'Conversion Factors'!$F42)</f>
        <v>14.667239891666677</v>
      </c>
      <c r="S95" s="276">
        <f>+S42*(1+'Conversion Factors'!$F42)</f>
        <v>13.966035899999996</v>
      </c>
      <c r="T95" s="738">
        <f>+T42*(1+'Conversion Factors'!$F42)</f>
        <v>0</v>
      </c>
      <c r="U95" s="276">
        <f>+U42*(1+'Conversion Factors'!$F42)</f>
        <v>5.9170999999999981E-2</v>
      </c>
      <c r="V95" s="738">
        <f>+V42*(1+'Conversion Factors'!$F42)</f>
        <v>0</v>
      </c>
      <c r="W95" s="276">
        <f>+W42*(1+'Conversion Factors'!$F42)</f>
        <v>6.6437845555555546</v>
      </c>
      <c r="X95" s="738">
        <f>+X42*(1+'Conversion Factors'!$F42)</f>
        <v>0.52271640000000008</v>
      </c>
      <c r="Y95" s="738">
        <f>+Y42*(1+'Conversion Factors'!$F42)</f>
        <v>2.1410699999999998E-2</v>
      </c>
      <c r="Z95" s="738">
        <f>+Z42*(1+'Conversion Factors'!$F42)</f>
        <v>2.6964000000000002E-2</v>
      </c>
      <c r="AA95" s="738">
        <f>+AA42*(1+'Conversion Factors'!$F42)</f>
        <v>0.18584829999999999</v>
      </c>
      <c r="AB95" s="277">
        <f t="shared" si="50"/>
        <v>139.39162626145426</v>
      </c>
      <c r="AC95" s="276">
        <f>+AC42*(1+'Conversion Factors'!$F42)</f>
        <v>0.40802666666666659</v>
      </c>
      <c r="AD95" s="276">
        <f>+AD42*(1+'Conversion Factors'!$F42)</f>
        <v>1.4273800000000001</v>
      </c>
      <c r="AE95" s="276">
        <f>+AE42*(1+'Conversion Factors'!$F42)</f>
        <v>60.476039900178293</v>
      </c>
      <c r="AF95" s="276">
        <f>+AF42*(1+'Conversion Factors'!$F42)</f>
        <v>42.800000000000004</v>
      </c>
      <c r="AG95" s="277">
        <f t="shared" si="39"/>
        <v>105.11144656684496</v>
      </c>
      <c r="AH95" s="277">
        <f t="shared" si="45"/>
        <v>244.50307282829922</v>
      </c>
      <c r="AJ95" s="748">
        <v>2031</v>
      </c>
      <c r="AK95" s="1088">
        <f>+AK42*(1+'Conversion Factors'!$G42)</f>
        <v>34.984327419809098</v>
      </c>
      <c r="AL95" s="1088">
        <f>+AL42*(1+'Conversion Factors'!$G42)</f>
        <v>0.97871830000000004</v>
      </c>
      <c r="AM95" s="738">
        <f>+AM42*(1+'Conversion Factors'!$G42)</f>
        <v>6.4628000000000005E-2</v>
      </c>
      <c r="AN95" s="276">
        <f>+AN42*(1+'Conversion Factors'!$G42)</f>
        <v>3.4809294871794871E-3</v>
      </c>
      <c r="AO95" s="276">
        <f>+AO42*(1+'Conversion Factors'!$G42)</f>
        <v>0.81974840000000004</v>
      </c>
      <c r="AP95" s="738">
        <f>+AP42*(1+'Conversion Factors'!$G42)</f>
        <v>2.4007151910669978E-2</v>
      </c>
      <c r="AQ95" s="276">
        <f>+AQ42*(1+'Conversion Factors'!$G42)</f>
        <v>1.6157000000000008E-2</v>
      </c>
      <c r="AR95" s="276">
        <f>+AR42*(1+'Conversion Factors'!$G42)</f>
        <v>1.1684399999999999E-2</v>
      </c>
      <c r="AS95" s="738">
        <f>+AS42*(1+'Conversion Factors'!$G42)</f>
        <v>5.2494200000000005E-2</v>
      </c>
      <c r="AT95" s="276">
        <f>+AT42*(1+'Conversion Factors'!$G42)</f>
        <v>2.0504617705882349</v>
      </c>
      <c r="AU95" s="276">
        <f>+AU42*(1+'Conversion Factors'!$G42)</f>
        <v>7.9102461379999989</v>
      </c>
      <c r="AV95" s="276">
        <f>+AV42*(1+'Conversion Factors'!$G42)</f>
        <v>6.8997879999999998E-2</v>
      </c>
      <c r="AW95" s="276">
        <f>+AW42*(1+'Conversion Factors'!$G42)</f>
        <v>4.9284200000000002E-3</v>
      </c>
      <c r="AX95" s="738">
        <f>+AX42*(1+'Conversion Factors'!$G42)</f>
        <v>20.669668092841306</v>
      </c>
      <c r="AY95" s="276">
        <f>+AY42*(1+'Conversion Factors'!$G42)</f>
        <v>9.6193000000000044</v>
      </c>
      <c r="AZ95" s="276">
        <f>+AZ42*(1+'Conversion Factors'!$G42)</f>
        <v>2.3550165000000001</v>
      </c>
      <c r="BA95" s="276">
        <f>+BA42*(1+'Conversion Factors'!$G42)</f>
        <v>3.5136766999999995</v>
      </c>
      <c r="BB95" s="276">
        <f>+BB42*(1+'Conversion Factors'!$G42)</f>
        <v>0</v>
      </c>
      <c r="BC95" s="738">
        <f>+BC42*(1+'Conversion Factors'!$G42)</f>
        <v>0</v>
      </c>
      <c r="BD95" s="276">
        <f>+BD42*(1+'Conversion Factors'!$G42)</f>
        <v>0</v>
      </c>
      <c r="BE95" s="738">
        <f>+BE42*(1+'Conversion Factors'!$G42)</f>
        <v>0</v>
      </c>
      <c r="BF95" s="276">
        <f>+BF42*(1+'Conversion Factors'!$G42)</f>
        <v>0</v>
      </c>
      <c r="BG95" s="738">
        <f>+BG42*(1+'Conversion Factors'!$G42)</f>
        <v>0</v>
      </c>
      <c r="BH95" s="738">
        <f>+BH42*(1+'Conversion Factors'!$G42)</f>
        <v>2.2919399999999999E-2</v>
      </c>
      <c r="BI95" s="276">
        <f>+BI42*(1+'Conversion Factors'!$G42)</f>
        <v>0</v>
      </c>
      <c r="BJ95" s="276">
        <f>+BJ42*(1+'Conversion Factors'!$G42)</f>
        <v>0</v>
      </c>
      <c r="BK95" s="277">
        <f t="shared" si="51"/>
        <v>83.170460702636504</v>
      </c>
      <c r="BL95" s="276">
        <f>+BL42*(1+'Conversion Factors'!$G42)</f>
        <v>0</v>
      </c>
      <c r="BM95" s="276">
        <f>+BM42*(1+'Conversion Factors'!$G42)</f>
        <v>0.89880000000000004</v>
      </c>
      <c r="BN95" s="276">
        <f>+BN42*(1+'Conversion Factors'!$G42)</f>
        <v>59.872109393939411</v>
      </c>
      <c r="BO95" s="276">
        <f>+BO42*(1+'Conversion Factors'!$G42)</f>
        <v>42.800000000000004</v>
      </c>
      <c r="BP95" s="1106">
        <f t="shared" si="41"/>
        <v>103.57090939393942</v>
      </c>
      <c r="BQ95" s="718">
        <f t="shared" si="47"/>
        <v>186.74137009657591</v>
      </c>
      <c r="BS95" s="994">
        <v>2031</v>
      </c>
      <c r="BT95" s="1087">
        <f>+BT42*(1+'Conversion Factors'!$H42)</f>
        <v>24.343735730668254</v>
      </c>
      <c r="BU95" s="1088">
        <f>+BU42*(1+'Conversion Factors'!$H42)</f>
        <v>0.23570112600000001</v>
      </c>
      <c r="BV95" s="276">
        <f>+BV42*(1+'Conversion Factors'!$H42)</f>
        <v>0.35751168000000005</v>
      </c>
      <c r="BW95" s="276">
        <f>+BW42*(1+'Conversion Factors'!$H42)</f>
        <v>15.226072360753742</v>
      </c>
      <c r="BX95" s="276">
        <f>+BX42*(1+'Conversion Factors'!$H42)</f>
        <v>21.429107585230749</v>
      </c>
      <c r="BY95" s="276">
        <f>+BY42*(1+'Conversion Factors'!$H42)</f>
        <v>2.1953722366004964</v>
      </c>
      <c r="BZ95" s="276">
        <f>+BZ42*(1+'Conversion Factors'!$H42)</f>
        <v>7.7991963254400005</v>
      </c>
      <c r="CA95" s="276">
        <f>+CA42*(1+'Conversion Factors'!$H42)</f>
        <v>2.0806456000000004E-2</v>
      </c>
      <c r="CB95" s="276">
        <f>+CB42*(1+'Conversion Factors'!$H42)</f>
        <v>0.32794332639999996</v>
      </c>
      <c r="CC95" s="276">
        <f>+CC42*(1+'Conversion Factors'!$H42)</f>
        <v>8.5051826811764748</v>
      </c>
      <c r="CD95" s="276">
        <f>+CD42*(1+'Conversion Factors'!$H42)</f>
        <v>10.888116134559995</v>
      </c>
      <c r="CE95" s="276">
        <f>+CE42*(1+'Conversion Factors'!$H42)</f>
        <v>0.69388131600000003</v>
      </c>
      <c r="CF95" s="276">
        <f>+CF42*(1+'Conversion Factors'!$H42)</f>
        <v>7.2227690000000011E-2</v>
      </c>
      <c r="CG95" s="276">
        <f>+CG42*(1+'Conversion Factors'!$H42)</f>
        <v>216.37939377858487</v>
      </c>
      <c r="CH95" s="276">
        <f>+CH42*(1+'Conversion Factors'!$H42)</f>
        <v>57.182083478319989</v>
      </c>
      <c r="CI95" s="276">
        <f>+CI42*(1+'Conversion Factors'!$H42)</f>
        <v>11.735651676360003</v>
      </c>
      <c r="CJ95" s="276">
        <f>+CJ42*(1+'Conversion Factors'!$H42)</f>
        <v>22.948932995556678</v>
      </c>
      <c r="CK95" s="276">
        <f>+CK42*(1+'Conversion Factors'!$H42)</f>
        <v>1.4272505039999999</v>
      </c>
      <c r="CL95" s="276">
        <f>+CL42*(1+'Conversion Factors'!$H42)</f>
        <v>16.832000000000001</v>
      </c>
      <c r="CM95" s="276">
        <f>+CM42*(1+'Conversion Factors'!$H42)</f>
        <v>3.023853020000002E-2</v>
      </c>
      <c r="CN95" s="276">
        <f>+CN42*(1+'Conversion Factors'!$H42)</f>
        <v>1.1945707219999999</v>
      </c>
      <c r="CO95" s="276">
        <f>+CO42*(1+'Conversion Factors'!$H42)</f>
        <v>20.010048141769335</v>
      </c>
      <c r="CP95" s="276">
        <f>+CP42*(1+'Conversion Factors'!$H42)</f>
        <v>1.1945707219999999</v>
      </c>
      <c r="CQ95" s="276">
        <f>+CQ42*(1+'Conversion Factors'!$H42)</f>
        <v>3.2958108000000007E-2</v>
      </c>
      <c r="CR95" s="276">
        <f>+CR42*(1+'Conversion Factors'!$H42)</f>
        <v>7.4645712000000003E-2</v>
      </c>
      <c r="CS95" s="996">
        <f>+CS42*(1+'Conversion Factors'!$H42)</f>
        <v>0.45052794200000001</v>
      </c>
      <c r="CT95" s="277">
        <f t="shared" si="52"/>
        <v>424.75572695962063</v>
      </c>
      <c r="CU95" s="276">
        <f>+CU42*(1+'Conversion Factors'!$H42)</f>
        <v>0</v>
      </c>
      <c r="CV95" s="276">
        <f>+CV42*(1+'Conversion Factors'!$H42)</f>
        <v>0</v>
      </c>
      <c r="CW95" s="276">
        <f>+CW42*(1+'Conversion Factors'!$H42)</f>
        <v>5.9211281404753437</v>
      </c>
      <c r="CX95" s="276">
        <f>+CX42*(1+'Conversion Factors'!$H42)</f>
        <v>4.1078218534999991</v>
      </c>
      <c r="CY95" s="1106">
        <f t="shared" si="43"/>
        <v>10.028949993975342</v>
      </c>
      <c r="CZ95" s="718">
        <f t="shared" si="48"/>
        <v>434.78467695359598</v>
      </c>
      <c r="DA95" s="162">
        <f t="shared" si="49"/>
        <v>285.41247581203885</v>
      </c>
      <c r="DB95" s="162">
        <f t="shared" si="53"/>
        <v>149.37220114155713</v>
      </c>
    </row>
    <row r="96" spans="1:106" x14ac:dyDescent="0.2">
      <c r="A96" s="269">
        <v>2032</v>
      </c>
      <c r="B96" s="1087">
        <f>+B43*(1+'Conversion Factors'!$F43)</f>
        <v>14.683966023985681</v>
      </c>
      <c r="C96" s="1088">
        <f>+C43*(1+'Conversion Factors'!$F43)</f>
        <v>0.42281050000000009</v>
      </c>
      <c r="D96" s="738">
        <f>+D43*(1+'Conversion Factors'!$F43)</f>
        <v>8.522550000000001E-2</v>
      </c>
      <c r="E96" s="276">
        <f>+E43*(1+'Conversion Factors'!$F43)</f>
        <v>5.307753859782439</v>
      </c>
      <c r="F96" s="276">
        <f>+F43*(1+'Conversion Factors'!$F43)</f>
        <v>6.6980459324902757</v>
      </c>
      <c r="G96" s="738">
        <f>+G43*(1+'Conversion Factors'!$F43)</f>
        <v>1.649658033759305</v>
      </c>
      <c r="H96" s="276">
        <f>+H43*(1+'Conversion Factors'!$F43)</f>
        <v>0.66555069999999983</v>
      </c>
      <c r="I96" s="276">
        <f>+I43*(1+'Conversion Factors'!$F43)</f>
        <v>1.6585000000000009E-2</v>
      </c>
      <c r="J96" s="738">
        <f>+J43*(1+'Conversion Factors'!$F43)</f>
        <v>6.4189300000000005E-2</v>
      </c>
      <c r="K96" s="276">
        <f>+K43*(1+'Conversion Factors'!$F43)</f>
        <v>3.3039031999999979</v>
      </c>
      <c r="L96" s="276">
        <f>+L43*(1+'Conversion Factors'!$F43)</f>
        <v>10.357825449000003</v>
      </c>
      <c r="M96" s="276">
        <f>+M43*(1+'Conversion Factors'!$F43)</f>
        <v>4.7197700000000016E-2</v>
      </c>
      <c r="N96" s="276">
        <f>+N43*(1+'Conversion Factors'!$F43)</f>
        <v>1.0465134999999999E-2</v>
      </c>
      <c r="O96" s="738">
        <f>+O43*(1+'Conversion Factors'!$F43)</f>
        <v>45.792953260214325</v>
      </c>
      <c r="P96" s="276">
        <f>+P43*(1+'Conversion Factors'!$F43)</f>
        <v>13.137839849999997</v>
      </c>
      <c r="Q96" s="276">
        <f>+Q43*(1+'Conversion Factors'!$F43)</f>
        <v>2.5346052999999999</v>
      </c>
      <c r="R96" s="276">
        <f>+R43*(1+'Conversion Factors'!$F43)</f>
        <v>15.050299891666679</v>
      </c>
      <c r="S96" s="276">
        <f>+S43*(1+'Conversion Factors'!$F43)</f>
        <v>14.956534899999996</v>
      </c>
      <c r="T96" s="738">
        <f>+T43*(1+'Conversion Factors'!$F43)</f>
        <v>0</v>
      </c>
      <c r="U96" s="276">
        <f>+U43*(1+'Conversion Factors'!$F43)</f>
        <v>5.9384999999999979E-2</v>
      </c>
      <c r="V96" s="738">
        <f>+V43*(1+'Conversion Factors'!$F43)</f>
        <v>0</v>
      </c>
      <c r="W96" s="276">
        <f>+W43*(1+'Conversion Factors'!$F43)</f>
        <v>6.9570805555555548</v>
      </c>
      <c r="X96" s="738">
        <f>+X43*(1+'Conversion Factors'!$F43)</f>
        <v>0.52271640000000008</v>
      </c>
      <c r="Y96" s="738">
        <f>+Y43*(1+'Conversion Factors'!$F43)</f>
        <v>2.1410699999999998E-2</v>
      </c>
      <c r="Z96" s="738">
        <f>+Z43*(1+'Conversion Factors'!$F43)</f>
        <v>2.6964000000000002E-2</v>
      </c>
      <c r="AA96" s="738">
        <f>+AA43*(1+'Conversion Factors'!$F43)</f>
        <v>0.18584829999999999</v>
      </c>
      <c r="AB96" s="277">
        <f t="shared" si="50"/>
        <v>142.55881449145423</v>
      </c>
      <c r="AC96" s="276">
        <f>+AC43*(1+'Conversion Factors'!$F43)</f>
        <v>0.42215066666666656</v>
      </c>
      <c r="AD96" s="276">
        <f>+AD43*(1+'Conversion Factors'!$F43)</f>
        <v>1.52582</v>
      </c>
      <c r="AE96" s="276">
        <f>+AE43*(1+'Conversion Factors'!$F43)</f>
        <v>60.794899900178287</v>
      </c>
      <c r="AF96" s="276">
        <f>+AF43*(1+'Conversion Factors'!$F43)</f>
        <v>42.800000000000004</v>
      </c>
      <c r="AG96" s="277">
        <f t="shared" si="39"/>
        <v>105.54287056684495</v>
      </c>
      <c r="AH96" s="277">
        <f t="shared" si="45"/>
        <v>248.10168505829918</v>
      </c>
      <c r="AJ96" s="748">
        <v>2032</v>
      </c>
      <c r="AK96" s="1088">
        <f>+AK43*(1+'Conversion Factors'!$G43)</f>
        <v>34.984327419809098</v>
      </c>
      <c r="AL96" s="1088">
        <f>+AL43*(1+'Conversion Factors'!$G43)</f>
        <v>0.97871830000000004</v>
      </c>
      <c r="AM96" s="738">
        <f>+AM43*(1+'Conversion Factors'!$G43)</f>
        <v>6.4628000000000005E-2</v>
      </c>
      <c r="AN96" s="276">
        <f>+AN43*(1+'Conversion Factors'!$G43)</f>
        <v>3.4809294871794871E-3</v>
      </c>
      <c r="AO96" s="276">
        <f>+AO43*(1+'Conversion Factors'!$G43)</f>
        <v>0.81974840000000004</v>
      </c>
      <c r="AP96" s="738">
        <f>+AP43*(1+'Conversion Factors'!$G43)</f>
        <v>2.4007151910669978E-2</v>
      </c>
      <c r="AQ96" s="276">
        <f>+AQ43*(1+'Conversion Factors'!$G43)</f>
        <v>1.722700000000001E-2</v>
      </c>
      <c r="AR96" s="276">
        <f>+AR43*(1+'Conversion Factors'!$G43)</f>
        <v>1.2518999999999999E-2</v>
      </c>
      <c r="AS96" s="738">
        <f>+AS43*(1+'Conversion Factors'!$G43)</f>
        <v>5.2494200000000005E-2</v>
      </c>
      <c r="AT96" s="276">
        <f>+AT43*(1+'Conversion Factors'!$G43)</f>
        <v>2.1188882705882346</v>
      </c>
      <c r="AU96" s="276">
        <f>+AU43*(1+'Conversion Factors'!$G43)</f>
        <v>8.223060637999998</v>
      </c>
      <c r="AV96" s="276">
        <f>+AV43*(1+'Conversion Factors'!$G43)</f>
        <v>7.4630360000000007E-2</v>
      </c>
      <c r="AW96" s="276">
        <f>+AW43*(1+'Conversion Factors'!$G43)</f>
        <v>5.2804500000000008E-3</v>
      </c>
      <c r="AX96" s="738">
        <f>+AX43*(1+'Conversion Factors'!$G43)</f>
        <v>20.669668092841306</v>
      </c>
      <c r="AY96" s="276">
        <f>+AY43*(1+'Conversion Factors'!$G43)</f>
        <v>10.115780000000004</v>
      </c>
      <c r="AZ96" s="276">
        <f>+AZ43*(1+'Conversion Factors'!$G43)</f>
        <v>2.4721815</v>
      </c>
      <c r="BA96" s="276">
        <f>+BA43*(1+'Conversion Factors'!$G43)</f>
        <v>3.5136766999999995</v>
      </c>
      <c r="BB96" s="276">
        <f>+BB43*(1+'Conversion Factors'!$G43)</f>
        <v>0</v>
      </c>
      <c r="BC96" s="738">
        <f>+BC43*(1+'Conversion Factors'!$G43)</f>
        <v>0</v>
      </c>
      <c r="BD96" s="276">
        <f>+BD43*(1+'Conversion Factors'!$G43)</f>
        <v>0</v>
      </c>
      <c r="BE96" s="738">
        <f>+BE43*(1+'Conversion Factors'!$G43)</f>
        <v>0</v>
      </c>
      <c r="BF96" s="276">
        <f>+BF43*(1+'Conversion Factors'!$G43)</f>
        <v>0</v>
      </c>
      <c r="BG96" s="738">
        <f>+BG43*(1+'Conversion Factors'!$G43)</f>
        <v>0</v>
      </c>
      <c r="BH96" s="738">
        <f>+BH43*(1+'Conversion Factors'!$G43)</f>
        <v>2.2919399999999999E-2</v>
      </c>
      <c r="BI96" s="276">
        <f>+BI43*(1+'Conversion Factors'!$G43)</f>
        <v>0</v>
      </c>
      <c r="BJ96" s="276">
        <f>+BJ43*(1+'Conversion Factors'!$G43)</f>
        <v>0</v>
      </c>
      <c r="BK96" s="277">
        <f t="shared" si="51"/>
        <v>84.173235812636506</v>
      </c>
      <c r="BL96" s="276">
        <f>+BL43*(1+'Conversion Factors'!$G43)</f>
        <v>0</v>
      </c>
      <c r="BM96" s="276">
        <f>+BM43*(1+'Conversion Factors'!$G43)</f>
        <v>0.96300000000000008</v>
      </c>
      <c r="BN96" s="276">
        <f>+BN43*(1+'Conversion Factors'!$G43)</f>
        <v>60.442319959595977</v>
      </c>
      <c r="BO96" s="276">
        <f>+BO43*(1+'Conversion Factors'!$G43)</f>
        <v>42.800000000000004</v>
      </c>
      <c r="BP96" s="1106">
        <f t="shared" si="41"/>
        <v>104.20531995959598</v>
      </c>
      <c r="BQ96" s="718">
        <f t="shared" si="47"/>
        <v>188.37855577223249</v>
      </c>
      <c r="BS96" s="994">
        <v>2032</v>
      </c>
      <c r="BT96" s="1087">
        <f>+BT43*(1+'Conversion Factors'!$H43)</f>
        <v>24.343735730668254</v>
      </c>
      <c r="BU96" s="1088">
        <f>+BU43*(1+'Conversion Factors'!$H43)</f>
        <v>0.23570112600000001</v>
      </c>
      <c r="BV96" s="276">
        <f>+BV43*(1+'Conversion Factors'!$H43)</f>
        <v>0.35751168000000005</v>
      </c>
      <c r="BW96" s="276">
        <f>+BW43*(1+'Conversion Factors'!$H43)</f>
        <v>15.510427960753741</v>
      </c>
      <c r="BX96" s="276">
        <f>+BX43*(1+'Conversion Factors'!$H43)</f>
        <v>21.611524385230748</v>
      </c>
      <c r="BY96" s="276">
        <f>+BY43*(1+'Conversion Factors'!$H43)</f>
        <v>2.1953722366004964</v>
      </c>
      <c r="BZ96" s="276">
        <f>+BZ43*(1+'Conversion Factors'!$H43)</f>
        <v>8.2991593254399998</v>
      </c>
      <c r="CA96" s="276">
        <f>+CA43*(1+'Conversion Factors'!$H43)</f>
        <v>2.2241384000000006E-2</v>
      </c>
      <c r="CB96" s="276">
        <f>+CB43*(1+'Conversion Factors'!$H43)</f>
        <v>0.32794332639999996</v>
      </c>
      <c r="CC96" s="276">
        <f>+CC43*(1+'Conversion Factors'!$H43)</f>
        <v>8.7570683011764743</v>
      </c>
      <c r="CD96" s="276">
        <f>+CD43*(1+'Conversion Factors'!$H43)</f>
        <v>11.326358294559995</v>
      </c>
      <c r="CE96" s="276">
        <f>+CE43*(1+'Conversion Factors'!$H43)</f>
        <v>0.74830338000000007</v>
      </c>
      <c r="CF96" s="276">
        <f>+CF43*(1+'Conversion Factors'!$H43)</f>
        <v>7.7208910000000019E-2</v>
      </c>
      <c r="CG96" s="276">
        <f>+CG43*(1+'Conversion Factors'!$H43)</f>
        <v>216.37939377858487</v>
      </c>
      <c r="CH96" s="276">
        <f>+CH43*(1+'Conversion Factors'!$H43)</f>
        <v>60.129408758319983</v>
      </c>
      <c r="CI96" s="276">
        <f>+CI43*(1+'Conversion Factors'!$H43)</f>
        <v>12.307350556360005</v>
      </c>
      <c r="CJ96" s="276">
        <f>+CJ43*(1+'Conversion Factors'!$H43)</f>
        <v>22.959194203556681</v>
      </c>
      <c r="CK96" s="276">
        <f>+CK43*(1+'Conversion Factors'!$H43)</f>
        <v>1.5284739439999999</v>
      </c>
      <c r="CL96" s="276">
        <f>+CL43*(1+'Conversion Factors'!$H43)</f>
        <v>16.832000000000001</v>
      </c>
      <c r="CM96" s="276">
        <f>+CM43*(1+'Conversion Factors'!$H43)</f>
        <v>3.0301650200000023E-2</v>
      </c>
      <c r="CN96" s="276">
        <f>+CN43*(1+'Conversion Factors'!$H43)</f>
        <v>1.1945707219999999</v>
      </c>
      <c r="CO96" s="276">
        <f>+CO43*(1+'Conversion Factors'!$H43)</f>
        <v>20.761007821769336</v>
      </c>
      <c r="CP96" s="276">
        <f>+CP43*(1+'Conversion Factors'!$H43)</f>
        <v>1.1945707219999999</v>
      </c>
      <c r="CQ96" s="276">
        <f>+CQ43*(1+'Conversion Factors'!$H43)</f>
        <v>3.2958108000000007E-2</v>
      </c>
      <c r="CR96" s="276">
        <f>+CR43*(1+'Conversion Factors'!$H43)</f>
        <v>7.4645712000000003E-2</v>
      </c>
      <c r="CS96" s="996">
        <f>+CS43*(1+'Conversion Factors'!$H43)</f>
        <v>0.45052794200000001</v>
      </c>
      <c r="CT96" s="277">
        <f t="shared" si="52"/>
        <v>430.85495995962054</v>
      </c>
      <c r="CU96" s="276">
        <f>+CU43*(1+'Conversion Factors'!$H43)</f>
        <v>0</v>
      </c>
      <c r="CV96" s="276">
        <f>+CV43*(1+'Conversion Factors'!$H43)</f>
        <v>0</v>
      </c>
      <c r="CW96" s="276">
        <f>+CW43*(1+'Conversion Factors'!$H43)</f>
        <v>5.9627745004080044</v>
      </c>
      <c r="CX96" s="276">
        <f>+CX43*(1+'Conversion Factors'!$H43)</f>
        <v>4.1449511414999991</v>
      </c>
      <c r="CY96" s="1106">
        <f t="shared" si="43"/>
        <v>10.107725641908004</v>
      </c>
      <c r="CZ96" s="718">
        <f t="shared" si="48"/>
        <v>440.96268560152856</v>
      </c>
      <c r="DA96" s="162">
        <f t="shared" si="49"/>
        <v>285.74873897997156</v>
      </c>
      <c r="DB96" s="162">
        <f t="shared" si="53"/>
        <v>155.213946621557</v>
      </c>
    </row>
    <row r="97" spans="1:106" x14ac:dyDescent="0.2">
      <c r="A97" s="269">
        <v>2033</v>
      </c>
      <c r="B97" s="1087">
        <f>+B44*(1+'Conversion Factors'!$F44)</f>
        <v>14.683966023985681</v>
      </c>
      <c r="C97" s="1088">
        <f>+C44*(1+'Conversion Factors'!$F44)</f>
        <v>0.42281050000000009</v>
      </c>
      <c r="D97" s="738">
        <f>+D44*(1+'Conversion Factors'!$F44)</f>
        <v>8.522550000000001E-2</v>
      </c>
      <c r="E97" s="276">
        <f>+E44*(1+'Conversion Factors'!$F44)</f>
        <v>5.4575538597824389</v>
      </c>
      <c r="F97" s="276">
        <f>+F44*(1+'Conversion Factors'!$F44)</f>
        <v>6.7387059324902756</v>
      </c>
      <c r="G97" s="738">
        <f>+G44*(1+'Conversion Factors'!$F44)</f>
        <v>1.649658033759305</v>
      </c>
      <c r="H97" s="276">
        <f>+H44*(1+'Conversion Factors'!$F44)</f>
        <v>0.70567569999999979</v>
      </c>
      <c r="I97" s="276">
        <f>+I44*(1+'Conversion Factors'!$F44)</f>
        <v>1.7655000000000011E-2</v>
      </c>
      <c r="J97" s="738">
        <f>+J44*(1+'Conversion Factors'!$F44)</f>
        <v>6.4189300000000005E-2</v>
      </c>
      <c r="K97" s="276">
        <f>+K44*(1+'Conversion Factors'!$F44)</f>
        <v>3.3951206999999979</v>
      </c>
      <c r="L97" s="276">
        <f>+L44*(1+'Conversion Factors'!$F44)</f>
        <v>10.756507449000004</v>
      </c>
      <c r="M97" s="276">
        <f>+M44*(1+'Conversion Factors'!$F44)</f>
        <v>5.0630260000000017E-2</v>
      </c>
      <c r="N97" s="276">
        <f>+N44*(1+'Conversion Factors'!$F44)</f>
        <v>1.1140304999999998E-2</v>
      </c>
      <c r="O97" s="738">
        <f>+O44*(1+'Conversion Factors'!$F44)</f>
        <v>45.792953260214325</v>
      </c>
      <c r="P97" s="276">
        <f>+P44*(1+'Conversion Factors'!$F44)</f>
        <v>13.775131849999996</v>
      </c>
      <c r="Q97" s="276">
        <f>+Q44*(1+'Conversion Factors'!$F44)</f>
        <v>2.6517702999999999</v>
      </c>
      <c r="R97" s="276">
        <f>+R44*(1+'Conversion Factors'!$F44)</f>
        <v>15.433359891666679</v>
      </c>
      <c r="S97" s="276">
        <f>+S44*(1+'Conversion Factors'!$F44)</f>
        <v>15.947033899999996</v>
      </c>
      <c r="T97" s="738">
        <f>+T44*(1+'Conversion Factors'!$F44)</f>
        <v>0</v>
      </c>
      <c r="U97" s="276">
        <f>+U44*(1+'Conversion Factors'!$F44)</f>
        <v>5.9598999999999978E-2</v>
      </c>
      <c r="V97" s="738">
        <f>+V44*(1+'Conversion Factors'!$F44)</f>
        <v>0</v>
      </c>
      <c r="W97" s="276">
        <f>+W44*(1+'Conversion Factors'!$F44)</f>
        <v>7.2703765555555542</v>
      </c>
      <c r="X97" s="738">
        <f>+X44*(1+'Conversion Factors'!$F44)</f>
        <v>0.52271640000000008</v>
      </c>
      <c r="Y97" s="738">
        <f>+Y44*(1+'Conversion Factors'!$F44)</f>
        <v>2.1410699999999998E-2</v>
      </c>
      <c r="Z97" s="738">
        <f>+Z44*(1+'Conversion Factors'!$F44)</f>
        <v>2.6964000000000002E-2</v>
      </c>
      <c r="AA97" s="738">
        <f>+AA44*(1+'Conversion Factors'!$F44)</f>
        <v>0.18584829999999999</v>
      </c>
      <c r="AB97" s="277">
        <f t="shared" si="50"/>
        <v>145.72600272145422</v>
      </c>
      <c r="AC97" s="276">
        <f>+AC44*(1+'Conversion Factors'!$F44)</f>
        <v>0.43627466666666659</v>
      </c>
      <c r="AD97" s="276">
        <f>+AD44*(1+'Conversion Factors'!$F44)</f>
        <v>1.62426</v>
      </c>
      <c r="AE97" s="276">
        <f>+AE44*(1+'Conversion Factors'!$F44)</f>
        <v>61.113759900178287</v>
      </c>
      <c r="AF97" s="276">
        <f>+AF44*(1+'Conversion Factors'!$F44)</f>
        <v>42.800000000000004</v>
      </c>
      <c r="AG97" s="277">
        <f t="shared" si="39"/>
        <v>105.97429456684496</v>
      </c>
      <c r="AH97" s="277">
        <f t="shared" si="45"/>
        <v>251.70029728829917</v>
      </c>
      <c r="AJ97" s="748">
        <v>2033</v>
      </c>
      <c r="AK97" s="1088">
        <f>+AK44*(1+'Conversion Factors'!$G44)</f>
        <v>34.984327419809098</v>
      </c>
      <c r="AL97" s="1088">
        <f>+AL44*(1+'Conversion Factors'!$G44)</f>
        <v>0.97871830000000004</v>
      </c>
      <c r="AM97" s="738">
        <f>+AM44*(1+'Conversion Factors'!$G44)</f>
        <v>6.4628000000000005E-2</v>
      </c>
      <c r="AN97" s="276">
        <f>+AN44*(1+'Conversion Factors'!$G44)</f>
        <v>3.4809294871794871E-3</v>
      </c>
      <c r="AO97" s="276">
        <f>+AO44*(1+'Conversion Factors'!$G44)</f>
        <v>0.81974840000000004</v>
      </c>
      <c r="AP97" s="738">
        <f>+AP44*(1+'Conversion Factors'!$G44)</f>
        <v>2.4007151910669978E-2</v>
      </c>
      <c r="AQ97" s="276">
        <f>+AQ44*(1+'Conversion Factors'!$G44)</f>
        <v>1.8297000000000008E-2</v>
      </c>
      <c r="AR97" s="276">
        <f>+AR44*(1+'Conversion Factors'!$G44)</f>
        <v>1.3353599999999998E-2</v>
      </c>
      <c r="AS97" s="738">
        <f>+AS44*(1+'Conversion Factors'!$G44)</f>
        <v>5.2494200000000005E-2</v>
      </c>
      <c r="AT97" s="276">
        <f>+AT44*(1+'Conversion Factors'!$G44)</f>
        <v>2.1873147705882348</v>
      </c>
      <c r="AU97" s="276">
        <f>+AU44*(1+'Conversion Factors'!$G44)</f>
        <v>8.535875137999998</v>
      </c>
      <c r="AV97" s="276">
        <f>+AV44*(1+'Conversion Factors'!$G44)</f>
        <v>8.0262840000000016E-2</v>
      </c>
      <c r="AW97" s="276">
        <f>+AW44*(1+'Conversion Factors'!$G44)</f>
        <v>5.6324800000000005E-3</v>
      </c>
      <c r="AX97" s="738">
        <f>+AX44*(1+'Conversion Factors'!$G44)</f>
        <v>20.669668092841306</v>
      </c>
      <c r="AY97" s="276">
        <f>+AY44*(1+'Conversion Factors'!$G44)</f>
        <v>10.612260000000006</v>
      </c>
      <c r="AZ97" s="276">
        <f>+AZ44*(1+'Conversion Factors'!$G44)</f>
        <v>2.5893465</v>
      </c>
      <c r="BA97" s="276">
        <f>+BA44*(1+'Conversion Factors'!$G44)</f>
        <v>3.5136766999999995</v>
      </c>
      <c r="BB97" s="276">
        <f>+BB44*(1+'Conversion Factors'!$G44)</f>
        <v>0</v>
      </c>
      <c r="BC97" s="738">
        <f>+BC44*(1+'Conversion Factors'!$G44)</f>
        <v>0</v>
      </c>
      <c r="BD97" s="276">
        <f>+BD44*(1+'Conversion Factors'!$G44)</f>
        <v>0</v>
      </c>
      <c r="BE97" s="738">
        <f>+BE44*(1+'Conversion Factors'!$G44)</f>
        <v>0</v>
      </c>
      <c r="BF97" s="276">
        <f>+BF44*(1+'Conversion Factors'!$G44)</f>
        <v>0</v>
      </c>
      <c r="BG97" s="738">
        <f>+BG44*(1+'Conversion Factors'!$G44)</f>
        <v>0</v>
      </c>
      <c r="BH97" s="738">
        <f>+BH44*(1+'Conversion Factors'!$G44)</f>
        <v>2.2919399999999999E-2</v>
      </c>
      <c r="BI97" s="276">
        <f>+BI44*(1+'Conversion Factors'!$G44)</f>
        <v>0</v>
      </c>
      <c r="BJ97" s="276">
        <f>+BJ44*(1+'Conversion Factors'!$G44)</f>
        <v>0</v>
      </c>
      <c r="BK97" s="277">
        <f t="shared" si="51"/>
        <v>85.176010922636522</v>
      </c>
      <c r="BL97" s="276">
        <f>+BL44*(1+'Conversion Factors'!$G44)</f>
        <v>0</v>
      </c>
      <c r="BM97" s="276">
        <f>+BM44*(1+'Conversion Factors'!$G44)</f>
        <v>1.0272000000000001</v>
      </c>
      <c r="BN97" s="276">
        <f>+BN44*(1+'Conversion Factors'!$G44)</f>
        <v>61.012530525252544</v>
      </c>
      <c r="BO97" s="276">
        <f>+BO44*(1+'Conversion Factors'!$G44)</f>
        <v>42.800000000000004</v>
      </c>
      <c r="BP97" s="1106">
        <f t="shared" si="41"/>
        <v>104.83973052525255</v>
      </c>
      <c r="BQ97" s="718">
        <f t="shared" si="47"/>
        <v>190.01574144788907</v>
      </c>
      <c r="BS97" s="994">
        <v>2033</v>
      </c>
      <c r="BT97" s="1087">
        <f>+BT44*(1+'Conversion Factors'!$H44)</f>
        <v>24.343735730668254</v>
      </c>
      <c r="BU97" s="1088">
        <f>+BU44*(1+'Conversion Factors'!$H44)</f>
        <v>0.23570112600000001</v>
      </c>
      <c r="BV97" s="276">
        <f>+BV44*(1+'Conversion Factors'!$H44)</f>
        <v>0.35751168000000005</v>
      </c>
      <c r="BW97" s="276">
        <f>+BW44*(1+'Conversion Factors'!$H44)</f>
        <v>15.794783560753743</v>
      </c>
      <c r="BX97" s="276">
        <f>+BX44*(1+'Conversion Factors'!$H44)</f>
        <v>21.79394118523075</v>
      </c>
      <c r="BY97" s="276">
        <f>+BY44*(1+'Conversion Factors'!$H44)</f>
        <v>2.1953722366004964</v>
      </c>
      <c r="BZ97" s="276">
        <f>+BZ44*(1+'Conversion Factors'!$H44)</f>
        <v>8.7991223254400008</v>
      </c>
      <c r="CA97" s="276">
        <f>+CA44*(1+'Conversion Factors'!$H44)</f>
        <v>2.3676312000000005E-2</v>
      </c>
      <c r="CB97" s="276">
        <f>+CB44*(1+'Conversion Factors'!$H44)</f>
        <v>0.32794332639999996</v>
      </c>
      <c r="CC97" s="276">
        <f>+CC44*(1+'Conversion Factors'!$H44)</f>
        <v>9.0089539211764755</v>
      </c>
      <c r="CD97" s="276">
        <f>+CD44*(1+'Conversion Factors'!$H44)</f>
        <v>11.764600454559995</v>
      </c>
      <c r="CE97" s="276">
        <f>+CE44*(1+'Conversion Factors'!$H44)</f>
        <v>0.80272544400000012</v>
      </c>
      <c r="CF97" s="276">
        <f>+CF44*(1+'Conversion Factors'!$H44)</f>
        <v>8.2190130000000014E-2</v>
      </c>
      <c r="CG97" s="276">
        <f>+CG44*(1+'Conversion Factors'!$H44)</f>
        <v>216.37939377858487</v>
      </c>
      <c r="CH97" s="276">
        <f>+CH44*(1+'Conversion Factors'!$H44)</f>
        <v>63.076734038319984</v>
      </c>
      <c r="CI97" s="276">
        <f>+CI44*(1+'Conversion Factors'!$H44)</f>
        <v>12.879049436360004</v>
      </c>
      <c r="CJ97" s="276">
        <f>+CJ44*(1+'Conversion Factors'!$H44)</f>
        <v>22.96945541155668</v>
      </c>
      <c r="CK97" s="276">
        <f>+CK44*(1+'Conversion Factors'!$H44)</f>
        <v>1.6296973839999997</v>
      </c>
      <c r="CL97" s="276">
        <f>+CL44*(1+'Conversion Factors'!$H44)</f>
        <v>16.832000000000001</v>
      </c>
      <c r="CM97" s="276">
        <f>+CM44*(1+'Conversion Factors'!$H44)</f>
        <v>3.0364770200000023E-2</v>
      </c>
      <c r="CN97" s="276">
        <f>+CN44*(1+'Conversion Factors'!$H44)</f>
        <v>1.1945707219999999</v>
      </c>
      <c r="CO97" s="276">
        <f>+CO44*(1+'Conversion Factors'!$H44)</f>
        <v>21.511967501769337</v>
      </c>
      <c r="CP97" s="276">
        <f>+CP44*(1+'Conversion Factors'!$H44)</f>
        <v>1.1945707219999999</v>
      </c>
      <c r="CQ97" s="276">
        <f>+CQ44*(1+'Conversion Factors'!$H44)</f>
        <v>3.2958108000000007E-2</v>
      </c>
      <c r="CR97" s="276">
        <f>+CR44*(1+'Conversion Factors'!$H44)</f>
        <v>7.4645712000000003E-2</v>
      </c>
      <c r="CS97" s="996">
        <f>+CS44*(1+'Conversion Factors'!$H44)</f>
        <v>0.45052794200000001</v>
      </c>
      <c r="CT97" s="277">
        <f t="shared" si="52"/>
        <v>436.95419295962051</v>
      </c>
      <c r="CU97" s="276">
        <f>+CU44*(1+'Conversion Factors'!$H44)</f>
        <v>0</v>
      </c>
      <c r="CV97" s="276">
        <f>+CV44*(1+'Conversion Factors'!$H44)</f>
        <v>0</v>
      </c>
      <c r="CW97" s="276">
        <f>+CW44*(1+'Conversion Factors'!$H44)</f>
        <v>6.0044208603406641</v>
      </c>
      <c r="CX97" s="276">
        <f>+CX44*(1+'Conversion Factors'!$H44)</f>
        <v>4.1820804294999991</v>
      </c>
      <c r="CY97" s="1106">
        <f t="shared" si="43"/>
        <v>10.186501289840663</v>
      </c>
      <c r="CZ97" s="718">
        <f t="shared" si="48"/>
        <v>447.14069424946115</v>
      </c>
      <c r="DA97" s="162">
        <f t="shared" si="49"/>
        <v>286.08500214790422</v>
      </c>
      <c r="DB97" s="162">
        <f t="shared" si="53"/>
        <v>161.05569210155693</v>
      </c>
    </row>
    <row r="98" spans="1:106" x14ac:dyDescent="0.2">
      <c r="A98" s="269">
        <v>2034</v>
      </c>
      <c r="B98" s="1087">
        <f>+B45*(1+'Conversion Factors'!$F45)</f>
        <v>14.683966023985681</v>
      </c>
      <c r="C98" s="1088">
        <f>+C45*(1+'Conversion Factors'!$F45)</f>
        <v>0.42281050000000009</v>
      </c>
      <c r="D98" s="738">
        <f>+D45*(1+'Conversion Factors'!$F45)</f>
        <v>8.522550000000001E-2</v>
      </c>
      <c r="E98" s="276">
        <f>+E45*(1+'Conversion Factors'!$F45)</f>
        <v>5.6073538597824388</v>
      </c>
      <c r="F98" s="276">
        <f>+F45*(1+'Conversion Factors'!$F45)</f>
        <v>6.7793659324902755</v>
      </c>
      <c r="G98" s="738">
        <f>+G45*(1+'Conversion Factors'!$F45)</f>
        <v>1.649658033759305</v>
      </c>
      <c r="H98" s="276">
        <f>+H45*(1+'Conversion Factors'!$F45)</f>
        <v>0.74580069999999987</v>
      </c>
      <c r="I98" s="276">
        <f>+I45*(1+'Conversion Factors'!$F45)</f>
        <v>1.8725000000000009E-2</v>
      </c>
      <c r="J98" s="738">
        <f>+J45*(1+'Conversion Factors'!$F45)</f>
        <v>6.4189300000000005E-2</v>
      </c>
      <c r="K98" s="276">
        <f>+K45*(1+'Conversion Factors'!$F45)</f>
        <v>3.4863381999999978</v>
      </c>
      <c r="L98" s="276">
        <f>+L45*(1+'Conversion Factors'!$F45)</f>
        <v>11.155189449000005</v>
      </c>
      <c r="M98" s="276">
        <f>+M45*(1+'Conversion Factors'!$F45)</f>
        <v>5.4062820000000018E-2</v>
      </c>
      <c r="N98" s="276">
        <f>+N45*(1+'Conversion Factors'!$F45)</f>
        <v>1.1815474999999997E-2</v>
      </c>
      <c r="O98" s="738">
        <f>+O45*(1+'Conversion Factors'!$F45)</f>
        <v>45.792953260214325</v>
      </c>
      <c r="P98" s="276">
        <f>+P45*(1+'Conversion Factors'!$F45)</f>
        <v>14.412423849999994</v>
      </c>
      <c r="Q98" s="276">
        <f>+Q45*(1+'Conversion Factors'!$F45)</f>
        <v>2.7689353000000003</v>
      </c>
      <c r="R98" s="276">
        <f>+R45*(1+'Conversion Factors'!$F45)</f>
        <v>15.81641989166668</v>
      </c>
      <c r="S98" s="276">
        <f>+S45*(1+'Conversion Factors'!$F45)</f>
        <v>16.937532899999994</v>
      </c>
      <c r="T98" s="738">
        <f>+T45*(1+'Conversion Factors'!$F45)</f>
        <v>0</v>
      </c>
      <c r="U98" s="276">
        <f>+U45*(1+'Conversion Factors'!$F45)</f>
        <v>5.9812999999999977E-2</v>
      </c>
      <c r="V98" s="738">
        <f>+V45*(1+'Conversion Factors'!$F45)</f>
        <v>0</v>
      </c>
      <c r="W98" s="276">
        <f>+W45*(1+'Conversion Factors'!$F45)</f>
        <v>7.5836725555555535</v>
      </c>
      <c r="X98" s="738">
        <f>+X45*(1+'Conversion Factors'!$F45)</f>
        <v>0.52271640000000008</v>
      </c>
      <c r="Y98" s="738">
        <f>+Y45*(1+'Conversion Factors'!$F45)</f>
        <v>2.1410699999999998E-2</v>
      </c>
      <c r="Z98" s="738">
        <f>+Z45*(1+'Conversion Factors'!$F45)</f>
        <v>2.6964000000000002E-2</v>
      </c>
      <c r="AA98" s="738">
        <f>+AA45*(1+'Conversion Factors'!$F45)</f>
        <v>0.18584829999999999</v>
      </c>
      <c r="AB98" s="277">
        <f t="shared" ref="AB98:AB105" si="54">SUM(B98:AA98)</f>
        <v>148.89319095145424</v>
      </c>
      <c r="AC98" s="276">
        <f>+AC45*(1+'Conversion Factors'!$F45)</f>
        <v>0.45039866666666656</v>
      </c>
      <c r="AD98" s="276">
        <f>+AD45*(1+'Conversion Factors'!$F45)</f>
        <v>1.7227000000000001</v>
      </c>
      <c r="AE98" s="276">
        <f>+AE45*(1+'Conversion Factors'!$F45)</f>
        <v>61.432619900178288</v>
      </c>
      <c r="AF98" s="276">
        <f>+AF45*(1+'Conversion Factors'!$F45)</f>
        <v>42.800000000000004</v>
      </c>
      <c r="AG98" s="277">
        <f t="shared" si="39"/>
        <v>106.40571856684497</v>
      </c>
      <c r="AH98" s="277">
        <f t="shared" si="45"/>
        <v>255.29890951829921</v>
      </c>
      <c r="AJ98" s="748">
        <v>2034</v>
      </c>
      <c r="AK98" s="1088">
        <f>+AK45*(1+'Conversion Factors'!$G45)</f>
        <v>34.984327419809098</v>
      </c>
      <c r="AL98" s="1088">
        <f>+AL45*(1+'Conversion Factors'!$G45)</f>
        <v>0.97871830000000004</v>
      </c>
      <c r="AM98" s="738">
        <f>+AM45*(1+'Conversion Factors'!$G45)</f>
        <v>6.4628000000000005E-2</v>
      </c>
      <c r="AN98" s="276">
        <f>+AN45*(1+'Conversion Factors'!$G45)</f>
        <v>3.4809294871794871E-3</v>
      </c>
      <c r="AO98" s="276">
        <f>+AO45*(1+'Conversion Factors'!$G45)</f>
        <v>0.81974840000000004</v>
      </c>
      <c r="AP98" s="738">
        <f>+AP45*(1+'Conversion Factors'!$G45)</f>
        <v>2.4007151910669978E-2</v>
      </c>
      <c r="AQ98" s="276">
        <f>+AQ45*(1+'Conversion Factors'!$G45)</f>
        <v>1.9367000000000009E-2</v>
      </c>
      <c r="AR98" s="276">
        <f>+AR45*(1+'Conversion Factors'!$G45)</f>
        <v>1.4188199999999998E-2</v>
      </c>
      <c r="AS98" s="738">
        <f>+AS45*(1+'Conversion Factors'!$G45)</f>
        <v>5.2494200000000005E-2</v>
      </c>
      <c r="AT98" s="276">
        <f>+AT45*(1+'Conversion Factors'!$G45)</f>
        <v>2.2557412705882354</v>
      </c>
      <c r="AU98" s="276">
        <f>+AU45*(1+'Conversion Factors'!$G45)</f>
        <v>8.8486896379999997</v>
      </c>
      <c r="AV98" s="276">
        <f>+AV45*(1+'Conversion Factors'!$G45)</f>
        <v>8.5895320000000025E-2</v>
      </c>
      <c r="AW98" s="276">
        <f>+AW45*(1+'Conversion Factors'!$G45)</f>
        <v>5.984510000000001E-3</v>
      </c>
      <c r="AX98" s="738">
        <f>+AX45*(1+'Conversion Factors'!$G45)</f>
        <v>20.669668092841306</v>
      </c>
      <c r="AY98" s="276">
        <f>+AY45*(1+'Conversion Factors'!$G45)</f>
        <v>11.108740000000006</v>
      </c>
      <c r="AZ98" s="276">
        <f>+AZ45*(1+'Conversion Factors'!$G45)</f>
        <v>2.7065115000000004</v>
      </c>
      <c r="BA98" s="276">
        <f>+BA45*(1+'Conversion Factors'!$G45)</f>
        <v>3.5136766999999995</v>
      </c>
      <c r="BB98" s="276">
        <f>+BB45*(1+'Conversion Factors'!$G45)</f>
        <v>0</v>
      </c>
      <c r="BC98" s="738">
        <f>+BC45*(1+'Conversion Factors'!$G45)</f>
        <v>0</v>
      </c>
      <c r="BD98" s="276">
        <f>+BD45*(1+'Conversion Factors'!$G45)</f>
        <v>0</v>
      </c>
      <c r="BE98" s="738">
        <f>+BE45*(1+'Conversion Factors'!$G45)</f>
        <v>0</v>
      </c>
      <c r="BF98" s="276">
        <f>+BF45*(1+'Conversion Factors'!$G45)</f>
        <v>0</v>
      </c>
      <c r="BG98" s="738">
        <f>+BG45*(1+'Conversion Factors'!$G45)</f>
        <v>0</v>
      </c>
      <c r="BH98" s="738">
        <f>+BH45*(1+'Conversion Factors'!$G45)</f>
        <v>2.2919399999999999E-2</v>
      </c>
      <c r="BI98" s="276">
        <f>+BI45*(1+'Conversion Factors'!$G45)</f>
        <v>0</v>
      </c>
      <c r="BJ98" s="276">
        <f>+BJ45*(1+'Conversion Factors'!$G45)</f>
        <v>0</v>
      </c>
      <c r="BK98" s="277">
        <f t="shared" ref="BK98:BK105" si="55">SUM(AK98:BJ98)</f>
        <v>86.178786032636523</v>
      </c>
      <c r="BL98" s="276">
        <f>+BL45*(1+'Conversion Factors'!$G45)</f>
        <v>0</v>
      </c>
      <c r="BM98" s="276">
        <f>+BM45*(1+'Conversion Factors'!$G45)</f>
        <v>1.0914000000000001</v>
      </c>
      <c r="BN98" s="276">
        <f>+BN45*(1+'Conversion Factors'!$G45)</f>
        <v>61.582741090909117</v>
      </c>
      <c r="BO98" s="276">
        <f>+BO45*(1+'Conversion Factors'!$G45)</f>
        <v>42.800000000000004</v>
      </c>
      <c r="BP98" s="1106">
        <f t="shared" si="41"/>
        <v>105.47414109090911</v>
      </c>
      <c r="BQ98" s="718">
        <f t="shared" si="47"/>
        <v>191.65292712354562</v>
      </c>
      <c r="BS98" s="994">
        <v>2034</v>
      </c>
      <c r="BT98" s="1087">
        <f>+BT45*(1+'Conversion Factors'!$H45)</f>
        <v>24.343735730668254</v>
      </c>
      <c r="BU98" s="1088">
        <f>+BU45*(1+'Conversion Factors'!$H45)</f>
        <v>0.23570112600000001</v>
      </c>
      <c r="BV98" s="276">
        <f>+BV45*(1+'Conversion Factors'!$H45)</f>
        <v>0.35751168000000005</v>
      </c>
      <c r="BW98" s="276">
        <f>+BW45*(1+'Conversion Factors'!$H45)</f>
        <v>16.079139160753744</v>
      </c>
      <c r="BX98" s="276">
        <f>+BX45*(1+'Conversion Factors'!$H45)</f>
        <v>21.976357985230752</v>
      </c>
      <c r="BY98" s="276">
        <f>+BY45*(1+'Conversion Factors'!$H45)</f>
        <v>2.1953722366004964</v>
      </c>
      <c r="BZ98" s="276">
        <f>+BZ45*(1+'Conversion Factors'!$H45)</f>
        <v>9.2990853254400019</v>
      </c>
      <c r="CA98" s="276">
        <f>+CA45*(1+'Conversion Factors'!$H45)</f>
        <v>2.5111240000000007E-2</v>
      </c>
      <c r="CB98" s="276">
        <f>+CB45*(1+'Conversion Factors'!$H45)</f>
        <v>0.32794332639999996</v>
      </c>
      <c r="CC98" s="276">
        <f>+CC45*(1+'Conversion Factors'!$H45)</f>
        <v>9.260839541176475</v>
      </c>
      <c r="CD98" s="276">
        <f>+CD45*(1+'Conversion Factors'!$H45)</f>
        <v>12.202842614559994</v>
      </c>
      <c r="CE98" s="276">
        <f>+CE45*(1+'Conversion Factors'!$H45)</f>
        <v>0.85714750800000006</v>
      </c>
      <c r="CF98" s="276">
        <f>+CF45*(1+'Conversion Factors'!$H45)</f>
        <v>8.7171350000000022E-2</v>
      </c>
      <c r="CG98" s="276">
        <f>+CG45*(1+'Conversion Factors'!$H45)</f>
        <v>216.37939377858487</v>
      </c>
      <c r="CH98" s="276">
        <f>+CH45*(1+'Conversion Factors'!$H45)</f>
        <v>66.024059318319985</v>
      </c>
      <c r="CI98" s="276">
        <f>+CI45*(1+'Conversion Factors'!$H45)</f>
        <v>13.450748316360006</v>
      </c>
      <c r="CJ98" s="276">
        <f>+CJ45*(1+'Conversion Factors'!$H45)</f>
        <v>22.979716619556683</v>
      </c>
      <c r="CK98" s="276">
        <f>+CK45*(1+'Conversion Factors'!$H45)</f>
        <v>1.7309208239999998</v>
      </c>
      <c r="CL98" s="276">
        <f>+CL45*(1+'Conversion Factors'!$H45)</f>
        <v>16.832000000000001</v>
      </c>
      <c r="CM98" s="276">
        <f>+CM45*(1+'Conversion Factors'!$H45)</f>
        <v>3.0427890200000023E-2</v>
      </c>
      <c r="CN98" s="276">
        <f>+CN45*(1+'Conversion Factors'!$H45)</f>
        <v>1.1945707219999999</v>
      </c>
      <c r="CO98" s="276">
        <f>+CO45*(1+'Conversion Factors'!$H45)</f>
        <v>22.262927181769339</v>
      </c>
      <c r="CP98" s="276">
        <f>+CP45*(1+'Conversion Factors'!$H45)</f>
        <v>1.1945707219999999</v>
      </c>
      <c r="CQ98" s="276">
        <f>+CQ45*(1+'Conversion Factors'!$H45)</f>
        <v>3.2958108000000007E-2</v>
      </c>
      <c r="CR98" s="276">
        <f>+CR45*(1+'Conversion Factors'!$H45)</f>
        <v>7.4645712000000003E-2</v>
      </c>
      <c r="CS98" s="996">
        <f>+CS45*(1+'Conversion Factors'!$H45)</f>
        <v>0.45052794200000001</v>
      </c>
      <c r="CT98" s="277">
        <f t="shared" ref="CT98:CT105" si="56">SUM(BT98:CS98)-CL98</f>
        <v>443.0534259596206</v>
      </c>
      <c r="CU98" s="276">
        <f>+CU45*(1+'Conversion Factors'!$H45)</f>
        <v>0</v>
      </c>
      <c r="CV98" s="276">
        <f>+CV45*(1+'Conversion Factors'!$H45)</f>
        <v>0</v>
      </c>
      <c r="CW98" s="276">
        <f>+CW45*(1+'Conversion Factors'!$H45)</f>
        <v>6.0460672202733248</v>
      </c>
      <c r="CX98" s="276">
        <f>+CX45*(1+'Conversion Factors'!$H45)</f>
        <v>4.2192097174999992</v>
      </c>
      <c r="CY98" s="1106">
        <f t="shared" si="43"/>
        <v>10.265276937773324</v>
      </c>
      <c r="CZ98" s="718">
        <f t="shared" si="48"/>
        <v>453.31870289739391</v>
      </c>
      <c r="DA98" s="162">
        <f t="shared" si="49"/>
        <v>286.42126531583682</v>
      </c>
      <c r="DB98" s="162">
        <f t="shared" ref="DB98:DB105" si="57">+CZ98-DA98</f>
        <v>166.89743758155709</v>
      </c>
    </row>
    <row r="99" spans="1:106" x14ac:dyDescent="0.2">
      <c r="A99" s="269">
        <v>2035</v>
      </c>
      <c r="B99" s="1087">
        <f>+B46*(1+'Conversion Factors'!$F46)</f>
        <v>14.683966023985681</v>
      </c>
      <c r="C99" s="1088">
        <f>+C46*(1+'Conversion Factors'!$F46)</f>
        <v>0.42281050000000009</v>
      </c>
      <c r="D99" s="738">
        <f>+D46*(1+'Conversion Factors'!$F46)</f>
        <v>8.522550000000001E-2</v>
      </c>
      <c r="E99" s="276">
        <f>+E46*(1+'Conversion Factors'!$F46)</f>
        <v>5.7571538597824379</v>
      </c>
      <c r="F99" s="276">
        <f>+F46*(1+'Conversion Factors'!$F46)</f>
        <v>6.8200259324902763</v>
      </c>
      <c r="G99" s="738">
        <f>+G46*(1+'Conversion Factors'!$F46)</f>
        <v>1.649658033759305</v>
      </c>
      <c r="H99" s="276">
        <f>+H46*(1+'Conversion Factors'!$F46)</f>
        <v>0.78592569999999984</v>
      </c>
      <c r="I99" s="276">
        <f>+I46*(1+'Conversion Factors'!$F46)</f>
        <v>1.9795000000000011E-2</v>
      </c>
      <c r="J99" s="738">
        <f>+J46*(1+'Conversion Factors'!$F46)</f>
        <v>6.4189300000000005E-2</v>
      </c>
      <c r="K99" s="276">
        <f>+K46*(1+'Conversion Factors'!$F46)</f>
        <v>3.5775556999999978</v>
      </c>
      <c r="L99" s="276">
        <f>+L46*(1+'Conversion Factors'!$F46)</f>
        <v>11.553871449000006</v>
      </c>
      <c r="M99" s="276">
        <f>+M46*(1+'Conversion Factors'!$F46)</f>
        <v>5.749538000000002E-2</v>
      </c>
      <c r="N99" s="276">
        <f>+N46*(1+'Conversion Factors'!$F46)</f>
        <v>1.2490644999999996E-2</v>
      </c>
      <c r="O99" s="738">
        <f>+O46*(1+'Conversion Factors'!$F46)</f>
        <v>45.792953260214325</v>
      </c>
      <c r="P99" s="276">
        <f>+P46*(1+'Conversion Factors'!$F46)</f>
        <v>15.049715849999995</v>
      </c>
      <c r="Q99" s="276">
        <f>+Q46*(1+'Conversion Factors'!$F46)</f>
        <v>2.8861003000000003</v>
      </c>
      <c r="R99" s="276">
        <f>+R46*(1+'Conversion Factors'!$F46)</f>
        <v>16.19947989166668</v>
      </c>
      <c r="S99" s="276">
        <f>+S46*(1+'Conversion Factors'!$F46)</f>
        <v>17.928031899999993</v>
      </c>
      <c r="T99" s="738">
        <f>+T46*(1+'Conversion Factors'!$F46)</f>
        <v>0</v>
      </c>
      <c r="U99" s="276">
        <f>+U46*(1+'Conversion Factors'!$F46)</f>
        <v>6.0026999999999976E-2</v>
      </c>
      <c r="V99" s="738">
        <f>+V46*(1+'Conversion Factors'!$F46)</f>
        <v>0</v>
      </c>
      <c r="W99" s="276">
        <f>+W46*(1+'Conversion Factors'!$F46)</f>
        <v>7.8969685555555538</v>
      </c>
      <c r="X99" s="738">
        <f>+X46*(1+'Conversion Factors'!$F46)</f>
        <v>0.52271640000000008</v>
      </c>
      <c r="Y99" s="738">
        <f>+Y46*(1+'Conversion Factors'!$F46)</f>
        <v>2.1410699999999998E-2</v>
      </c>
      <c r="Z99" s="738">
        <f>+Z46*(1+'Conversion Factors'!$F46)</f>
        <v>2.6964000000000002E-2</v>
      </c>
      <c r="AA99" s="738">
        <f>+AA46*(1+'Conversion Factors'!$F46)</f>
        <v>0.18584829999999999</v>
      </c>
      <c r="AB99" s="277">
        <f t="shared" si="54"/>
        <v>152.06037918145424</v>
      </c>
      <c r="AC99" s="276">
        <f>+AC46*(1+'Conversion Factors'!$F46)</f>
        <v>0.46452266666666664</v>
      </c>
      <c r="AD99" s="276">
        <f>+AD46*(1+'Conversion Factors'!$F46)</f>
        <v>1.82114</v>
      </c>
      <c r="AE99" s="276">
        <f>+AE46*(1+'Conversion Factors'!$F46)</f>
        <v>61.751479900178289</v>
      </c>
      <c r="AF99" s="276">
        <f>+AF46*(1+'Conversion Factors'!$F46)</f>
        <v>42.800000000000004</v>
      </c>
      <c r="AG99" s="277">
        <f t="shared" si="39"/>
        <v>106.83714256684496</v>
      </c>
      <c r="AH99" s="277">
        <f t="shared" si="45"/>
        <v>258.8975217482992</v>
      </c>
      <c r="AJ99" s="748">
        <v>2035</v>
      </c>
      <c r="AK99" s="1088">
        <f>+AK46*(1+'Conversion Factors'!$G46)</f>
        <v>34.984327419809098</v>
      </c>
      <c r="AL99" s="1088">
        <f>+AL46*(1+'Conversion Factors'!$G46)</f>
        <v>0.97871830000000004</v>
      </c>
      <c r="AM99" s="738">
        <f>+AM46*(1+'Conversion Factors'!$G46)</f>
        <v>6.4628000000000005E-2</v>
      </c>
      <c r="AN99" s="276">
        <f>+AN46*(1+'Conversion Factors'!$G46)</f>
        <v>3.4809294871794871E-3</v>
      </c>
      <c r="AO99" s="276">
        <f>+AO46*(1+'Conversion Factors'!$G46)</f>
        <v>0.81974840000000004</v>
      </c>
      <c r="AP99" s="738">
        <f>+AP46*(1+'Conversion Factors'!$G46)</f>
        <v>2.4007151910669978E-2</v>
      </c>
      <c r="AQ99" s="276">
        <f>+AQ46*(1+'Conversion Factors'!$G46)</f>
        <v>2.0437000000000011E-2</v>
      </c>
      <c r="AR99" s="276">
        <f>+AR46*(1+'Conversion Factors'!$G46)</f>
        <v>1.5022799999999998E-2</v>
      </c>
      <c r="AS99" s="738">
        <f>+AS46*(1+'Conversion Factors'!$G46)</f>
        <v>5.2494200000000005E-2</v>
      </c>
      <c r="AT99" s="276">
        <f>+AT46*(1+'Conversion Factors'!$G46)</f>
        <v>2.3241677705882355</v>
      </c>
      <c r="AU99" s="276">
        <f>+AU46*(1+'Conversion Factors'!$G46)</f>
        <v>9.1615041379999997</v>
      </c>
      <c r="AV99" s="276">
        <f>+AV46*(1+'Conversion Factors'!$G46)</f>
        <v>9.152780000000002E-2</v>
      </c>
      <c r="AW99" s="276">
        <f>+AW46*(1+'Conversion Factors'!$G46)</f>
        <v>6.3365400000000016E-3</v>
      </c>
      <c r="AX99" s="738">
        <f>+AX46*(1+'Conversion Factors'!$G46)</f>
        <v>20.669668092841306</v>
      </c>
      <c r="AY99" s="276">
        <f>+AY46*(1+'Conversion Factors'!$G46)</f>
        <v>11.605220000000006</v>
      </c>
      <c r="AZ99" s="276">
        <f>+AZ46*(1+'Conversion Factors'!$G46)</f>
        <v>2.8236765000000004</v>
      </c>
      <c r="BA99" s="276">
        <f>+BA46*(1+'Conversion Factors'!$G46)</f>
        <v>3.5136766999999995</v>
      </c>
      <c r="BB99" s="276">
        <f>+BB46*(1+'Conversion Factors'!$G46)</f>
        <v>0</v>
      </c>
      <c r="BC99" s="738">
        <f>+BC46*(1+'Conversion Factors'!$G46)</f>
        <v>0</v>
      </c>
      <c r="BD99" s="276">
        <f>+BD46*(1+'Conversion Factors'!$G46)</f>
        <v>0</v>
      </c>
      <c r="BE99" s="738">
        <f>+BE46*(1+'Conversion Factors'!$G46)</f>
        <v>0</v>
      </c>
      <c r="BF99" s="276">
        <f>+BF46*(1+'Conversion Factors'!$G46)</f>
        <v>0</v>
      </c>
      <c r="BG99" s="738">
        <f>+BG46*(1+'Conversion Factors'!$G46)</f>
        <v>0</v>
      </c>
      <c r="BH99" s="738">
        <f>+BH46*(1+'Conversion Factors'!$G46)</f>
        <v>2.2919399999999999E-2</v>
      </c>
      <c r="BI99" s="276">
        <f>+BI46*(1+'Conversion Factors'!$G46)</f>
        <v>0</v>
      </c>
      <c r="BJ99" s="276">
        <f>+BJ46*(1+'Conversion Factors'!$G46)</f>
        <v>0</v>
      </c>
      <c r="BK99" s="277">
        <f t="shared" si="55"/>
        <v>87.181561142636511</v>
      </c>
      <c r="BL99" s="276">
        <f>+BL46*(1+'Conversion Factors'!$G46)</f>
        <v>0</v>
      </c>
      <c r="BM99" s="276">
        <f>+BM46*(1+'Conversion Factors'!$G46)</f>
        <v>1.1556000000000002</v>
      </c>
      <c r="BN99" s="276">
        <f>+BN46*(1+'Conversion Factors'!$G46)</f>
        <v>62.152951656565669</v>
      </c>
      <c r="BO99" s="276">
        <f>+BO46*(1+'Conversion Factors'!$G46)</f>
        <v>42.800000000000004</v>
      </c>
      <c r="BP99" s="1106">
        <f t="shared" si="41"/>
        <v>106.10855165656568</v>
      </c>
      <c r="BQ99" s="718">
        <f t="shared" si="47"/>
        <v>193.29011279920218</v>
      </c>
      <c r="BS99" s="994">
        <v>2035</v>
      </c>
      <c r="BT99" s="1087">
        <f>+BT46*(1+'Conversion Factors'!$H46)</f>
        <v>24.343735730668254</v>
      </c>
      <c r="BU99" s="1088">
        <f>+BU46*(1+'Conversion Factors'!$H46)</f>
        <v>0.23570112600000001</v>
      </c>
      <c r="BV99" s="276">
        <f>+BV46*(1+'Conversion Factors'!$H46)</f>
        <v>0.35751168000000005</v>
      </c>
      <c r="BW99" s="276">
        <f>+BW46*(1+'Conversion Factors'!$H46)</f>
        <v>16.363494760753746</v>
      </c>
      <c r="BX99" s="276">
        <f>+BX46*(1+'Conversion Factors'!$H46)</f>
        <v>22.158774785230751</v>
      </c>
      <c r="BY99" s="276">
        <f>+BY46*(1+'Conversion Factors'!$H46)</f>
        <v>2.1953722366004964</v>
      </c>
      <c r="BZ99" s="276">
        <f>+BZ46*(1+'Conversion Factors'!$H46)</f>
        <v>9.7990483254400029</v>
      </c>
      <c r="CA99" s="276">
        <f>+CA46*(1+'Conversion Factors'!$H46)</f>
        <v>2.6546168000000009E-2</v>
      </c>
      <c r="CB99" s="276">
        <f>+CB46*(1+'Conversion Factors'!$H46)</f>
        <v>0.32794332639999996</v>
      </c>
      <c r="CC99" s="276">
        <f>+CC46*(1+'Conversion Factors'!$H46)</f>
        <v>9.5127251611764763</v>
      </c>
      <c r="CD99" s="276">
        <f>+CD46*(1+'Conversion Factors'!$H46)</f>
        <v>12.641084774559994</v>
      </c>
      <c r="CE99" s="276">
        <f>+CE46*(1+'Conversion Factors'!$H46)</f>
        <v>0.91156957200000011</v>
      </c>
      <c r="CF99" s="276">
        <f>+CF46*(1+'Conversion Factors'!$H46)</f>
        <v>9.2152570000000031E-2</v>
      </c>
      <c r="CG99" s="276">
        <f>+CG46*(1+'Conversion Factors'!$H46)</f>
        <v>216.37939377858487</v>
      </c>
      <c r="CH99" s="276">
        <f>+CH46*(1+'Conversion Factors'!$H46)</f>
        <v>68.971384598319986</v>
      </c>
      <c r="CI99" s="276">
        <f>+CI46*(1+'Conversion Factors'!$H46)</f>
        <v>14.022447196360005</v>
      </c>
      <c r="CJ99" s="276">
        <f>+CJ46*(1+'Conversion Factors'!$H46)</f>
        <v>22.989977827556682</v>
      </c>
      <c r="CK99" s="276">
        <f>+CK46*(1+'Conversion Factors'!$H46)</f>
        <v>1.8321442639999999</v>
      </c>
      <c r="CL99" s="276">
        <f>+CL46*(1+'Conversion Factors'!$H46)</f>
        <v>16.832000000000001</v>
      </c>
      <c r="CM99" s="276">
        <f>+CM46*(1+'Conversion Factors'!$H46)</f>
        <v>3.0491010200000026E-2</v>
      </c>
      <c r="CN99" s="276">
        <f>+CN46*(1+'Conversion Factors'!$H46)</f>
        <v>1.1945707219999999</v>
      </c>
      <c r="CO99" s="276">
        <f>+CO46*(1+'Conversion Factors'!$H46)</f>
        <v>23.01388686176934</v>
      </c>
      <c r="CP99" s="276">
        <f>+CP46*(1+'Conversion Factors'!$H46)</f>
        <v>1.1945707219999999</v>
      </c>
      <c r="CQ99" s="276">
        <f>+CQ46*(1+'Conversion Factors'!$H46)</f>
        <v>3.2958108000000007E-2</v>
      </c>
      <c r="CR99" s="276">
        <f>+CR46*(1+'Conversion Factors'!$H46)</f>
        <v>7.4645712000000003E-2</v>
      </c>
      <c r="CS99" s="996">
        <f>+CS46*(1+'Conversion Factors'!$H46)</f>
        <v>0.45052794200000001</v>
      </c>
      <c r="CT99" s="277">
        <f t="shared" si="56"/>
        <v>449.15265895962062</v>
      </c>
      <c r="CU99" s="276">
        <f>+CU46*(1+'Conversion Factors'!$H46)</f>
        <v>2.5774000000000001E-5</v>
      </c>
      <c r="CV99" s="276">
        <f>+CV46*(1+'Conversion Factors'!$H46)</f>
        <v>0</v>
      </c>
      <c r="CW99" s="276">
        <f>+CW46*(1+'Conversion Factors'!$H46)</f>
        <v>6.0877135802059845</v>
      </c>
      <c r="CX99" s="276">
        <f>+CX46*(1+'Conversion Factors'!$H46)</f>
        <v>4.2563390055000001</v>
      </c>
      <c r="CY99" s="1106">
        <f t="shared" si="43"/>
        <v>10.344078359705986</v>
      </c>
      <c r="CZ99" s="718">
        <f t="shared" si="48"/>
        <v>459.4967373193266</v>
      </c>
      <c r="DA99" s="162">
        <f t="shared" si="49"/>
        <v>286.75755425776953</v>
      </c>
      <c r="DB99" s="162">
        <f t="shared" si="57"/>
        <v>172.73918306155707</v>
      </c>
    </row>
    <row r="100" spans="1:106" x14ac:dyDescent="0.2">
      <c r="A100" s="269">
        <v>2036</v>
      </c>
      <c r="B100" s="1087">
        <f>+B47*(1+'Conversion Factors'!$F47)</f>
        <v>14.683966023985681</v>
      </c>
      <c r="C100" s="1088">
        <f>+C47*(1+'Conversion Factors'!$F47)</f>
        <v>0.42281050000000009</v>
      </c>
      <c r="D100" s="738">
        <f>+D47*(1+'Conversion Factors'!$F47)</f>
        <v>8.522550000000001E-2</v>
      </c>
      <c r="E100" s="276">
        <f>+E47*(1+'Conversion Factors'!$F47)</f>
        <v>5.9069538597824378</v>
      </c>
      <c r="F100" s="276">
        <f>+F47*(1+'Conversion Factors'!$F47)</f>
        <v>6.8606859324902763</v>
      </c>
      <c r="G100" s="738">
        <f>+G47*(1+'Conversion Factors'!$F47)</f>
        <v>1.649658033759305</v>
      </c>
      <c r="H100" s="276">
        <f>+H47*(1+'Conversion Factors'!$F47)</f>
        <v>0.8260506999999998</v>
      </c>
      <c r="I100" s="276">
        <f>+I47*(1+'Conversion Factors'!$F47)</f>
        <v>2.0865000000000012E-2</v>
      </c>
      <c r="J100" s="738">
        <f>+J47*(1+'Conversion Factors'!$F47)</f>
        <v>6.4189300000000005E-2</v>
      </c>
      <c r="K100" s="276">
        <f>+K47*(1+'Conversion Factors'!$F47)</f>
        <v>3.6687731999999973</v>
      </c>
      <c r="L100" s="276">
        <f>+L47*(1+'Conversion Factors'!$F47)</f>
        <v>11.952553449000005</v>
      </c>
      <c r="M100" s="276">
        <f>+M47*(1+'Conversion Factors'!$F47)</f>
        <v>6.0927940000000028E-2</v>
      </c>
      <c r="N100" s="276">
        <f>+N47*(1+'Conversion Factors'!$F47)</f>
        <v>1.3165814999999996E-2</v>
      </c>
      <c r="O100" s="738">
        <f>+O47*(1+'Conversion Factors'!$F47)</f>
        <v>45.792953260214325</v>
      </c>
      <c r="P100" s="276">
        <f>+P47*(1+'Conversion Factors'!$F47)</f>
        <v>15.687007849999993</v>
      </c>
      <c r="Q100" s="276">
        <f>+Q47*(1+'Conversion Factors'!$F47)</f>
        <v>3.0032653000000007</v>
      </c>
      <c r="R100" s="276">
        <f>+R47*(1+'Conversion Factors'!$F47)</f>
        <v>16.582539891666681</v>
      </c>
      <c r="S100" s="276">
        <f>+S47*(1+'Conversion Factors'!$F47)</f>
        <v>18.918530899999993</v>
      </c>
      <c r="T100" s="738">
        <f>+T47*(1+'Conversion Factors'!$F47)</f>
        <v>0</v>
      </c>
      <c r="U100" s="276">
        <f>+U47*(1+'Conversion Factors'!$F47)</f>
        <v>6.0240999999999975E-2</v>
      </c>
      <c r="V100" s="738">
        <f>+V47*(1+'Conversion Factors'!$F47)</f>
        <v>0</v>
      </c>
      <c r="W100" s="276">
        <f>+W47*(1+'Conversion Factors'!$F47)</f>
        <v>8.210264555555554</v>
      </c>
      <c r="X100" s="738">
        <f>+X47*(1+'Conversion Factors'!$F47)</f>
        <v>0.52271640000000008</v>
      </c>
      <c r="Y100" s="738">
        <f>+Y47*(1+'Conversion Factors'!$F47)</f>
        <v>2.1410699999999998E-2</v>
      </c>
      <c r="Z100" s="738">
        <f>+Z47*(1+'Conversion Factors'!$F47)</f>
        <v>2.6964000000000002E-2</v>
      </c>
      <c r="AA100" s="738">
        <f>+AA47*(1+'Conversion Factors'!$F47)</f>
        <v>0.18584829999999999</v>
      </c>
      <c r="AB100" s="277">
        <f t="shared" si="54"/>
        <v>155.2275674114542</v>
      </c>
      <c r="AC100" s="276">
        <f>+AC47*(1+'Conversion Factors'!$F47)</f>
        <v>0.47864666666666661</v>
      </c>
      <c r="AD100" s="276">
        <f>+AD47*(1+'Conversion Factors'!$F47)</f>
        <v>1.9195800000000001</v>
      </c>
      <c r="AE100" s="276">
        <f>+AE47*(1+'Conversion Factors'!$F47)</f>
        <v>62.070339900178311</v>
      </c>
      <c r="AF100" s="276">
        <f>+AF47*(1+'Conversion Factors'!$F47)</f>
        <v>42.800000000000004</v>
      </c>
      <c r="AG100" s="277">
        <f t="shared" si="39"/>
        <v>107.26856656684498</v>
      </c>
      <c r="AH100" s="277">
        <f t="shared" si="45"/>
        <v>262.49613397829921</v>
      </c>
      <c r="AJ100" s="748">
        <v>2036</v>
      </c>
      <c r="AK100" s="1088">
        <f>+AK47*(1+'Conversion Factors'!$G47)</f>
        <v>34.984327419809098</v>
      </c>
      <c r="AL100" s="1088">
        <f>+AL47*(1+'Conversion Factors'!$G47)</f>
        <v>0.97871830000000004</v>
      </c>
      <c r="AM100" s="738">
        <f>+AM47*(1+'Conversion Factors'!$G47)</f>
        <v>6.4628000000000005E-2</v>
      </c>
      <c r="AN100" s="276">
        <f>+AN47*(1+'Conversion Factors'!$G47)</f>
        <v>3.4809294871794871E-3</v>
      </c>
      <c r="AO100" s="276">
        <f>+AO47*(1+'Conversion Factors'!$G47)</f>
        <v>0.81974840000000004</v>
      </c>
      <c r="AP100" s="738">
        <f>+AP47*(1+'Conversion Factors'!$G47)</f>
        <v>2.4007151910669978E-2</v>
      </c>
      <c r="AQ100" s="276">
        <f>+AQ47*(1+'Conversion Factors'!$G47)</f>
        <v>2.1507000000000012E-2</v>
      </c>
      <c r="AR100" s="276">
        <f>+AR47*(1+'Conversion Factors'!$G47)</f>
        <v>1.5857399999999997E-2</v>
      </c>
      <c r="AS100" s="738">
        <f>+AS47*(1+'Conversion Factors'!$G47)</f>
        <v>5.2494200000000005E-2</v>
      </c>
      <c r="AT100" s="276">
        <f>+AT47*(1+'Conversion Factors'!$G47)</f>
        <v>2.3925942705882357</v>
      </c>
      <c r="AU100" s="276">
        <f>+AU47*(1+'Conversion Factors'!$G47)</f>
        <v>9.4743186380000015</v>
      </c>
      <c r="AV100" s="276">
        <f>+AV47*(1+'Conversion Factors'!$G47)</f>
        <v>9.7160280000000029E-2</v>
      </c>
      <c r="AW100" s="276">
        <f>+AW47*(1+'Conversion Factors'!$G47)</f>
        <v>6.6885700000000022E-3</v>
      </c>
      <c r="AX100" s="738">
        <f>+AX47*(1+'Conversion Factors'!$G47)</f>
        <v>20.669668092841306</v>
      </c>
      <c r="AY100" s="276">
        <f>+AY47*(1+'Conversion Factors'!$G47)</f>
        <v>12.101700000000006</v>
      </c>
      <c r="AZ100" s="276">
        <f>+AZ47*(1+'Conversion Factors'!$G47)</f>
        <v>2.9408415000000008</v>
      </c>
      <c r="BA100" s="276">
        <f>+BA47*(1+'Conversion Factors'!$G47)</f>
        <v>3.5136766999999995</v>
      </c>
      <c r="BB100" s="276">
        <f>+BB47*(1+'Conversion Factors'!$G47)</f>
        <v>0</v>
      </c>
      <c r="BC100" s="738">
        <f>+BC47*(1+'Conversion Factors'!$G47)</f>
        <v>0</v>
      </c>
      <c r="BD100" s="276">
        <f>+BD47*(1+'Conversion Factors'!$G47)</f>
        <v>0</v>
      </c>
      <c r="BE100" s="738">
        <f>+BE47*(1+'Conversion Factors'!$G47)</f>
        <v>0</v>
      </c>
      <c r="BF100" s="276">
        <f>+BF47*(1+'Conversion Factors'!$G47)</f>
        <v>0</v>
      </c>
      <c r="BG100" s="738">
        <f>+BG47*(1+'Conversion Factors'!$G47)</f>
        <v>0</v>
      </c>
      <c r="BH100" s="738">
        <f>+BH47*(1+'Conversion Factors'!$G47)</f>
        <v>2.2919399999999999E-2</v>
      </c>
      <c r="BI100" s="276">
        <f>+BI47*(1+'Conversion Factors'!$G47)</f>
        <v>0</v>
      </c>
      <c r="BJ100" s="276">
        <f>+BJ47*(1+'Conversion Factors'!$G47)</f>
        <v>0</v>
      </c>
      <c r="BK100" s="277">
        <f t="shared" si="55"/>
        <v>88.184336252636513</v>
      </c>
      <c r="BL100" s="276">
        <f>+BL47*(1+'Conversion Factors'!$G47)</f>
        <v>0</v>
      </c>
      <c r="BM100" s="276">
        <f>+BM47*(1+'Conversion Factors'!$G47)</f>
        <v>1.2198</v>
      </c>
      <c r="BN100" s="276">
        <f>+BN47*(1+'Conversion Factors'!$G47)</f>
        <v>62.723162222222243</v>
      </c>
      <c r="BO100" s="276">
        <f>+BO47*(1+'Conversion Factors'!$G47)</f>
        <v>42.800000000000004</v>
      </c>
      <c r="BP100" s="1106">
        <f t="shared" si="41"/>
        <v>106.74296222222225</v>
      </c>
      <c r="BQ100" s="718">
        <f t="shared" si="47"/>
        <v>194.92729847485876</v>
      </c>
      <c r="BS100" s="994">
        <v>2036</v>
      </c>
      <c r="BT100" s="1087">
        <f>+BT47*(1+'Conversion Factors'!$H47)</f>
        <v>24.343735730668254</v>
      </c>
      <c r="BU100" s="1088">
        <f>+BU47*(1+'Conversion Factors'!$H47)</f>
        <v>0.23570112600000001</v>
      </c>
      <c r="BV100" s="276">
        <f>+BV47*(1+'Conversion Factors'!$H47)</f>
        <v>0.35751168000000005</v>
      </c>
      <c r="BW100" s="276">
        <f>+BW47*(1+'Conversion Factors'!$H47)</f>
        <v>16.647850360753743</v>
      </c>
      <c r="BX100" s="276">
        <f>+BX47*(1+'Conversion Factors'!$H47)</f>
        <v>22.341191585230753</v>
      </c>
      <c r="BY100" s="276">
        <f>+BY47*(1+'Conversion Factors'!$H47)</f>
        <v>2.1953722366004964</v>
      </c>
      <c r="BZ100" s="276">
        <f>+BZ47*(1+'Conversion Factors'!$H47)</f>
        <v>10.299011325440004</v>
      </c>
      <c r="CA100" s="276">
        <f>+CA47*(1+'Conversion Factors'!$H47)</f>
        <v>2.7981096000000007E-2</v>
      </c>
      <c r="CB100" s="276">
        <f>+CB47*(1+'Conversion Factors'!$H47)</f>
        <v>0.32794332639999996</v>
      </c>
      <c r="CC100" s="276">
        <f>+CC47*(1+'Conversion Factors'!$H47)</f>
        <v>9.7646107811764757</v>
      </c>
      <c r="CD100" s="276">
        <f>+CD47*(1+'Conversion Factors'!$H47)</f>
        <v>13.079326934559994</v>
      </c>
      <c r="CE100" s="276">
        <f>+CE47*(1+'Conversion Factors'!$H47)</f>
        <v>0.96599163600000004</v>
      </c>
      <c r="CF100" s="276">
        <f>+CF47*(1+'Conversion Factors'!$H47)</f>
        <v>9.7133790000000025E-2</v>
      </c>
      <c r="CG100" s="276">
        <f>+CG47*(1+'Conversion Factors'!$H47)</f>
        <v>216.37939377858487</v>
      </c>
      <c r="CH100" s="276">
        <f>+CH47*(1+'Conversion Factors'!$H47)</f>
        <v>71.918709878319987</v>
      </c>
      <c r="CI100" s="276">
        <f>+CI47*(1+'Conversion Factors'!$H47)</f>
        <v>14.594146076360007</v>
      </c>
      <c r="CJ100" s="276">
        <f>+CJ47*(1+'Conversion Factors'!$H47)</f>
        <v>23.000239035556685</v>
      </c>
      <c r="CK100" s="276">
        <f>+CK47*(1+'Conversion Factors'!$H47)</f>
        <v>1.9333677039999997</v>
      </c>
      <c r="CL100" s="276">
        <f>+CL47*(1+'Conversion Factors'!$H47)</f>
        <v>16.832000000000001</v>
      </c>
      <c r="CM100" s="276">
        <f>+CM47*(1+'Conversion Factors'!$H47)</f>
        <v>3.0554130200000026E-2</v>
      </c>
      <c r="CN100" s="276">
        <f>+CN47*(1+'Conversion Factors'!$H47)</f>
        <v>1.1945707219999999</v>
      </c>
      <c r="CO100" s="276">
        <f>+CO47*(1+'Conversion Factors'!$H47)</f>
        <v>23.764846541769341</v>
      </c>
      <c r="CP100" s="276">
        <f>+CP47*(1+'Conversion Factors'!$H47)</f>
        <v>1.1945707219999999</v>
      </c>
      <c r="CQ100" s="276">
        <f>+CQ47*(1+'Conversion Factors'!$H47)</f>
        <v>3.2958108000000007E-2</v>
      </c>
      <c r="CR100" s="276">
        <f>+CR47*(1+'Conversion Factors'!$H47)</f>
        <v>7.4645712000000003E-2</v>
      </c>
      <c r="CS100" s="996">
        <f>+CS47*(1+'Conversion Factors'!$H47)</f>
        <v>0.45052794200000001</v>
      </c>
      <c r="CT100" s="277">
        <f t="shared" si="56"/>
        <v>455.25189195962054</v>
      </c>
      <c r="CU100" s="276">
        <f>+CU47*(1+'Conversion Factors'!$H47)</f>
        <v>5.3652000000000001E-5</v>
      </c>
      <c r="CV100" s="276">
        <f>+CV47*(1+'Conversion Factors'!$H47)</f>
        <v>0</v>
      </c>
      <c r="CW100" s="276">
        <f>+CW47*(1+'Conversion Factors'!$H47)</f>
        <v>6.1293599401386443</v>
      </c>
      <c r="CX100" s="276">
        <f>+CX47*(1+'Conversion Factors'!$H47)</f>
        <v>4.2934682935000001</v>
      </c>
      <c r="CY100" s="1106">
        <f t="shared" si="43"/>
        <v>10.422881885638645</v>
      </c>
      <c r="CZ100" s="718">
        <f t="shared" si="48"/>
        <v>465.67477384525921</v>
      </c>
      <c r="DA100" s="162">
        <f t="shared" si="49"/>
        <v>287.09384530370221</v>
      </c>
      <c r="DB100" s="162">
        <f t="shared" si="57"/>
        <v>178.580928541557</v>
      </c>
    </row>
    <row r="101" spans="1:106" x14ac:dyDescent="0.2">
      <c r="A101" s="269">
        <v>2037</v>
      </c>
      <c r="B101" s="1087">
        <f>+B48*(1+'Conversion Factors'!$F48)</f>
        <v>14.683966023985681</v>
      </c>
      <c r="C101" s="1088">
        <f>+C48*(1+'Conversion Factors'!$F48)</f>
        <v>0.42281050000000009</v>
      </c>
      <c r="D101" s="738">
        <f>+D48*(1+'Conversion Factors'!$F48)</f>
        <v>8.522550000000001E-2</v>
      </c>
      <c r="E101" s="276">
        <f>+E48*(1+'Conversion Factors'!$F48)</f>
        <v>6.0567538597824377</v>
      </c>
      <c r="F101" s="276">
        <f>+F48*(1+'Conversion Factors'!$F48)</f>
        <v>6.9013459324902771</v>
      </c>
      <c r="G101" s="738">
        <f>+G48*(1+'Conversion Factors'!$F48)</f>
        <v>1.649658033759305</v>
      </c>
      <c r="H101" s="276">
        <f>+H48*(1+'Conversion Factors'!$F48)</f>
        <v>0.86617569999999977</v>
      </c>
      <c r="I101" s="276">
        <f>+I48*(1+'Conversion Factors'!$F48)</f>
        <v>2.1935000000000014E-2</v>
      </c>
      <c r="J101" s="738">
        <f>+J48*(1+'Conversion Factors'!$F48)</f>
        <v>6.4189300000000005E-2</v>
      </c>
      <c r="K101" s="276">
        <f>+K48*(1+'Conversion Factors'!$F48)</f>
        <v>3.7599906999999972</v>
      </c>
      <c r="L101" s="276">
        <f>+L48*(1+'Conversion Factors'!$F48)</f>
        <v>12.351235449000006</v>
      </c>
      <c r="M101" s="276">
        <f>+M48*(1+'Conversion Factors'!$F48)</f>
        <v>6.4360500000000029E-2</v>
      </c>
      <c r="N101" s="276">
        <f>+N48*(1+'Conversion Factors'!$F48)</f>
        <v>1.3840984999999997E-2</v>
      </c>
      <c r="O101" s="738">
        <f>+O48*(1+'Conversion Factors'!$F48)</f>
        <v>45.792953260214325</v>
      </c>
      <c r="P101" s="276">
        <f>+P48*(1+'Conversion Factors'!$F48)</f>
        <v>16.324299849999992</v>
      </c>
      <c r="Q101" s="276">
        <f>+Q48*(1+'Conversion Factors'!$F48)</f>
        <v>3.1204303000000007</v>
      </c>
      <c r="R101" s="276">
        <f>+R48*(1+'Conversion Factors'!$F48)</f>
        <v>16.965599891666681</v>
      </c>
      <c r="S101" s="276">
        <f>+S48*(1+'Conversion Factors'!$F48)</f>
        <v>19.90902989999999</v>
      </c>
      <c r="T101" s="738">
        <f>+T48*(1+'Conversion Factors'!$F48)</f>
        <v>0</v>
      </c>
      <c r="U101" s="276">
        <f>+U48*(1+'Conversion Factors'!$F48)</f>
        <v>6.0454999999999974E-2</v>
      </c>
      <c r="V101" s="738">
        <f>+V48*(1+'Conversion Factors'!$F48)</f>
        <v>0</v>
      </c>
      <c r="W101" s="276">
        <f>+W48*(1+'Conversion Factors'!$F48)</f>
        <v>8.5235605555555534</v>
      </c>
      <c r="X101" s="738">
        <f>+X48*(1+'Conversion Factors'!$F48)</f>
        <v>0.52271640000000008</v>
      </c>
      <c r="Y101" s="738">
        <f>+Y48*(1+'Conversion Factors'!$F48)</f>
        <v>2.1410699999999998E-2</v>
      </c>
      <c r="Z101" s="738">
        <f>+Z48*(1+'Conversion Factors'!$F48)</f>
        <v>2.6964000000000002E-2</v>
      </c>
      <c r="AA101" s="738">
        <f>+AA48*(1+'Conversion Factors'!$F48)</f>
        <v>0.18584829999999999</v>
      </c>
      <c r="AB101" s="277">
        <f t="shared" si="54"/>
        <v>158.3947556414542</v>
      </c>
      <c r="AC101" s="276">
        <f>+AC48*(1+'Conversion Factors'!$F48)</f>
        <v>0.49277066666666652</v>
      </c>
      <c r="AD101" s="276">
        <f>+AD48*(1+'Conversion Factors'!$F48)</f>
        <v>2.0180199999999999</v>
      </c>
      <c r="AE101" s="276">
        <f>+AE48*(1+'Conversion Factors'!$F48)</f>
        <v>62.389199900178298</v>
      </c>
      <c r="AF101" s="276">
        <f>+AF48*(1+'Conversion Factors'!$F48)</f>
        <v>42.800000000000004</v>
      </c>
      <c r="AG101" s="277">
        <f t="shared" si="39"/>
        <v>107.69999056684497</v>
      </c>
      <c r="AH101" s="277">
        <f t="shared" si="45"/>
        <v>266.09474620829917</v>
      </c>
      <c r="AJ101" s="748">
        <v>2037</v>
      </c>
      <c r="AK101" s="1088">
        <f>+AK48*(1+'Conversion Factors'!$G48)</f>
        <v>34.984327419809098</v>
      </c>
      <c r="AL101" s="1088">
        <f>+AL48*(1+'Conversion Factors'!$G48)</f>
        <v>0.97871830000000004</v>
      </c>
      <c r="AM101" s="738">
        <f>+AM48*(1+'Conversion Factors'!$G48)</f>
        <v>6.4628000000000005E-2</v>
      </c>
      <c r="AN101" s="276">
        <f>+AN48*(1+'Conversion Factors'!$G48)</f>
        <v>3.4809294871794871E-3</v>
      </c>
      <c r="AO101" s="276">
        <f>+AO48*(1+'Conversion Factors'!$G48)</f>
        <v>0.81974840000000004</v>
      </c>
      <c r="AP101" s="738">
        <f>+AP48*(1+'Conversion Factors'!$G48)</f>
        <v>2.4007151910669978E-2</v>
      </c>
      <c r="AQ101" s="276">
        <f>+AQ48*(1+'Conversion Factors'!$G48)</f>
        <v>2.2577000000000014E-2</v>
      </c>
      <c r="AR101" s="276">
        <f>+AR48*(1+'Conversion Factors'!$G48)</f>
        <v>1.6691999999999995E-2</v>
      </c>
      <c r="AS101" s="738">
        <f>+AS48*(1+'Conversion Factors'!$G48)</f>
        <v>5.2494200000000005E-2</v>
      </c>
      <c r="AT101" s="276">
        <f>+AT48*(1+'Conversion Factors'!$G48)</f>
        <v>2.4610207705882359</v>
      </c>
      <c r="AU101" s="276">
        <f>+AU48*(1+'Conversion Factors'!$G48)</f>
        <v>9.7871331380000015</v>
      </c>
      <c r="AV101" s="276">
        <f>+AV48*(1+'Conversion Factors'!$G48)</f>
        <v>0.10279276000000004</v>
      </c>
      <c r="AW101" s="276">
        <f>+AW48*(1+'Conversion Factors'!$G48)</f>
        <v>7.0406000000000019E-3</v>
      </c>
      <c r="AX101" s="738">
        <f>+AX48*(1+'Conversion Factors'!$G48)</f>
        <v>20.669668092841306</v>
      </c>
      <c r="AY101" s="276">
        <f>+AY48*(1+'Conversion Factors'!$G48)</f>
        <v>12.598180000000008</v>
      </c>
      <c r="AZ101" s="276">
        <f>+AZ48*(1+'Conversion Factors'!$G48)</f>
        <v>3.0580065000000007</v>
      </c>
      <c r="BA101" s="276">
        <f>+BA48*(1+'Conversion Factors'!$G48)</f>
        <v>3.5136766999999995</v>
      </c>
      <c r="BB101" s="276">
        <f>+BB48*(1+'Conversion Factors'!$G48)</f>
        <v>0</v>
      </c>
      <c r="BC101" s="738">
        <f>+BC48*(1+'Conversion Factors'!$G48)</f>
        <v>0</v>
      </c>
      <c r="BD101" s="276">
        <f>+BD48*(1+'Conversion Factors'!$G48)</f>
        <v>0</v>
      </c>
      <c r="BE101" s="738">
        <f>+BE48*(1+'Conversion Factors'!$G48)</f>
        <v>0</v>
      </c>
      <c r="BF101" s="276">
        <f>+BF48*(1+'Conversion Factors'!$G48)</f>
        <v>0</v>
      </c>
      <c r="BG101" s="738">
        <f>+BG48*(1+'Conversion Factors'!$G48)</f>
        <v>0</v>
      </c>
      <c r="BH101" s="738">
        <f>+BH48*(1+'Conversion Factors'!$G48)</f>
        <v>2.2919399999999999E-2</v>
      </c>
      <c r="BI101" s="276">
        <f>+BI48*(1+'Conversion Factors'!$G48)</f>
        <v>0</v>
      </c>
      <c r="BJ101" s="276">
        <f>+BJ48*(1+'Conversion Factors'!$G48)</f>
        <v>0</v>
      </c>
      <c r="BK101" s="277">
        <f t="shared" si="55"/>
        <v>89.187111362636514</v>
      </c>
      <c r="BL101" s="276">
        <f>+BL48*(1+'Conversion Factors'!$G48)</f>
        <v>0</v>
      </c>
      <c r="BM101" s="276">
        <f>+BM48*(1+'Conversion Factors'!$G48)</f>
        <v>1.284</v>
      </c>
      <c r="BN101" s="276">
        <f>+BN48*(1+'Conversion Factors'!$G48)</f>
        <v>63.293372787878802</v>
      </c>
      <c r="BO101" s="276">
        <f>+BO48*(1+'Conversion Factors'!$G48)</f>
        <v>42.800000000000004</v>
      </c>
      <c r="BP101" s="1106">
        <f t="shared" si="41"/>
        <v>107.37737278787881</v>
      </c>
      <c r="BQ101" s="718">
        <f t="shared" si="47"/>
        <v>196.56448415051534</v>
      </c>
      <c r="BS101" s="994">
        <v>2037</v>
      </c>
      <c r="BT101" s="1087">
        <f>+BT48*(1+'Conversion Factors'!$H48)</f>
        <v>24.343735730668254</v>
      </c>
      <c r="BU101" s="1088">
        <f>+BU48*(1+'Conversion Factors'!$H48)</f>
        <v>0.23570112600000001</v>
      </c>
      <c r="BV101" s="276">
        <f>+BV48*(1+'Conversion Factors'!$H48)</f>
        <v>0.35751168000000005</v>
      </c>
      <c r="BW101" s="276">
        <f>+BW48*(1+'Conversion Factors'!$H48)</f>
        <v>16.932205960753745</v>
      </c>
      <c r="BX101" s="276">
        <f>+BX48*(1+'Conversion Factors'!$H48)</f>
        <v>22.523608385230755</v>
      </c>
      <c r="BY101" s="276">
        <f>+BY48*(1+'Conversion Factors'!$H48)</f>
        <v>2.1953722366004964</v>
      </c>
      <c r="BZ101" s="276">
        <f>+BZ48*(1+'Conversion Factors'!$H48)</f>
        <v>10.798974325440005</v>
      </c>
      <c r="CA101" s="276">
        <f>+CA48*(1+'Conversion Factors'!$H48)</f>
        <v>2.9416024000000009E-2</v>
      </c>
      <c r="CB101" s="276">
        <f>+CB48*(1+'Conversion Factors'!$H48)</f>
        <v>0.32794332639999996</v>
      </c>
      <c r="CC101" s="276">
        <f>+CC48*(1+'Conversion Factors'!$H48)</f>
        <v>10.016496401176475</v>
      </c>
      <c r="CD101" s="276">
        <f>+CD48*(1+'Conversion Factors'!$H48)</f>
        <v>13.517569094559994</v>
      </c>
      <c r="CE101" s="276">
        <f>+CE48*(1+'Conversion Factors'!$H48)</f>
        <v>1.0204137</v>
      </c>
      <c r="CF101" s="276">
        <f>+CF48*(1+'Conversion Factors'!$H48)</f>
        <v>0.10211501000000003</v>
      </c>
      <c r="CG101" s="276">
        <f>+CG48*(1+'Conversion Factors'!$H48)</f>
        <v>216.37939377858487</v>
      </c>
      <c r="CH101" s="276">
        <f>+CH48*(1+'Conversion Factors'!$H48)</f>
        <v>74.866035158320003</v>
      </c>
      <c r="CI101" s="276">
        <f>+CI48*(1+'Conversion Factors'!$H48)</f>
        <v>15.165844956360006</v>
      </c>
      <c r="CJ101" s="276">
        <f>+CJ48*(1+'Conversion Factors'!$H48)</f>
        <v>23.010500243556685</v>
      </c>
      <c r="CK101" s="276">
        <f>+CK48*(1+'Conversion Factors'!$H48)</f>
        <v>2.0345911439999997</v>
      </c>
      <c r="CL101" s="276">
        <f>+CL48*(1+'Conversion Factors'!$H48)</f>
        <v>16.832000000000001</v>
      </c>
      <c r="CM101" s="276">
        <f>+CM48*(1+'Conversion Factors'!$H48)</f>
        <v>3.0617250200000029E-2</v>
      </c>
      <c r="CN101" s="276">
        <f>+CN48*(1+'Conversion Factors'!$H48)</f>
        <v>1.1945707219999999</v>
      </c>
      <c r="CO101" s="276">
        <f>+CO48*(1+'Conversion Factors'!$H48)</f>
        <v>24.515806221769342</v>
      </c>
      <c r="CP101" s="276">
        <f>+CP48*(1+'Conversion Factors'!$H48)</f>
        <v>1.1945707219999999</v>
      </c>
      <c r="CQ101" s="276">
        <f>+CQ48*(1+'Conversion Factors'!$H48)</f>
        <v>3.2958108000000007E-2</v>
      </c>
      <c r="CR101" s="276">
        <f>+CR48*(1+'Conversion Factors'!$H48)</f>
        <v>7.4645712000000003E-2</v>
      </c>
      <c r="CS101" s="996">
        <f>+CS48*(1+'Conversion Factors'!$H48)</f>
        <v>0.45052794200000001</v>
      </c>
      <c r="CT101" s="277">
        <f t="shared" si="56"/>
        <v>461.35112495962062</v>
      </c>
      <c r="CU101" s="276">
        <f>+CU48*(1+'Conversion Factors'!$H48)</f>
        <v>8.3633999999999992E-5</v>
      </c>
      <c r="CV101" s="276">
        <f>+CV48*(1+'Conversion Factors'!$H48)</f>
        <v>0</v>
      </c>
      <c r="CW101" s="276">
        <f>+CW48*(1+'Conversion Factors'!$H48)</f>
        <v>6.1710063000713058</v>
      </c>
      <c r="CX101" s="276">
        <f>+CX48*(1+'Conversion Factors'!$H48)</f>
        <v>4.3305975815000002</v>
      </c>
      <c r="CY101" s="1106">
        <f t="shared" si="43"/>
        <v>10.501687515571305</v>
      </c>
      <c r="CZ101" s="718">
        <f t="shared" si="48"/>
        <v>471.85281247519191</v>
      </c>
      <c r="DA101" s="162">
        <f t="shared" si="49"/>
        <v>287.43013845363492</v>
      </c>
      <c r="DB101" s="162">
        <f t="shared" si="57"/>
        <v>184.42267402155699</v>
      </c>
    </row>
    <row r="102" spans="1:106" x14ac:dyDescent="0.2">
      <c r="A102" s="269">
        <v>2038</v>
      </c>
      <c r="B102" s="1087">
        <f>+B49*(1+'Conversion Factors'!$F49)</f>
        <v>14.683966023985681</v>
      </c>
      <c r="C102" s="1088">
        <f>+C49*(1+'Conversion Factors'!$F49)</f>
        <v>0.42281050000000009</v>
      </c>
      <c r="D102" s="738">
        <f>+D49*(1+'Conversion Factors'!$F49)</f>
        <v>8.522550000000001E-2</v>
      </c>
      <c r="E102" s="276">
        <f>+E49*(1+'Conversion Factors'!$F49)</f>
        <v>6.2065538597824377</v>
      </c>
      <c r="F102" s="276">
        <f>+F49*(1+'Conversion Factors'!$F49)</f>
        <v>6.942005932490277</v>
      </c>
      <c r="G102" s="738">
        <f>+G49*(1+'Conversion Factors'!$F49)</f>
        <v>1.649658033759305</v>
      </c>
      <c r="H102" s="276">
        <f>+H49*(1+'Conversion Factors'!$F49)</f>
        <v>0.90630069999999974</v>
      </c>
      <c r="I102" s="276">
        <f>+I49*(1+'Conversion Factors'!$F49)</f>
        <v>2.3005000000000015E-2</v>
      </c>
      <c r="J102" s="738">
        <f>+J49*(1+'Conversion Factors'!$F49)</f>
        <v>6.4189300000000005E-2</v>
      </c>
      <c r="K102" s="276">
        <f>+K49*(1+'Conversion Factors'!$F49)</f>
        <v>3.8512081999999972</v>
      </c>
      <c r="L102" s="276">
        <f>+L49*(1+'Conversion Factors'!$F49)</f>
        <v>12.749917449000007</v>
      </c>
      <c r="M102" s="276">
        <f>+M49*(1+'Conversion Factors'!$F49)</f>
        <v>6.779306000000003E-2</v>
      </c>
      <c r="N102" s="276">
        <f>+N49*(1+'Conversion Factors'!$F49)</f>
        <v>1.4516154999999996E-2</v>
      </c>
      <c r="O102" s="738">
        <f>+O49*(1+'Conversion Factors'!$F49)</f>
        <v>45.792953260214325</v>
      </c>
      <c r="P102" s="276">
        <f>+P49*(1+'Conversion Factors'!$F49)</f>
        <v>16.961591849999991</v>
      </c>
      <c r="Q102" s="276">
        <f>+Q49*(1+'Conversion Factors'!$F49)</f>
        <v>3.2375953000000011</v>
      </c>
      <c r="R102" s="276">
        <f>+R49*(1+'Conversion Factors'!$F49)</f>
        <v>17.348659891666681</v>
      </c>
      <c r="S102" s="276">
        <f>+S49*(1+'Conversion Factors'!$F49)</f>
        <v>20.899528899999989</v>
      </c>
      <c r="T102" s="738">
        <f>+T49*(1+'Conversion Factors'!$F49)</f>
        <v>0</v>
      </c>
      <c r="U102" s="276">
        <f>+U49*(1+'Conversion Factors'!$F49)</f>
        <v>6.0668999999999973E-2</v>
      </c>
      <c r="V102" s="738">
        <f>+V49*(1+'Conversion Factors'!$F49)</f>
        <v>0</v>
      </c>
      <c r="W102" s="276">
        <f>+W49*(1+'Conversion Factors'!$F49)</f>
        <v>8.8368565555555545</v>
      </c>
      <c r="X102" s="738">
        <f>+X49*(1+'Conversion Factors'!$F49)</f>
        <v>0.52271640000000008</v>
      </c>
      <c r="Y102" s="738">
        <f>+Y49*(1+'Conversion Factors'!$F49)</f>
        <v>2.1410699999999998E-2</v>
      </c>
      <c r="Z102" s="738">
        <f>+Z49*(1+'Conversion Factors'!$F49)</f>
        <v>2.6964000000000002E-2</v>
      </c>
      <c r="AA102" s="738">
        <f>+AA49*(1+'Conversion Factors'!$F49)</f>
        <v>0.18584829999999999</v>
      </c>
      <c r="AB102" s="277">
        <f t="shared" si="54"/>
        <v>161.56194387145422</v>
      </c>
      <c r="AC102" s="276">
        <f>+AC49*(1+'Conversion Factors'!$F49)</f>
        <v>0.50689466666666649</v>
      </c>
      <c r="AD102" s="276">
        <f>+AD49*(1+'Conversion Factors'!$F49)</f>
        <v>2.11646</v>
      </c>
      <c r="AE102" s="276">
        <f>+AE49*(1+'Conversion Factors'!$F49)</f>
        <v>62.708059900178306</v>
      </c>
      <c r="AF102" s="276">
        <f>+AF49*(1+'Conversion Factors'!$F49)</f>
        <v>42.800000000000004</v>
      </c>
      <c r="AG102" s="277">
        <f t="shared" si="39"/>
        <v>108.13141456684497</v>
      </c>
      <c r="AH102" s="277">
        <f t="shared" si="45"/>
        <v>269.69335843829919</v>
      </c>
      <c r="AJ102" s="748">
        <v>2038</v>
      </c>
      <c r="AK102" s="1088">
        <f>+AK49*(1+'Conversion Factors'!$G49)</f>
        <v>34.984327419809098</v>
      </c>
      <c r="AL102" s="1088">
        <f>+AL49*(1+'Conversion Factors'!$G49)</f>
        <v>0.97871830000000004</v>
      </c>
      <c r="AM102" s="738">
        <f>+AM49*(1+'Conversion Factors'!$G49)</f>
        <v>6.4628000000000005E-2</v>
      </c>
      <c r="AN102" s="276">
        <f>+AN49*(1+'Conversion Factors'!$G49)</f>
        <v>3.4809294871794871E-3</v>
      </c>
      <c r="AO102" s="276">
        <f>+AO49*(1+'Conversion Factors'!$G49)</f>
        <v>0.81974840000000004</v>
      </c>
      <c r="AP102" s="738">
        <f>+AP49*(1+'Conversion Factors'!$G49)</f>
        <v>2.4007151910669978E-2</v>
      </c>
      <c r="AQ102" s="276">
        <f>+AQ49*(1+'Conversion Factors'!$G49)</f>
        <v>2.3647000000000015E-2</v>
      </c>
      <c r="AR102" s="276">
        <f>+AR49*(1+'Conversion Factors'!$G49)</f>
        <v>1.7526599999999996E-2</v>
      </c>
      <c r="AS102" s="738">
        <f>+AS49*(1+'Conversion Factors'!$G49)</f>
        <v>5.2494200000000005E-2</v>
      </c>
      <c r="AT102" s="276">
        <f>+AT49*(1+'Conversion Factors'!$G49)</f>
        <v>2.529447270588236</v>
      </c>
      <c r="AU102" s="276">
        <f>+AU49*(1+'Conversion Factors'!$G49)</f>
        <v>10.099947638000003</v>
      </c>
      <c r="AV102" s="276">
        <f>+AV49*(1+'Conversion Factors'!$G49)</f>
        <v>0.10842524000000005</v>
      </c>
      <c r="AW102" s="276">
        <f>+AW49*(1+'Conversion Factors'!$G49)</f>
        <v>7.3926300000000025E-3</v>
      </c>
      <c r="AX102" s="738">
        <f>+AX49*(1+'Conversion Factors'!$G49)</f>
        <v>20.669668092841306</v>
      </c>
      <c r="AY102" s="276">
        <f>+AY49*(1+'Conversion Factors'!$G49)</f>
        <v>13.094660000000008</v>
      </c>
      <c r="AZ102" s="276">
        <f>+AZ49*(1+'Conversion Factors'!$G49)</f>
        <v>3.1751715000000011</v>
      </c>
      <c r="BA102" s="276">
        <f>+BA49*(1+'Conversion Factors'!$G49)</f>
        <v>3.5136766999999995</v>
      </c>
      <c r="BB102" s="276">
        <f>+BB49*(1+'Conversion Factors'!$G49)</f>
        <v>0</v>
      </c>
      <c r="BC102" s="738">
        <f>+BC49*(1+'Conversion Factors'!$G49)</f>
        <v>0</v>
      </c>
      <c r="BD102" s="276">
        <f>+BD49*(1+'Conversion Factors'!$G49)</f>
        <v>0</v>
      </c>
      <c r="BE102" s="738">
        <f>+BE49*(1+'Conversion Factors'!$G49)</f>
        <v>0</v>
      </c>
      <c r="BF102" s="276">
        <f>+BF49*(1+'Conversion Factors'!$G49)</f>
        <v>0</v>
      </c>
      <c r="BG102" s="738">
        <f>+BG49*(1+'Conversion Factors'!$G49)</f>
        <v>0</v>
      </c>
      <c r="BH102" s="738">
        <f>+BH49*(1+'Conversion Factors'!$G49)</f>
        <v>2.2919399999999999E-2</v>
      </c>
      <c r="BI102" s="276">
        <f>+BI49*(1+'Conversion Factors'!$G49)</f>
        <v>0</v>
      </c>
      <c r="BJ102" s="276">
        <f>+BJ49*(1+'Conversion Factors'!$G49)</f>
        <v>0</v>
      </c>
      <c r="BK102" s="277">
        <f t="shared" si="55"/>
        <v>90.189886472636502</v>
      </c>
      <c r="BL102" s="276">
        <f>+BL49*(1+'Conversion Factors'!$G49)</f>
        <v>0</v>
      </c>
      <c r="BM102" s="276">
        <f>+BM49*(1+'Conversion Factors'!$G49)</f>
        <v>1.3482000000000001</v>
      </c>
      <c r="BN102" s="276">
        <f>+BN49*(1+'Conversion Factors'!$G49)</f>
        <v>63.863583353535368</v>
      </c>
      <c r="BO102" s="276">
        <f>+BO49*(1+'Conversion Factors'!$G49)</f>
        <v>42.800000000000004</v>
      </c>
      <c r="BP102" s="1106">
        <f t="shared" si="41"/>
        <v>108.01178335353538</v>
      </c>
      <c r="BQ102" s="718">
        <f t="shared" si="47"/>
        <v>198.20166982617189</v>
      </c>
      <c r="BS102" s="994">
        <v>2038</v>
      </c>
      <c r="BT102" s="1087">
        <f>+BT49*(1+'Conversion Factors'!$H49)</f>
        <v>24.343735730668254</v>
      </c>
      <c r="BU102" s="1088">
        <f>+BU49*(1+'Conversion Factors'!$H49)</f>
        <v>0.23570112600000001</v>
      </c>
      <c r="BV102" s="276">
        <f>+BV49*(1+'Conversion Factors'!$H49)</f>
        <v>0.35751168000000005</v>
      </c>
      <c r="BW102" s="276">
        <f>+BW49*(1+'Conversion Factors'!$H49)</f>
        <v>17.216561560753743</v>
      </c>
      <c r="BX102" s="276">
        <f>+BX49*(1+'Conversion Factors'!$H49)</f>
        <v>22.706025185230754</v>
      </c>
      <c r="BY102" s="276">
        <f>+BY49*(1+'Conversion Factors'!$H49)</f>
        <v>2.1953722366004964</v>
      </c>
      <c r="BZ102" s="276">
        <f>+BZ49*(1+'Conversion Factors'!$H49)</f>
        <v>11.298937325440006</v>
      </c>
      <c r="CA102" s="276">
        <f>+CA49*(1+'Conversion Factors'!$H49)</f>
        <v>3.0850952000000011E-2</v>
      </c>
      <c r="CB102" s="276">
        <f>+CB49*(1+'Conversion Factors'!$H49)</f>
        <v>0.32794332639999996</v>
      </c>
      <c r="CC102" s="276">
        <f>+CC49*(1+'Conversion Factors'!$H49)</f>
        <v>10.268382021176476</v>
      </c>
      <c r="CD102" s="276">
        <f>+CD49*(1+'Conversion Factors'!$H49)</f>
        <v>13.955811254559993</v>
      </c>
      <c r="CE102" s="276">
        <f>+CE49*(1+'Conversion Factors'!$H49)</f>
        <v>1.0748357640000001</v>
      </c>
      <c r="CF102" s="276">
        <f>+CF49*(1+'Conversion Factors'!$H49)</f>
        <v>0.10709623000000004</v>
      </c>
      <c r="CG102" s="276">
        <f>+CG49*(1+'Conversion Factors'!$H49)</f>
        <v>216.37939377858487</v>
      </c>
      <c r="CH102" s="276">
        <f>+CH49*(1+'Conversion Factors'!$H49)</f>
        <v>77.813360438320004</v>
      </c>
      <c r="CI102" s="276">
        <f>+CI49*(1+'Conversion Factors'!$H49)</f>
        <v>15.737543836360008</v>
      </c>
      <c r="CJ102" s="276">
        <f>+CJ49*(1+'Conversion Factors'!$H49)</f>
        <v>23.020761451556687</v>
      </c>
      <c r="CK102" s="276">
        <f>+CK49*(1+'Conversion Factors'!$H49)</f>
        <v>2.1358145839999998</v>
      </c>
      <c r="CL102" s="276">
        <f>+CL49*(1+'Conversion Factors'!$H49)</f>
        <v>16.832000000000001</v>
      </c>
      <c r="CM102" s="276">
        <f>+CM49*(1+'Conversion Factors'!$H49)</f>
        <v>3.0680370200000029E-2</v>
      </c>
      <c r="CN102" s="276">
        <f>+CN49*(1+'Conversion Factors'!$H49)</f>
        <v>1.1945707219999999</v>
      </c>
      <c r="CO102" s="276">
        <f>+CO49*(1+'Conversion Factors'!$H49)</f>
        <v>25.266765901769343</v>
      </c>
      <c r="CP102" s="276">
        <f>+CP49*(1+'Conversion Factors'!$H49)</f>
        <v>1.1945707219999999</v>
      </c>
      <c r="CQ102" s="276">
        <f>+CQ49*(1+'Conversion Factors'!$H49)</f>
        <v>3.2958108000000007E-2</v>
      </c>
      <c r="CR102" s="276">
        <f>+CR49*(1+'Conversion Factors'!$H49)</f>
        <v>7.4645712000000003E-2</v>
      </c>
      <c r="CS102" s="996">
        <f>+CS49*(1+'Conversion Factors'!$H49)</f>
        <v>0.45052794200000001</v>
      </c>
      <c r="CT102" s="277">
        <f t="shared" si="56"/>
        <v>467.45035795962065</v>
      </c>
      <c r="CU102" s="276">
        <f>+CU49*(1+'Conversion Factors'!$H49)</f>
        <v>1.1572000000000001E-4</v>
      </c>
      <c r="CV102" s="276">
        <f>+CV49*(1+'Conversion Factors'!$H49)</f>
        <v>0</v>
      </c>
      <c r="CW102" s="276">
        <f>+CW49*(1+'Conversion Factors'!$H49)</f>
        <v>6.2126526600039647</v>
      </c>
      <c r="CX102" s="276">
        <f>+CX49*(1+'Conversion Factors'!$H49)</f>
        <v>4.3677268695000011</v>
      </c>
      <c r="CY102" s="1106">
        <f t="shared" si="43"/>
        <v>10.580495249503965</v>
      </c>
      <c r="CZ102" s="718">
        <f t="shared" si="48"/>
        <v>478.03085320912459</v>
      </c>
      <c r="DA102" s="162">
        <f t="shared" si="49"/>
        <v>287.7664337075675</v>
      </c>
      <c r="DB102" s="162">
        <f t="shared" si="57"/>
        <v>190.26441950155709</v>
      </c>
    </row>
    <row r="103" spans="1:106" x14ac:dyDescent="0.2">
      <c r="A103" s="269">
        <v>2039</v>
      </c>
      <c r="B103" s="1087">
        <f>+B50*(1+'Conversion Factors'!$F50)</f>
        <v>14.683966023985681</v>
      </c>
      <c r="C103" s="1088">
        <f>+C50*(1+'Conversion Factors'!$F50)</f>
        <v>0.42281050000000009</v>
      </c>
      <c r="D103" s="738">
        <f>+D50*(1+'Conversion Factors'!$F50)</f>
        <v>8.522550000000001E-2</v>
      </c>
      <c r="E103" s="276">
        <f>+E50*(1+'Conversion Factors'!$F50)</f>
        <v>6.3563538597824367</v>
      </c>
      <c r="F103" s="276">
        <f>+F50*(1+'Conversion Factors'!$F50)</f>
        <v>6.9826659324902769</v>
      </c>
      <c r="G103" s="738">
        <f>+G50*(1+'Conversion Factors'!$F50)</f>
        <v>1.649658033759305</v>
      </c>
      <c r="H103" s="276">
        <f>+H50*(1+'Conversion Factors'!$F50)</f>
        <v>0.9464256999999997</v>
      </c>
      <c r="I103" s="276">
        <f>+I50*(1+'Conversion Factors'!$F50)</f>
        <v>2.4075000000000017E-2</v>
      </c>
      <c r="J103" s="738">
        <f>+J50*(1+'Conversion Factors'!$F50)</f>
        <v>6.4189300000000005E-2</v>
      </c>
      <c r="K103" s="276">
        <f>+K50*(1+'Conversion Factors'!$F50)</f>
        <v>3.9424256999999967</v>
      </c>
      <c r="L103" s="276">
        <f>+L50*(1+'Conversion Factors'!$F50)</f>
        <v>13.148599449000006</v>
      </c>
      <c r="M103" s="276">
        <f>+M50*(1+'Conversion Factors'!$F50)</f>
        <v>7.1225620000000031E-2</v>
      </c>
      <c r="N103" s="276">
        <f>+N50*(1+'Conversion Factors'!$F50)</f>
        <v>1.5191324999999995E-2</v>
      </c>
      <c r="O103" s="738">
        <f>+O50*(1+'Conversion Factors'!$F50)</f>
        <v>45.792953260214325</v>
      </c>
      <c r="P103" s="276">
        <f>+P50*(1+'Conversion Factors'!$F50)</f>
        <v>17.598883849999989</v>
      </c>
      <c r="Q103" s="276">
        <f>+Q50*(1+'Conversion Factors'!$F50)</f>
        <v>3.354760300000001</v>
      </c>
      <c r="R103" s="276">
        <f>+R50*(1+'Conversion Factors'!$F50)</f>
        <v>17.731719891666682</v>
      </c>
      <c r="S103" s="276">
        <f>+S50*(1+'Conversion Factors'!$F50)</f>
        <v>21.890027899999989</v>
      </c>
      <c r="T103" s="738">
        <f>+T50*(1+'Conversion Factors'!$F50)</f>
        <v>0</v>
      </c>
      <c r="U103" s="276">
        <f>+U50*(1+'Conversion Factors'!$F50)</f>
        <v>6.0882999999999972E-2</v>
      </c>
      <c r="V103" s="738">
        <f>+V50*(1+'Conversion Factors'!$F50)</f>
        <v>0</v>
      </c>
      <c r="W103" s="276">
        <f>+W50*(1+'Conversion Factors'!$F50)</f>
        <v>9.1501525555555538</v>
      </c>
      <c r="X103" s="738">
        <f>+X50*(1+'Conversion Factors'!$F50)</f>
        <v>0.52271640000000008</v>
      </c>
      <c r="Y103" s="738">
        <f>+Y50*(1+'Conversion Factors'!$F50)</f>
        <v>2.1410699999999998E-2</v>
      </c>
      <c r="Z103" s="738">
        <f>+Z50*(1+'Conversion Factors'!$F50)</f>
        <v>2.6964000000000002E-2</v>
      </c>
      <c r="AA103" s="738">
        <f>+AA50*(1+'Conversion Factors'!$F50)</f>
        <v>0.18584829999999999</v>
      </c>
      <c r="AB103" s="277">
        <f t="shared" si="54"/>
        <v>164.72913210145421</v>
      </c>
      <c r="AC103" s="276">
        <f>+AC50*(1+'Conversion Factors'!$F50)</f>
        <v>0.52101866666666641</v>
      </c>
      <c r="AD103" s="276">
        <f>+AD50*(1+'Conversion Factors'!$F50)</f>
        <v>2.2149000000000001</v>
      </c>
      <c r="AE103" s="276">
        <f>+AE50*(1+'Conversion Factors'!$F50)</f>
        <v>63.026919900178306</v>
      </c>
      <c r="AF103" s="276">
        <f>+AF50*(1+'Conversion Factors'!$F50)</f>
        <v>42.800000000000004</v>
      </c>
      <c r="AG103" s="277">
        <f t="shared" si="39"/>
        <v>108.56283856684499</v>
      </c>
      <c r="AH103" s="277">
        <f t="shared" si="45"/>
        <v>273.2919706682992</v>
      </c>
      <c r="AJ103" s="748">
        <v>2039</v>
      </c>
      <c r="AK103" s="1088">
        <f>+AK50*(1+'Conversion Factors'!$G50)</f>
        <v>34.984327419809098</v>
      </c>
      <c r="AL103" s="1088">
        <f>+AL50*(1+'Conversion Factors'!$G50)</f>
        <v>0.97871830000000004</v>
      </c>
      <c r="AM103" s="738">
        <f>+AM50*(1+'Conversion Factors'!$G50)</f>
        <v>6.4628000000000005E-2</v>
      </c>
      <c r="AN103" s="276">
        <f>+AN50*(1+'Conversion Factors'!$G50)</f>
        <v>3.4809294871794871E-3</v>
      </c>
      <c r="AO103" s="276">
        <f>+AO50*(1+'Conversion Factors'!$G50)</f>
        <v>0.81974840000000004</v>
      </c>
      <c r="AP103" s="738">
        <f>+AP50*(1+'Conversion Factors'!$G50)</f>
        <v>2.4007151910669978E-2</v>
      </c>
      <c r="AQ103" s="276">
        <f>+AQ50*(1+'Conversion Factors'!$G50)</f>
        <v>2.4717000000000017E-2</v>
      </c>
      <c r="AR103" s="276">
        <f>+AR50*(1+'Conversion Factors'!$G50)</f>
        <v>1.8361199999999994E-2</v>
      </c>
      <c r="AS103" s="738">
        <f>+AS50*(1+'Conversion Factors'!$G50)</f>
        <v>5.2494200000000005E-2</v>
      </c>
      <c r="AT103" s="276">
        <f>+AT50*(1+'Conversion Factors'!$G50)</f>
        <v>2.5978737705882362</v>
      </c>
      <c r="AU103" s="276">
        <f>+AU50*(1+'Conversion Factors'!$G50)</f>
        <v>10.412762138000003</v>
      </c>
      <c r="AV103" s="276">
        <f>+AV50*(1+'Conversion Factors'!$G50)</f>
        <v>0.11405772000000004</v>
      </c>
      <c r="AW103" s="276">
        <f>+AW50*(1+'Conversion Factors'!$G50)</f>
        <v>7.744660000000003E-3</v>
      </c>
      <c r="AX103" s="738">
        <f>+AX50*(1+'Conversion Factors'!$G50)</f>
        <v>20.669668092841306</v>
      </c>
      <c r="AY103" s="276">
        <f>+AY50*(1+'Conversion Factors'!$G50)</f>
        <v>13.591140000000008</v>
      </c>
      <c r="AZ103" s="276">
        <f>+AZ50*(1+'Conversion Factors'!$G50)</f>
        <v>3.2923365000000011</v>
      </c>
      <c r="BA103" s="276">
        <f>+BA50*(1+'Conversion Factors'!$G50)</f>
        <v>3.5136766999999995</v>
      </c>
      <c r="BB103" s="276">
        <f>+BB50*(1+'Conversion Factors'!$G50)</f>
        <v>0</v>
      </c>
      <c r="BC103" s="738">
        <f>+BC50*(1+'Conversion Factors'!$G50)</f>
        <v>0</v>
      </c>
      <c r="BD103" s="276">
        <f>+BD50*(1+'Conversion Factors'!$G50)</f>
        <v>0</v>
      </c>
      <c r="BE103" s="738">
        <f>+BE50*(1+'Conversion Factors'!$G50)</f>
        <v>0</v>
      </c>
      <c r="BF103" s="276">
        <f>+BF50*(1+'Conversion Factors'!$G50)</f>
        <v>0</v>
      </c>
      <c r="BG103" s="738">
        <f>+BG50*(1+'Conversion Factors'!$G50)</f>
        <v>0</v>
      </c>
      <c r="BH103" s="738">
        <f>+BH50*(1+'Conversion Factors'!$G50)</f>
        <v>2.2919399999999999E-2</v>
      </c>
      <c r="BI103" s="276">
        <f>+BI50*(1+'Conversion Factors'!$G50)</f>
        <v>0</v>
      </c>
      <c r="BJ103" s="276">
        <f>+BJ50*(1+'Conversion Factors'!$G50)</f>
        <v>0</v>
      </c>
      <c r="BK103" s="277">
        <f t="shared" si="55"/>
        <v>91.192661582636532</v>
      </c>
      <c r="BL103" s="276">
        <f>+BL50*(1+'Conversion Factors'!$G50)</f>
        <v>0</v>
      </c>
      <c r="BM103" s="276">
        <f>+BM50*(1+'Conversion Factors'!$G50)</f>
        <v>1.4124000000000001</v>
      </c>
      <c r="BN103" s="276">
        <f>+BN50*(1+'Conversion Factors'!$G50)</f>
        <v>64.433793919191942</v>
      </c>
      <c r="BO103" s="276">
        <f>+BO50*(1+'Conversion Factors'!$G50)</f>
        <v>42.800000000000004</v>
      </c>
      <c r="BP103" s="1106">
        <f t="shared" si="41"/>
        <v>108.64619391919194</v>
      </c>
      <c r="BQ103" s="718">
        <f t="shared" si="47"/>
        <v>199.83885550182848</v>
      </c>
      <c r="BS103" s="994">
        <v>2039</v>
      </c>
      <c r="BT103" s="1087">
        <f>+BT50*(1+'Conversion Factors'!$H50)</f>
        <v>24.343735730668254</v>
      </c>
      <c r="BU103" s="1088">
        <f>+BU50*(1+'Conversion Factors'!$H50)</f>
        <v>0.23570112600000001</v>
      </c>
      <c r="BV103" s="276">
        <f>+BV50*(1+'Conversion Factors'!$H50)</f>
        <v>0.35751168000000005</v>
      </c>
      <c r="BW103" s="276">
        <f>+BW50*(1+'Conversion Factors'!$H50)</f>
        <v>17.50091716075374</v>
      </c>
      <c r="BX103" s="276">
        <f>+BX50*(1+'Conversion Factors'!$H50)</f>
        <v>22.888441985230756</v>
      </c>
      <c r="BY103" s="276">
        <f>+BY50*(1+'Conversion Factors'!$H50)</f>
        <v>2.1953722366004964</v>
      </c>
      <c r="BZ103" s="276">
        <f>+BZ50*(1+'Conversion Factors'!$H50)</f>
        <v>11.798900325440007</v>
      </c>
      <c r="CA103" s="276">
        <f>+CA50*(1+'Conversion Factors'!$H50)</f>
        <v>3.228588000000001E-2</v>
      </c>
      <c r="CB103" s="276">
        <f>+CB50*(1+'Conversion Factors'!$H50)</f>
        <v>0.32794332639999996</v>
      </c>
      <c r="CC103" s="276">
        <f>+CC50*(1+'Conversion Factors'!$H50)</f>
        <v>10.520267641176476</v>
      </c>
      <c r="CD103" s="276">
        <f>+CD50*(1+'Conversion Factors'!$H50)</f>
        <v>14.394053414559993</v>
      </c>
      <c r="CE103" s="276">
        <f>+CE50*(1+'Conversion Factors'!$H50)</f>
        <v>1.1292578280000001</v>
      </c>
      <c r="CF103" s="276">
        <f>+CF50*(1+'Conversion Factors'!$H50)</f>
        <v>0.11207745000000004</v>
      </c>
      <c r="CG103" s="276">
        <f>+CG50*(1+'Conversion Factors'!$H50)</f>
        <v>216.37939377858487</v>
      </c>
      <c r="CH103" s="276">
        <f>+CH50*(1+'Conversion Factors'!$H50)</f>
        <v>80.760685718320005</v>
      </c>
      <c r="CI103" s="276">
        <f>+CI50*(1+'Conversion Factors'!$H50)</f>
        <v>16.309242716360007</v>
      </c>
      <c r="CJ103" s="276">
        <f>+CJ50*(1+'Conversion Factors'!$H50)</f>
        <v>23.031022659556687</v>
      </c>
      <c r="CK103" s="276">
        <f>+CK50*(1+'Conversion Factors'!$H50)</f>
        <v>2.2370380240000003</v>
      </c>
      <c r="CL103" s="276">
        <f>+CL50*(1+'Conversion Factors'!$H50)</f>
        <v>16.832000000000001</v>
      </c>
      <c r="CM103" s="276">
        <f>+CM50*(1+'Conversion Factors'!$H50)</f>
        <v>3.0743490200000029E-2</v>
      </c>
      <c r="CN103" s="276">
        <f>+CN50*(1+'Conversion Factors'!$H50)</f>
        <v>1.1945707219999999</v>
      </c>
      <c r="CO103" s="276">
        <f>+CO50*(1+'Conversion Factors'!$H50)</f>
        <v>26.017725581769344</v>
      </c>
      <c r="CP103" s="276">
        <f>+CP50*(1+'Conversion Factors'!$H50)</f>
        <v>1.1945707219999999</v>
      </c>
      <c r="CQ103" s="276">
        <f>+CQ50*(1+'Conversion Factors'!$H50)</f>
        <v>3.2958108000000007E-2</v>
      </c>
      <c r="CR103" s="276">
        <f>+CR50*(1+'Conversion Factors'!$H50)</f>
        <v>7.4645712000000003E-2</v>
      </c>
      <c r="CS103" s="996">
        <f>+CS50*(1+'Conversion Factors'!$H50)</f>
        <v>0.45052794200000001</v>
      </c>
      <c r="CT103" s="277">
        <f t="shared" si="56"/>
        <v>473.54959095962067</v>
      </c>
      <c r="CU103" s="276">
        <f>+CU50*(1+'Conversion Factors'!$H50)</f>
        <v>1.4991000000000001E-4</v>
      </c>
      <c r="CV103" s="276">
        <f>+CV50*(1+'Conversion Factors'!$H50)</f>
        <v>0</v>
      </c>
      <c r="CW103" s="276">
        <f>+CW50*(1+'Conversion Factors'!$H50)</f>
        <v>6.2542990199366253</v>
      </c>
      <c r="CX103" s="276">
        <f>+CX50*(1+'Conversion Factors'!$H50)</f>
        <v>4.4048561575000011</v>
      </c>
      <c r="CY103" s="1106">
        <f t="shared" si="43"/>
        <v>10.659305087436627</v>
      </c>
      <c r="CZ103" s="718">
        <f t="shared" si="48"/>
        <v>484.20889604705729</v>
      </c>
      <c r="DA103" s="162">
        <f t="shared" si="49"/>
        <v>288.10273106550022</v>
      </c>
      <c r="DB103" s="162">
        <f t="shared" si="57"/>
        <v>196.10616498155707</v>
      </c>
    </row>
    <row r="104" spans="1:106" x14ac:dyDescent="0.2">
      <c r="A104" s="269">
        <v>2040</v>
      </c>
      <c r="B104" s="1087">
        <f>+B51*(1+'Conversion Factors'!$F51)</f>
        <v>14.683966023985681</v>
      </c>
      <c r="C104" s="1088">
        <f>+C51*(1+'Conversion Factors'!$F51)</f>
        <v>0.42281050000000009</v>
      </c>
      <c r="D104" s="738">
        <f>+D51*(1+'Conversion Factors'!$F51)</f>
        <v>8.522550000000001E-2</v>
      </c>
      <c r="E104" s="276">
        <f>+E51*(1+'Conversion Factors'!$F51)</f>
        <v>6.5061538597824367</v>
      </c>
      <c r="F104" s="276">
        <f>+F51*(1+'Conversion Factors'!$F51)</f>
        <v>7.0233259324902777</v>
      </c>
      <c r="G104" s="738">
        <f>+G51*(1+'Conversion Factors'!$F51)</f>
        <v>1.649658033759305</v>
      </c>
      <c r="H104" s="276">
        <f>+H51*(1+'Conversion Factors'!$F51)</f>
        <v>0.98655069999999967</v>
      </c>
      <c r="I104" s="276">
        <f>+I51*(1+'Conversion Factors'!$F51)</f>
        <v>2.5145000000000018E-2</v>
      </c>
      <c r="J104" s="738">
        <f>+J51*(1+'Conversion Factors'!$F51)</f>
        <v>6.4189300000000005E-2</v>
      </c>
      <c r="K104" s="276">
        <f>+K51*(1+'Conversion Factors'!$F51)</f>
        <v>4.0336431999999967</v>
      </c>
      <c r="L104" s="276">
        <f>+L51*(1+'Conversion Factors'!$F51)</f>
        <v>13.547281449000007</v>
      </c>
      <c r="M104" s="276">
        <f>+M51*(1+'Conversion Factors'!$F51)</f>
        <v>7.4658180000000032E-2</v>
      </c>
      <c r="N104" s="276">
        <f>+N51*(1+'Conversion Factors'!$F51)</f>
        <v>1.5866494999999994E-2</v>
      </c>
      <c r="O104" s="738">
        <f>+O51*(1+'Conversion Factors'!$F51)</f>
        <v>45.792953260214325</v>
      </c>
      <c r="P104" s="276">
        <f>+P51*(1+'Conversion Factors'!$F51)</f>
        <v>18.236175849999992</v>
      </c>
      <c r="Q104" s="276">
        <f>+Q51*(1+'Conversion Factors'!$F51)</f>
        <v>3.4719253000000014</v>
      </c>
      <c r="R104" s="276">
        <f>+R51*(1+'Conversion Factors'!$F51)</f>
        <v>18.114779891666682</v>
      </c>
      <c r="S104" s="276">
        <f>+S51*(1+'Conversion Factors'!$F51)</f>
        <v>22.880526899999989</v>
      </c>
      <c r="T104" s="738">
        <f>+T51*(1+'Conversion Factors'!$F51)</f>
        <v>0</v>
      </c>
      <c r="U104" s="276">
        <f>+U51*(1+'Conversion Factors'!$F51)</f>
        <v>6.1096999999999971E-2</v>
      </c>
      <c r="V104" s="738">
        <f>+V51*(1+'Conversion Factors'!$F51)</f>
        <v>0</v>
      </c>
      <c r="W104" s="276">
        <f>+W51*(1+'Conversion Factors'!$F51)</f>
        <v>9.4634485555555532</v>
      </c>
      <c r="X104" s="738">
        <f>+X51*(1+'Conversion Factors'!$F51)</f>
        <v>0.52271640000000008</v>
      </c>
      <c r="Y104" s="738">
        <f>+Y51*(1+'Conversion Factors'!$F51)</f>
        <v>2.1410699999999998E-2</v>
      </c>
      <c r="Z104" s="738">
        <f>+Z51*(1+'Conversion Factors'!$F51)</f>
        <v>2.6964000000000002E-2</v>
      </c>
      <c r="AA104" s="738">
        <f>+AA51*(1+'Conversion Factors'!$F51)</f>
        <v>0.18584829999999999</v>
      </c>
      <c r="AB104" s="277">
        <f t="shared" si="54"/>
        <v>167.89632033145421</v>
      </c>
      <c r="AC104" s="276">
        <f>+AC51*(1+'Conversion Factors'!$F51)</f>
        <v>0.53514266666666654</v>
      </c>
      <c r="AD104" s="276">
        <f>+AD51*(1+'Conversion Factors'!$F51)</f>
        <v>2.3133400000000002</v>
      </c>
      <c r="AE104" s="276">
        <f>+AE51*(1+'Conversion Factors'!$F51)</f>
        <v>63.345779900178321</v>
      </c>
      <c r="AF104" s="276">
        <f>+AF51*(1+'Conversion Factors'!$F51)</f>
        <v>42.800000000000004</v>
      </c>
      <c r="AG104" s="277">
        <f t="shared" si="39"/>
        <v>108.99426256684498</v>
      </c>
      <c r="AH104" s="277">
        <f t="shared" si="45"/>
        <v>276.89058289829916</v>
      </c>
      <c r="AJ104" s="748">
        <v>2040</v>
      </c>
      <c r="AK104" s="1088">
        <f>+AK51*(1+'Conversion Factors'!$G51)</f>
        <v>34.984327419809098</v>
      </c>
      <c r="AL104" s="1088">
        <f>+AL51*(1+'Conversion Factors'!$G51)</f>
        <v>0.97871830000000004</v>
      </c>
      <c r="AM104" s="738">
        <f>+AM51*(1+'Conversion Factors'!$G51)</f>
        <v>6.4628000000000005E-2</v>
      </c>
      <c r="AN104" s="276">
        <f>+AN51*(1+'Conversion Factors'!$G51)</f>
        <v>3.4809294871794871E-3</v>
      </c>
      <c r="AO104" s="276">
        <f>+AO51*(1+'Conversion Factors'!$G51)</f>
        <v>0.81974840000000004</v>
      </c>
      <c r="AP104" s="738">
        <f>+AP51*(1+'Conversion Factors'!$G51)</f>
        <v>2.4007151910669978E-2</v>
      </c>
      <c r="AQ104" s="276">
        <f>+AQ51*(1+'Conversion Factors'!$G51)</f>
        <v>2.5787000000000015E-2</v>
      </c>
      <c r="AR104" s="276">
        <f>+AR51*(1+'Conversion Factors'!$G51)</f>
        <v>1.9195799999999996E-2</v>
      </c>
      <c r="AS104" s="738">
        <f>+AS51*(1+'Conversion Factors'!$G51)</f>
        <v>5.2494200000000005E-2</v>
      </c>
      <c r="AT104" s="276">
        <f>+AT51*(1+'Conversion Factors'!$G51)</f>
        <v>2.6663002705882364</v>
      </c>
      <c r="AU104" s="276">
        <f>+AU51*(1+'Conversion Factors'!$G51)</f>
        <v>10.725576638000005</v>
      </c>
      <c r="AV104" s="276">
        <f>+AV51*(1+'Conversion Factors'!$G51)</f>
        <v>0.11969020000000005</v>
      </c>
      <c r="AW104" s="276">
        <f>+AW51*(1+'Conversion Factors'!$G51)</f>
        <v>8.0966900000000036E-3</v>
      </c>
      <c r="AX104" s="738">
        <f>+AX51*(1+'Conversion Factors'!$G51)</f>
        <v>20.669668092841306</v>
      </c>
      <c r="AY104" s="276">
        <f>+AY51*(1+'Conversion Factors'!$G51)</f>
        <v>14.087620000000008</v>
      </c>
      <c r="AZ104" s="276">
        <f>+AZ51*(1+'Conversion Factors'!$G51)</f>
        <v>3.4095015000000015</v>
      </c>
      <c r="BA104" s="276">
        <f>+BA51*(1+'Conversion Factors'!$G51)</f>
        <v>3.5136766999999995</v>
      </c>
      <c r="BB104" s="276">
        <f>+BB51*(1+'Conversion Factors'!$G51)</f>
        <v>0</v>
      </c>
      <c r="BC104" s="738">
        <f>+BC51*(1+'Conversion Factors'!$G51)</f>
        <v>0</v>
      </c>
      <c r="BD104" s="276">
        <f>+BD51*(1+'Conversion Factors'!$G51)</f>
        <v>0</v>
      </c>
      <c r="BE104" s="738">
        <f>+BE51*(1+'Conversion Factors'!$G51)</f>
        <v>0</v>
      </c>
      <c r="BF104" s="276">
        <f>+BF51*(1+'Conversion Factors'!$G51)</f>
        <v>0</v>
      </c>
      <c r="BG104" s="738">
        <f>+BG51*(1+'Conversion Factors'!$G51)</f>
        <v>0</v>
      </c>
      <c r="BH104" s="738">
        <f>+BH51*(1+'Conversion Factors'!$G51)</f>
        <v>2.2919399999999999E-2</v>
      </c>
      <c r="BI104" s="276">
        <f>+BI51*(1+'Conversion Factors'!$G51)</f>
        <v>0</v>
      </c>
      <c r="BJ104" s="276">
        <f>+BJ51*(1+'Conversion Factors'!$G51)</f>
        <v>0</v>
      </c>
      <c r="BK104" s="277">
        <f t="shared" si="55"/>
        <v>92.195436692636534</v>
      </c>
      <c r="BL104" s="276">
        <f>+BL51*(1+'Conversion Factors'!$G51)</f>
        <v>0</v>
      </c>
      <c r="BM104" s="276">
        <f>+BM51*(1+'Conversion Factors'!$G51)</f>
        <v>1.4765999999999999</v>
      </c>
      <c r="BN104" s="276">
        <f>+BN51*(1+'Conversion Factors'!$G51)</f>
        <v>65.004004484848508</v>
      </c>
      <c r="BO104" s="276">
        <f>+BO51*(1+'Conversion Factors'!$G51)</f>
        <v>42.800000000000004</v>
      </c>
      <c r="BP104" s="1106">
        <f t="shared" si="41"/>
        <v>109.28060448484851</v>
      </c>
      <c r="BQ104" s="718">
        <f t="shared" si="47"/>
        <v>201.47604117748506</v>
      </c>
      <c r="BS104" s="994">
        <v>2040</v>
      </c>
      <c r="BT104" s="1087">
        <f>+BT51*(1+'Conversion Factors'!$H51)</f>
        <v>24.343735730668254</v>
      </c>
      <c r="BU104" s="1088">
        <f>+BU51*(1+'Conversion Factors'!$H51)</f>
        <v>0.23570112600000001</v>
      </c>
      <c r="BV104" s="276">
        <f>+BV51*(1+'Conversion Factors'!$H51)</f>
        <v>0.35751168000000005</v>
      </c>
      <c r="BW104" s="276">
        <f>+BW51*(1+'Conversion Factors'!$H51)</f>
        <v>17.785272760753742</v>
      </c>
      <c r="BX104" s="276">
        <f>+BX51*(1+'Conversion Factors'!$H51)</f>
        <v>23.070858785230755</v>
      </c>
      <c r="BY104" s="276">
        <f>+BY51*(1+'Conversion Factors'!$H51)</f>
        <v>2.1953722366004964</v>
      </c>
      <c r="BZ104" s="276">
        <f>+BZ51*(1+'Conversion Factors'!$H51)</f>
        <v>12.298863325440008</v>
      </c>
      <c r="CA104" s="276">
        <f>+CA51*(1+'Conversion Factors'!$H51)</f>
        <v>3.3720808000000005E-2</v>
      </c>
      <c r="CB104" s="276">
        <f>+CB51*(1+'Conversion Factors'!$H51)</f>
        <v>0.32794332639999996</v>
      </c>
      <c r="CC104" s="276">
        <f>+CC51*(1+'Conversion Factors'!$H51)</f>
        <v>10.772153261176477</v>
      </c>
      <c r="CD104" s="276">
        <f>+CD51*(1+'Conversion Factors'!$H51)</f>
        <v>14.832295574559993</v>
      </c>
      <c r="CE104" s="276">
        <f>+CE51*(1+'Conversion Factors'!$H51)</f>
        <v>1.183679892</v>
      </c>
      <c r="CF104" s="276">
        <f>+CF51*(1+'Conversion Factors'!$H51)</f>
        <v>0.11705867000000005</v>
      </c>
      <c r="CG104" s="276">
        <f>+CG51*(1+'Conversion Factors'!$H51)</f>
        <v>216.37939377858487</v>
      </c>
      <c r="CH104" s="276">
        <f>+CH51*(1+'Conversion Factors'!$H51)</f>
        <v>83.70801099832002</v>
      </c>
      <c r="CI104" s="276">
        <f>+CI51*(1+'Conversion Factors'!$H51)</f>
        <v>16.880941596360007</v>
      </c>
      <c r="CJ104" s="276">
        <f>+CJ51*(1+'Conversion Factors'!$H51)</f>
        <v>23.041283867556686</v>
      </c>
      <c r="CK104" s="276">
        <f>+CK51*(1+'Conversion Factors'!$H51)</f>
        <v>2.3382614640000003</v>
      </c>
      <c r="CL104" s="276">
        <f>+CL51*(1+'Conversion Factors'!$H51)</f>
        <v>16.832000000000001</v>
      </c>
      <c r="CM104" s="276">
        <f>+CM51*(1+'Conversion Factors'!$H51)</f>
        <v>3.0806610200000032E-2</v>
      </c>
      <c r="CN104" s="276">
        <f>+CN51*(1+'Conversion Factors'!$H51)</f>
        <v>1.1945707219999999</v>
      </c>
      <c r="CO104" s="276">
        <f>+CO51*(1+'Conversion Factors'!$H51)</f>
        <v>26.768685261769345</v>
      </c>
      <c r="CP104" s="276">
        <f>+CP51*(1+'Conversion Factors'!$H51)</f>
        <v>1.1945707219999999</v>
      </c>
      <c r="CQ104" s="276">
        <f>+CQ51*(1+'Conversion Factors'!$H51)</f>
        <v>3.2958108000000007E-2</v>
      </c>
      <c r="CR104" s="276">
        <f>+CR51*(1+'Conversion Factors'!$H51)</f>
        <v>7.4645712000000003E-2</v>
      </c>
      <c r="CS104" s="996">
        <f>+CS51*(1+'Conversion Factors'!$H51)</f>
        <v>0.45052794200000001</v>
      </c>
      <c r="CT104" s="277">
        <f t="shared" si="56"/>
        <v>479.64882395962059</v>
      </c>
      <c r="CU104" s="276">
        <f>+CU51*(1+'Conversion Factors'!$H51)</f>
        <v>1.8620400000000001E-4</v>
      </c>
      <c r="CV104" s="276">
        <f>+CV51*(1+'Conversion Factors'!$H51)</f>
        <v>0</v>
      </c>
      <c r="CW104" s="276">
        <f>+CW51*(1+'Conversion Factors'!$H51)</f>
        <v>6.2959453798692859</v>
      </c>
      <c r="CX104" s="276">
        <f>+CX51*(1+'Conversion Factors'!$H51)</f>
        <v>4.4419854455000021</v>
      </c>
      <c r="CY104" s="1106">
        <f t="shared" si="43"/>
        <v>10.738117029369288</v>
      </c>
      <c r="CZ104" s="718">
        <f t="shared" si="48"/>
        <v>490.38694098898986</v>
      </c>
      <c r="DA104" s="162">
        <f t="shared" si="49"/>
        <v>288.43903052743281</v>
      </c>
      <c r="DB104" s="162">
        <f t="shared" si="57"/>
        <v>201.94791046155706</v>
      </c>
    </row>
    <row r="105" spans="1:106" x14ac:dyDescent="0.2">
      <c r="A105" s="1102">
        <v>2041</v>
      </c>
      <c r="B105" s="1089">
        <f>+B52*(1+'Conversion Factors'!$F52)</f>
        <v>14.683966023985681</v>
      </c>
      <c r="C105" s="1089">
        <f>+C52*(1+'Conversion Factors'!$F52)</f>
        <v>0.42281050000000009</v>
      </c>
      <c r="D105" s="1057">
        <f>+D52*(1+'Conversion Factors'!$F52)</f>
        <v>8.522550000000001E-2</v>
      </c>
      <c r="E105" s="1056">
        <f>+E52*(1+'Conversion Factors'!$F52)</f>
        <v>6.6559538597824366</v>
      </c>
      <c r="F105" s="1056">
        <f>+F52*(1+'Conversion Factors'!$F52)</f>
        <v>7.0639859324902776</v>
      </c>
      <c r="G105" s="1057">
        <f>+G52*(1+'Conversion Factors'!$F52)</f>
        <v>1.649658033759305</v>
      </c>
      <c r="H105" s="1056">
        <f>+H52*(1+'Conversion Factors'!$F52)</f>
        <v>1.0266756999999997</v>
      </c>
      <c r="I105" s="1056">
        <f>+I52*(1+'Conversion Factors'!$F52)</f>
        <v>2.6215000000000016E-2</v>
      </c>
      <c r="J105" s="1057">
        <f>+J52*(1+'Conversion Factors'!$F52)</f>
        <v>6.4189300000000005E-2</v>
      </c>
      <c r="K105" s="1056">
        <f>+K52*(1+'Conversion Factors'!$F52)</f>
        <v>4.1248606999999966</v>
      </c>
      <c r="L105" s="1056">
        <f>+L52*(1+'Conversion Factors'!$F52)</f>
        <v>13.945963449000008</v>
      </c>
      <c r="M105" s="1056">
        <f>+M52*(1+'Conversion Factors'!$F52)</f>
        <v>7.8090740000000033E-2</v>
      </c>
      <c r="N105" s="1056">
        <f>+N52*(1+'Conversion Factors'!$F52)</f>
        <v>1.6541664999999994E-2</v>
      </c>
      <c r="O105" s="1057">
        <f>+O52*(1+'Conversion Factors'!$F52)</f>
        <v>45.792953260214325</v>
      </c>
      <c r="P105" s="1056">
        <f>+P52*(1+'Conversion Factors'!$F52)</f>
        <v>18.873467849999994</v>
      </c>
      <c r="Q105" s="1056">
        <f>+Q52*(1+'Conversion Factors'!$F52)</f>
        <v>3.5890903000000014</v>
      </c>
      <c r="R105" s="1056">
        <f>+R52*(1+'Conversion Factors'!$F52)</f>
        <v>18.497839891666683</v>
      </c>
      <c r="S105" s="1056">
        <f>+S52*(1+'Conversion Factors'!$F52)</f>
        <v>23.871025899999989</v>
      </c>
      <c r="T105" s="1057">
        <f>+T52*(1+'Conversion Factors'!$F52)</f>
        <v>0</v>
      </c>
      <c r="U105" s="1056">
        <f>+U52*(1+'Conversion Factors'!$F52)</f>
        <v>6.131099999999997E-2</v>
      </c>
      <c r="V105" s="1057">
        <f>+V52*(1+'Conversion Factors'!$F52)</f>
        <v>0</v>
      </c>
      <c r="W105" s="1056">
        <f>+W52*(1+'Conversion Factors'!$F52)</f>
        <v>9.7767445555555526</v>
      </c>
      <c r="X105" s="1057">
        <f>+X52*(1+'Conversion Factors'!$F52)</f>
        <v>0.52271640000000008</v>
      </c>
      <c r="Y105" s="1057">
        <f>+Y52*(1+'Conversion Factors'!$F52)</f>
        <v>2.1410699999999998E-2</v>
      </c>
      <c r="Z105" s="1057">
        <f>+Z52*(1+'Conversion Factors'!$F52)</f>
        <v>2.6964000000000002E-2</v>
      </c>
      <c r="AA105" s="1057">
        <f>+AA52*(1+'Conversion Factors'!$F52)</f>
        <v>0.18584829999999999</v>
      </c>
      <c r="AB105" s="277">
        <f t="shared" si="54"/>
        <v>171.06350856145423</v>
      </c>
      <c r="AC105" s="1056">
        <f>+AC52*(1+'Conversion Factors'!$F52)</f>
        <v>0.54926666666666657</v>
      </c>
      <c r="AD105" s="1056">
        <f>+AD52*(1+'Conversion Factors'!$F52)</f>
        <v>2.4117800000000003</v>
      </c>
      <c r="AE105" s="1056">
        <f>+AE52*(1+'Conversion Factors'!$F52)</f>
        <v>63.664639900178337</v>
      </c>
      <c r="AF105" s="1056">
        <f>+AF52*(1+'Conversion Factors'!$F52)</f>
        <v>42.800000000000004</v>
      </c>
      <c r="AG105" s="277">
        <f t="shared" si="39"/>
        <v>109.425686566845</v>
      </c>
      <c r="AH105" s="277">
        <f t="shared" si="45"/>
        <v>280.48919512829923</v>
      </c>
      <c r="AI105" s="831"/>
      <c r="AJ105" s="1101">
        <v>2041</v>
      </c>
      <c r="AK105" s="1089">
        <f>+AK52*(1+'Conversion Factors'!$G52)</f>
        <v>34.984327419809098</v>
      </c>
      <c r="AL105" s="1089">
        <f>+AL52*(1+'Conversion Factors'!$G52)</f>
        <v>0.97871830000000004</v>
      </c>
      <c r="AM105" s="1057">
        <f>+AM52*(1+'Conversion Factors'!$G52)</f>
        <v>6.4628000000000005E-2</v>
      </c>
      <c r="AN105" s="1056">
        <f>+AN52*(1+'Conversion Factors'!$G52)</f>
        <v>3.4809294871794871E-3</v>
      </c>
      <c r="AO105" s="1056">
        <f>+AO52*(1+'Conversion Factors'!$G52)</f>
        <v>0.81974840000000004</v>
      </c>
      <c r="AP105" s="1057">
        <f>+AP52*(1+'Conversion Factors'!$G52)</f>
        <v>2.4007151910669978E-2</v>
      </c>
      <c r="AQ105" s="1056">
        <f>+AQ52*(1+'Conversion Factors'!$G52)</f>
        <v>2.6857000000000016E-2</v>
      </c>
      <c r="AR105" s="1056">
        <f>+AR52*(1+'Conversion Factors'!$G52)</f>
        <v>2.0030399999999993E-2</v>
      </c>
      <c r="AS105" s="1057">
        <f>+AS52*(1+'Conversion Factors'!$G52)</f>
        <v>5.2494200000000005E-2</v>
      </c>
      <c r="AT105" s="1056">
        <f>+AT52*(1+'Conversion Factors'!$G52)</f>
        <v>2.7347267705882365</v>
      </c>
      <c r="AU105" s="1056">
        <f>+AU52*(1+'Conversion Factors'!$G52)</f>
        <v>11.038391138000005</v>
      </c>
      <c r="AV105" s="1056">
        <f>+AV52*(1+'Conversion Factors'!$G52)</f>
        <v>0.12532268000000005</v>
      </c>
      <c r="AW105" s="1056">
        <f>+AW52*(1+'Conversion Factors'!$G52)</f>
        <v>8.4487200000000033E-3</v>
      </c>
      <c r="AX105" s="1057">
        <f>+AX52*(1+'Conversion Factors'!$G52)</f>
        <v>20.669668092841306</v>
      </c>
      <c r="AY105" s="1056">
        <f>+AY52*(1+'Conversion Factors'!$G52)</f>
        <v>14.58410000000001</v>
      </c>
      <c r="AZ105" s="1056">
        <f>+AZ52*(1+'Conversion Factors'!$G52)</f>
        <v>3.5266665000000015</v>
      </c>
      <c r="BA105" s="1056">
        <f>+BA52*(1+'Conversion Factors'!$G52)</f>
        <v>3.5136766999999995</v>
      </c>
      <c r="BB105" s="1056">
        <f>+BB52*(1+'Conversion Factors'!$G52)</f>
        <v>0</v>
      </c>
      <c r="BC105" s="1057">
        <f>+BC52*(1+'Conversion Factors'!$G52)</f>
        <v>0</v>
      </c>
      <c r="BD105" s="1056">
        <f>+BD52*(1+'Conversion Factors'!$G52)</f>
        <v>0</v>
      </c>
      <c r="BE105" s="1057">
        <f>+BE52*(1+'Conversion Factors'!$G52)</f>
        <v>0</v>
      </c>
      <c r="BF105" s="1056">
        <f>+BF52*(1+'Conversion Factors'!$G52)</f>
        <v>0</v>
      </c>
      <c r="BG105" s="1057">
        <f>+BG52*(1+'Conversion Factors'!$G52)</f>
        <v>0</v>
      </c>
      <c r="BH105" s="1057">
        <f>+BH52*(1+'Conversion Factors'!$G52)</f>
        <v>2.2919399999999999E-2</v>
      </c>
      <c r="BI105" s="1056">
        <f>+BI52*(1+'Conversion Factors'!$G52)</f>
        <v>0</v>
      </c>
      <c r="BJ105" s="1056">
        <f>+BJ52*(1+'Conversion Factors'!$G52)</f>
        <v>0</v>
      </c>
      <c r="BK105" s="277">
        <f t="shared" si="55"/>
        <v>93.198211802636521</v>
      </c>
      <c r="BL105" s="1056">
        <f>+BL52*(1+'Conversion Factors'!$G52)</f>
        <v>0</v>
      </c>
      <c r="BM105" s="1056">
        <f>+BM52*(1+'Conversion Factors'!$G52)</f>
        <v>1.5407999999999999</v>
      </c>
      <c r="BN105" s="1056">
        <f>+BN52*(1+'Conversion Factors'!$G52)</f>
        <v>65.574215050505074</v>
      </c>
      <c r="BO105" s="1056">
        <f>+BO52*(1+'Conversion Factors'!$G52)</f>
        <v>42.800000000000004</v>
      </c>
      <c r="BP105" s="1107">
        <f t="shared" si="41"/>
        <v>109.91501505050508</v>
      </c>
      <c r="BQ105" s="1108">
        <f t="shared" si="47"/>
        <v>203.11322685314161</v>
      </c>
      <c r="BR105" s="831"/>
      <c r="BS105" s="1058">
        <v>2041</v>
      </c>
      <c r="BT105" s="1089">
        <f>+BT52*(1+'Conversion Factors'!$H52)</f>
        <v>24.343735730668254</v>
      </c>
      <c r="BU105" s="1089">
        <f>+BU52*(1+'Conversion Factors'!$H52)</f>
        <v>0.23570112600000001</v>
      </c>
      <c r="BV105" s="1056">
        <f>+BV52*(1+'Conversion Factors'!$H52)</f>
        <v>0.35751168000000005</v>
      </c>
      <c r="BW105" s="1056">
        <f>+BW52*(1+'Conversion Factors'!$H52)</f>
        <v>18.06962836075374</v>
      </c>
      <c r="BX105" s="1056">
        <f>+BX52*(1+'Conversion Factors'!$H52)</f>
        <v>23.253275585230757</v>
      </c>
      <c r="BY105" s="1056">
        <f>+BY52*(1+'Conversion Factors'!$H52)</f>
        <v>2.1953722366004964</v>
      </c>
      <c r="BZ105" s="1056">
        <f>+BZ52*(1+'Conversion Factors'!$H52)</f>
        <v>12.798826325440009</v>
      </c>
      <c r="CA105" s="1056">
        <f>+CA52*(1+'Conversion Factors'!$H52)</f>
        <v>3.5155736000000007E-2</v>
      </c>
      <c r="CB105" s="1056">
        <f>+CB52*(1+'Conversion Factors'!$H52)</f>
        <v>0.32794332639999996</v>
      </c>
      <c r="CC105" s="1056">
        <f>+CC52*(1+'Conversion Factors'!$H52)</f>
        <v>11.024038881176477</v>
      </c>
      <c r="CD105" s="1056">
        <f>+CD52*(1+'Conversion Factors'!$H52)</f>
        <v>15.270537734559992</v>
      </c>
      <c r="CE105" s="1056">
        <f>+CE52*(1+'Conversion Factors'!$H52)</f>
        <v>1.2381019559999999</v>
      </c>
      <c r="CF105" s="1056">
        <f>+CF52*(1+'Conversion Factors'!$H52)</f>
        <v>0.12203989000000005</v>
      </c>
      <c r="CG105" s="1056">
        <f>+CG52*(1+'Conversion Factors'!$H52)</f>
        <v>216.37939377858487</v>
      </c>
      <c r="CH105" s="1056">
        <f>+CH52*(1+'Conversion Factors'!$H52)</f>
        <v>86.655336278320021</v>
      </c>
      <c r="CI105" s="1056">
        <f>+CI52*(1+'Conversion Factors'!$H52)</f>
        <v>17.45264047636001</v>
      </c>
      <c r="CJ105" s="1056">
        <f>+CJ52*(1+'Conversion Factors'!$H52)</f>
        <v>23.051545075556689</v>
      </c>
      <c r="CK105" s="1056">
        <f>+CK52*(1+'Conversion Factors'!$H52)</f>
        <v>2.4394849040000004</v>
      </c>
      <c r="CL105" s="1056">
        <f>+CL52*(1+'Conversion Factors'!$H52)</f>
        <v>16.832000000000001</v>
      </c>
      <c r="CM105" s="1056">
        <f>+CM52*(1+'Conversion Factors'!$H52)</f>
        <v>3.0869730200000032E-2</v>
      </c>
      <c r="CN105" s="1056">
        <f>+CN52*(1+'Conversion Factors'!$H52)</f>
        <v>1.1945707219999999</v>
      </c>
      <c r="CO105" s="1056">
        <f>+CO52*(1+'Conversion Factors'!$H52)</f>
        <v>27.519644941769347</v>
      </c>
      <c r="CP105" s="1056">
        <f>+CP52*(1+'Conversion Factors'!$H52)</f>
        <v>1.1945707219999999</v>
      </c>
      <c r="CQ105" s="1056">
        <f>+CQ52*(1+'Conversion Factors'!$H52)</f>
        <v>3.2958108000000007E-2</v>
      </c>
      <c r="CR105" s="1056">
        <f>+CR52*(1+'Conversion Factors'!$H52)</f>
        <v>7.4645712000000003E-2</v>
      </c>
      <c r="CS105" s="1056">
        <f>+CS52*(1+'Conversion Factors'!$H52)</f>
        <v>0.45052794200000001</v>
      </c>
      <c r="CT105" s="277">
        <f t="shared" si="56"/>
        <v>485.74805695962056</v>
      </c>
      <c r="CU105" s="1056">
        <f>+CU52*(1+'Conversion Factors'!$H52)</f>
        <v>2.2460200000000002E-4</v>
      </c>
      <c r="CV105" s="1056">
        <f>+CV52*(1+'Conversion Factors'!$H52)</f>
        <v>0</v>
      </c>
      <c r="CW105" s="1056">
        <f>+CW52*(1+'Conversion Factors'!$H52)</f>
        <v>6.3375917398019466</v>
      </c>
      <c r="CX105" s="1056">
        <f>+CX52*(1+'Conversion Factors'!$H52)</f>
        <v>4.4791147335000021</v>
      </c>
      <c r="CY105" s="1107">
        <f t="shared" si="43"/>
        <v>10.816931075301948</v>
      </c>
      <c r="CZ105" s="1108">
        <f t="shared" si="48"/>
        <v>496.56498803492252</v>
      </c>
      <c r="DA105" s="1056">
        <f t="shared" si="49"/>
        <v>288.77533209336553</v>
      </c>
      <c r="DB105" s="1056">
        <f t="shared" si="57"/>
        <v>207.78965594155699</v>
      </c>
    </row>
    <row r="106" spans="1:106" x14ac:dyDescent="0.2">
      <c r="A106" s="727"/>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502"/>
      <c r="AC106" s="276"/>
      <c r="AD106" s="276"/>
      <c r="AE106" s="276"/>
      <c r="AF106" s="276"/>
      <c r="AG106" s="502"/>
      <c r="AH106" s="502"/>
      <c r="AJ106" s="2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502"/>
      <c r="BL106" s="276"/>
      <c r="BM106" s="276"/>
      <c r="BN106" s="276"/>
      <c r="BO106" s="276"/>
      <c r="BP106" s="502"/>
      <c r="BQ106" s="502"/>
      <c r="BS106" s="26"/>
      <c r="BT106" s="276"/>
      <c r="BU106" s="276"/>
      <c r="BV106" s="276"/>
      <c r="BW106" s="276"/>
      <c r="BX106" s="276"/>
      <c r="BY106" s="276"/>
      <c r="BZ106" s="276"/>
      <c r="CA106" s="276"/>
      <c r="CB106" s="276"/>
      <c r="CC106" s="276"/>
      <c r="CD106" s="276"/>
      <c r="CE106" s="276"/>
      <c r="CF106" s="276"/>
      <c r="CG106" s="276"/>
      <c r="CH106" s="276"/>
      <c r="CI106" s="276"/>
      <c r="CJ106" s="276"/>
      <c r="CK106" s="276"/>
      <c r="CL106" s="276"/>
      <c r="CM106" s="276"/>
      <c r="CN106" s="276"/>
      <c r="CO106" s="276"/>
      <c r="CP106" s="276"/>
      <c r="CQ106" s="276"/>
      <c r="CR106" s="276"/>
      <c r="CS106" s="276"/>
      <c r="CT106" s="502" t="s">
        <v>160</v>
      </c>
      <c r="CU106" s="276"/>
      <c r="CV106" s="276"/>
      <c r="CW106" s="276"/>
      <c r="CX106" s="276"/>
      <c r="CY106" s="502"/>
      <c r="CZ106" s="502"/>
      <c r="DA106" s="162"/>
      <c r="DB106" s="162"/>
    </row>
    <row r="108" spans="1:106" x14ac:dyDescent="0.2">
      <c r="A108">
        <f t="shared" ref="A108:A135" si="58">+A59</f>
        <v>1995</v>
      </c>
      <c r="B108" s="680">
        <f t="shared" ref="B108:AH108" si="59">+B59-B58</f>
        <v>0.53005059665871102</v>
      </c>
      <c r="C108" s="680">
        <f t="shared" si="59"/>
        <v>4.4308000000000125E-3</v>
      </c>
      <c r="D108" s="680">
        <f t="shared" si="59"/>
        <v>0</v>
      </c>
      <c r="E108" s="680">
        <f t="shared" si="59"/>
        <v>0</v>
      </c>
      <c r="F108" s="680">
        <f t="shared" si="59"/>
        <v>0</v>
      </c>
      <c r="G108" s="680">
        <f t="shared" si="59"/>
        <v>0</v>
      </c>
      <c r="H108" s="680">
        <f t="shared" ref="H108:Z108" si="60">+H59-H58</f>
        <v>0</v>
      </c>
      <c r="I108" s="680">
        <f t="shared" si="60"/>
        <v>0</v>
      </c>
      <c r="J108" s="680">
        <f t="shared" si="60"/>
        <v>0</v>
      </c>
      <c r="K108" s="680">
        <f t="shared" si="60"/>
        <v>0</v>
      </c>
      <c r="L108" s="680">
        <f t="shared" si="60"/>
        <v>0</v>
      </c>
      <c r="M108" s="680">
        <f t="shared" si="60"/>
        <v>0</v>
      </c>
      <c r="N108" s="680">
        <f t="shared" si="60"/>
        <v>0</v>
      </c>
      <c r="O108" s="680">
        <f t="shared" si="60"/>
        <v>1.2349554973821988</v>
      </c>
      <c r="P108" s="680">
        <f t="shared" si="60"/>
        <v>0</v>
      </c>
      <c r="Q108" s="680">
        <f t="shared" si="60"/>
        <v>0</v>
      </c>
      <c r="R108" s="680">
        <f t="shared" si="60"/>
        <v>0.21200000000000008</v>
      </c>
      <c r="S108" s="680">
        <f t="shared" si="60"/>
        <v>0</v>
      </c>
      <c r="T108" s="680">
        <f t="shared" si="60"/>
        <v>0</v>
      </c>
      <c r="U108" s="680">
        <f t="shared" si="60"/>
        <v>0</v>
      </c>
      <c r="V108" s="680">
        <f t="shared" si="60"/>
        <v>0</v>
      </c>
      <c r="W108" s="680">
        <f t="shared" si="60"/>
        <v>0</v>
      </c>
      <c r="X108" s="680">
        <f t="shared" si="60"/>
        <v>0</v>
      </c>
      <c r="Y108" s="680">
        <f t="shared" si="60"/>
        <v>0</v>
      </c>
      <c r="Z108" s="680">
        <f t="shared" si="60"/>
        <v>0</v>
      </c>
      <c r="AA108" s="680">
        <f t="shared" si="59"/>
        <v>0</v>
      </c>
      <c r="AB108" s="680">
        <f t="shared" si="59"/>
        <v>1.9814368940409128</v>
      </c>
      <c r="AC108" s="680">
        <f t="shared" si="59"/>
        <v>0</v>
      </c>
      <c r="AD108" s="680">
        <f t="shared" si="59"/>
        <v>2.3620000000000005</v>
      </c>
      <c r="AE108" s="680">
        <f t="shared" si="59"/>
        <v>1.2400000000000002</v>
      </c>
      <c r="AF108" s="680">
        <f t="shared" si="59"/>
        <v>0</v>
      </c>
      <c r="AG108" s="680">
        <f t="shared" si="59"/>
        <v>3.6020000000000003</v>
      </c>
      <c r="AH108" s="680">
        <f t="shared" si="59"/>
        <v>5.5834368940409149</v>
      </c>
      <c r="AJ108">
        <f t="shared" ref="AJ108:AJ135" si="61">+AJ59</f>
        <v>1995</v>
      </c>
      <c r="AK108" s="680">
        <f t="shared" ref="AK108:BI108" si="62">+AK59-AK58</f>
        <v>1.7116912887828164</v>
      </c>
      <c r="AL108" s="680">
        <f t="shared" si="62"/>
        <v>2.5376399999999966E-2</v>
      </c>
      <c r="AM108" s="680">
        <f t="shared" si="62"/>
        <v>0</v>
      </c>
      <c r="AN108" s="680">
        <f t="shared" si="62"/>
        <v>0</v>
      </c>
      <c r="AO108" s="680">
        <f t="shared" si="62"/>
        <v>0</v>
      </c>
      <c r="AP108" s="680">
        <f t="shared" si="62"/>
        <v>0</v>
      </c>
      <c r="AQ108" s="680">
        <f t="shared" si="62"/>
        <v>0</v>
      </c>
      <c r="AR108" s="680">
        <f t="shared" si="62"/>
        <v>0</v>
      </c>
      <c r="AS108" s="680">
        <f t="shared" si="62"/>
        <v>0</v>
      </c>
      <c r="AT108" s="680">
        <f t="shared" si="62"/>
        <v>0</v>
      </c>
      <c r="AU108" s="680">
        <f t="shared" si="62"/>
        <v>0</v>
      </c>
      <c r="AV108" s="680">
        <f t="shared" si="62"/>
        <v>0</v>
      </c>
      <c r="AW108" s="680">
        <f t="shared" si="62"/>
        <v>0</v>
      </c>
      <c r="AX108" s="680">
        <f t="shared" si="62"/>
        <v>9.9895287958115198E-2</v>
      </c>
      <c r="AY108" s="680">
        <f t="shared" si="62"/>
        <v>0</v>
      </c>
      <c r="AZ108" s="680">
        <f t="shared" si="62"/>
        <v>0</v>
      </c>
      <c r="BA108" s="680">
        <f t="shared" si="62"/>
        <v>5.3000000000000019E-2</v>
      </c>
      <c r="BB108" s="680">
        <f t="shared" si="62"/>
        <v>0</v>
      </c>
      <c r="BC108" s="680">
        <f t="shared" si="62"/>
        <v>0</v>
      </c>
      <c r="BD108" s="680">
        <f t="shared" si="62"/>
        <v>0</v>
      </c>
      <c r="BE108" s="680">
        <f t="shared" si="62"/>
        <v>0</v>
      </c>
      <c r="BF108" s="680">
        <f t="shared" si="62"/>
        <v>0</v>
      </c>
      <c r="BG108" s="680">
        <f t="shared" si="62"/>
        <v>0</v>
      </c>
      <c r="BH108" s="680">
        <f t="shared" si="62"/>
        <v>0</v>
      </c>
      <c r="BI108" s="680">
        <f t="shared" si="62"/>
        <v>0</v>
      </c>
      <c r="BJ108" s="680">
        <f t="shared" ref="BJ108:BQ108" si="63">+BJ59-BJ58</f>
        <v>0</v>
      </c>
      <c r="BK108" s="680">
        <f t="shared" si="63"/>
        <v>1.8899629767409394</v>
      </c>
      <c r="BL108" s="680">
        <f t="shared" si="63"/>
        <v>0</v>
      </c>
      <c r="BM108" s="680">
        <f t="shared" si="63"/>
        <v>2.1720000000000006</v>
      </c>
      <c r="BN108" s="680">
        <f t="shared" si="63"/>
        <v>1.42</v>
      </c>
      <c r="BO108" s="680">
        <f t="shared" si="63"/>
        <v>0</v>
      </c>
      <c r="BP108" s="680">
        <f t="shared" si="63"/>
        <v>3.5919999999999996</v>
      </c>
      <c r="BQ108" s="680">
        <f t="shared" si="63"/>
        <v>5.4819629767409381</v>
      </c>
      <c r="BS108">
        <f t="shared" ref="BS108:BS135" si="64">+BS59</f>
        <v>1995</v>
      </c>
      <c r="BT108" s="680">
        <f t="shared" ref="BT108:CJ123" si="65">+BT59-BT58</f>
        <v>3.5276804892601454</v>
      </c>
      <c r="BU108" s="680">
        <f t="shared" si="65"/>
        <v>2.9891399999999985E-2</v>
      </c>
      <c r="BV108" s="680">
        <f t="shared" si="65"/>
        <v>0</v>
      </c>
      <c r="BW108" s="680">
        <f t="shared" si="65"/>
        <v>0</v>
      </c>
      <c r="BX108" s="680">
        <f t="shared" si="65"/>
        <v>0</v>
      </c>
      <c r="BY108" s="680">
        <f t="shared" si="65"/>
        <v>0</v>
      </c>
      <c r="BZ108" s="680">
        <f t="shared" ref="BZ108:CA123" si="66">+BZ59-BZ58</f>
        <v>0</v>
      </c>
      <c r="CA108" s="680">
        <f t="shared" si="66"/>
        <v>0</v>
      </c>
      <c r="CB108" s="680">
        <f t="shared" si="65"/>
        <v>0</v>
      </c>
      <c r="CC108" s="680">
        <f t="shared" si="65"/>
        <v>0</v>
      </c>
      <c r="CD108" s="680">
        <f t="shared" si="65"/>
        <v>0</v>
      </c>
      <c r="CE108" s="680">
        <f t="shared" si="65"/>
        <v>0</v>
      </c>
      <c r="CF108" s="680">
        <f t="shared" si="65"/>
        <v>0</v>
      </c>
      <c r="CG108" s="680">
        <f t="shared" si="65"/>
        <v>4.077683246073299</v>
      </c>
      <c r="CH108" s="680">
        <f t="shared" si="65"/>
        <v>0</v>
      </c>
      <c r="CI108" s="680">
        <f t="shared" si="65"/>
        <v>0</v>
      </c>
      <c r="CJ108" s="680">
        <f t="shared" si="65"/>
        <v>0.31499999999999995</v>
      </c>
      <c r="CK108" s="680">
        <f t="shared" ref="CK108:CR108" si="67">+CK59-CK58</f>
        <v>0</v>
      </c>
      <c r="CL108" s="680">
        <f t="shared" si="67"/>
        <v>0</v>
      </c>
      <c r="CM108" s="680">
        <f t="shared" si="67"/>
        <v>0</v>
      </c>
      <c r="CN108" s="680">
        <f t="shared" si="67"/>
        <v>0</v>
      </c>
      <c r="CO108" s="680">
        <f t="shared" si="67"/>
        <v>0</v>
      </c>
      <c r="CP108" s="680">
        <f t="shared" si="67"/>
        <v>0</v>
      </c>
      <c r="CQ108" s="680">
        <f t="shared" si="67"/>
        <v>0</v>
      </c>
      <c r="CR108" s="680">
        <f t="shared" si="67"/>
        <v>0</v>
      </c>
      <c r="CS108" s="680">
        <f t="shared" ref="CS108:DB123" si="68">+CS59-CS58</f>
        <v>0</v>
      </c>
      <c r="CT108" s="680">
        <f t="shared" si="68"/>
        <v>7.9502551353334496</v>
      </c>
      <c r="CU108" s="680">
        <f t="shared" si="68"/>
        <v>0</v>
      </c>
      <c r="CV108" s="680">
        <f t="shared" si="68"/>
        <v>0</v>
      </c>
      <c r="CW108" s="680">
        <f t="shared" si="68"/>
        <v>0.33499999999999996</v>
      </c>
      <c r="CX108" s="680">
        <f t="shared" si="68"/>
        <v>0</v>
      </c>
      <c r="CY108" s="680">
        <f t="shared" si="68"/>
        <v>0.33499999999999996</v>
      </c>
      <c r="CZ108" s="680">
        <f t="shared" si="68"/>
        <v>8.2852551353334505</v>
      </c>
      <c r="DA108" s="680">
        <f t="shared" si="68"/>
        <v>8.2852551353334434</v>
      </c>
      <c r="DB108" s="680"/>
    </row>
    <row r="109" spans="1:106" x14ac:dyDescent="0.2">
      <c r="A109">
        <f t="shared" si="58"/>
        <v>1996</v>
      </c>
      <c r="B109" s="680">
        <f t="shared" ref="B109:AH109" si="69">+B60-B59</f>
        <v>-0.2315104410501192</v>
      </c>
      <c r="C109" s="680">
        <f t="shared" si="69"/>
        <v>-9.835079999999996E-3</v>
      </c>
      <c r="D109" s="680">
        <f t="shared" si="69"/>
        <v>3.1020000000000002E-3</v>
      </c>
      <c r="E109" s="680">
        <f t="shared" si="69"/>
        <v>0</v>
      </c>
      <c r="F109" s="680">
        <f t="shared" si="69"/>
        <v>0</v>
      </c>
      <c r="G109" s="680">
        <f t="shared" si="69"/>
        <v>0</v>
      </c>
      <c r="H109" s="680">
        <f t="shared" ref="H109:Z109" si="70">+H60-H59</f>
        <v>0</v>
      </c>
      <c r="I109" s="680">
        <f t="shared" si="70"/>
        <v>0</v>
      </c>
      <c r="J109" s="680">
        <f t="shared" si="70"/>
        <v>0</v>
      </c>
      <c r="K109" s="680">
        <f t="shared" si="70"/>
        <v>0</v>
      </c>
      <c r="L109" s="680">
        <f t="shared" si="70"/>
        <v>0</v>
      </c>
      <c r="M109" s="680">
        <f t="shared" si="70"/>
        <v>0</v>
      </c>
      <c r="N109" s="680">
        <f t="shared" si="70"/>
        <v>0</v>
      </c>
      <c r="O109" s="680">
        <f t="shared" si="70"/>
        <v>3.1949438187434556</v>
      </c>
      <c r="P109" s="680">
        <f t="shared" si="70"/>
        <v>0</v>
      </c>
      <c r="Q109" s="680">
        <f t="shared" si="70"/>
        <v>0</v>
      </c>
      <c r="R109" s="680">
        <f t="shared" si="70"/>
        <v>5.9881999999999991E-2</v>
      </c>
      <c r="S109" s="680">
        <f t="shared" si="70"/>
        <v>0</v>
      </c>
      <c r="T109" s="680">
        <f t="shared" si="70"/>
        <v>0</v>
      </c>
      <c r="U109" s="680">
        <f t="shared" si="70"/>
        <v>0</v>
      </c>
      <c r="V109" s="680">
        <f t="shared" si="70"/>
        <v>0</v>
      </c>
      <c r="W109" s="680">
        <f t="shared" si="70"/>
        <v>0</v>
      </c>
      <c r="X109" s="680">
        <f t="shared" si="70"/>
        <v>0</v>
      </c>
      <c r="Y109" s="680">
        <f t="shared" si="70"/>
        <v>0</v>
      </c>
      <c r="Z109" s="680">
        <f t="shared" si="70"/>
        <v>0</v>
      </c>
      <c r="AA109" s="680">
        <f t="shared" si="69"/>
        <v>0</v>
      </c>
      <c r="AB109" s="680">
        <f t="shared" si="69"/>
        <v>3.0165822976933363</v>
      </c>
      <c r="AC109" s="680">
        <f t="shared" si="69"/>
        <v>0</v>
      </c>
      <c r="AD109" s="680">
        <f t="shared" si="69"/>
        <v>-7.0200000000000262E-2</v>
      </c>
      <c r="AE109" s="680">
        <f t="shared" si="69"/>
        <v>3.1267999999999994</v>
      </c>
      <c r="AF109" s="680">
        <f t="shared" si="69"/>
        <v>0</v>
      </c>
      <c r="AG109" s="680">
        <f t="shared" si="69"/>
        <v>3.0565999999999995</v>
      </c>
      <c r="AH109" s="680">
        <f t="shared" si="69"/>
        <v>6.0731822976933358</v>
      </c>
      <c r="AJ109">
        <f t="shared" si="61"/>
        <v>1996</v>
      </c>
      <c r="AK109" s="680">
        <f t="shared" ref="AK109:BI109" si="71">+AK60-AK59</f>
        <v>-0.72502584066825904</v>
      </c>
      <c r="AL109" s="680">
        <f t="shared" si="71"/>
        <v>-2.3266119999999946E-2</v>
      </c>
      <c r="AM109" s="680">
        <f t="shared" si="71"/>
        <v>0</v>
      </c>
      <c r="AN109" s="680">
        <f t="shared" si="71"/>
        <v>0</v>
      </c>
      <c r="AO109" s="680">
        <f t="shared" si="71"/>
        <v>0</v>
      </c>
      <c r="AP109" s="680">
        <f t="shared" si="71"/>
        <v>0</v>
      </c>
      <c r="AQ109" s="680">
        <f t="shared" si="71"/>
        <v>0</v>
      </c>
      <c r="AR109" s="680">
        <f t="shared" si="71"/>
        <v>0</v>
      </c>
      <c r="AS109" s="680">
        <f t="shared" si="71"/>
        <v>0</v>
      </c>
      <c r="AT109" s="680">
        <f t="shared" si="71"/>
        <v>0</v>
      </c>
      <c r="AU109" s="680">
        <f t="shared" si="71"/>
        <v>0</v>
      </c>
      <c r="AV109" s="680">
        <f t="shared" si="71"/>
        <v>0</v>
      </c>
      <c r="AW109" s="680">
        <f t="shared" si="71"/>
        <v>0</v>
      </c>
      <c r="AX109" s="680">
        <f t="shared" si="71"/>
        <v>1.081996618219895</v>
      </c>
      <c r="AY109" s="680">
        <f t="shared" si="71"/>
        <v>0</v>
      </c>
      <c r="AZ109" s="680">
        <f t="shared" si="71"/>
        <v>0</v>
      </c>
      <c r="BA109" s="680">
        <f t="shared" si="71"/>
        <v>-3.9000000000000146E-3</v>
      </c>
      <c r="BB109" s="680">
        <f t="shared" si="71"/>
        <v>0</v>
      </c>
      <c r="BC109" s="680">
        <f t="shared" si="71"/>
        <v>0</v>
      </c>
      <c r="BD109" s="680">
        <f t="shared" si="71"/>
        <v>0</v>
      </c>
      <c r="BE109" s="680">
        <f t="shared" si="71"/>
        <v>0</v>
      </c>
      <c r="BF109" s="680">
        <f t="shared" si="71"/>
        <v>0</v>
      </c>
      <c r="BG109" s="680">
        <f t="shared" si="71"/>
        <v>0</v>
      </c>
      <c r="BH109" s="680">
        <f t="shared" si="71"/>
        <v>0</v>
      </c>
      <c r="BI109" s="680">
        <f t="shared" si="71"/>
        <v>0</v>
      </c>
      <c r="BJ109" s="680">
        <f t="shared" ref="BJ109:BQ109" si="72">+BJ60-BJ59</f>
        <v>0</v>
      </c>
      <c r="BK109" s="680">
        <f t="shared" si="72"/>
        <v>0.3298046575516338</v>
      </c>
      <c r="BL109" s="680">
        <f t="shared" si="72"/>
        <v>0</v>
      </c>
      <c r="BM109" s="680">
        <f t="shared" si="72"/>
        <v>-7.0200000000000262E-2</v>
      </c>
      <c r="BN109" s="680">
        <f t="shared" si="72"/>
        <v>-0.1819999999999995</v>
      </c>
      <c r="BO109" s="680">
        <f t="shared" si="72"/>
        <v>0</v>
      </c>
      <c r="BP109" s="680">
        <f t="shared" si="72"/>
        <v>-0.25219999999999843</v>
      </c>
      <c r="BQ109" s="680">
        <f t="shared" si="72"/>
        <v>7.7604657551638923E-2</v>
      </c>
      <c r="BS109">
        <f t="shared" si="64"/>
        <v>1996</v>
      </c>
      <c r="BT109" s="680">
        <f t="shared" si="65"/>
        <v>4.6009163066784708E-3</v>
      </c>
      <c r="BU109" s="680">
        <f t="shared" si="65"/>
        <v>-3.273729000000003E-3</v>
      </c>
      <c r="BV109" s="680">
        <f t="shared" si="65"/>
        <v>1.31456E-2</v>
      </c>
      <c r="BW109" s="680">
        <f t="shared" si="65"/>
        <v>0</v>
      </c>
      <c r="BX109" s="680">
        <f t="shared" si="65"/>
        <v>0</v>
      </c>
      <c r="BY109" s="680">
        <f t="shared" si="65"/>
        <v>0</v>
      </c>
      <c r="BZ109" s="680">
        <f t="shared" si="66"/>
        <v>0</v>
      </c>
      <c r="CA109" s="680">
        <f t="shared" si="66"/>
        <v>0</v>
      </c>
      <c r="CB109" s="680">
        <f t="shared" si="65"/>
        <v>0</v>
      </c>
      <c r="CC109" s="680">
        <f t="shared" si="65"/>
        <v>0</v>
      </c>
      <c r="CD109" s="680">
        <f t="shared" si="65"/>
        <v>0</v>
      </c>
      <c r="CE109" s="680">
        <f t="shared" si="65"/>
        <v>0</v>
      </c>
      <c r="CF109" s="680">
        <f t="shared" si="65"/>
        <v>0</v>
      </c>
      <c r="CG109" s="680">
        <f t="shared" si="65"/>
        <v>14.569684239371725</v>
      </c>
      <c r="CH109" s="680">
        <f t="shared" si="65"/>
        <v>0</v>
      </c>
      <c r="CI109" s="680">
        <f t="shared" si="65"/>
        <v>0</v>
      </c>
      <c r="CJ109" s="680">
        <f t="shared" si="65"/>
        <v>0.309109945</v>
      </c>
      <c r="CK109" s="680">
        <f t="shared" ref="CK109:CR109" si="73">+CK60-CK59</f>
        <v>0</v>
      </c>
      <c r="CL109" s="680">
        <f t="shared" si="73"/>
        <v>-0.3680000000000021</v>
      </c>
      <c r="CM109" s="680">
        <f t="shared" si="73"/>
        <v>0</v>
      </c>
      <c r="CN109" s="680">
        <f t="shared" si="73"/>
        <v>0</v>
      </c>
      <c r="CO109" s="680">
        <f t="shared" si="73"/>
        <v>0</v>
      </c>
      <c r="CP109" s="680">
        <f t="shared" si="73"/>
        <v>0</v>
      </c>
      <c r="CQ109" s="680">
        <f t="shared" si="73"/>
        <v>0</v>
      </c>
      <c r="CR109" s="680">
        <f t="shared" si="73"/>
        <v>0</v>
      </c>
      <c r="CS109" s="680">
        <f t="shared" si="68"/>
        <v>0</v>
      </c>
      <c r="CT109" s="680">
        <f t="shared" si="68"/>
        <v>14.893266971678404</v>
      </c>
      <c r="CU109" s="680">
        <f t="shared" si="68"/>
        <v>0</v>
      </c>
      <c r="CV109" s="680">
        <f t="shared" si="68"/>
        <v>0</v>
      </c>
      <c r="CW109" s="680">
        <f t="shared" si="68"/>
        <v>0.17560666666666647</v>
      </c>
      <c r="CX109" s="680">
        <f t="shared" si="68"/>
        <v>0</v>
      </c>
      <c r="CY109" s="680">
        <f t="shared" si="68"/>
        <v>0.17560666666666647</v>
      </c>
      <c r="CZ109" s="680">
        <f t="shared" si="68"/>
        <v>15.068873638345071</v>
      </c>
      <c r="DA109" s="680">
        <f t="shared" si="68"/>
        <v>15.068873638345075</v>
      </c>
      <c r="DB109" s="680"/>
    </row>
    <row r="110" spans="1:106" x14ac:dyDescent="0.2">
      <c r="A110">
        <f t="shared" si="58"/>
        <v>1997</v>
      </c>
      <c r="B110" s="680">
        <f t="shared" ref="B110:AH110" si="74">+B61-B60</f>
        <v>4.1029120000001029E-2</v>
      </c>
      <c r="C110" s="680">
        <f t="shared" si="74"/>
        <v>0</v>
      </c>
      <c r="D110" s="680">
        <f t="shared" si="74"/>
        <v>2.0876459999999999E-2</v>
      </c>
      <c r="E110" s="680">
        <f t="shared" si="74"/>
        <v>0</v>
      </c>
      <c r="F110" s="680">
        <f t="shared" si="74"/>
        <v>0</v>
      </c>
      <c r="G110" s="680">
        <f t="shared" si="74"/>
        <v>0</v>
      </c>
      <c r="H110" s="680">
        <f t="shared" ref="H110:Z110" si="75">+H61-H60</f>
        <v>0</v>
      </c>
      <c r="I110" s="680">
        <f t="shared" si="75"/>
        <v>0</v>
      </c>
      <c r="J110" s="680">
        <f t="shared" si="75"/>
        <v>0</v>
      </c>
      <c r="K110" s="680">
        <f t="shared" si="75"/>
        <v>0</v>
      </c>
      <c r="L110" s="680">
        <f t="shared" si="75"/>
        <v>0</v>
      </c>
      <c r="M110" s="680">
        <f t="shared" si="75"/>
        <v>0</v>
      </c>
      <c r="N110" s="680">
        <f t="shared" si="75"/>
        <v>0</v>
      </c>
      <c r="O110" s="680">
        <f t="shared" si="75"/>
        <v>4.345043864754099</v>
      </c>
      <c r="P110" s="680">
        <f t="shared" si="75"/>
        <v>0</v>
      </c>
      <c r="Q110" s="680">
        <f t="shared" si="75"/>
        <v>0</v>
      </c>
      <c r="R110" s="680">
        <f t="shared" si="75"/>
        <v>0</v>
      </c>
      <c r="S110" s="680">
        <f t="shared" si="75"/>
        <v>0</v>
      </c>
      <c r="T110" s="680">
        <f t="shared" si="75"/>
        <v>0</v>
      </c>
      <c r="U110" s="680">
        <f t="shared" si="75"/>
        <v>0</v>
      </c>
      <c r="V110" s="680">
        <f t="shared" si="75"/>
        <v>0</v>
      </c>
      <c r="W110" s="680">
        <f t="shared" si="75"/>
        <v>0</v>
      </c>
      <c r="X110" s="680">
        <f t="shared" si="75"/>
        <v>0</v>
      </c>
      <c r="Y110" s="680">
        <f t="shared" si="75"/>
        <v>0</v>
      </c>
      <c r="Z110" s="680">
        <f t="shared" si="75"/>
        <v>0</v>
      </c>
      <c r="AA110" s="680">
        <f t="shared" si="74"/>
        <v>0</v>
      </c>
      <c r="AB110" s="680">
        <f t="shared" si="74"/>
        <v>4.4069494447541011</v>
      </c>
      <c r="AC110" s="680">
        <f t="shared" si="74"/>
        <v>0</v>
      </c>
      <c r="AD110" s="680">
        <f t="shared" si="74"/>
        <v>0</v>
      </c>
      <c r="AE110" s="680">
        <f t="shared" si="74"/>
        <v>7.3414000000000019</v>
      </c>
      <c r="AF110" s="680">
        <f t="shared" si="74"/>
        <v>0</v>
      </c>
      <c r="AG110" s="680">
        <f t="shared" si="74"/>
        <v>7.3414000000000001</v>
      </c>
      <c r="AH110" s="680">
        <f t="shared" si="74"/>
        <v>11.748349444754098</v>
      </c>
      <c r="AJ110">
        <f t="shared" si="61"/>
        <v>1997</v>
      </c>
      <c r="AK110" s="680">
        <f t="shared" ref="AK110:BI110" si="76">+AK61-AK60</f>
        <v>4.5227160000003153E-2</v>
      </c>
      <c r="AL110" s="680">
        <f t="shared" si="76"/>
        <v>0</v>
      </c>
      <c r="AM110" s="680">
        <f t="shared" si="76"/>
        <v>5.1700000000000001E-3</v>
      </c>
      <c r="AN110" s="680">
        <f t="shared" si="76"/>
        <v>0</v>
      </c>
      <c r="AO110" s="680">
        <f t="shared" si="76"/>
        <v>0</v>
      </c>
      <c r="AP110" s="680">
        <f t="shared" si="76"/>
        <v>0</v>
      </c>
      <c r="AQ110" s="680">
        <f t="shared" si="76"/>
        <v>0</v>
      </c>
      <c r="AR110" s="680">
        <f t="shared" si="76"/>
        <v>0</v>
      </c>
      <c r="AS110" s="680">
        <f t="shared" si="76"/>
        <v>0</v>
      </c>
      <c r="AT110" s="680">
        <f t="shared" si="76"/>
        <v>0</v>
      </c>
      <c r="AU110" s="680">
        <f t="shared" si="76"/>
        <v>0</v>
      </c>
      <c r="AV110" s="680">
        <f t="shared" si="76"/>
        <v>0</v>
      </c>
      <c r="AW110" s="680">
        <f t="shared" si="76"/>
        <v>0</v>
      </c>
      <c r="AX110" s="680">
        <f t="shared" si="76"/>
        <v>1.88325106704918</v>
      </c>
      <c r="AY110" s="680">
        <f t="shared" si="76"/>
        <v>0</v>
      </c>
      <c r="AZ110" s="680">
        <f t="shared" si="76"/>
        <v>0</v>
      </c>
      <c r="BA110" s="680">
        <f t="shared" si="76"/>
        <v>0</v>
      </c>
      <c r="BB110" s="680">
        <f t="shared" si="76"/>
        <v>0</v>
      </c>
      <c r="BC110" s="680">
        <f t="shared" si="76"/>
        <v>0</v>
      </c>
      <c r="BD110" s="680">
        <f t="shared" si="76"/>
        <v>0</v>
      </c>
      <c r="BE110" s="680">
        <f t="shared" si="76"/>
        <v>0</v>
      </c>
      <c r="BF110" s="680">
        <f t="shared" si="76"/>
        <v>0</v>
      </c>
      <c r="BG110" s="680">
        <f t="shared" si="76"/>
        <v>0</v>
      </c>
      <c r="BH110" s="680">
        <f t="shared" si="76"/>
        <v>0</v>
      </c>
      <c r="BI110" s="680">
        <f t="shared" si="76"/>
        <v>0</v>
      </c>
      <c r="BJ110" s="680">
        <f t="shared" ref="BJ110:BQ110" si="77">+BJ61-BJ60</f>
        <v>0</v>
      </c>
      <c r="BK110" s="680">
        <f t="shared" si="77"/>
        <v>1.9336482270491828</v>
      </c>
      <c r="BL110" s="680">
        <f t="shared" si="77"/>
        <v>0</v>
      </c>
      <c r="BM110" s="680">
        <f t="shared" si="77"/>
        <v>0</v>
      </c>
      <c r="BN110" s="680">
        <f t="shared" si="77"/>
        <v>10.650200000000002</v>
      </c>
      <c r="BO110" s="680">
        <f t="shared" si="77"/>
        <v>0</v>
      </c>
      <c r="BP110" s="680">
        <f t="shared" si="77"/>
        <v>10.650199999999998</v>
      </c>
      <c r="BQ110" s="680">
        <f t="shared" si="77"/>
        <v>12.583848227049181</v>
      </c>
      <c r="BS110">
        <f t="shared" si="64"/>
        <v>1997</v>
      </c>
      <c r="BT110" s="680">
        <f t="shared" si="65"/>
        <v>0.173702672000001</v>
      </c>
      <c r="BU110" s="680">
        <f t="shared" si="65"/>
        <v>0</v>
      </c>
      <c r="BV110" s="680">
        <f t="shared" si="65"/>
        <v>8.8469887999999997E-2</v>
      </c>
      <c r="BW110" s="680">
        <f t="shared" si="65"/>
        <v>0</v>
      </c>
      <c r="BX110" s="680">
        <f t="shared" si="65"/>
        <v>0</v>
      </c>
      <c r="BY110" s="680">
        <f t="shared" si="65"/>
        <v>0</v>
      </c>
      <c r="BZ110" s="680">
        <f t="shared" si="66"/>
        <v>0</v>
      </c>
      <c r="CA110" s="680">
        <f t="shared" si="66"/>
        <v>0</v>
      </c>
      <c r="CB110" s="680">
        <f t="shared" si="65"/>
        <v>0</v>
      </c>
      <c r="CC110" s="680">
        <f t="shared" si="65"/>
        <v>0</v>
      </c>
      <c r="CD110" s="680">
        <f t="shared" si="65"/>
        <v>0</v>
      </c>
      <c r="CE110" s="680">
        <f t="shared" si="65"/>
        <v>0</v>
      </c>
      <c r="CF110" s="680">
        <f t="shared" si="65"/>
        <v>0</v>
      </c>
      <c r="CG110" s="680">
        <f t="shared" si="65"/>
        <v>19.649878686270483</v>
      </c>
      <c r="CH110" s="680">
        <f t="shared" si="65"/>
        <v>0</v>
      </c>
      <c r="CI110" s="680">
        <f t="shared" si="65"/>
        <v>0</v>
      </c>
      <c r="CJ110" s="680">
        <f t="shared" si="65"/>
        <v>0</v>
      </c>
      <c r="CK110" s="680">
        <f t="shared" ref="CK110:CR110" si="78">+CK61-CK60</f>
        <v>0</v>
      </c>
      <c r="CL110" s="680">
        <f t="shared" si="78"/>
        <v>0</v>
      </c>
      <c r="CM110" s="680">
        <f t="shared" si="78"/>
        <v>0</v>
      </c>
      <c r="CN110" s="680">
        <f t="shared" si="78"/>
        <v>0</v>
      </c>
      <c r="CO110" s="680">
        <f t="shared" si="78"/>
        <v>0</v>
      </c>
      <c r="CP110" s="680">
        <f t="shared" si="78"/>
        <v>0</v>
      </c>
      <c r="CQ110" s="680">
        <f t="shared" si="78"/>
        <v>0</v>
      </c>
      <c r="CR110" s="680">
        <f t="shared" si="78"/>
        <v>0</v>
      </c>
      <c r="CS110" s="680">
        <f t="shared" si="68"/>
        <v>0</v>
      </c>
      <c r="CT110" s="680">
        <f t="shared" si="68"/>
        <v>19.91205124627048</v>
      </c>
      <c r="CU110" s="680">
        <f t="shared" si="68"/>
        <v>0</v>
      </c>
      <c r="CV110" s="680">
        <f t="shared" si="68"/>
        <v>0</v>
      </c>
      <c r="CW110" s="680">
        <f t="shared" si="68"/>
        <v>0.86610333333333334</v>
      </c>
      <c r="CX110" s="680">
        <f t="shared" si="68"/>
        <v>0</v>
      </c>
      <c r="CY110" s="680">
        <f t="shared" si="68"/>
        <v>0.86610333333333334</v>
      </c>
      <c r="CZ110" s="680">
        <f t="shared" si="68"/>
        <v>20.778154579603815</v>
      </c>
      <c r="DA110" s="680">
        <f t="shared" si="68"/>
        <v>20.778154579603815</v>
      </c>
      <c r="DB110" s="680"/>
    </row>
    <row r="111" spans="1:106" x14ac:dyDescent="0.2">
      <c r="A111">
        <f t="shared" si="58"/>
        <v>1998</v>
      </c>
      <c r="B111" s="680">
        <f t="shared" ref="B111:AH111" si="79">+B62-B61</f>
        <v>2.1589919999998486E-2</v>
      </c>
      <c r="C111" s="680">
        <f t="shared" si="79"/>
        <v>0</v>
      </c>
      <c r="D111" s="680">
        <f t="shared" si="79"/>
        <v>3.4370159999999997E-2</v>
      </c>
      <c r="E111" s="680">
        <f t="shared" si="79"/>
        <v>0</v>
      </c>
      <c r="F111" s="680">
        <f t="shared" si="79"/>
        <v>0</v>
      </c>
      <c r="G111" s="680">
        <f t="shared" si="79"/>
        <v>0</v>
      </c>
      <c r="H111" s="680">
        <f t="shared" ref="H111:Z111" si="80">+H62-H61</f>
        <v>0</v>
      </c>
      <c r="I111" s="680">
        <f t="shared" si="80"/>
        <v>0</v>
      </c>
      <c r="J111" s="680">
        <f t="shared" si="80"/>
        <v>0</v>
      </c>
      <c r="K111" s="680">
        <f t="shared" si="80"/>
        <v>0</v>
      </c>
      <c r="L111" s="680">
        <f t="shared" si="80"/>
        <v>0</v>
      </c>
      <c r="M111" s="680">
        <f t="shared" si="80"/>
        <v>0</v>
      </c>
      <c r="N111" s="680">
        <f t="shared" si="80"/>
        <v>0</v>
      </c>
      <c r="O111" s="680">
        <f t="shared" si="80"/>
        <v>3.115462680000002</v>
      </c>
      <c r="P111" s="680">
        <f t="shared" si="80"/>
        <v>0</v>
      </c>
      <c r="Q111" s="680">
        <f t="shared" si="80"/>
        <v>0</v>
      </c>
      <c r="R111" s="680">
        <f t="shared" si="80"/>
        <v>1.900491999999987E-2</v>
      </c>
      <c r="S111" s="680">
        <f t="shared" si="80"/>
        <v>0</v>
      </c>
      <c r="T111" s="680">
        <f t="shared" si="80"/>
        <v>0</v>
      </c>
      <c r="U111" s="680">
        <f t="shared" si="80"/>
        <v>0</v>
      </c>
      <c r="V111" s="680">
        <f t="shared" si="80"/>
        <v>0</v>
      </c>
      <c r="W111" s="680">
        <f t="shared" si="80"/>
        <v>0</v>
      </c>
      <c r="X111" s="680">
        <f t="shared" si="80"/>
        <v>0</v>
      </c>
      <c r="Y111" s="680">
        <f t="shared" si="80"/>
        <v>0</v>
      </c>
      <c r="Z111" s="680">
        <f t="shared" si="80"/>
        <v>0</v>
      </c>
      <c r="AA111" s="680">
        <f t="shared" si="79"/>
        <v>0</v>
      </c>
      <c r="AB111" s="680">
        <f t="shared" si="79"/>
        <v>3.1904276799999991</v>
      </c>
      <c r="AC111" s="680">
        <f t="shared" si="79"/>
        <v>0</v>
      </c>
      <c r="AD111" s="680">
        <f t="shared" si="79"/>
        <v>0</v>
      </c>
      <c r="AE111" s="680">
        <f t="shared" si="79"/>
        <v>0</v>
      </c>
      <c r="AF111" s="680">
        <f t="shared" si="79"/>
        <v>0</v>
      </c>
      <c r="AG111" s="680">
        <f t="shared" si="79"/>
        <v>0</v>
      </c>
      <c r="AH111" s="680">
        <f t="shared" si="79"/>
        <v>3.1904276799999991</v>
      </c>
      <c r="AJ111">
        <f t="shared" si="61"/>
        <v>1998</v>
      </c>
      <c r="AK111" s="680">
        <f t="shared" ref="AK111:BI111" si="81">+AK62-AK61</f>
        <v>1.631652000000372E-2</v>
      </c>
      <c r="AL111" s="680">
        <f t="shared" si="81"/>
        <v>0</v>
      </c>
      <c r="AM111" s="680">
        <f t="shared" si="81"/>
        <v>2.96241E-2</v>
      </c>
      <c r="AN111" s="680">
        <f t="shared" si="81"/>
        <v>0</v>
      </c>
      <c r="AO111" s="680">
        <f t="shared" si="81"/>
        <v>0</v>
      </c>
      <c r="AP111" s="680">
        <f t="shared" si="81"/>
        <v>0</v>
      </c>
      <c r="AQ111" s="680">
        <f t="shared" si="81"/>
        <v>0</v>
      </c>
      <c r="AR111" s="680">
        <f t="shared" si="81"/>
        <v>0</v>
      </c>
      <c r="AS111" s="680">
        <f t="shared" si="81"/>
        <v>0</v>
      </c>
      <c r="AT111" s="680">
        <f t="shared" si="81"/>
        <v>0</v>
      </c>
      <c r="AU111" s="680">
        <f t="shared" si="81"/>
        <v>0</v>
      </c>
      <c r="AV111" s="680">
        <f t="shared" si="81"/>
        <v>0</v>
      </c>
      <c r="AW111" s="680">
        <f t="shared" si="81"/>
        <v>0</v>
      </c>
      <c r="AX111" s="680">
        <f t="shared" si="81"/>
        <v>1.1567771599999999</v>
      </c>
      <c r="AY111" s="680">
        <f t="shared" si="81"/>
        <v>0</v>
      </c>
      <c r="AZ111" s="680">
        <f t="shared" si="81"/>
        <v>0</v>
      </c>
      <c r="BA111" s="680">
        <f t="shared" si="81"/>
        <v>0</v>
      </c>
      <c r="BB111" s="680">
        <f t="shared" si="81"/>
        <v>0</v>
      </c>
      <c r="BC111" s="680">
        <f t="shared" si="81"/>
        <v>0</v>
      </c>
      <c r="BD111" s="680">
        <f t="shared" si="81"/>
        <v>0</v>
      </c>
      <c r="BE111" s="680">
        <f t="shared" si="81"/>
        <v>0</v>
      </c>
      <c r="BF111" s="680">
        <f t="shared" si="81"/>
        <v>0</v>
      </c>
      <c r="BG111" s="680">
        <f t="shared" si="81"/>
        <v>0</v>
      </c>
      <c r="BH111" s="680">
        <f t="shared" si="81"/>
        <v>0</v>
      </c>
      <c r="BI111" s="680">
        <f t="shared" si="81"/>
        <v>0</v>
      </c>
      <c r="BJ111" s="680">
        <f t="shared" ref="BJ111:BQ111" si="82">+BJ62-BJ61</f>
        <v>0</v>
      </c>
      <c r="BK111" s="680">
        <f t="shared" si="82"/>
        <v>1.2027177800000004</v>
      </c>
      <c r="BL111" s="680">
        <f t="shared" si="82"/>
        <v>0</v>
      </c>
      <c r="BM111" s="680">
        <f t="shared" si="82"/>
        <v>0</v>
      </c>
      <c r="BN111" s="680">
        <f t="shared" si="82"/>
        <v>0</v>
      </c>
      <c r="BO111" s="680">
        <f t="shared" si="82"/>
        <v>0</v>
      </c>
      <c r="BP111" s="680">
        <f t="shared" si="82"/>
        <v>0</v>
      </c>
      <c r="BQ111" s="680">
        <f t="shared" si="82"/>
        <v>1.2027177800000004</v>
      </c>
      <c r="BS111">
        <f t="shared" si="64"/>
        <v>1998</v>
      </c>
      <c r="BT111" s="680">
        <f t="shared" si="65"/>
        <v>9.1404026999999388E-2</v>
      </c>
      <c r="BU111" s="680">
        <f t="shared" si="65"/>
        <v>0</v>
      </c>
      <c r="BV111" s="680">
        <f t="shared" si="65"/>
        <v>0.14565324800000001</v>
      </c>
      <c r="BW111" s="680">
        <f t="shared" si="65"/>
        <v>0</v>
      </c>
      <c r="BX111" s="680">
        <f t="shared" si="65"/>
        <v>0</v>
      </c>
      <c r="BY111" s="680">
        <f t="shared" si="65"/>
        <v>0</v>
      </c>
      <c r="BZ111" s="680">
        <f t="shared" si="66"/>
        <v>0</v>
      </c>
      <c r="CA111" s="680">
        <f t="shared" si="66"/>
        <v>0</v>
      </c>
      <c r="CB111" s="680">
        <f t="shared" si="65"/>
        <v>0</v>
      </c>
      <c r="CC111" s="680">
        <f t="shared" si="65"/>
        <v>0</v>
      </c>
      <c r="CD111" s="680">
        <f t="shared" si="65"/>
        <v>0</v>
      </c>
      <c r="CE111" s="680">
        <f t="shared" si="65"/>
        <v>0</v>
      </c>
      <c r="CF111" s="680">
        <f t="shared" si="65"/>
        <v>0</v>
      </c>
      <c r="CG111" s="680">
        <f t="shared" si="65"/>
        <v>14.246285195999995</v>
      </c>
      <c r="CH111" s="680">
        <f t="shared" si="65"/>
        <v>0</v>
      </c>
      <c r="CI111" s="680">
        <f t="shared" si="65"/>
        <v>0</v>
      </c>
      <c r="CJ111" s="680">
        <f t="shared" si="65"/>
        <v>5.7453974499999783E-2</v>
      </c>
      <c r="CK111" s="680">
        <f t="shared" ref="CK111:CR111" si="83">+CK62-CK61</f>
        <v>0</v>
      </c>
      <c r="CL111" s="680">
        <f t="shared" si="83"/>
        <v>0</v>
      </c>
      <c r="CM111" s="680">
        <f t="shared" si="83"/>
        <v>0</v>
      </c>
      <c r="CN111" s="680">
        <f t="shared" si="83"/>
        <v>0</v>
      </c>
      <c r="CO111" s="680">
        <f t="shared" si="83"/>
        <v>0</v>
      </c>
      <c r="CP111" s="680">
        <f t="shared" si="83"/>
        <v>0</v>
      </c>
      <c r="CQ111" s="680">
        <f t="shared" si="83"/>
        <v>0</v>
      </c>
      <c r="CR111" s="680">
        <f t="shared" si="83"/>
        <v>0</v>
      </c>
      <c r="CS111" s="680">
        <f t="shared" si="68"/>
        <v>0</v>
      </c>
      <c r="CT111" s="680">
        <f t="shared" si="68"/>
        <v>14.540796445499993</v>
      </c>
      <c r="CU111" s="680">
        <f t="shared" si="68"/>
        <v>0</v>
      </c>
      <c r="CV111" s="680">
        <f t="shared" si="68"/>
        <v>0</v>
      </c>
      <c r="CW111" s="680">
        <f t="shared" si="68"/>
        <v>0</v>
      </c>
      <c r="CX111" s="680">
        <f t="shared" si="68"/>
        <v>0</v>
      </c>
      <c r="CY111" s="680">
        <f t="shared" si="68"/>
        <v>0</v>
      </c>
      <c r="CZ111" s="680">
        <f t="shared" si="68"/>
        <v>14.540796445499986</v>
      </c>
      <c r="DA111" s="680">
        <f t="shared" si="68"/>
        <v>14.540796445499986</v>
      </c>
      <c r="DB111" s="680"/>
    </row>
    <row r="112" spans="1:106" x14ac:dyDescent="0.2">
      <c r="A112">
        <f t="shared" si="58"/>
        <v>1999</v>
      </c>
      <c r="B112" s="680">
        <f t="shared" ref="B112:AH112" si="84">+B63-B62</f>
        <v>2.8538400000000408E-2</v>
      </c>
      <c r="C112" s="680">
        <f t="shared" si="84"/>
        <v>0</v>
      </c>
      <c r="D112" s="680">
        <f t="shared" si="84"/>
        <v>2.4009480000000007E-2</v>
      </c>
      <c r="E112" s="680">
        <f t="shared" si="84"/>
        <v>0</v>
      </c>
      <c r="F112" s="680">
        <f t="shared" si="84"/>
        <v>0</v>
      </c>
      <c r="G112" s="680">
        <f t="shared" si="84"/>
        <v>0</v>
      </c>
      <c r="H112" s="680">
        <f t="shared" ref="H112:Z112" si="85">+H63-H62</f>
        <v>0</v>
      </c>
      <c r="I112" s="680">
        <f t="shared" si="85"/>
        <v>0</v>
      </c>
      <c r="J112" s="680">
        <f t="shared" si="85"/>
        <v>0</v>
      </c>
      <c r="K112" s="680">
        <f t="shared" si="85"/>
        <v>0</v>
      </c>
      <c r="L112" s="680">
        <f t="shared" si="85"/>
        <v>0</v>
      </c>
      <c r="M112" s="680">
        <f t="shared" si="85"/>
        <v>0</v>
      </c>
      <c r="N112" s="680">
        <f t="shared" si="85"/>
        <v>0</v>
      </c>
      <c r="O112" s="680">
        <f t="shared" si="85"/>
        <v>3.5116087599999979</v>
      </c>
      <c r="P112" s="680">
        <f t="shared" si="85"/>
        <v>0</v>
      </c>
      <c r="Q112" s="680">
        <f t="shared" si="85"/>
        <v>0</v>
      </c>
      <c r="R112" s="680">
        <f t="shared" si="85"/>
        <v>0</v>
      </c>
      <c r="S112" s="680">
        <f t="shared" si="85"/>
        <v>0</v>
      </c>
      <c r="T112" s="680">
        <f t="shared" si="85"/>
        <v>0</v>
      </c>
      <c r="U112" s="680">
        <f t="shared" si="85"/>
        <v>0</v>
      </c>
      <c r="V112" s="680">
        <f t="shared" si="85"/>
        <v>0</v>
      </c>
      <c r="W112" s="680">
        <f t="shared" si="85"/>
        <v>0</v>
      </c>
      <c r="X112" s="680">
        <f t="shared" si="85"/>
        <v>0</v>
      </c>
      <c r="Y112" s="680">
        <f t="shared" si="85"/>
        <v>0</v>
      </c>
      <c r="Z112" s="680">
        <f t="shared" si="85"/>
        <v>0</v>
      </c>
      <c r="AA112" s="680">
        <f t="shared" si="84"/>
        <v>0</v>
      </c>
      <c r="AB112" s="680">
        <f t="shared" si="84"/>
        <v>3.5641566400000002</v>
      </c>
      <c r="AC112" s="680">
        <f t="shared" si="84"/>
        <v>0.20680000000000001</v>
      </c>
      <c r="AD112" s="680">
        <f t="shared" si="84"/>
        <v>-2.5850000000000004</v>
      </c>
      <c r="AE112" s="680">
        <f t="shared" si="84"/>
        <v>0.62039999999999651</v>
      </c>
      <c r="AF112" s="680">
        <f t="shared" si="84"/>
        <v>0</v>
      </c>
      <c r="AG112" s="680">
        <f t="shared" si="84"/>
        <v>-1.7578000000000031</v>
      </c>
      <c r="AH112" s="680">
        <f t="shared" si="84"/>
        <v>1.8063566400000042</v>
      </c>
      <c r="AJ112">
        <f t="shared" si="61"/>
        <v>1999</v>
      </c>
      <c r="AK112" s="680">
        <f t="shared" ref="AK112:BI112" si="86">+AK63-AK62</f>
        <v>1.6068359999998449E-2</v>
      </c>
      <c r="AL112" s="680">
        <f t="shared" si="86"/>
        <v>0</v>
      </c>
      <c r="AM112" s="680">
        <f t="shared" si="86"/>
        <v>2.7659499999999997E-2</v>
      </c>
      <c r="AN112" s="680">
        <f t="shared" si="86"/>
        <v>0</v>
      </c>
      <c r="AO112" s="680">
        <f t="shared" si="86"/>
        <v>0</v>
      </c>
      <c r="AP112" s="680">
        <f t="shared" si="86"/>
        <v>0</v>
      </c>
      <c r="AQ112" s="680">
        <f t="shared" si="86"/>
        <v>0</v>
      </c>
      <c r="AR112" s="680">
        <f t="shared" si="86"/>
        <v>0</v>
      </c>
      <c r="AS112" s="680">
        <f t="shared" si="86"/>
        <v>0</v>
      </c>
      <c r="AT112" s="680">
        <f t="shared" si="86"/>
        <v>0</v>
      </c>
      <c r="AU112" s="680">
        <f t="shared" si="86"/>
        <v>0</v>
      </c>
      <c r="AV112" s="680">
        <f t="shared" si="86"/>
        <v>0</v>
      </c>
      <c r="AW112" s="680">
        <f t="shared" si="86"/>
        <v>0</v>
      </c>
      <c r="AX112" s="680">
        <f t="shared" si="86"/>
        <v>1.5015748000000002</v>
      </c>
      <c r="AY112" s="680">
        <f t="shared" si="86"/>
        <v>0</v>
      </c>
      <c r="AZ112" s="680">
        <f t="shared" si="86"/>
        <v>0</v>
      </c>
      <c r="BA112" s="680">
        <f t="shared" si="86"/>
        <v>0</v>
      </c>
      <c r="BB112" s="680">
        <f t="shared" si="86"/>
        <v>0</v>
      </c>
      <c r="BC112" s="680">
        <f t="shared" si="86"/>
        <v>0</v>
      </c>
      <c r="BD112" s="680">
        <f t="shared" si="86"/>
        <v>0</v>
      </c>
      <c r="BE112" s="680">
        <f t="shared" si="86"/>
        <v>0</v>
      </c>
      <c r="BF112" s="680">
        <f t="shared" si="86"/>
        <v>0</v>
      </c>
      <c r="BG112" s="680">
        <f t="shared" si="86"/>
        <v>0</v>
      </c>
      <c r="BH112" s="680">
        <f t="shared" si="86"/>
        <v>0</v>
      </c>
      <c r="BI112" s="680">
        <f t="shared" si="86"/>
        <v>0</v>
      </c>
      <c r="BJ112" s="680">
        <f t="shared" ref="BJ112:BQ112" si="87">+BJ63-BJ62</f>
        <v>0</v>
      </c>
      <c r="BK112" s="680">
        <f t="shared" si="87"/>
        <v>1.5453026599999973</v>
      </c>
      <c r="BL112" s="680">
        <f t="shared" si="87"/>
        <v>0</v>
      </c>
      <c r="BM112" s="680">
        <f t="shared" si="87"/>
        <v>-2.5645268000000003</v>
      </c>
      <c r="BN112" s="680">
        <f t="shared" si="87"/>
        <v>0.31020000000000181</v>
      </c>
      <c r="BO112" s="680">
        <f t="shared" si="87"/>
        <v>0</v>
      </c>
      <c r="BP112" s="680">
        <f t="shared" si="87"/>
        <v>-2.2543267999999976</v>
      </c>
      <c r="BQ112" s="680">
        <f t="shared" si="87"/>
        <v>-0.70902413999999681</v>
      </c>
      <c r="BS112">
        <f t="shared" si="64"/>
        <v>1999</v>
      </c>
      <c r="BT112" s="680">
        <f t="shared" si="65"/>
        <v>0.12082141500000176</v>
      </c>
      <c r="BU112" s="680">
        <f t="shared" si="65"/>
        <v>0</v>
      </c>
      <c r="BV112" s="680">
        <f t="shared" si="65"/>
        <v>0.10174694400000001</v>
      </c>
      <c r="BW112" s="680">
        <f t="shared" si="65"/>
        <v>0</v>
      </c>
      <c r="BX112" s="680">
        <f t="shared" si="65"/>
        <v>0</v>
      </c>
      <c r="BY112" s="680">
        <f t="shared" si="65"/>
        <v>0</v>
      </c>
      <c r="BZ112" s="680">
        <f t="shared" si="66"/>
        <v>0</v>
      </c>
      <c r="CA112" s="680">
        <f t="shared" si="66"/>
        <v>0</v>
      </c>
      <c r="CB112" s="680">
        <f t="shared" si="65"/>
        <v>0</v>
      </c>
      <c r="CC112" s="680">
        <f t="shared" si="65"/>
        <v>0</v>
      </c>
      <c r="CD112" s="680">
        <f t="shared" si="65"/>
        <v>0</v>
      </c>
      <c r="CE112" s="680">
        <f t="shared" si="65"/>
        <v>0</v>
      </c>
      <c r="CF112" s="680">
        <f t="shared" si="65"/>
        <v>0</v>
      </c>
      <c r="CG112" s="680">
        <f t="shared" si="65"/>
        <v>16.344162744000009</v>
      </c>
      <c r="CH112" s="680">
        <f t="shared" si="65"/>
        <v>0</v>
      </c>
      <c r="CI112" s="680">
        <f t="shared" si="65"/>
        <v>0</v>
      </c>
      <c r="CJ112" s="680">
        <f t="shared" si="65"/>
        <v>0</v>
      </c>
      <c r="CK112" s="680">
        <f t="shared" ref="CK112:CR112" si="88">+CK63-CK62</f>
        <v>0</v>
      </c>
      <c r="CL112" s="680">
        <f t="shared" si="88"/>
        <v>0</v>
      </c>
      <c r="CM112" s="680">
        <f t="shared" si="88"/>
        <v>0</v>
      </c>
      <c r="CN112" s="680">
        <f t="shared" si="88"/>
        <v>0</v>
      </c>
      <c r="CO112" s="680">
        <f t="shared" si="88"/>
        <v>0</v>
      </c>
      <c r="CP112" s="680">
        <f t="shared" si="88"/>
        <v>0</v>
      </c>
      <c r="CQ112" s="680">
        <f t="shared" si="88"/>
        <v>0</v>
      </c>
      <c r="CR112" s="680">
        <f t="shared" si="88"/>
        <v>0</v>
      </c>
      <c r="CS112" s="680">
        <f t="shared" si="68"/>
        <v>0</v>
      </c>
      <c r="CT112" s="680">
        <f t="shared" si="68"/>
        <v>16.566731103000023</v>
      </c>
      <c r="CU112" s="680">
        <f t="shared" si="68"/>
        <v>0</v>
      </c>
      <c r="CV112" s="680">
        <f t="shared" si="68"/>
        <v>0</v>
      </c>
      <c r="CW112" s="680">
        <f t="shared" si="68"/>
        <v>4.8782499999999951E-2</v>
      </c>
      <c r="CX112" s="680">
        <f t="shared" si="68"/>
        <v>0</v>
      </c>
      <c r="CY112" s="680">
        <f t="shared" si="68"/>
        <v>4.8782499999999951E-2</v>
      </c>
      <c r="CZ112" s="680">
        <f t="shared" si="68"/>
        <v>16.615513603000025</v>
      </c>
      <c r="DA112" s="680">
        <f t="shared" si="68"/>
        <v>16.615513603000025</v>
      </c>
      <c r="DB112" s="680"/>
    </row>
    <row r="113" spans="1:106" x14ac:dyDescent="0.2">
      <c r="A113">
        <f t="shared" si="58"/>
        <v>2000</v>
      </c>
      <c r="B113" s="680">
        <f t="shared" ref="B113:AH113" si="89">+B64-B63</f>
        <v>0.43630103971360157</v>
      </c>
      <c r="C113" s="680">
        <f t="shared" si="89"/>
        <v>1.2231979999999976E-2</v>
      </c>
      <c r="D113" s="680">
        <f t="shared" si="89"/>
        <v>2.4691499999999894E-3</v>
      </c>
      <c r="E113" s="680">
        <f t="shared" si="89"/>
        <v>1.2566999999999999E-3</v>
      </c>
      <c r="F113" s="680">
        <f t="shared" si="89"/>
        <v>0</v>
      </c>
      <c r="G113" s="680">
        <f t="shared" si="89"/>
        <v>0</v>
      </c>
      <c r="H113" s="680">
        <f t="shared" ref="H113:Z113" si="90">+H64-H63</f>
        <v>0</v>
      </c>
      <c r="I113" s="680">
        <f t="shared" si="90"/>
        <v>0</v>
      </c>
      <c r="J113" s="680">
        <f t="shared" si="90"/>
        <v>0</v>
      </c>
      <c r="K113" s="680">
        <f t="shared" si="90"/>
        <v>0</v>
      </c>
      <c r="L113" s="680">
        <f t="shared" si="90"/>
        <v>0</v>
      </c>
      <c r="M113" s="680">
        <f t="shared" si="90"/>
        <v>0</v>
      </c>
      <c r="N113" s="680">
        <f t="shared" si="90"/>
        <v>0</v>
      </c>
      <c r="O113" s="680">
        <f t="shared" si="90"/>
        <v>6.2401094429689365</v>
      </c>
      <c r="P113" s="680">
        <f t="shared" si="90"/>
        <v>0</v>
      </c>
      <c r="Q113" s="680">
        <f t="shared" si="90"/>
        <v>0</v>
      </c>
      <c r="R113" s="680">
        <f t="shared" si="90"/>
        <v>0.38326653000000011</v>
      </c>
      <c r="S113" s="680">
        <f t="shared" si="90"/>
        <v>0</v>
      </c>
      <c r="T113" s="680">
        <f t="shared" si="90"/>
        <v>0</v>
      </c>
      <c r="U113" s="680">
        <f t="shared" si="90"/>
        <v>0</v>
      </c>
      <c r="V113" s="680">
        <f t="shared" si="90"/>
        <v>0</v>
      </c>
      <c r="W113" s="680">
        <f t="shared" si="90"/>
        <v>0</v>
      </c>
      <c r="X113" s="680">
        <f t="shared" si="90"/>
        <v>0</v>
      </c>
      <c r="Y113" s="680">
        <f t="shared" si="90"/>
        <v>0</v>
      </c>
      <c r="Z113" s="680">
        <f t="shared" si="90"/>
        <v>0</v>
      </c>
      <c r="AA113" s="680">
        <f t="shared" si="89"/>
        <v>0</v>
      </c>
      <c r="AB113" s="680">
        <f t="shared" si="89"/>
        <v>7.0756348426825362</v>
      </c>
      <c r="AC113" s="680">
        <f t="shared" si="89"/>
        <v>-0.10030000000000001</v>
      </c>
      <c r="AD113" s="680">
        <f t="shared" si="89"/>
        <v>6.1999999999999833E-3</v>
      </c>
      <c r="AE113" s="680">
        <f t="shared" si="89"/>
        <v>1.9393999999999991</v>
      </c>
      <c r="AF113" s="680">
        <f t="shared" si="89"/>
        <v>0</v>
      </c>
      <c r="AG113" s="680">
        <f t="shared" si="89"/>
        <v>1.8453000000000017</v>
      </c>
      <c r="AH113" s="680">
        <f t="shared" si="89"/>
        <v>8.9209348426825343</v>
      </c>
      <c r="AJ113">
        <f t="shared" si="61"/>
        <v>2000</v>
      </c>
      <c r="AK113" s="680">
        <f t="shared" ref="AK113:BI113" si="91">+AK64-AK63</f>
        <v>1.0214140161813816</v>
      </c>
      <c r="AL113" s="680">
        <f t="shared" si="91"/>
        <v>2.834701999999989E-2</v>
      </c>
      <c r="AM113" s="680">
        <f t="shared" si="91"/>
        <v>1.8723999999999963E-3</v>
      </c>
      <c r="AN113" s="680">
        <f t="shared" si="91"/>
        <v>0</v>
      </c>
      <c r="AO113" s="680">
        <f t="shared" si="91"/>
        <v>0</v>
      </c>
      <c r="AP113" s="680">
        <f t="shared" si="91"/>
        <v>0</v>
      </c>
      <c r="AQ113" s="680">
        <f t="shared" si="91"/>
        <v>0</v>
      </c>
      <c r="AR113" s="680">
        <f t="shared" si="91"/>
        <v>0</v>
      </c>
      <c r="AS113" s="680">
        <f t="shared" si="91"/>
        <v>0</v>
      </c>
      <c r="AT113" s="680">
        <f t="shared" si="91"/>
        <v>0</v>
      </c>
      <c r="AU113" s="680">
        <f t="shared" si="91"/>
        <v>0</v>
      </c>
      <c r="AV113" s="680">
        <f t="shared" si="91"/>
        <v>0</v>
      </c>
      <c r="AW113" s="680">
        <f t="shared" si="91"/>
        <v>0</v>
      </c>
      <c r="AX113" s="680">
        <f t="shared" si="91"/>
        <v>2.5337284836343024</v>
      </c>
      <c r="AY113" s="680">
        <f t="shared" si="91"/>
        <v>0</v>
      </c>
      <c r="AZ113" s="680">
        <f t="shared" si="91"/>
        <v>0</v>
      </c>
      <c r="BA113" s="680">
        <f t="shared" si="91"/>
        <v>4.6499999999999875E-3</v>
      </c>
      <c r="BB113" s="680">
        <f t="shared" si="91"/>
        <v>0</v>
      </c>
      <c r="BC113" s="680">
        <f t="shared" si="91"/>
        <v>0</v>
      </c>
      <c r="BD113" s="680">
        <f t="shared" si="91"/>
        <v>0</v>
      </c>
      <c r="BE113" s="680">
        <f t="shared" si="91"/>
        <v>0</v>
      </c>
      <c r="BF113" s="680">
        <f t="shared" si="91"/>
        <v>0</v>
      </c>
      <c r="BG113" s="680">
        <f t="shared" si="91"/>
        <v>0</v>
      </c>
      <c r="BH113" s="680">
        <f t="shared" si="91"/>
        <v>0</v>
      </c>
      <c r="BI113" s="680">
        <f t="shared" si="91"/>
        <v>0</v>
      </c>
      <c r="BJ113" s="680">
        <f t="shared" ref="BJ113:BQ113" si="92">+BJ64-BJ63</f>
        <v>0</v>
      </c>
      <c r="BK113" s="680">
        <f t="shared" si="92"/>
        <v>3.5900119198156943</v>
      </c>
      <c r="BL113" s="680">
        <f t="shared" si="92"/>
        <v>0</v>
      </c>
      <c r="BM113" s="680">
        <f t="shared" si="92"/>
        <v>-4.622320000000002E-2</v>
      </c>
      <c r="BN113" s="680">
        <f t="shared" si="92"/>
        <v>0.86509999999999465</v>
      </c>
      <c r="BO113" s="680">
        <f t="shared" si="92"/>
        <v>0</v>
      </c>
      <c r="BP113" s="680">
        <f t="shared" si="92"/>
        <v>0.81887679999999463</v>
      </c>
      <c r="BQ113" s="680">
        <f t="shared" si="92"/>
        <v>4.4088887198156854</v>
      </c>
      <c r="BS113">
        <f t="shared" si="64"/>
        <v>2000</v>
      </c>
      <c r="BT113" s="680">
        <f t="shared" si="65"/>
        <v>0.7380097523257767</v>
      </c>
      <c r="BU113" s="680">
        <f t="shared" si="65"/>
        <v>6.8253630000000287E-3</v>
      </c>
      <c r="BV113" s="680">
        <f t="shared" si="65"/>
        <v>1.0535040000000051E-2</v>
      </c>
      <c r="BW113" s="680">
        <f t="shared" si="65"/>
        <v>5.0694069999999997E-3</v>
      </c>
      <c r="BX113" s="680">
        <f t="shared" si="65"/>
        <v>0</v>
      </c>
      <c r="BY113" s="680">
        <f t="shared" si="65"/>
        <v>0</v>
      </c>
      <c r="BZ113" s="680">
        <f t="shared" si="66"/>
        <v>0</v>
      </c>
      <c r="CA113" s="680">
        <f t="shared" si="66"/>
        <v>0</v>
      </c>
      <c r="CB113" s="680">
        <f t="shared" si="65"/>
        <v>0</v>
      </c>
      <c r="CC113" s="680">
        <f t="shared" si="65"/>
        <v>0</v>
      </c>
      <c r="CD113" s="680">
        <f t="shared" si="65"/>
        <v>0</v>
      </c>
      <c r="CE113" s="680">
        <f t="shared" si="65"/>
        <v>0</v>
      </c>
      <c r="CF113" s="680">
        <f t="shared" si="65"/>
        <v>0</v>
      </c>
      <c r="CG113" s="680">
        <f t="shared" si="65"/>
        <v>21.443575079266978</v>
      </c>
      <c r="CH113" s="680">
        <f t="shared" si="65"/>
        <v>0</v>
      </c>
      <c r="CI113" s="680">
        <f t="shared" si="65"/>
        <v>0</v>
      </c>
      <c r="CJ113" s="680">
        <f t="shared" si="65"/>
        <v>2.0673293735000007</v>
      </c>
      <c r="CK113" s="680">
        <f t="shared" ref="CK113:CR113" si="93">+CK64-CK63</f>
        <v>0</v>
      </c>
      <c r="CL113" s="680">
        <f t="shared" si="93"/>
        <v>0.49600000000000222</v>
      </c>
      <c r="CM113" s="680">
        <f t="shared" si="93"/>
        <v>0</v>
      </c>
      <c r="CN113" s="680">
        <f t="shared" si="93"/>
        <v>0</v>
      </c>
      <c r="CO113" s="680">
        <f t="shared" si="93"/>
        <v>0</v>
      </c>
      <c r="CP113" s="680">
        <f t="shared" si="93"/>
        <v>0</v>
      </c>
      <c r="CQ113" s="680">
        <f t="shared" si="93"/>
        <v>0</v>
      </c>
      <c r="CR113" s="680">
        <f t="shared" si="93"/>
        <v>0</v>
      </c>
      <c r="CS113" s="680">
        <f t="shared" si="68"/>
        <v>0</v>
      </c>
      <c r="CT113" s="680">
        <f t="shared" si="68"/>
        <v>24.271344015092751</v>
      </c>
      <c r="CU113" s="680">
        <f t="shared" si="68"/>
        <v>0</v>
      </c>
      <c r="CV113" s="680">
        <f t="shared" si="68"/>
        <v>0</v>
      </c>
      <c r="CW113" s="680">
        <f t="shared" si="68"/>
        <v>0.14855916666666724</v>
      </c>
      <c r="CX113" s="680">
        <f t="shared" si="68"/>
        <v>0</v>
      </c>
      <c r="CY113" s="680">
        <f t="shared" si="68"/>
        <v>0.14855916666666724</v>
      </c>
      <c r="CZ113" s="680">
        <f t="shared" si="68"/>
        <v>24.419903181759423</v>
      </c>
      <c r="DA113" s="680">
        <f t="shared" si="68"/>
        <v>24.419903181759423</v>
      </c>
      <c r="DB113" s="680"/>
    </row>
    <row r="114" spans="1:106" x14ac:dyDescent="0.2">
      <c r="A114">
        <f t="shared" si="58"/>
        <v>2001</v>
      </c>
      <c r="B114" s="680">
        <f t="shared" ref="B114:AH114" si="94">+B65-B64</f>
        <v>4.2088800000000148E-2</v>
      </c>
      <c r="C114" s="680">
        <f t="shared" si="94"/>
        <v>1.2780000000001124E-4</v>
      </c>
      <c r="D114" s="680">
        <f t="shared" si="94"/>
        <v>0</v>
      </c>
      <c r="E114" s="680">
        <f t="shared" si="94"/>
        <v>3.8833703571428568E-2</v>
      </c>
      <c r="F114" s="680">
        <f t="shared" si="94"/>
        <v>0</v>
      </c>
      <c r="G114" s="680">
        <f t="shared" si="94"/>
        <v>0</v>
      </c>
      <c r="H114" s="680">
        <f t="shared" ref="H114:Z114" si="95">+H65-H64</f>
        <v>0</v>
      </c>
      <c r="I114" s="680">
        <f t="shared" si="95"/>
        <v>0</v>
      </c>
      <c r="J114" s="680">
        <f t="shared" si="95"/>
        <v>0</v>
      </c>
      <c r="K114" s="680">
        <f t="shared" si="95"/>
        <v>0</v>
      </c>
      <c r="L114" s="680">
        <f t="shared" si="95"/>
        <v>0</v>
      </c>
      <c r="M114" s="680">
        <f t="shared" si="95"/>
        <v>0</v>
      </c>
      <c r="N114" s="680">
        <f t="shared" si="95"/>
        <v>0</v>
      </c>
      <c r="O114" s="680">
        <f t="shared" si="95"/>
        <v>2.430628200000001</v>
      </c>
      <c r="P114" s="680">
        <f t="shared" si="95"/>
        <v>0</v>
      </c>
      <c r="Q114" s="680">
        <f t="shared" si="95"/>
        <v>0</v>
      </c>
      <c r="R114" s="680">
        <f t="shared" si="95"/>
        <v>0.41937570000000002</v>
      </c>
      <c r="S114" s="680">
        <f t="shared" si="95"/>
        <v>0</v>
      </c>
      <c r="T114" s="680">
        <f t="shared" si="95"/>
        <v>0</v>
      </c>
      <c r="U114" s="680">
        <f t="shared" si="95"/>
        <v>0</v>
      </c>
      <c r="V114" s="680">
        <f t="shared" si="95"/>
        <v>0</v>
      </c>
      <c r="W114" s="680">
        <f t="shared" si="95"/>
        <v>0</v>
      </c>
      <c r="X114" s="680">
        <f t="shared" si="95"/>
        <v>0</v>
      </c>
      <c r="Y114" s="680">
        <f t="shared" si="95"/>
        <v>0</v>
      </c>
      <c r="Z114" s="680">
        <f t="shared" si="95"/>
        <v>0</v>
      </c>
      <c r="AA114" s="680">
        <f t="shared" si="94"/>
        <v>0</v>
      </c>
      <c r="AB114" s="680">
        <f t="shared" si="94"/>
        <v>2.9310542035714278</v>
      </c>
      <c r="AC114" s="680">
        <f t="shared" si="94"/>
        <v>-1.5974999999999989E-2</v>
      </c>
      <c r="AD114" s="680">
        <f t="shared" si="94"/>
        <v>-9.0524999999999994E-2</v>
      </c>
      <c r="AE114" s="680">
        <f t="shared" si="94"/>
        <v>-0.10649999999999693</v>
      </c>
      <c r="AF114" s="680">
        <f t="shared" si="94"/>
        <v>0</v>
      </c>
      <c r="AG114" s="680">
        <f t="shared" si="94"/>
        <v>-0.21299999999999741</v>
      </c>
      <c r="AH114" s="680">
        <f t="shared" si="94"/>
        <v>2.7180542035714339</v>
      </c>
      <c r="AJ114">
        <f t="shared" si="61"/>
        <v>2001</v>
      </c>
      <c r="AK114" s="680">
        <f t="shared" ref="AK114:BI114" si="96">+AK65-AK64</f>
        <v>2.6390700000000322E-2</v>
      </c>
      <c r="AL114" s="680">
        <f t="shared" si="96"/>
        <v>0</v>
      </c>
      <c r="AM114" s="680">
        <f t="shared" si="96"/>
        <v>0</v>
      </c>
      <c r="AN114" s="680">
        <f t="shared" si="96"/>
        <v>0</v>
      </c>
      <c r="AO114" s="680">
        <f t="shared" si="96"/>
        <v>0</v>
      </c>
      <c r="AP114" s="680">
        <f t="shared" si="96"/>
        <v>0</v>
      </c>
      <c r="AQ114" s="680">
        <f t="shared" si="96"/>
        <v>0</v>
      </c>
      <c r="AR114" s="680">
        <f t="shared" si="96"/>
        <v>0</v>
      </c>
      <c r="AS114" s="680">
        <f t="shared" si="96"/>
        <v>0</v>
      </c>
      <c r="AT114" s="680">
        <f t="shared" si="96"/>
        <v>0</v>
      </c>
      <c r="AU114" s="680">
        <f t="shared" si="96"/>
        <v>0</v>
      </c>
      <c r="AV114" s="680">
        <f t="shared" si="96"/>
        <v>0</v>
      </c>
      <c r="AW114" s="680">
        <f t="shared" si="96"/>
        <v>0</v>
      </c>
      <c r="AX114" s="680">
        <f t="shared" si="96"/>
        <v>0.74611770000000099</v>
      </c>
      <c r="AY114" s="680">
        <f t="shared" si="96"/>
        <v>0</v>
      </c>
      <c r="AZ114" s="680">
        <f t="shared" si="96"/>
        <v>0</v>
      </c>
      <c r="BA114" s="680">
        <f t="shared" si="96"/>
        <v>9.3283349999999987E-2</v>
      </c>
      <c r="BB114" s="680">
        <f t="shared" si="96"/>
        <v>0</v>
      </c>
      <c r="BC114" s="680">
        <f t="shared" si="96"/>
        <v>0</v>
      </c>
      <c r="BD114" s="680">
        <f t="shared" si="96"/>
        <v>0</v>
      </c>
      <c r="BE114" s="680">
        <f t="shared" si="96"/>
        <v>0</v>
      </c>
      <c r="BF114" s="680">
        <f t="shared" si="96"/>
        <v>0</v>
      </c>
      <c r="BG114" s="680">
        <f t="shared" si="96"/>
        <v>0</v>
      </c>
      <c r="BH114" s="680">
        <f t="shared" si="96"/>
        <v>0</v>
      </c>
      <c r="BI114" s="680">
        <f t="shared" si="96"/>
        <v>0</v>
      </c>
      <c r="BJ114" s="680">
        <f t="shared" ref="BJ114:BQ114" si="97">+BJ65-BJ64</f>
        <v>0</v>
      </c>
      <c r="BK114" s="680">
        <f t="shared" si="97"/>
        <v>0.86579174999999964</v>
      </c>
      <c r="BL114" s="680">
        <f t="shared" si="97"/>
        <v>0</v>
      </c>
      <c r="BM114" s="680">
        <f t="shared" si="97"/>
        <v>0</v>
      </c>
      <c r="BN114" s="680">
        <f t="shared" si="97"/>
        <v>1.3844999999999992</v>
      </c>
      <c r="BO114" s="680">
        <f t="shared" si="97"/>
        <v>0</v>
      </c>
      <c r="BP114" s="680">
        <f t="shared" si="97"/>
        <v>1.3844999999999992</v>
      </c>
      <c r="BQ114" s="680">
        <f t="shared" si="97"/>
        <v>2.2502917499999953</v>
      </c>
      <c r="BS114">
        <f t="shared" si="64"/>
        <v>2001</v>
      </c>
      <c r="BT114" s="680">
        <f t="shared" si="65"/>
        <v>0.17822433200000276</v>
      </c>
      <c r="BU114" s="680">
        <f t="shared" si="65"/>
        <v>5.4116700000000906E-4</v>
      </c>
      <c r="BV114" s="680">
        <f t="shared" si="65"/>
        <v>0</v>
      </c>
      <c r="BW114" s="680">
        <f t="shared" si="65"/>
        <v>0.1555280631</v>
      </c>
      <c r="BX114" s="680">
        <f t="shared" si="65"/>
        <v>0</v>
      </c>
      <c r="BY114" s="680">
        <f t="shared" si="65"/>
        <v>0</v>
      </c>
      <c r="BZ114" s="680">
        <f t="shared" si="66"/>
        <v>0</v>
      </c>
      <c r="CA114" s="680">
        <f t="shared" si="66"/>
        <v>0</v>
      </c>
      <c r="CB114" s="680">
        <f t="shared" si="65"/>
        <v>0</v>
      </c>
      <c r="CC114" s="680">
        <f t="shared" si="65"/>
        <v>0</v>
      </c>
      <c r="CD114" s="680">
        <f t="shared" si="65"/>
        <v>0</v>
      </c>
      <c r="CE114" s="680">
        <f t="shared" si="65"/>
        <v>0</v>
      </c>
      <c r="CF114" s="680">
        <f t="shared" si="65"/>
        <v>0</v>
      </c>
      <c r="CG114" s="680">
        <f t="shared" si="65"/>
        <v>5.888472512000007</v>
      </c>
      <c r="CH114" s="680">
        <f t="shared" si="65"/>
        <v>0</v>
      </c>
      <c r="CI114" s="680">
        <f t="shared" si="65"/>
        <v>0</v>
      </c>
      <c r="CJ114" s="680">
        <f t="shared" si="65"/>
        <v>1.6536413040000002</v>
      </c>
      <c r="CK114" s="680">
        <f t="shared" ref="CK114:CR114" si="98">+CK65-CK64</f>
        <v>0</v>
      </c>
      <c r="CL114" s="680">
        <f t="shared" si="98"/>
        <v>0</v>
      </c>
      <c r="CM114" s="680">
        <f t="shared" si="98"/>
        <v>0</v>
      </c>
      <c r="CN114" s="680">
        <f t="shared" si="98"/>
        <v>0</v>
      </c>
      <c r="CO114" s="680">
        <f t="shared" si="98"/>
        <v>0</v>
      </c>
      <c r="CP114" s="680">
        <f t="shared" si="98"/>
        <v>0</v>
      </c>
      <c r="CQ114" s="680">
        <f t="shared" si="98"/>
        <v>0</v>
      </c>
      <c r="CR114" s="680">
        <f t="shared" si="98"/>
        <v>0</v>
      </c>
      <c r="CS114" s="680">
        <f t="shared" si="68"/>
        <v>0</v>
      </c>
      <c r="CT114" s="680">
        <f t="shared" si="68"/>
        <v>7.8764073780999979</v>
      </c>
      <c r="CU114" s="680">
        <f t="shared" si="68"/>
        <v>0</v>
      </c>
      <c r="CV114" s="680">
        <f t="shared" si="68"/>
        <v>0</v>
      </c>
      <c r="CW114" s="680">
        <f t="shared" si="68"/>
        <v>5.113666666666683E-2</v>
      </c>
      <c r="CX114" s="680">
        <f t="shared" si="68"/>
        <v>0</v>
      </c>
      <c r="CY114" s="680">
        <f t="shared" si="68"/>
        <v>5.113666666666683E-2</v>
      </c>
      <c r="CZ114" s="680">
        <f t="shared" si="68"/>
        <v>7.9275440447666625</v>
      </c>
      <c r="DA114" s="680">
        <f t="shared" si="68"/>
        <v>7.9275440447666625</v>
      </c>
      <c r="DB114" s="680"/>
    </row>
    <row r="115" spans="1:106" x14ac:dyDescent="0.2">
      <c r="A115">
        <f t="shared" si="58"/>
        <v>2002</v>
      </c>
      <c r="B115" s="680">
        <f t="shared" ref="B115:AH115" si="99">+B66-B65</f>
        <v>4.6220999999999179E-2</v>
      </c>
      <c r="C115" s="680">
        <f t="shared" si="99"/>
        <v>0</v>
      </c>
      <c r="D115" s="680">
        <f t="shared" si="99"/>
        <v>0</v>
      </c>
      <c r="E115" s="680">
        <f t="shared" si="99"/>
        <v>8.1461476315789469E-2</v>
      </c>
      <c r="F115" s="680">
        <f t="shared" si="99"/>
        <v>0</v>
      </c>
      <c r="G115" s="680">
        <f t="shared" si="99"/>
        <v>0</v>
      </c>
      <c r="H115" s="680">
        <f t="shared" ref="H115:Z115" si="100">+H66-H65</f>
        <v>0</v>
      </c>
      <c r="I115" s="680">
        <f t="shared" si="100"/>
        <v>0</v>
      </c>
      <c r="J115" s="680">
        <f t="shared" si="100"/>
        <v>0</v>
      </c>
      <c r="K115" s="680">
        <f t="shared" si="100"/>
        <v>0</v>
      </c>
      <c r="L115" s="680">
        <f t="shared" si="100"/>
        <v>0</v>
      </c>
      <c r="M115" s="680">
        <f t="shared" si="100"/>
        <v>0</v>
      </c>
      <c r="N115" s="680">
        <f t="shared" si="100"/>
        <v>0</v>
      </c>
      <c r="O115" s="680">
        <f t="shared" si="100"/>
        <v>1.1730389249999966</v>
      </c>
      <c r="P115" s="680">
        <f t="shared" si="100"/>
        <v>0</v>
      </c>
      <c r="Q115" s="680">
        <f t="shared" si="100"/>
        <v>0</v>
      </c>
      <c r="R115" s="680">
        <f t="shared" si="100"/>
        <v>1.4319137999999998</v>
      </c>
      <c r="S115" s="680">
        <f t="shared" si="100"/>
        <v>0</v>
      </c>
      <c r="T115" s="680">
        <f t="shared" si="100"/>
        <v>0</v>
      </c>
      <c r="U115" s="680">
        <f t="shared" si="100"/>
        <v>0</v>
      </c>
      <c r="V115" s="680">
        <f t="shared" si="100"/>
        <v>0</v>
      </c>
      <c r="W115" s="680">
        <f t="shared" si="100"/>
        <v>0</v>
      </c>
      <c r="X115" s="680">
        <f t="shared" si="100"/>
        <v>0</v>
      </c>
      <c r="Y115" s="680">
        <f t="shared" si="100"/>
        <v>0</v>
      </c>
      <c r="Z115" s="680">
        <f t="shared" si="100"/>
        <v>0</v>
      </c>
      <c r="AA115" s="680">
        <f t="shared" si="99"/>
        <v>0</v>
      </c>
      <c r="AB115" s="680">
        <f t="shared" si="99"/>
        <v>2.7326352013157802</v>
      </c>
      <c r="AC115" s="680">
        <f t="shared" si="99"/>
        <v>6.9224999999999967E-2</v>
      </c>
      <c r="AD115" s="680">
        <f t="shared" si="99"/>
        <v>3.7274999999999975E-2</v>
      </c>
      <c r="AE115" s="680">
        <f t="shared" si="99"/>
        <v>-0.21300000000000097</v>
      </c>
      <c r="AF115" s="680">
        <f t="shared" si="99"/>
        <v>0</v>
      </c>
      <c r="AG115" s="680">
        <f t="shared" si="99"/>
        <v>-0.10650000000000048</v>
      </c>
      <c r="AH115" s="680">
        <f t="shared" si="99"/>
        <v>2.6261352013157762</v>
      </c>
      <c r="AJ115">
        <f t="shared" si="61"/>
        <v>2002</v>
      </c>
      <c r="AK115" s="680">
        <f t="shared" ref="AK115:BI115" si="101">+AK66-AK65</f>
        <v>3.6742500000002565E-2</v>
      </c>
      <c r="AL115" s="680">
        <f t="shared" si="101"/>
        <v>0</v>
      </c>
      <c r="AM115" s="680">
        <f t="shared" si="101"/>
        <v>0</v>
      </c>
      <c r="AN115" s="680">
        <f t="shared" si="101"/>
        <v>0</v>
      </c>
      <c r="AO115" s="680">
        <f t="shared" si="101"/>
        <v>0</v>
      </c>
      <c r="AP115" s="680">
        <f t="shared" si="101"/>
        <v>0</v>
      </c>
      <c r="AQ115" s="680">
        <f t="shared" si="101"/>
        <v>0</v>
      </c>
      <c r="AR115" s="680">
        <f t="shared" si="101"/>
        <v>0</v>
      </c>
      <c r="AS115" s="680">
        <f t="shared" si="101"/>
        <v>0</v>
      </c>
      <c r="AT115" s="680">
        <f t="shared" si="101"/>
        <v>0</v>
      </c>
      <c r="AU115" s="680">
        <f t="shared" si="101"/>
        <v>0</v>
      </c>
      <c r="AV115" s="680">
        <f t="shared" si="101"/>
        <v>0</v>
      </c>
      <c r="AW115" s="680">
        <f t="shared" si="101"/>
        <v>0</v>
      </c>
      <c r="AX115" s="680">
        <f t="shared" si="101"/>
        <v>0.43300770000000099</v>
      </c>
      <c r="AY115" s="680">
        <f t="shared" si="101"/>
        <v>0</v>
      </c>
      <c r="AZ115" s="680">
        <f t="shared" si="101"/>
        <v>0</v>
      </c>
      <c r="BA115" s="680">
        <f t="shared" si="101"/>
        <v>0.83817629999999999</v>
      </c>
      <c r="BB115" s="680">
        <f t="shared" si="101"/>
        <v>0</v>
      </c>
      <c r="BC115" s="680">
        <f t="shared" si="101"/>
        <v>0</v>
      </c>
      <c r="BD115" s="680">
        <f t="shared" si="101"/>
        <v>0</v>
      </c>
      <c r="BE115" s="680">
        <f t="shared" si="101"/>
        <v>0</v>
      </c>
      <c r="BF115" s="680">
        <f t="shared" si="101"/>
        <v>0</v>
      </c>
      <c r="BG115" s="680">
        <f t="shared" si="101"/>
        <v>0</v>
      </c>
      <c r="BH115" s="680">
        <f t="shared" si="101"/>
        <v>0</v>
      </c>
      <c r="BI115" s="680">
        <f t="shared" si="101"/>
        <v>0</v>
      </c>
      <c r="BJ115" s="680">
        <f t="shared" ref="BJ115:BQ115" si="102">+BJ66-BJ65</f>
        <v>0</v>
      </c>
      <c r="BK115" s="680">
        <f t="shared" si="102"/>
        <v>1.3079265000000007</v>
      </c>
      <c r="BL115" s="680">
        <f t="shared" si="102"/>
        <v>0</v>
      </c>
      <c r="BM115" s="680">
        <f t="shared" si="102"/>
        <v>5.9639999999999971E-2</v>
      </c>
      <c r="BN115" s="680">
        <f t="shared" si="102"/>
        <v>1.0650000000000013</v>
      </c>
      <c r="BO115" s="680">
        <f t="shared" si="102"/>
        <v>0</v>
      </c>
      <c r="BP115" s="680">
        <f t="shared" si="102"/>
        <v>1.124640000000003</v>
      </c>
      <c r="BQ115" s="680">
        <f t="shared" si="102"/>
        <v>2.4325665000000072</v>
      </c>
      <c r="BS115">
        <f t="shared" si="64"/>
        <v>2002</v>
      </c>
      <c r="BT115" s="680">
        <f t="shared" si="65"/>
        <v>0.19572206499999822</v>
      </c>
      <c r="BU115" s="680">
        <f t="shared" si="65"/>
        <v>0</v>
      </c>
      <c r="BV115" s="680">
        <f t="shared" si="65"/>
        <v>0</v>
      </c>
      <c r="BW115" s="680">
        <f t="shared" si="65"/>
        <v>0.32747587228070185</v>
      </c>
      <c r="BX115" s="680">
        <f t="shared" si="65"/>
        <v>0</v>
      </c>
      <c r="BY115" s="680">
        <f t="shared" si="65"/>
        <v>0</v>
      </c>
      <c r="BZ115" s="680">
        <f t="shared" si="66"/>
        <v>0</v>
      </c>
      <c r="CA115" s="680">
        <f t="shared" si="66"/>
        <v>0</v>
      </c>
      <c r="CB115" s="680">
        <f t="shared" si="65"/>
        <v>0</v>
      </c>
      <c r="CC115" s="680">
        <f t="shared" si="65"/>
        <v>0</v>
      </c>
      <c r="CD115" s="680">
        <f t="shared" si="65"/>
        <v>0</v>
      </c>
      <c r="CE115" s="680">
        <f t="shared" si="65"/>
        <v>0</v>
      </c>
      <c r="CF115" s="680">
        <f t="shared" si="65"/>
        <v>0</v>
      </c>
      <c r="CG115" s="680">
        <f t="shared" si="65"/>
        <v>8.5161260729999952</v>
      </c>
      <c r="CH115" s="680">
        <f t="shared" si="65"/>
        <v>0</v>
      </c>
      <c r="CI115" s="680">
        <f t="shared" si="65"/>
        <v>0</v>
      </c>
      <c r="CJ115" s="680">
        <f t="shared" si="65"/>
        <v>6.6518576000000005</v>
      </c>
      <c r="CK115" s="680">
        <f t="shared" ref="CK115:CR115" si="103">+CK66-CK65</f>
        <v>0</v>
      </c>
      <c r="CL115" s="680">
        <f t="shared" si="103"/>
        <v>0</v>
      </c>
      <c r="CM115" s="680">
        <f t="shared" si="103"/>
        <v>0</v>
      </c>
      <c r="CN115" s="680">
        <f t="shared" si="103"/>
        <v>0</v>
      </c>
      <c r="CO115" s="680">
        <f t="shared" si="103"/>
        <v>0</v>
      </c>
      <c r="CP115" s="680">
        <f t="shared" si="103"/>
        <v>0</v>
      </c>
      <c r="CQ115" s="680">
        <f t="shared" si="103"/>
        <v>0</v>
      </c>
      <c r="CR115" s="680">
        <f t="shared" si="103"/>
        <v>0</v>
      </c>
      <c r="CS115" s="680">
        <f t="shared" si="68"/>
        <v>0</v>
      </c>
      <c r="CT115" s="680">
        <f t="shared" si="68"/>
        <v>15.691181610280694</v>
      </c>
      <c r="CU115" s="680">
        <f t="shared" si="68"/>
        <v>0</v>
      </c>
      <c r="CV115" s="680">
        <f t="shared" si="68"/>
        <v>0</v>
      </c>
      <c r="CW115" s="680">
        <f t="shared" si="68"/>
        <v>3.1739999999999657E-2</v>
      </c>
      <c r="CX115" s="680">
        <f t="shared" si="68"/>
        <v>0</v>
      </c>
      <c r="CY115" s="680">
        <f t="shared" si="68"/>
        <v>3.1739999999999657E-2</v>
      </c>
      <c r="CZ115" s="680">
        <f t="shared" si="68"/>
        <v>15.722921610280693</v>
      </c>
      <c r="DA115" s="680">
        <f t="shared" si="68"/>
        <v>15.722921610280693</v>
      </c>
      <c r="DB115" s="680"/>
    </row>
    <row r="116" spans="1:106" x14ac:dyDescent="0.2">
      <c r="A116">
        <f t="shared" si="58"/>
        <v>2003</v>
      </c>
      <c r="B116" s="680">
        <f t="shared" ref="B116:AH116" si="104">+B67-B66</f>
        <v>4.1705400000001447E-2</v>
      </c>
      <c r="C116" s="680">
        <f t="shared" si="104"/>
        <v>0</v>
      </c>
      <c r="D116" s="680">
        <f t="shared" si="104"/>
        <v>0</v>
      </c>
      <c r="E116" s="680">
        <f t="shared" si="104"/>
        <v>0.18487473055555553</v>
      </c>
      <c r="F116" s="680">
        <f t="shared" si="104"/>
        <v>0</v>
      </c>
      <c r="G116" s="680">
        <f t="shared" si="104"/>
        <v>0</v>
      </c>
      <c r="H116" s="680">
        <f t="shared" ref="H116:Z116" si="105">+H67-H66</f>
        <v>0</v>
      </c>
      <c r="I116" s="680">
        <f t="shared" si="105"/>
        <v>0</v>
      </c>
      <c r="J116" s="680">
        <f t="shared" si="105"/>
        <v>0</v>
      </c>
      <c r="K116" s="680">
        <f t="shared" si="105"/>
        <v>0</v>
      </c>
      <c r="L116" s="680">
        <f t="shared" si="105"/>
        <v>0</v>
      </c>
      <c r="M116" s="680">
        <f t="shared" si="105"/>
        <v>0</v>
      </c>
      <c r="N116" s="680">
        <f t="shared" si="105"/>
        <v>0</v>
      </c>
      <c r="O116" s="680">
        <f t="shared" si="105"/>
        <v>1.5118739999999988</v>
      </c>
      <c r="P116" s="680">
        <f t="shared" si="105"/>
        <v>0</v>
      </c>
      <c r="Q116" s="680">
        <f t="shared" si="105"/>
        <v>0</v>
      </c>
      <c r="R116" s="680">
        <f t="shared" si="105"/>
        <v>6.423724999999969E-2</v>
      </c>
      <c r="S116" s="680">
        <f t="shared" si="105"/>
        <v>0</v>
      </c>
      <c r="T116" s="680">
        <f t="shared" si="105"/>
        <v>0</v>
      </c>
      <c r="U116" s="680">
        <f t="shared" si="105"/>
        <v>0</v>
      </c>
      <c r="V116" s="680">
        <f t="shared" si="105"/>
        <v>0</v>
      </c>
      <c r="W116" s="680">
        <f t="shared" si="105"/>
        <v>0</v>
      </c>
      <c r="X116" s="680">
        <f t="shared" si="105"/>
        <v>0</v>
      </c>
      <c r="Y116" s="680">
        <f t="shared" si="105"/>
        <v>0</v>
      </c>
      <c r="Z116" s="680">
        <f t="shared" si="105"/>
        <v>0</v>
      </c>
      <c r="AA116" s="680">
        <f t="shared" si="104"/>
        <v>0</v>
      </c>
      <c r="AB116" s="680">
        <f t="shared" si="104"/>
        <v>1.8026913805555651</v>
      </c>
      <c r="AC116" s="680">
        <f t="shared" si="104"/>
        <v>4.2600000000000027E-2</v>
      </c>
      <c r="AD116" s="680">
        <f t="shared" si="104"/>
        <v>-4.2599999999999985E-2</v>
      </c>
      <c r="AE116" s="680">
        <f t="shared" si="104"/>
        <v>0.21300000000000097</v>
      </c>
      <c r="AF116" s="680">
        <f t="shared" si="104"/>
        <v>0</v>
      </c>
      <c r="AG116" s="680">
        <f t="shared" si="104"/>
        <v>0.21300000000000097</v>
      </c>
      <c r="AH116" s="680">
        <f t="shared" si="104"/>
        <v>2.0156913805555661</v>
      </c>
      <c r="AJ116">
        <f t="shared" si="61"/>
        <v>2003</v>
      </c>
      <c r="AK116" s="680">
        <f t="shared" ref="AK116:BI116" si="106">+AK67-AK66</f>
        <v>3.2589000000001533E-2</v>
      </c>
      <c r="AL116" s="680">
        <f t="shared" si="106"/>
        <v>0</v>
      </c>
      <c r="AM116" s="680">
        <f t="shared" si="106"/>
        <v>0</v>
      </c>
      <c r="AN116" s="680">
        <f t="shared" si="106"/>
        <v>0</v>
      </c>
      <c r="AO116" s="680">
        <f t="shared" si="106"/>
        <v>0</v>
      </c>
      <c r="AP116" s="680">
        <f t="shared" si="106"/>
        <v>0</v>
      </c>
      <c r="AQ116" s="680">
        <f t="shared" si="106"/>
        <v>0</v>
      </c>
      <c r="AR116" s="680">
        <f t="shared" si="106"/>
        <v>0</v>
      </c>
      <c r="AS116" s="680">
        <f t="shared" si="106"/>
        <v>0</v>
      </c>
      <c r="AT116" s="680">
        <f t="shared" si="106"/>
        <v>0</v>
      </c>
      <c r="AU116" s="680">
        <f t="shared" si="106"/>
        <v>0</v>
      </c>
      <c r="AV116" s="680">
        <f t="shared" si="106"/>
        <v>0</v>
      </c>
      <c r="AW116" s="680">
        <f t="shared" si="106"/>
        <v>0</v>
      </c>
      <c r="AX116" s="680">
        <f t="shared" si="106"/>
        <v>0.58768829999999816</v>
      </c>
      <c r="AY116" s="680">
        <f t="shared" si="106"/>
        <v>0</v>
      </c>
      <c r="AZ116" s="680">
        <f t="shared" si="106"/>
        <v>0</v>
      </c>
      <c r="BA116" s="680">
        <f t="shared" si="106"/>
        <v>2.7867500000000156E-2</v>
      </c>
      <c r="BB116" s="680">
        <f t="shared" si="106"/>
        <v>0</v>
      </c>
      <c r="BC116" s="680">
        <f t="shared" si="106"/>
        <v>0</v>
      </c>
      <c r="BD116" s="680">
        <f t="shared" si="106"/>
        <v>0</v>
      </c>
      <c r="BE116" s="680">
        <f t="shared" si="106"/>
        <v>0</v>
      </c>
      <c r="BF116" s="680">
        <f t="shared" si="106"/>
        <v>0</v>
      </c>
      <c r="BG116" s="680">
        <f t="shared" si="106"/>
        <v>0</v>
      </c>
      <c r="BH116" s="680">
        <f t="shared" si="106"/>
        <v>0</v>
      </c>
      <c r="BI116" s="680">
        <f t="shared" si="106"/>
        <v>0</v>
      </c>
      <c r="BJ116" s="680">
        <f t="shared" ref="BJ116:BQ116" si="107">+BJ67-BJ66</f>
        <v>0</v>
      </c>
      <c r="BK116" s="680">
        <f t="shared" si="107"/>
        <v>0.64814479999999719</v>
      </c>
      <c r="BL116" s="680">
        <f t="shared" si="107"/>
        <v>0</v>
      </c>
      <c r="BM116" s="680">
        <f t="shared" si="107"/>
        <v>-2.7689999999999992E-2</v>
      </c>
      <c r="BN116" s="680">
        <f t="shared" si="107"/>
        <v>-0.74549999999999983</v>
      </c>
      <c r="BO116" s="680">
        <f t="shared" si="107"/>
        <v>0</v>
      </c>
      <c r="BP116" s="680">
        <f t="shared" si="107"/>
        <v>-0.7731899999999996</v>
      </c>
      <c r="BQ116" s="680">
        <f t="shared" si="107"/>
        <v>-0.12504520000000241</v>
      </c>
      <c r="BS116">
        <f t="shared" si="64"/>
        <v>2003</v>
      </c>
      <c r="BT116" s="680">
        <f t="shared" si="65"/>
        <v>0.17660083099999824</v>
      </c>
      <c r="BU116" s="680">
        <f t="shared" si="65"/>
        <v>0</v>
      </c>
      <c r="BV116" s="680">
        <f t="shared" si="65"/>
        <v>0</v>
      </c>
      <c r="BW116" s="680">
        <f t="shared" si="65"/>
        <v>0.72723677425925914</v>
      </c>
      <c r="BX116" s="680">
        <f t="shared" si="65"/>
        <v>0</v>
      </c>
      <c r="BY116" s="680">
        <f t="shared" si="65"/>
        <v>0</v>
      </c>
      <c r="BZ116" s="680">
        <f t="shared" si="66"/>
        <v>0</v>
      </c>
      <c r="CA116" s="680">
        <f t="shared" si="66"/>
        <v>0</v>
      </c>
      <c r="CB116" s="680">
        <f t="shared" si="65"/>
        <v>0</v>
      </c>
      <c r="CC116" s="680">
        <f t="shared" si="65"/>
        <v>0</v>
      </c>
      <c r="CD116" s="680">
        <f t="shared" si="65"/>
        <v>0</v>
      </c>
      <c r="CE116" s="680">
        <f t="shared" si="65"/>
        <v>0</v>
      </c>
      <c r="CF116" s="680">
        <f t="shared" si="65"/>
        <v>0</v>
      </c>
      <c r="CG116" s="680">
        <f t="shared" si="65"/>
        <v>13.337150644999994</v>
      </c>
      <c r="CH116" s="680">
        <f t="shared" si="65"/>
        <v>0</v>
      </c>
      <c r="CI116" s="680">
        <f t="shared" si="65"/>
        <v>0</v>
      </c>
      <c r="CJ116" s="680">
        <f t="shared" si="65"/>
        <v>0.30640649833333455</v>
      </c>
      <c r="CK116" s="680">
        <f t="shared" ref="CK116:CR116" si="108">+CK67-CK66</f>
        <v>0</v>
      </c>
      <c r="CL116" s="680">
        <f t="shared" si="108"/>
        <v>0</v>
      </c>
      <c r="CM116" s="680">
        <f t="shared" si="108"/>
        <v>0</v>
      </c>
      <c r="CN116" s="680">
        <f t="shared" si="108"/>
        <v>0</v>
      </c>
      <c r="CO116" s="680">
        <f t="shared" si="108"/>
        <v>0</v>
      </c>
      <c r="CP116" s="680">
        <f t="shared" si="108"/>
        <v>0</v>
      </c>
      <c r="CQ116" s="680">
        <f t="shared" si="108"/>
        <v>0</v>
      </c>
      <c r="CR116" s="680">
        <f t="shared" si="108"/>
        <v>0</v>
      </c>
      <c r="CS116" s="680">
        <f t="shared" si="68"/>
        <v>0</v>
      </c>
      <c r="CT116" s="680">
        <f t="shared" si="68"/>
        <v>14.547394748592581</v>
      </c>
      <c r="CU116" s="680">
        <f t="shared" si="68"/>
        <v>0</v>
      </c>
      <c r="CV116" s="680">
        <f t="shared" si="68"/>
        <v>0</v>
      </c>
      <c r="CW116" s="680">
        <f t="shared" si="68"/>
        <v>-1.8514999999999837E-2</v>
      </c>
      <c r="CX116" s="680">
        <f t="shared" si="68"/>
        <v>0</v>
      </c>
      <c r="CY116" s="680">
        <f t="shared" si="68"/>
        <v>-1.8514999999999837E-2</v>
      </c>
      <c r="CZ116" s="680">
        <f t="shared" si="68"/>
        <v>14.528879748592573</v>
      </c>
      <c r="DA116" s="680">
        <f t="shared" si="68"/>
        <v>14.528879748592573</v>
      </c>
      <c r="DB116" s="680"/>
    </row>
    <row r="117" spans="1:106" x14ac:dyDescent="0.2">
      <c r="A117">
        <f t="shared" si="58"/>
        <v>2004</v>
      </c>
      <c r="B117" s="680">
        <f t="shared" ref="B117:AH117" si="109">+B68-B67</f>
        <v>4.7541599999998851E-2</v>
      </c>
      <c r="C117" s="680">
        <f t="shared" si="109"/>
        <v>0</v>
      </c>
      <c r="D117" s="680">
        <f t="shared" si="109"/>
        <v>0</v>
      </c>
      <c r="E117" s="680">
        <f t="shared" si="109"/>
        <v>0.17794552499999999</v>
      </c>
      <c r="F117" s="680">
        <f t="shared" si="109"/>
        <v>0</v>
      </c>
      <c r="G117" s="680">
        <f t="shared" si="109"/>
        <v>0</v>
      </c>
      <c r="H117" s="680">
        <f t="shared" ref="H117:Z117" si="110">+H68-H67</f>
        <v>0</v>
      </c>
      <c r="I117" s="680">
        <f t="shared" si="110"/>
        <v>0</v>
      </c>
      <c r="J117" s="680">
        <f t="shared" si="110"/>
        <v>0</v>
      </c>
      <c r="K117" s="680">
        <f t="shared" si="110"/>
        <v>0</v>
      </c>
      <c r="L117" s="680">
        <f t="shared" si="110"/>
        <v>0</v>
      </c>
      <c r="M117" s="680">
        <f t="shared" si="110"/>
        <v>0</v>
      </c>
      <c r="N117" s="680">
        <f t="shared" si="110"/>
        <v>0</v>
      </c>
      <c r="O117" s="680">
        <f t="shared" si="110"/>
        <v>1.7935984500000011</v>
      </c>
      <c r="P117" s="680">
        <f t="shared" si="110"/>
        <v>0</v>
      </c>
      <c r="Q117" s="680">
        <f t="shared" si="110"/>
        <v>0</v>
      </c>
      <c r="R117" s="680">
        <f t="shared" si="110"/>
        <v>0.49944239999999995</v>
      </c>
      <c r="S117" s="680">
        <f t="shared" si="110"/>
        <v>0</v>
      </c>
      <c r="T117" s="680">
        <f t="shared" si="110"/>
        <v>0</v>
      </c>
      <c r="U117" s="680">
        <f t="shared" si="110"/>
        <v>0</v>
      </c>
      <c r="V117" s="680">
        <f t="shared" si="110"/>
        <v>0</v>
      </c>
      <c r="W117" s="680">
        <f t="shared" si="110"/>
        <v>0</v>
      </c>
      <c r="X117" s="680">
        <f t="shared" si="110"/>
        <v>0</v>
      </c>
      <c r="Y117" s="680">
        <f t="shared" si="110"/>
        <v>0</v>
      </c>
      <c r="Z117" s="680">
        <f t="shared" si="110"/>
        <v>0</v>
      </c>
      <c r="AA117" s="680">
        <f t="shared" si="109"/>
        <v>0</v>
      </c>
      <c r="AB117" s="680">
        <f t="shared" si="109"/>
        <v>2.5185279749999978</v>
      </c>
      <c r="AC117" s="680">
        <f t="shared" si="109"/>
        <v>-5.3250000000000242E-3</v>
      </c>
      <c r="AD117" s="680">
        <f t="shared" si="109"/>
        <v>5.3250000000000103E-3</v>
      </c>
      <c r="AE117" s="680">
        <f t="shared" si="109"/>
        <v>-0.21300000000000097</v>
      </c>
      <c r="AF117" s="680">
        <f t="shared" si="109"/>
        <v>0</v>
      </c>
      <c r="AG117" s="680">
        <f t="shared" si="109"/>
        <v>-0.21300000000000097</v>
      </c>
      <c r="AH117" s="680">
        <f t="shared" si="109"/>
        <v>2.3055279750000039</v>
      </c>
      <c r="AJ117">
        <f t="shared" si="61"/>
        <v>2004</v>
      </c>
      <c r="AK117" s="680">
        <f t="shared" ref="AK117:BI117" si="111">+AK68-AK67</f>
        <v>2.9969100000002413E-2</v>
      </c>
      <c r="AL117" s="680">
        <f t="shared" si="111"/>
        <v>0</v>
      </c>
      <c r="AM117" s="680">
        <f t="shared" si="111"/>
        <v>0</v>
      </c>
      <c r="AN117" s="680">
        <f t="shared" si="111"/>
        <v>0</v>
      </c>
      <c r="AO117" s="680">
        <f t="shared" si="111"/>
        <v>0</v>
      </c>
      <c r="AP117" s="680">
        <f t="shared" si="111"/>
        <v>0</v>
      </c>
      <c r="AQ117" s="680">
        <f t="shared" si="111"/>
        <v>0</v>
      </c>
      <c r="AR117" s="680">
        <f t="shared" si="111"/>
        <v>0</v>
      </c>
      <c r="AS117" s="680">
        <f t="shared" si="111"/>
        <v>0</v>
      </c>
      <c r="AT117" s="680">
        <f t="shared" si="111"/>
        <v>0</v>
      </c>
      <c r="AU117" s="680">
        <f t="shared" si="111"/>
        <v>0</v>
      </c>
      <c r="AV117" s="680">
        <f t="shared" si="111"/>
        <v>0</v>
      </c>
      <c r="AW117" s="680">
        <f t="shared" si="111"/>
        <v>0</v>
      </c>
      <c r="AX117" s="680">
        <f t="shared" si="111"/>
        <v>0.50779200000000024</v>
      </c>
      <c r="AY117" s="680">
        <f t="shared" si="111"/>
        <v>0</v>
      </c>
      <c r="AZ117" s="680">
        <f t="shared" si="111"/>
        <v>0</v>
      </c>
      <c r="BA117" s="680">
        <f t="shared" si="111"/>
        <v>1.4891575500000001</v>
      </c>
      <c r="BB117" s="680">
        <f t="shared" si="111"/>
        <v>0</v>
      </c>
      <c r="BC117" s="680">
        <f t="shared" si="111"/>
        <v>0</v>
      </c>
      <c r="BD117" s="680">
        <f t="shared" si="111"/>
        <v>0</v>
      </c>
      <c r="BE117" s="680">
        <f t="shared" si="111"/>
        <v>0</v>
      </c>
      <c r="BF117" s="680">
        <f t="shared" si="111"/>
        <v>0</v>
      </c>
      <c r="BG117" s="680">
        <f t="shared" si="111"/>
        <v>0</v>
      </c>
      <c r="BH117" s="680">
        <f t="shared" si="111"/>
        <v>0</v>
      </c>
      <c r="BI117" s="680">
        <f t="shared" si="111"/>
        <v>0</v>
      </c>
      <c r="BJ117" s="680">
        <f t="shared" ref="BJ117:BQ117" si="112">+BJ68-BJ67</f>
        <v>0</v>
      </c>
      <c r="BK117" s="680">
        <f t="shared" si="112"/>
        <v>2.0269186499999989</v>
      </c>
      <c r="BL117" s="680">
        <f t="shared" si="112"/>
        <v>0</v>
      </c>
      <c r="BM117" s="680">
        <f t="shared" si="112"/>
        <v>0</v>
      </c>
      <c r="BN117" s="680">
        <f t="shared" si="112"/>
        <v>-2.5559999999999974</v>
      </c>
      <c r="BO117" s="680">
        <f t="shared" si="112"/>
        <v>0</v>
      </c>
      <c r="BP117" s="680">
        <f t="shared" si="112"/>
        <v>-2.5559999999999974</v>
      </c>
      <c r="BQ117" s="680">
        <f t="shared" si="112"/>
        <v>-0.52908134999999845</v>
      </c>
      <c r="BS117">
        <f t="shared" si="64"/>
        <v>2004</v>
      </c>
      <c r="BT117" s="680">
        <f t="shared" si="65"/>
        <v>0.20131412399999959</v>
      </c>
      <c r="BU117" s="680">
        <f t="shared" si="65"/>
        <v>0</v>
      </c>
      <c r="BV117" s="680">
        <f t="shared" si="65"/>
        <v>0</v>
      </c>
      <c r="BW117" s="680">
        <f t="shared" si="65"/>
        <v>0.70371864900000003</v>
      </c>
      <c r="BX117" s="680">
        <f t="shared" si="65"/>
        <v>0</v>
      </c>
      <c r="BY117" s="680">
        <f t="shared" si="65"/>
        <v>0</v>
      </c>
      <c r="BZ117" s="680">
        <f t="shared" si="66"/>
        <v>0</v>
      </c>
      <c r="CA117" s="680">
        <f t="shared" si="66"/>
        <v>0</v>
      </c>
      <c r="CB117" s="680">
        <f t="shared" si="65"/>
        <v>0</v>
      </c>
      <c r="CC117" s="680">
        <f t="shared" si="65"/>
        <v>0</v>
      </c>
      <c r="CD117" s="680">
        <f t="shared" si="65"/>
        <v>0</v>
      </c>
      <c r="CE117" s="680">
        <f t="shared" si="65"/>
        <v>0</v>
      </c>
      <c r="CF117" s="680">
        <f t="shared" si="65"/>
        <v>0</v>
      </c>
      <c r="CG117" s="680">
        <f t="shared" si="65"/>
        <v>10.232988695999993</v>
      </c>
      <c r="CH117" s="680">
        <f t="shared" si="65"/>
        <v>0</v>
      </c>
      <c r="CI117" s="680">
        <f t="shared" si="65"/>
        <v>0</v>
      </c>
      <c r="CJ117" s="680">
        <f t="shared" si="65"/>
        <v>4.6098414240000007</v>
      </c>
      <c r="CK117" s="680">
        <f t="shared" ref="CK117:CR117" si="113">+CK68-CK67</f>
        <v>0</v>
      </c>
      <c r="CL117" s="680">
        <f t="shared" si="113"/>
        <v>0</v>
      </c>
      <c r="CM117" s="680">
        <f t="shared" si="113"/>
        <v>0</v>
      </c>
      <c r="CN117" s="680">
        <f t="shared" si="113"/>
        <v>0</v>
      </c>
      <c r="CO117" s="680">
        <f t="shared" si="113"/>
        <v>0</v>
      </c>
      <c r="CP117" s="680">
        <f t="shared" si="113"/>
        <v>0</v>
      </c>
      <c r="CQ117" s="680">
        <f t="shared" si="113"/>
        <v>0</v>
      </c>
      <c r="CR117" s="680">
        <f t="shared" si="113"/>
        <v>0</v>
      </c>
      <c r="CS117" s="680">
        <f t="shared" si="68"/>
        <v>0</v>
      </c>
      <c r="CT117" s="680">
        <f t="shared" si="68"/>
        <v>15.74786289299999</v>
      </c>
      <c r="CU117" s="680">
        <f t="shared" si="68"/>
        <v>0</v>
      </c>
      <c r="CV117" s="680">
        <f t="shared" si="68"/>
        <v>0</v>
      </c>
      <c r="CW117" s="680">
        <f t="shared" si="68"/>
        <v>-0.11814333333333393</v>
      </c>
      <c r="CX117" s="680">
        <f t="shared" si="68"/>
        <v>0</v>
      </c>
      <c r="CY117" s="680">
        <f t="shared" si="68"/>
        <v>-0.11814333333333393</v>
      </c>
      <c r="CZ117" s="680">
        <f t="shared" si="68"/>
        <v>15.629719559666654</v>
      </c>
      <c r="DA117" s="680">
        <f t="shared" si="68"/>
        <v>15.629719559666654</v>
      </c>
      <c r="DB117" s="680"/>
    </row>
    <row r="118" spans="1:106" x14ac:dyDescent="0.2">
      <c r="A118">
        <f t="shared" si="58"/>
        <v>2005</v>
      </c>
      <c r="B118" s="680">
        <f t="shared" ref="B118:AH118" si="114">+B69-B68</f>
        <v>4.8564000000000718E-2</v>
      </c>
      <c r="C118" s="680">
        <f t="shared" si="114"/>
        <v>0</v>
      </c>
      <c r="D118" s="680">
        <f t="shared" si="114"/>
        <v>0</v>
      </c>
      <c r="E118" s="680">
        <f t="shared" si="114"/>
        <v>0.11168113770491805</v>
      </c>
      <c r="F118" s="680">
        <f t="shared" si="114"/>
        <v>0</v>
      </c>
      <c r="G118" s="680">
        <f t="shared" si="114"/>
        <v>0</v>
      </c>
      <c r="H118" s="680">
        <f t="shared" ref="H118:Z118" si="115">+H69-H68</f>
        <v>0</v>
      </c>
      <c r="I118" s="680">
        <f t="shared" si="115"/>
        <v>0</v>
      </c>
      <c r="J118" s="680">
        <f t="shared" si="115"/>
        <v>0</v>
      </c>
      <c r="K118" s="680">
        <f t="shared" si="115"/>
        <v>0</v>
      </c>
      <c r="L118" s="680">
        <f t="shared" si="115"/>
        <v>0</v>
      </c>
      <c r="M118" s="680">
        <f t="shared" si="115"/>
        <v>0</v>
      </c>
      <c r="N118" s="680">
        <f t="shared" si="115"/>
        <v>0</v>
      </c>
      <c r="O118" s="680">
        <f t="shared" si="115"/>
        <v>1.3814860499999995</v>
      </c>
      <c r="P118" s="680">
        <f t="shared" si="115"/>
        <v>0</v>
      </c>
      <c r="Q118" s="680">
        <f t="shared" si="115"/>
        <v>0</v>
      </c>
      <c r="R118" s="680">
        <f t="shared" si="115"/>
        <v>9.7735049999999823E-2</v>
      </c>
      <c r="S118" s="680">
        <f t="shared" si="115"/>
        <v>0</v>
      </c>
      <c r="T118" s="680">
        <f t="shared" si="115"/>
        <v>0</v>
      </c>
      <c r="U118" s="680">
        <f t="shared" si="115"/>
        <v>0</v>
      </c>
      <c r="V118" s="680">
        <f t="shared" si="115"/>
        <v>0</v>
      </c>
      <c r="W118" s="680">
        <f t="shared" si="115"/>
        <v>0</v>
      </c>
      <c r="X118" s="680">
        <f t="shared" si="115"/>
        <v>0</v>
      </c>
      <c r="Y118" s="680">
        <f t="shared" si="115"/>
        <v>0</v>
      </c>
      <c r="Z118" s="680">
        <f t="shared" si="115"/>
        <v>0</v>
      </c>
      <c r="AA118" s="680">
        <f t="shared" si="114"/>
        <v>0</v>
      </c>
      <c r="AB118" s="680">
        <f t="shared" si="114"/>
        <v>1.6394662377049158</v>
      </c>
      <c r="AC118" s="680">
        <f t="shared" si="114"/>
        <v>0.12247499999999997</v>
      </c>
      <c r="AD118" s="680">
        <f t="shared" si="114"/>
        <v>0.41002499999999997</v>
      </c>
      <c r="AE118" s="680">
        <f t="shared" si="114"/>
        <v>-1.2780000000000022</v>
      </c>
      <c r="AF118" s="680">
        <f t="shared" si="114"/>
        <v>0</v>
      </c>
      <c r="AG118" s="680">
        <f t="shared" si="114"/>
        <v>-0.74550000000000338</v>
      </c>
      <c r="AH118" s="680">
        <f t="shared" si="114"/>
        <v>0.8939662377049018</v>
      </c>
      <c r="AJ118">
        <f t="shared" si="61"/>
        <v>2005</v>
      </c>
      <c r="AK118" s="680">
        <f t="shared" ref="AK118:BI118" si="116">+AK69-AK68</f>
        <v>4.1343300000001193E-2</v>
      </c>
      <c r="AL118" s="680">
        <f t="shared" si="116"/>
        <v>0</v>
      </c>
      <c r="AM118" s="680">
        <f t="shared" si="116"/>
        <v>0</v>
      </c>
      <c r="AN118" s="680">
        <f t="shared" si="116"/>
        <v>0</v>
      </c>
      <c r="AO118" s="680">
        <f t="shared" si="116"/>
        <v>0</v>
      </c>
      <c r="AP118" s="680">
        <f t="shared" si="116"/>
        <v>0</v>
      </c>
      <c r="AQ118" s="680">
        <f t="shared" si="116"/>
        <v>0</v>
      </c>
      <c r="AR118" s="680">
        <f t="shared" si="116"/>
        <v>0</v>
      </c>
      <c r="AS118" s="680">
        <f t="shared" si="116"/>
        <v>0</v>
      </c>
      <c r="AT118" s="680">
        <f t="shared" si="116"/>
        <v>0</v>
      </c>
      <c r="AU118" s="680">
        <f t="shared" si="116"/>
        <v>0</v>
      </c>
      <c r="AV118" s="680">
        <f t="shared" si="116"/>
        <v>0</v>
      </c>
      <c r="AW118" s="680">
        <f t="shared" si="116"/>
        <v>0</v>
      </c>
      <c r="AX118" s="680">
        <f t="shared" si="116"/>
        <v>0.63870179999999976</v>
      </c>
      <c r="AY118" s="680">
        <f t="shared" si="116"/>
        <v>0</v>
      </c>
      <c r="AZ118" s="680">
        <f t="shared" si="116"/>
        <v>0</v>
      </c>
      <c r="BA118" s="680">
        <f t="shared" si="116"/>
        <v>6.5156699999999734E-2</v>
      </c>
      <c r="BB118" s="680">
        <f t="shared" si="116"/>
        <v>0</v>
      </c>
      <c r="BC118" s="680">
        <f t="shared" si="116"/>
        <v>0</v>
      </c>
      <c r="BD118" s="680">
        <f t="shared" si="116"/>
        <v>0</v>
      </c>
      <c r="BE118" s="680">
        <f t="shared" si="116"/>
        <v>0</v>
      </c>
      <c r="BF118" s="680">
        <f t="shared" si="116"/>
        <v>0</v>
      </c>
      <c r="BG118" s="680">
        <f t="shared" si="116"/>
        <v>0</v>
      </c>
      <c r="BH118" s="680">
        <f t="shared" si="116"/>
        <v>0</v>
      </c>
      <c r="BI118" s="680">
        <f t="shared" si="116"/>
        <v>0</v>
      </c>
      <c r="BJ118" s="680">
        <f t="shared" ref="BJ118:BQ118" si="117">+BJ69-BJ68</f>
        <v>0</v>
      </c>
      <c r="BK118" s="680">
        <f t="shared" si="117"/>
        <v>0.7452018000000038</v>
      </c>
      <c r="BL118" s="680">
        <f t="shared" si="117"/>
        <v>0</v>
      </c>
      <c r="BM118" s="680">
        <f t="shared" si="117"/>
        <v>-0.1065</v>
      </c>
      <c r="BN118" s="680">
        <f t="shared" si="117"/>
        <v>-1.8105000000000011</v>
      </c>
      <c r="BO118" s="680">
        <f t="shared" si="117"/>
        <v>0</v>
      </c>
      <c r="BP118" s="680">
        <f t="shared" si="117"/>
        <v>-1.9170000000000016</v>
      </c>
      <c r="BQ118" s="680">
        <f t="shared" si="117"/>
        <v>-1.1717981999999978</v>
      </c>
      <c r="BS118">
        <f t="shared" si="64"/>
        <v>2005</v>
      </c>
      <c r="BT118" s="680">
        <f t="shared" si="65"/>
        <v>0.205643460000001</v>
      </c>
      <c r="BU118" s="680">
        <f t="shared" si="65"/>
        <v>0</v>
      </c>
      <c r="BV118" s="680">
        <f t="shared" si="65"/>
        <v>0</v>
      </c>
      <c r="BW118" s="680">
        <f t="shared" si="65"/>
        <v>0.43838191842622964</v>
      </c>
      <c r="BX118" s="680">
        <f t="shared" si="65"/>
        <v>0</v>
      </c>
      <c r="BY118" s="680">
        <f t="shared" si="65"/>
        <v>0</v>
      </c>
      <c r="BZ118" s="680">
        <f t="shared" si="66"/>
        <v>0</v>
      </c>
      <c r="CA118" s="680">
        <f t="shared" si="66"/>
        <v>0</v>
      </c>
      <c r="CB118" s="680">
        <f t="shared" si="65"/>
        <v>0</v>
      </c>
      <c r="CC118" s="680">
        <f t="shared" si="65"/>
        <v>0</v>
      </c>
      <c r="CD118" s="680">
        <f t="shared" si="65"/>
        <v>0</v>
      </c>
      <c r="CE118" s="680">
        <f t="shared" si="65"/>
        <v>0</v>
      </c>
      <c r="CF118" s="680">
        <f t="shared" si="65"/>
        <v>0</v>
      </c>
      <c r="CG118" s="680">
        <f t="shared" si="65"/>
        <v>10.263405137999996</v>
      </c>
      <c r="CH118" s="680">
        <f t="shared" si="65"/>
        <v>0</v>
      </c>
      <c r="CI118" s="680">
        <f t="shared" si="65"/>
        <v>0</v>
      </c>
      <c r="CJ118" s="680">
        <f t="shared" si="65"/>
        <v>0.45573482249999842</v>
      </c>
      <c r="CK118" s="680">
        <f t="shared" ref="CK118:CR118" si="118">+CK69-CK68</f>
        <v>0</v>
      </c>
      <c r="CL118" s="680">
        <f t="shared" si="118"/>
        <v>0</v>
      </c>
      <c r="CM118" s="680">
        <f t="shared" si="118"/>
        <v>0</v>
      </c>
      <c r="CN118" s="680">
        <f t="shared" si="118"/>
        <v>0</v>
      </c>
      <c r="CO118" s="680">
        <f t="shared" si="118"/>
        <v>0</v>
      </c>
      <c r="CP118" s="680">
        <f t="shared" si="118"/>
        <v>0</v>
      </c>
      <c r="CQ118" s="680">
        <f t="shared" si="118"/>
        <v>0</v>
      </c>
      <c r="CR118" s="680">
        <f t="shared" si="118"/>
        <v>0</v>
      </c>
      <c r="CS118" s="680">
        <f t="shared" si="68"/>
        <v>0</v>
      </c>
      <c r="CT118" s="680">
        <f t="shared" si="68"/>
        <v>11.363165338926223</v>
      </c>
      <c r="CU118" s="680">
        <f t="shared" si="68"/>
        <v>0</v>
      </c>
      <c r="CV118" s="680">
        <f t="shared" si="68"/>
        <v>0</v>
      </c>
      <c r="CW118" s="680">
        <f t="shared" si="68"/>
        <v>-0.1490016666666667</v>
      </c>
      <c r="CX118" s="680">
        <f t="shared" si="68"/>
        <v>0</v>
      </c>
      <c r="CY118" s="680">
        <f t="shared" si="68"/>
        <v>-0.1490016666666667</v>
      </c>
      <c r="CZ118" s="680">
        <f t="shared" si="68"/>
        <v>11.214163672259559</v>
      </c>
      <c r="DA118" s="680">
        <f t="shared" si="68"/>
        <v>11.214163672259559</v>
      </c>
      <c r="DB118" s="680"/>
    </row>
    <row r="119" spans="1:106" x14ac:dyDescent="0.2">
      <c r="A119">
        <f t="shared" si="58"/>
        <v>2006</v>
      </c>
      <c r="B119" s="680">
        <f t="shared" ref="B119:AH119" si="119">+B70-B69</f>
        <v>4.6519200000000538E-2</v>
      </c>
      <c r="C119" s="680">
        <f t="shared" si="119"/>
        <v>0</v>
      </c>
      <c r="D119" s="680">
        <f t="shared" si="119"/>
        <v>0</v>
      </c>
      <c r="E119" s="680">
        <f t="shared" si="119"/>
        <v>0.11667023229166662</v>
      </c>
      <c r="F119" s="680">
        <f t="shared" si="119"/>
        <v>0</v>
      </c>
      <c r="G119" s="680">
        <f t="shared" si="119"/>
        <v>0</v>
      </c>
      <c r="H119" s="680">
        <f t="shared" ref="H119:Z119" si="120">+H70-H69</f>
        <v>0</v>
      </c>
      <c r="I119" s="680">
        <f t="shared" si="120"/>
        <v>0</v>
      </c>
      <c r="J119" s="680">
        <f t="shared" si="120"/>
        <v>0</v>
      </c>
      <c r="K119" s="680">
        <f t="shared" si="120"/>
        <v>0</v>
      </c>
      <c r="L119" s="680">
        <f t="shared" si="120"/>
        <v>0</v>
      </c>
      <c r="M119" s="680">
        <f t="shared" si="120"/>
        <v>0</v>
      </c>
      <c r="N119" s="680">
        <f t="shared" si="120"/>
        <v>0</v>
      </c>
      <c r="O119" s="680">
        <f t="shared" si="120"/>
        <v>1.3132355249999996</v>
      </c>
      <c r="P119" s="680">
        <f t="shared" si="120"/>
        <v>0</v>
      </c>
      <c r="Q119" s="680">
        <f t="shared" si="120"/>
        <v>0</v>
      </c>
      <c r="R119" s="680">
        <f t="shared" si="120"/>
        <v>0.27098037500000016</v>
      </c>
      <c r="S119" s="680">
        <f t="shared" si="120"/>
        <v>0</v>
      </c>
      <c r="T119" s="680">
        <f t="shared" si="120"/>
        <v>0</v>
      </c>
      <c r="U119" s="680">
        <f t="shared" si="120"/>
        <v>0</v>
      </c>
      <c r="V119" s="680">
        <f t="shared" si="120"/>
        <v>0</v>
      </c>
      <c r="W119" s="680">
        <f t="shared" si="120"/>
        <v>0</v>
      </c>
      <c r="X119" s="680">
        <f t="shared" si="120"/>
        <v>0</v>
      </c>
      <c r="Y119" s="680">
        <f t="shared" si="120"/>
        <v>0</v>
      </c>
      <c r="Z119" s="680">
        <f t="shared" si="120"/>
        <v>0</v>
      </c>
      <c r="AA119" s="680">
        <f t="shared" si="119"/>
        <v>0</v>
      </c>
      <c r="AB119" s="680">
        <f t="shared" si="119"/>
        <v>1.7474053322916703</v>
      </c>
      <c r="AC119" s="680">
        <f t="shared" si="119"/>
        <v>0.25341675000000002</v>
      </c>
      <c r="AD119" s="680">
        <f t="shared" si="119"/>
        <v>-0.53249999999999997</v>
      </c>
      <c r="AE119" s="680">
        <f t="shared" si="119"/>
        <v>-1.1714999999999947</v>
      </c>
      <c r="AF119" s="680">
        <f t="shared" si="119"/>
        <v>0</v>
      </c>
      <c r="AG119" s="680">
        <f t="shared" si="119"/>
        <v>-1.450583249999994</v>
      </c>
      <c r="AH119" s="680">
        <f t="shared" si="119"/>
        <v>0.29682208229168339</v>
      </c>
      <c r="AJ119">
        <f t="shared" si="61"/>
        <v>2006</v>
      </c>
      <c r="AK119" s="680">
        <f t="shared" ref="AK119:BI119" si="121">+AK70-AK69</f>
        <v>3.1502699999997219E-2</v>
      </c>
      <c r="AL119" s="680">
        <f t="shared" si="121"/>
        <v>0</v>
      </c>
      <c r="AM119" s="680">
        <f t="shared" si="121"/>
        <v>0</v>
      </c>
      <c r="AN119" s="680">
        <f t="shared" si="121"/>
        <v>0</v>
      </c>
      <c r="AO119" s="680">
        <f t="shared" si="121"/>
        <v>0</v>
      </c>
      <c r="AP119" s="680">
        <f t="shared" si="121"/>
        <v>0</v>
      </c>
      <c r="AQ119" s="680">
        <f t="shared" si="121"/>
        <v>0</v>
      </c>
      <c r="AR119" s="680">
        <f t="shared" si="121"/>
        <v>0</v>
      </c>
      <c r="AS119" s="680">
        <f t="shared" si="121"/>
        <v>0</v>
      </c>
      <c r="AT119" s="680">
        <f t="shared" si="121"/>
        <v>0</v>
      </c>
      <c r="AU119" s="680">
        <f t="shared" si="121"/>
        <v>0</v>
      </c>
      <c r="AV119" s="680">
        <f t="shared" si="121"/>
        <v>0</v>
      </c>
      <c r="AW119" s="680">
        <f t="shared" si="121"/>
        <v>0</v>
      </c>
      <c r="AX119" s="680">
        <f t="shared" si="121"/>
        <v>0.53925210000000057</v>
      </c>
      <c r="AY119" s="680">
        <f t="shared" si="121"/>
        <v>0</v>
      </c>
      <c r="AZ119" s="680">
        <f t="shared" si="121"/>
        <v>0</v>
      </c>
      <c r="BA119" s="680">
        <f t="shared" si="121"/>
        <v>4.2784599999999617E-2</v>
      </c>
      <c r="BB119" s="680">
        <f t="shared" si="121"/>
        <v>0</v>
      </c>
      <c r="BC119" s="680">
        <f t="shared" si="121"/>
        <v>0</v>
      </c>
      <c r="BD119" s="680">
        <f t="shared" si="121"/>
        <v>0</v>
      </c>
      <c r="BE119" s="680">
        <f t="shared" si="121"/>
        <v>0</v>
      </c>
      <c r="BF119" s="680">
        <f t="shared" si="121"/>
        <v>0</v>
      </c>
      <c r="BG119" s="680">
        <f t="shared" si="121"/>
        <v>0</v>
      </c>
      <c r="BH119" s="680">
        <f t="shared" si="121"/>
        <v>0</v>
      </c>
      <c r="BI119" s="680">
        <f t="shared" si="121"/>
        <v>0</v>
      </c>
      <c r="BJ119" s="680">
        <f t="shared" ref="BJ119:BQ119" si="122">+BJ70-BJ69</f>
        <v>0</v>
      </c>
      <c r="BK119" s="680">
        <f t="shared" si="122"/>
        <v>0.61353939999999341</v>
      </c>
      <c r="BL119" s="680">
        <f t="shared" si="122"/>
        <v>0</v>
      </c>
      <c r="BM119" s="680">
        <f t="shared" si="122"/>
        <v>-0.1065</v>
      </c>
      <c r="BN119" s="680">
        <f t="shared" si="122"/>
        <v>1.0649999999999977</v>
      </c>
      <c r="BO119" s="680">
        <f t="shared" si="122"/>
        <v>0</v>
      </c>
      <c r="BP119" s="680">
        <f t="shared" si="122"/>
        <v>0.95849999999999724</v>
      </c>
      <c r="BQ119" s="680">
        <f t="shared" si="122"/>
        <v>1.5720393999999942</v>
      </c>
      <c r="BS119">
        <f t="shared" si="64"/>
        <v>2006</v>
      </c>
      <c r="BT119" s="680">
        <f t="shared" si="65"/>
        <v>0.19698478799999819</v>
      </c>
      <c r="BU119" s="680">
        <f t="shared" si="65"/>
        <v>0</v>
      </c>
      <c r="BV119" s="680">
        <f t="shared" si="65"/>
        <v>0</v>
      </c>
      <c r="BW119" s="680">
        <f t="shared" si="65"/>
        <v>0.45739672008333354</v>
      </c>
      <c r="BX119" s="680">
        <f t="shared" si="65"/>
        <v>0</v>
      </c>
      <c r="BY119" s="680">
        <f t="shared" si="65"/>
        <v>0</v>
      </c>
      <c r="BZ119" s="680">
        <f t="shared" si="66"/>
        <v>0</v>
      </c>
      <c r="CA119" s="680">
        <f t="shared" si="66"/>
        <v>0</v>
      </c>
      <c r="CB119" s="680">
        <f t="shared" si="65"/>
        <v>0</v>
      </c>
      <c r="CC119" s="680">
        <f t="shared" si="65"/>
        <v>0</v>
      </c>
      <c r="CD119" s="680">
        <f t="shared" si="65"/>
        <v>0</v>
      </c>
      <c r="CE119" s="680">
        <f t="shared" si="65"/>
        <v>0</v>
      </c>
      <c r="CF119" s="680">
        <f t="shared" si="65"/>
        <v>0</v>
      </c>
      <c r="CG119" s="680">
        <f t="shared" si="65"/>
        <v>7.3694958259999908</v>
      </c>
      <c r="CH119" s="680">
        <f t="shared" si="65"/>
        <v>0</v>
      </c>
      <c r="CI119" s="680">
        <f t="shared" si="65"/>
        <v>0</v>
      </c>
      <c r="CJ119" s="680">
        <f t="shared" si="65"/>
        <v>0.9325679283333379</v>
      </c>
      <c r="CK119" s="680">
        <f t="shared" ref="CK119:CR119" si="123">+CK70-CK69</f>
        <v>0</v>
      </c>
      <c r="CL119" s="680">
        <f t="shared" si="123"/>
        <v>0</v>
      </c>
      <c r="CM119" s="680">
        <f t="shared" si="123"/>
        <v>0</v>
      </c>
      <c r="CN119" s="680">
        <f t="shared" si="123"/>
        <v>0</v>
      </c>
      <c r="CO119" s="680">
        <f t="shared" si="123"/>
        <v>0</v>
      </c>
      <c r="CP119" s="680">
        <f t="shared" si="123"/>
        <v>0</v>
      </c>
      <c r="CQ119" s="680">
        <f t="shared" si="123"/>
        <v>0</v>
      </c>
      <c r="CR119" s="680">
        <f t="shared" si="123"/>
        <v>0</v>
      </c>
      <c r="CS119" s="680">
        <f t="shared" si="68"/>
        <v>0</v>
      </c>
      <c r="CT119" s="680">
        <f t="shared" si="68"/>
        <v>8.956445262416679</v>
      </c>
      <c r="CU119" s="680">
        <f t="shared" si="68"/>
        <v>0</v>
      </c>
      <c r="CV119" s="680">
        <f t="shared" si="68"/>
        <v>0</v>
      </c>
      <c r="CW119" s="680">
        <f t="shared" si="68"/>
        <v>-2.3804999999999188E-2</v>
      </c>
      <c r="CX119" s="680">
        <f t="shared" si="68"/>
        <v>0</v>
      </c>
      <c r="CY119" s="680">
        <f t="shared" si="68"/>
        <v>-2.3804999999999188E-2</v>
      </c>
      <c r="CZ119" s="680">
        <f t="shared" si="68"/>
        <v>8.9326402624166974</v>
      </c>
      <c r="DA119" s="680">
        <f t="shared" si="68"/>
        <v>8.9326402624166974</v>
      </c>
      <c r="DB119" s="680"/>
    </row>
    <row r="120" spans="1:106" x14ac:dyDescent="0.2">
      <c r="A120">
        <f t="shared" si="58"/>
        <v>2007</v>
      </c>
      <c r="B120" s="680">
        <f t="shared" ref="B120:AH120" si="124">+B71-B70</f>
        <v>5.1844199999997898E-2</v>
      </c>
      <c r="C120" s="680">
        <f t="shared" si="124"/>
        <v>0</v>
      </c>
      <c r="D120" s="680">
        <f t="shared" si="124"/>
        <v>0</v>
      </c>
      <c r="E120" s="680">
        <f t="shared" si="124"/>
        <v>0.20144475000000006</v>
      </c>
      <c r="F120" s="680">
        <f t="shared" si="124"/>
        <v>0</v>
      </c>
      <c r="G120" s="680">
        <f t="shared" si="124"/>
        <v>0</v>
      </c>
      <c r="H120" s="680">
        <f t="shared" ref="H120:Z120" si="125">+H71-H70</f>
        <v>0</v>
      </c>
      <c r="I120" s="680">
        <f t="shared" si="125"/>
        <v>0</v>
      </c>
      <c r="J120" s="680">
        <f t="shared" si="125"/>
        <v>0</v>
      </c>
      <c r="K120" s="680">
        <f t="shared" si="125"/>
        <v>0</v>
      </c>
      <c r="L120" s="680">
        <f t="shared" si="125"/>
        <v>0</v>
      </c>
      <c r="M120" s="680">
        <f t="shared" si="125"/>
        <v>0</v>
      </c>
      <c r="N120" s="680">
        <f t="shared" si="125"/>
        <v>0</v>
      </c>
      <c r="O120" s="680">
        <f t="shared" si="125"/>
        <v>1.1086224000000016</v>
      </c>
      <c r="P120" s="680">
        <f t="shared" si="125"/>
        <v>0</v>
      </c>
      <c r="Q120" s="680">
        <f t="shared" si="125"/>
        <v>0</v>
      </c>
      <c r="R120" s="680">
        <f t="shared" si="125"/>
        <v>1.3690255499999999</v>
      </c>
      <c r="S120" s="680">
        <f t="shared" si="125"/>
        <v>0</v>
      </c>
      <c r="T120" s="680">
        <f t="shared" si="125"/>
        <v>0</v>
      </c>
      <c r="U120" s="680">
        <f t="shared" si="125"/>
        <v>0</v>
      </c>
      <c r="V120" s="680">
        <f t="shared" si="125"/>
        <v>0</v>
      </c>
      <c r="W120" s="680">
        <f t="shared" si="125"/>
        <v>0</v>
      </c>
      <c r="X120" s="680">
        <f t="shared" si="125"/>
        <v>0</v>
      </c>
      <c r="Y120" s="680">
        <f t="shared" si="125"/>
        <v>0</v>
      </c>
      <c r="Z120" s="680">
        <f t="shared" si="125"/>
        <v>0</v>
      </c>
      <c r="AA120" s="680">
        <f t="shared" si="124"/>
        <v>0</v>
      </c>
      <c r="AB120" s="680">
        <f t="shared" si="124"/>
        <v>2.7309368999999961</v>
      </c>
      <c r="AC120" s="680">
        <f t="shared" si="124"/>
        <v>-0.12572324999999995</v>
      </c>
      <c r="AD120" s="680">
        <f t="shared" si="124"/>
        <v>0</v>
      </c>
      <c r="AE120" s="680">
        <f t="shared" si="124"/>
        <v>0</v>
      </c>
      <c r="AF120" s="680">
        <f t="shared" si="124"/>
        <v>0</v>
      </c>
      <c r="AG120" s="680">
        <f t="shared" si="124"/>
        <v>-0.12572325000000006</v>
      </c>
      <c r="AH120" s="680">
        <f t="shared" si="124"/>
        <v>2.6052136499999961</v>
      </c>
      <c r="AJ120">
        <f t="shared" si="61"/>
        <v>2007</v>
      </c>
      <c r="AK120" s="680">
        <f t="shared" ref="AK120:BI120" si="126">+AK71-AK70</f>
        <v>3.8276099999997371E-2</v>
      </c>
      <c r="AL120" s="680">
        <f t="shared" si="126"/>
        <v>0</v>
      </c>
      <c r="AM120" s="680">
        <f t="shared" si="126"/>
        <v>0</v>
      </c>
      <c r="AN120" s="680">
        <f t="shared" si="126"/>
        <v>0</v>
      </c>
      <c r="AO120" s="680">
        <f t="shared" si="126"/>
        <v>0</v>
      </c>
      <c r="AP120" s="680">
        <f t="shared" si="126"/>
        <v>0</v>
      </c>
      <c r="AQ120" s="680">
        <f t="shared" si="126"/>
        <v>0</v>
      </c>
      <c r="AR120" s="680">
        <f t="shared" si="126"/>
        <v>0</v>
      </c>
      <c r="AS120" s="680">
        <f t="shared" si="126"/>
        <v>0</v>
      </c>
      <c r="AT120" s="680">
        <f t="shared" si="126"/>
        <v>0</v>
      </c>
      <c r="AU120" s="680">
        <f t="shared" si="126"/>
        <v>0</v>
      </c>
      <c r="AV120" s="680">
        <f t="shared" si="126"/>
        <v>0</v>
      </c>
      <c r="AW120" s="680">
        <f t="shared" si="126"/>
        <v>0</v>
      </c>
      <c r="AX120" s="680">
        <f t="shared" si="126"/>
        <v>0.2404769999999985</v>
      </c>
      <c r="AY120" s="680">
        <f t="shared" si="126"/>
        <v>0</v>
      </c>
      <c r="AZ120" s="680">
        <f t="shared" si="126"/>
        <v>0</v>
      </c>
      <c r="BA120" s="680">
        <f t="shared" si="126"/>
        <v>0.61391924999999992</v>
      </c>
      <c r="BB120" s="680">
        <f t="shared" si="126"/>
        <v>0</v>
      </c>
      <c r="BC120" s="680">
        <f t="shared" si="126"/>
        <v>0</v>
      </c>
      <c r="BD120" s="680">
        <f t="shared" si="126"/>
        <v>0</v>
      </c>
      <c r="BE120" s="680">
        <f t="shared" si="126"/>
        <v>0</v>
      </c>
      <c r="BF120" s="680">
        <f t="shared" si="126"/>
        <v>0</v>
      </c>
      <c r="BG120" s="680">
        <f t="shared" si="126"/>
        <v>0</v>
      </c>
      <c r="BH120" s="680">
        <f t="shared" si="126"/>
        <v>0</v>
      </c>
      <c r="BI120" s="680">
        <f t="shared" si="126"/>
        <v>0</v>
      </c>
      <c r="BJ120" s="680">
        <f t="shared" ref="BJ120:BQ120" si="127">+BJ71-BJ70</f>
        <v>0</v>
      </c>
      <c r="BK120" s="680">
        <f t="shared" si="127"/>
        <v>0.89267235000000511</v>
      </c>
      <c r="BL120" s="680">
        <f t="shared" si="127"/>
        <v>0</v>
      </c>
      <c r="BM120" s="680">
        <f t="shared" si="127"/>
        <v>0</v>
      </c>
      <c r="BN120" s="680">
        <f t="shared" si="127"/>
        <v>0.53249999999999886</v>
      </c>
      <c r="BO120" s="680">
        <f t="shared" si="127"/>
        <v>0</v>
      </c>
      <c r="BP120" s="680">
        <f t="shared" si="127"/>
        <v>0.53249999999999886</v>
      </c>
      <c r="BQ120" s="680">
        <f t="shared" si="127"/>
        <v>1.4251723499999969</v>
      </c>
      <c r="BS120">
        <f t="shared" si="64"/>
        <v>2007</v>
      </c>
      <c r="BT120" s="680">
        <f t="shared" si="65"/>
        <v>0.21953341300000062</v>
      </c>
      <c r="BU120" s="680">
        <f t="shared" si="65"/>
        <v>0</v>
      </c>
      <c r="BV120" s="680">
        <f t="shared" si="65"/>
        <v>0</v>
      </c>
      <c r="BW120" s="680">
        <f t="shared" si="65"/>
        <v>0.78652566400000001</v>
      </c>
      <c r="BX120" s="680">
        <f t="shared" si="65"/>
        <v>0</v>
      </c>
      <c r="BY120" s="680">
        <f t="shared" si="65"/>
        <v>0</v>
      </c>
      <c r="BZ120" s="680">
        <f t="shared" si="66"/>
        <v>0</v>
      </c>
      <c r="CA120" s="680">
        <f t="shared" si="66"/>
        <v>0</v>
      </c>
      <c r="CB120" s="680">
        <f t="shared" si="65"/>
        <v>0</v>
      </c>
      <c r="CC120" s="680">
        <f t="shared" si="65"/>
        <v>0</v>
      </c>
      <c r="CD120" s="680">
        <f t="shared" si="65"/>
        <v>0</v>
      </c>
      <c r="CE120" s="680">
        <f t="shared" si="65"/>
        <v>0</v>
      </c>
      <c r="CF120" s="680">
        <f t="shared" si="65"/>
        <v>0</v>
      </c>
      <c r="CG120" s="680">
        <f t="shared" si="65"/>
        <v>6.8170071680000035</v>
      </c>
      <c r="CH120" s="680">
        <f t="shared" si="65"/>
        <v>0</v>
      </c>
      <c r="CI120" s="680">
        <f t="shared" si="65"/>
        <v>0</v>
      </c>
      <c r="CJ120" s="680">
        <f t="shared" si="65"/>
        <v>2.2705462919999988</v>
      </c>
      <c r="CK120" s="680">
        <f t="shared" ref="CK120:CR120" si="128">+CK71-CK70</f>
        <v>0</v>
      </c>
      <c r="CL120" s="680">
        <f t="shared" si="128"/>
        <v>0</v>
      </c>
      <c r="CM120" s="680">
        <f t="shared" si="128"/>
        <v>0</v>
      </c>
      <c r="CN120" s="680">
        <f t="shared" si="128"/>
        <v>0</v>
      </c>
      <c r="CO120" s="680">
        <f t="shared" si="128"/>
        <v>0</v>
      </c>
      <c r="CP120" s="680">
        <f t="shared" si="128"/>
        <v>0</v>
      </c>
      <c r="CQ120" s="680">
        <f t="shared" si="128"/>
        <v>0</v>
      </c>
      <c r="CR120" s="680">
        <f t="shared" si="128"/>
        <v>0</v>
      </c>
      <c r="CS120" s="680">
        <f t="shared" si="68"/>
        <v>0</v>
      </c>
      <c r="CT120" s="680">
        <f t="shared" si="68"/>
        <v>10.093612536999984</v>
      </c>
      <c r="CU120" s="680">
        <f t="shared" si="68"/>
        <v>0</v>
      </c>
      <c r="CV120" s="680">
        <f t="shared" si="68"/>
        <v>0</v>
      </c>
      <c r="CW120" s="680">
        <f t="shared" si="68"/>
        <v>2.2041666666666515E-2</v>
      </c>
      <c r="CX120" s="680">
        <f t="shared" si="68"/>
        <v>0</v>
      </c>
      <c r="CY120" s="680">
        <f t="shared" si="68"/>
        <v>2.2041666666666515E-2</v>
      </c>
      <c r="CZ120" s="680">
        <f t="shared" si="68"/>
        <v>10.115654203666651</v>
      </c>
      <c r="DA120" s="680">
        <f t="shared" si="68"/>
        <v>10.115654203666651</v>
      </c>
      <c r="DB120" s="680"/>
    </row>
    <row r="121" spans="1:106" x14ac:dyDescent="0.2">
      <c r="A121">
        <f t="shared" si="58"/>
        <v>2008</v>
      </c>
      <c r="B121" s="680">
        <f t="shared" ref="B121:AH121" si="129">+B72-B71</f>
        <v>6.764880000000062E-2</v>
      </c>
      <c r="C121" s="680">
        <f t="shared" si="129"/>
        <v>0</v>
      </c>
      <c r="D121" s="680">
        <f t="shared" si="129"/>
        <v>0</v>
      </c>
      <c r="E121" s="680">
        <f t="shared" si="129"/>
        <v>0.1147324500000001</v>
      </c>
      <c r="F121" s="680">
        <f t="shared" si="129"/>
        <v>1.3014299999999998E-2</v>
      </c>
      <c r="G121" s="680">
        <f t="shared" si="129"/>
        <v>1.9436249999999998E-3</v>
      </c>
      <c r="H121" s="680">
        <f t="shared" ref="H121:Z121" si="130">+H72-H71</f>
        <v>0</v>
      </c>
      <c r="I121" s="680">
        <f t="shared" si="130"/>
        <v>0</v>
      </c>
      <c r="J121" s="680">
        <f t="shared" si="130"/>
        <v>0</v>
      </c>
      <c r="K121" s="680">
        <f t="shared" si="130"/>
        <v>0.10091407499999999</v>
      </c>
      <c r="L121" s="680">
        <f t="shared" si="130"/>
        <v>5.230214999999999E-3</v>
      </c>
      <c r="M121" s="680">
        <f t="shared" si="130"/>
        <v>0</v>
      </c>
      <c r="N121" s="680">
        <f t="shared" si="130"/>
        <v>0</v>
      </c>
      <c r="O121" s="680">
        <f t="shared" si="130"/>
        <v>1.8643985849999964</v>
      </c>
      <c r="P121" s="680">
        <f t="shared" si="130"/>
        <v>0</v>
      </c>
      <c r="Q121" s="680">
        <f t="shared" si="130"/>
        <v>0</v>
      </c>
      <c r="R121" s="680">
        <f t="shared" si="130"/>
        <v>0</v>
      </c>
      <c r="S121" s="680">
        <f t="shared" si="130"/>
        <v>0</v>
      </c>
      <c r="T121" s="680">
        <f t="shared" si="130"/>
        <v>0</v>
      </c>
      <c r="U121" s="680">
        <f t="shared" si="130"/>
        <v>0</v>
      </c>
      <c r="V121" s="680">
        <f t="shared" si="130"/>
        <v>0</v>
      </c>
      <c r="W121" s="680">
        <f t="shared" si="130"/>
        <v>0</v>
      </c>
      <c r="X121" s="680">
        <f t="shared" si="130"/>
        <v>0</v>
      </c>
      <c r="Y121" s="680">
        <f t="shared" si="130"/>
        <v>0</v>
      </c>
      <c r="Z121" s="680">
        <f t="shared" si="130"/>
        <v>0</v>
      </c>
      <c r="AA121" s="680">
        <f t="shared" si="129"/>
        <v>0</v>
      </c>
      <c r="AB121" s="680">
        <f t="shared" si="129"/>
        <v>2.1678820499999958</v>
      </c>
      <c r="AC121" s="680">
        <f t="shared" si="129"/>
        <v>0</v>
      </c>
      <c r="AD121" s="680">
        <f t="shared" si="129"/>
        <v>0</v>
      </c>
      <c r="AE121" s="680">
        <f t="shared" si="129"/>
        <v>0</v>
      </c>
      <c r="AF121" s="680">
        <f t="shared" si="129"/>
        <v>37.117513125000002</v>
      </c>
      <c r="AG121" s="680">
        <f t="shared" si="129"/>
        <v>37.117513125000002</v>
      </c>
      <c r="AH121" s="680">
        <f t="shared" si="129"/>
        <v>39.285395174999991</v>
      </c>
      <c r="AJ121">
        <f t="shared" si="61"/>
        <v>2008</v>
      </c>
      <c r="AK121" s="680">
        <f t="shared" ref="AK121:BI121" si="131">+AK72-AK71</f>
        <v>3.9490200000003028E-2</v>
      </c>
      <c r="AL121" s="680">
        <f t="shared" si="131"/>
        <v>0</v>
      </c>
      <c r="AM121" s="680">
        <f t="shared" si="131"/>
        <v>0</v>
      </c>
      <c r="AN121" s="680">
        <f t="shared" si="131"/>
        <v>0</v>
      </c>
      <c r="AO121" s="680">
        <f t="shared" si="131"/>
        <v>0</v>
      </c>
      <c r="AP121" s="680">
        <f t="shared" si="131"/>
        <v>0</v>
      </c>
      <c r="AQ121" s="680">
        <f t="shared" si="131"/>
        <v>0</v>
      </c>
      <c r="AR121" s="680">
        <f t="shared" si="131"/>
        <v>0</v>
      </c>
      <c r="AS121" s="680">
        <f t="shared" si="131"/>
        <v>0</v>
      </c>
      <c r="AT121" s="680">
        <f t="shared" si="131"/>
        <v>0</v>
      </c>
      <c r="AU121" s="680">
        <f t="shared" si="131"/>
        <v>0</v>
      </c>
      <c r="AV121" s="680">
        <f t="shared" si="131"/>
        <v>0</v>
      </c>
      <c r="AW121" s="680">
        <f t="shared" si="131"/>
        <v>0</v>
      </c>
      <c r="AX121" s="680">
        <f t="shared" si="131"/>
        <v>0.95781840000000074</v>
      </c>
      <c r="AY121" s="680">
        <f t="shared" si="131"/>
        <v>0</v>
      </c>
      <c r="AZ121" s="680">
        <f t="shared" si="131"/>
        <v>0</v>
      </c>
      <c r="BA121" s="680">
        <f t="shared" si="131"/>
        <v>0</v>
      </c>
      <c r="BB121" s="680">
        <f t="shared" si="131"/>
        <v>0</v>
      </c>
      <c r="BC121" s="680">
        <f t="shared" si="131"/>
        <v>0</v>
      </c>
      <c r="BD121" s="680">
        <f t="shared" si="131"/>
        <v>0</v>
      </c>
      <c r="BE121" s="680">
        <f t="shared" si="131"/>
        <v>0</v>
      </c>
      <c r="BF121" s="680">
        <f t="shared" si="131"/>
        <v>0</v>
      </c>
      <c r="BG121" s="680">
        <f t="shared" si="131"/>
        <v>0</v>
      </c>
      <c r="BH121" s="680">
        <f t="shared" si="131"/>
        <v>0</v>
      </c>
      <c r="BI121" s="680">
        <f t="shared" si="131"/>
        <v>0</v>
      </c>
      <c r="BJ121" s="680">
        <f t="shared" ref="BJ121:BQ121" si="132">+BJ72-BJ71</f>
        <v>0</v>
      </c>
      <c r="BK121" s="680">
        <f t="shared" si="132"/>
        <v>0.99730859999999666</v>
      </c>
      <c r="BL121" s="680">
        <f t="shared" si="132"/>
        <v>0</v>
      </c>
      <c r="BM121" s="680">
        <f t="shared" si="132"/>
        <v>0</v>
      </c>
      <c r="BN121" s="680">
        <f t="shared" si="132"/>
        <v>6.2835000000000036</v>
      </c>
      <c r="BO121" s="680">
        <f t="shared" si="132"/>
        <v>37.117513125000002</v>
      </c>
      <c r="BP121" s="680">
        <f t="shared" si="132"/>
        <v>43.401013125000006</v>
      </c>
      <c r="BQ121" s="680">
        <f t="shared" si="132"/>
        <v>44.398321725000002</v>
      </c>
      <c r="BS121">
        <f t="shared" si="64"/>
        <v>2008</v>
      </c>
      <c r="BT121" s="680">
        <f t="shared" si="65"/>
        <v>0.2864577319999988</v>
      </c>
      <c r="BU121" s="680">
        <f t="shared" si="65"/>
        <v>0</v>
      </c>
      <c r="BV121" s="680">
        <f t="shared" si="65"/>
        <v>0</v>
      </c>
      <c r="BW121" s="680">
        <f t="shared" si="65"/>
        <v>0.45351381600000051</v>
      </c>
      <c r="BX121" s="680">
        <f t="shared" si="65"/>
        <v>1.8815472000000003E-2</v>
      </c>
      <c r="BY121" s="680">
        <f t="shared" si="65"/>
        <v>6.7712000000000007E-3</v>
      </c>
      <c r="BZ121" s="680">
        <f t="shared" si="66"/>
        <v>0</v>
      </c>
      <c r="CA121" s="680">
        <f t="shared" si="66"/>
        <v>0</v>
      </c>
      <c r="CB121" s="680">
        <f t="shared" si="65"/>
        <v>0</v>
      </c>
      <c r="CC121" s="680">
        <f t="shared" si="65"/>
        <v>0.34365691500000001</v>
      </c>
      <c r="CD121" s="680">
        <f t="shared" si="65"/>
        <v>1.1589861000000002E-2</v>
      </c>
      <c r="CE121" s="680">
        <f t="shared" si="65"/>
        <v>0</v>
      </c>
      <c r="CF121" s="680">
        <f t="shared" si="65"/>
        <v>0</v>
      </c>
      <c r="CG121" s="680">
        <f t="shared" si="65"/>
        <v>13.151139644600022</v>
      </c>
      <c r="CH121" s="680">
        <f t="shared" si="65"/>
        <v>0</v>
      </c>
      <c r="CI121" s="680">
        <f t="shared" si="65"/>
        <v>0</v>
      </c>
      <c r="CJ121" s="680">
        <f t="shared" si="65"/>
        <v>0</v>
      </c>
      <c r="CK121" s="680">
        <f t="shared" ref="CK121:CR121" si="133">+CK72-CK71</f>
        <v>0</v>
      </c>
      <c r="CL121" s="680">
        <f t="shared" si="133"/>
        <v>0</v>
      </c>
      <c r="CM121" s="680">
        <f t="shared" si="133"/>
        <v>0</v>
      </c>
      <c r="CN121" s="680">
        <f t="shared" si="133"/>
        <v>0</v>
      </c>
      <c r="CO121" s="680">
        <f t="shared" si="133"/>
        <v>0</v>
      </c>
      <c r="CP121" s="680">
        <f t="shared" si="133"/>
        <v>0</v>
      </c>
      <c r="CQ121" s="680">
        <f t="shared" si="133"/>
        <v>0</v>
      </c>
      <c r="CR121" s="680">
        <f t="shared" si="133"/>
        <v>0</v>
      </c>
      <c r="CS121" s="680">
        <f t="shared" si="68"/>
        <v>0</v>
      </c>
      <c r="CT121" s="680">
        <f t="shared" si="68"/>
        <v>14.271944640600026</v>
      </c>
      <c r="CU121" s="680">
        <f t="shared" si="68"/>
        <v>0</v>
      </c>
      <c r="CV121" s="680">
        <f t="shared" si="68"/>
        <v>0</v>
      </c>
      <c r="CW121" s="680">
        <f t="shared" si="68"/>
        <v>0.26009166666666617</v>
      </c>
      <c r="CX121" s="680">
        <f t="shared" si="68"/>
        <v>1.1637883620000002</v>
      </c>
      <c r="CY121" s="680">
        <f t="shared" si="68"/>
        <v>1.4238800286666662</v>
      </c>
      <c r="CZ121" s="680">
        <f t="shared" si="68"/>
        <v>15.695824669266671</v>
      </c>
      <c r="DA121" s="680">
        <f t="shared" si="68"/>
        <v>14.151202859266675</v>
      </c>
      <c r="DB121" s="680">
        <f t="shared" si="68"/>
        <v>1.5446218099999953</v>
      </c>
    </row>
    <row r="122" spans="1:106" x14ac:dyDescent="0.2">
      <c r="A122">
        <f t="shared" si="58"/>
        <v>2009</v>
      </c>
      <c r="B122" s="680">
        <f t="shared" ref="B122:AH122" si="134">+B73-B72</f>
        <v>8.4305399999999864E-2</v>
      </c>
      <c r="C122" s="680">
        <f t="shared" si="134"/>
        <v>0</v>
      </c>
      <c r="D122" s="680">
        <f t="shared" si="134"/>
        <v>0</v>
      </c>
      <c r="E122" s="680">
        <f t="shared" si="134"/>
        <v>0.26353755367346943</v>
      </c>
      <c r="F122" s="680">
        <f t="shared" si="134"/>
        <v>0.30959017499999997</v>
      </c>
      <c r="G122" s="680">
        <f t="shared" si="134"/>
        <v>1.543494193548387E-2</v>
      </c>
      <c r="H122" s="680">
        <f t="shared" ref="H122:Z122" si="135">+H73-H72</f>
        <v>0</v>
      </c>
      <c r="I122" s="680">
        <f t="shared" si="135"/>
        <v>0</v>
      </c>
      <c r="J122" s="680">
        <f t="shared" si="135"/>
        <v>1.1715E-3</v>
      </c>
      <c r="K122" s="680">
        <f t="shared" si="135"/>
        <v>0.52035900000000002</v>
      </c>
      <c r="L122" s="680">
        <f t="shared" si="135"/>
        <v>4.2839305499999994E-2</v>
      </c>
      <c r="M122" s="680">
        <f t="shared" si="135"/>
        <v>0</v>
      </c>
      <c r="N122" s="680">
        <f t="shared" si="135"/>
        <v>0</v>
      </c>
      <c r="O122" s="680">
        <f t="shared" si="135"/>
        <v>2.3029453500000017</v>
      </c>
      <c r="P122" s="680">
        <f t="shared" si="135"/>
        <v>0</v>
      </c>
      <c r="Q122" s="680">
        <f t="shared" si="135"/>
        <v>0</v>
      </c>
      <c r="R122" s="680">
        <f t="shared" si="135"/>
        <v>0</v>
      </c>
      <c r="S122" s="680">
        <f t="shared" si="135"/>
        <v>0</v>
      </c>
      <c r="T122" s="680">
        <f t="shared" si="135"/>
        <v>0</v>
      </c>
      <c r="U122" s="680">
        <f t="shared" si="135"/>
        <v>0</v>
      </c>
      <c r="V122" s="680">
        <f t="shared" si="135"/>
        <v>0</v>
      </c>
      <c r="W122" s="680">
        <f t="shared" si="135"/>
        <v>0</v>
      </c>
      <c r="X122" s="680">
        <f t="shared" si="135"/>
        <v>0</v>
      </c>
      <c r="Y122" s="680">
        <f t="shared" si="135"/>
        <v>0</v>
      </c>
      <c r="Z122" s="680">
        <f t="shared" si="135"/>
        <v>0</v>
      </c>
      <c r="AA122" s="680">
        <f t="shared" si="134"/>
        <v>0</v>
      </c>
      <c r="AB122" s="680">
        <f t="shared" si="134"/>
        <v>3.5401832261089581</v>
      </c>
      <c r="AC122" s="680">
        <f t="shared" si="134"/>
        <v>-0.23206350000000001</v>
      </c>
      <c r="AD122" s="680">
        <f t="shared" si="134"/>
        <v>0</v>
      </c>
      <c r="AE122" s="680">
        <f t="shared" si="134"/>
        <v>22.471499999999999</v>
      </c>
      <c r="AF122" s="680">
        <f t="shared" si="134"/>
        <v>0</v>
      </c>
      <c r="AG122" s="680">
        <f t="shared" si="134"/>
        <v>22.239436499999996</v>
      </c>
      <c r="AH122" s="680">
        <f t="shared" si="134"/>
        <v>25.779619726108962</v>
      </c>
      <c r="AJ122">
        <f t="shared" si="61"/>
        <v>2009</v>
      </c>
      <c r="AK122" s="680">
        <f t="shared" ref="AK122:BI122" si="136">+AK73-AK72</f>
        <v>6.1983000000005006E-2</v>
      </c>
      <c r="AL122" s="680">
        <f t="shared" si="136"/>
        <v>0</v>
      </c>
      <c r="AM122" s="680">
        <f t="shared" si="136"/>
        <v>0</v>
      </c>
      <c r="AN122" s="680">
        <f t="shared" si="136"/>
        <v>0</v>
      </c>
      <c r="AO122" s="680">
        <f t="shared" si="136"/>
        <v>9.4146000000000004E-3</v>
      </c>
      <c r="AP122" s="680">
        <f t="shared" si="136"/>
        <v>1.2367741935483868E-4</v>
      </c>
      <c r="AQ122" s="680">
        <f t="shared" si="136"/>
        <v>0</v>
      </c>
      <c r="AR122" s="680">
        <f t="shared" si="136"/>
        <v>0</v>
      </c>
      <c r="AS122" s="680">
        <f t="shared" si="136"/>
        <v>0</v>
      </c>
      <c r="AT122" s="680">
        <f t="shared" si="136"/>
        <v>0.11430582352941178</v>
      </c>
      <c r="AU122" s="680">
        <f t="shared" si="136"/>
        <v>1.1175470999999999E-2</v>
      </c>
      <c r="AV122" s="680">
        <f t="shared" si="136"/>
        <v>0</v>
      </c>
      <c r="AW122" s="680">
        <f t="shared" si="136"/>
        <v>0</v>
      </c>
      <c r="AX122" s="680">
        <f t="shared" si="136"/>
        <v>0.67917332142857134</v>
      </c>
      <c r="AY122" s="680">
        <f t="shared" si="136"/>
        <v>0</v>
      </c>
      <c r="AZ122" s="680">
        <f t="shared" si="136"/>
        <v>0</v>
      </c>
      <c r="BA122" s="680">
        <f t="shared" si="136"/>
        <v>0</v>
      </c>
      <c r="BB122" s="680">
        <f t="shared" si="136"/>
        <v>0</v>
      </c>
      <c r="BC122" s="680">
        <f t="shared" si="136"/>
        <v>0</v>
      </c>
      <c r="BD122" s="680">
        <f t="shared" si="136"/>
        <v>0</v>
      </c>
      <c r="BE122" s="680">
        <f t="shared" si="136"/>
        <v>0</v>
      </c>
      <c r="BF122" s="680">
        <f t="shared" si="136"/>
        <v>0</v>
      </c>
      <c r="BG122" s="680">
        <f t="shared" si="136"/>
        <v>0</v>
      </c>
      <c r="BH122" s="680">
        <f t="shared" si="136"/>
        <v>0</v>
      </c>
      <c r="BI122" s="680">
        <f t="shared" si="136"/>
        <v>0</v>
      </c>
      <c r="BJ122" s="680">
        <f t="shared" ref="BJ122:BQ122" si="137">+BJ73-BJ72</f>
        <v>0</v>
      </c>
      <c r="BK122" s="680">
        <f t="shared" si="137"/>
        <v>0.87617589337735069</v>
      </c>
      <c r="BL122" s="680">
        <f t="shared" si="137"/>
        <v>0</v>
      </c>
      <c r="BM122" s="680">
        <f t="shared" si="137"/>
        <v>0</v>
      </c>
      <c r="BN122" s="680">
        <f t="shared" si="137"/>
        <v>-6.3154499999999985</v>
      </c>
      <c r="BO122" s="680">
        <f t="shared" si="137"/>
        <v>0</v>
      </c>
      <c r="BP122" s="680">
        <f t="shared" si="137"/>
        <v>-6.3154499999999985</v>
      </c>
      <c r="BQ122" s="680">
        <f t="shared" si="137"/>
        <v>-5.4392741066226478</v>
      </c>
      <c r="BS122">
        <f t="shared" si="64"/>
        <v>2009</v>
      </c>
      <c r="BT122" s="680">
        <f t="shared" si="65"/>
        <v>0.35698983099999992</v>
      </c>
      <c r="BU122" s="680">
        <f t="shared" si="65"/>
        <v>0</v>
      </c>
      <c r="BV122" s="680">
        <f t="shared" si="65"/>
        <v>0</v>
      </c>
      <c r="BW122" s="680">
        <f t="shared" si="65"/>
        <v>1.0403753103375575</v>
      </c>
      <c r="BX122" s="680">
        <f t="shared" si="65"/>
        <v>0.44759113200000006</v>
      </c>
      <c r="BY122" s="680">
        <f t="shared" si="65"/>
        <v>6.3074956645161287E-2</v>
      </c>
      <c r="BZ122" s="680">
        <f t="shared" si="66"/>
        <v>0</v>
      </c>
      <c r="CA122" s="680">
        <f t="shared" si="66"/>
        <v>0</v>
      </c>
      <c r="CB122" s="680">
        <f t="shared" si="65"/>
        <v>2.8885516000000007E-3</v>
      </c>
      <c r="CC122" s="680">
        <f t="shared" si="65"/>
        <v>1.4373558576470591</v>
      </c>
      <c r="CD122" s="680">
        <f t="shared" si="65"/>
        <v>3.3334173240000008E-2</v>
      </c>
      <c r="CE122" s="680">
        <f t="shared" si="65"/>
        <v>0</v>
      </c>
      <c r="CF122" s="680">
        <f t="shared" si="65"/>
        <v>0</v>
      </c>
      <c r="CG122" s="680">
        <f t="shared" si="65"/>
        <v>15.391058967714258</v>
      </c>
      <c r="CH122" s="680">
        <f t="shared" si="65"/>
        <v>0</v>
      </c>
      <c r="CI122" s="680">
        <f t="shared" si="65"/>
        <v>0</v>
      </c>
      <c r="CJ122" s="680">
        <f t="shared" si="65"/>
        <v>0</v>
      </c>
      <c r="CK122" s="680">
        <f t="shared" ref="CK122:CR122" si="138">+CK73-CK72</f>
        <v>0</v>
      </c>
      <c r="CL122" s="680">
        <f t="shared" si="138"/>
        <v>0</v>
      </c>
      <c r="CM122" s="680">
        <f t="shared" si="138"/>
        <v>0</v>
      </c>
      <c r="CN122" s="680">
        <f t="shared" si="138"/>
        <v>0</v>
      </c>
      <c r="CO122" s="680">
        <f t="shared" si="138"/>
        <v>0</v>
      </c>
      <c r="CP122" s="680">
        <f t="shared" si="138"/>
        <v>0</v>
      </c>
      <c r="CQ122" s="680">
        <f t="shared" si="138"/>
        <v>0</v>
      </c>
      <c r="CR122" s="680">
        <f t="shared" si="138"/>
        <v>0</v>
      </c>
      <c r="CS122" s="680">
        <f t="shared" si="68"/>
        <v>0</v>
      </c>
      <c r="CT122" s="680">
        <f t="shared" si="68"/>
        <v>18.772668780184034</v>
      </c>
      <c r="CU122" s="680">
        <f t="shared" si="68"/>
        <v>0</v>
      </c>
      <c r="CV122" s="680">
        <f t="shared" si="68"/>
        <v>0</v>
      </c>
      <c r="CW122" s="680">
        <f t="shared" si="68"/>
        <v>1.040807500000001</v>
      </c>
      <c r="CX122" s="680">
        <f t="shared" si="68"/>
        <v>1.2205585260000003</v>
      </c>
      <c r="CY122" s="680">
        <f t="shared" si="68"/>
        <v>2.261366026000001</v>
      </c>
      <c r="CZ122" s="680">
        <f t="shared" si="68"/>
        <v>21.034034806184053</v>
      </c>
      <c r="DA122" s="680">
        <f t="shared" si="68"/>
        <v>17.829231609051817</v>
      </c>
      <c r="DB122" s="680">
        <f t="shared" si="68"/>
        <v>3.2048031971322359</v>
      </c>
    </row>
    <row r="123" spans="1:106" x14ac:dyDescent="0.2">
      <c r="A123">
        <f t="shared" si="58"/>
        <v>2010</v>
      </c>
      <c r="B123" s="680">
        <f t="shared" ref="B123:AH123" si="139">+B74-B73</f>
        <v>7.0758600000001337E-2</v>
      </c>
      <c r="C123" s="680">
        <f t="shared" si="139"/>
        <v>0</v>
      </c>
      <c r="D123" s="680">
        <f t="shared" si="139"/>
        <v>0</v>
      </c>
      <c r="E123" s="680">
        <f t="shared" si="139"/>
        <v>0.25429324499999972</v>
      </c>
      <c r="F123" s="680">
        <f t="shared" si="139"/>
        <v>1.6715867249999998</v>
      </c>
      <c r="G123" s="680">
        <f t="shared" si="139"/>
        <v>0.12558905999999997</v>
      </c>
      <c r="H123" s="680">
        <f t="shared" ref="H123:Z123" si="140">+H74-H73</f>
        <v>0</v>
      </c>
      <c r="I123" s="680">
        <f t="shared" si="140"/>
        <v>0</v>
      </c>
      <c r="J123" s="680">
        <f t="shared" si="140"/>
        <v>2.7136199999999999E-2</v>
      </c>
      <c r="K123" s="680">
        <f t="shared" si="140"/>
        <v>0.33636959999999982</v>
      </c>
      <c r="L123" s="680">
        <f t="shared" si="140"/>
        <v>0.70817174999999999</v>
      </c>
      <c r="M123" s="680">
        <f t="shared" si="140"/>
        <v>0</v>
      </c>
      <c r="N123" s="680">
        <f t="shared" si="140"/>
        <v>0</v>
      </c>
      <c r="O123" s="680">
        <f t="shared" si="140"/>
        <v>1.0138800000000003</v>
      </c>
      <c r="P123" s="680">
        <f t="shared" si="140"/>
        <v>0</v>
      </c>
      <c r="Q123" s="680">
        <f t="shared" si="140"/>
        <v>0</v>
      </c>
      <c r="R123" s="680">
        <f t="shared" si="140"/>
        <v>0.28179899999999947</v>
      </c>
      <c r="S123" s="680">
        <f t="shared" si="140"/>
        <v>0</v>
      </c>
      <c r="T123" s="680">
        <f t="shared" si="140"/>
        <v>0</v>
      </c>
      <c r="U123" s="680">
        <f t="shared" si="140"/>
        <v>0</v>
      </c>
      <c r="V123" s="680">
        <f t="shared" si="140"/>
        <v>0</v>
      </c>
      <c r="W123" s="680">
        <f t="shared" si="140"/>
        <v>0</v>
      </c>
      <c r="X123" s="680">
        <f t="shared" si="140"/>
        <v>0</v>
      </c>
      <c r="Y123" s="680">
        <f t="shared" si="140"/>
        <v>0</v>
      </c>
      <c r="Z123" s="680">
        <f t="shared" si="140"/>
        <v>0</v>
      </c>
      <c r="AA123" s="680">
        <f t="shared" si="139"/>
        <v>0</v>
      </c>
      <c r="AB123" s="680">
        <f t="shared" si="139"/>
        <v>4.4895841799999943</v>
      </c>
      <c r="AC123" s="680">
        <f t="shared" si="139"/>
        <v>-4.2599999999998195E-4</v>
      </c>
      <c r="AD123" s="680">
        <f t="shared" si="139"/>
        <v>0</v>
      </c>
      <c r="AE123" s="680">
        <f t="shared" si="139"/>
        <v>0</v>
      </c>
      <c r="AF123" s="680">
        <f t="shared" si="139"/>
        <v>0</v>
      </c>
      <c r="AG123" s="680">
        <f t="shared" si="139"/>
        <v>-4.2600000000447835E-4</v>
      </c>
      <c r="AH123" s="680">
        <f t="shared" si="139"/>
        <v>4.4891581799999756</v>
      </c>
      <c r="AJ123">
        <f t="shared" si="61"/>
        <v>2010</v>
      </c>
      <c r="AK123" s="680">
        <f t="shared" ref="AK123:BI123" si="141">+AK74-AK73</f>
        <v>6.4475100000002783E-2</v>
      </c>
      <c r="AL123" s="680">
        <f t="shared" si="141"/>
        <v>0</v>
      </c>
      <c r="AM123" s="680">
        <f t="shared" si="141"/>
        <v>0</v>
      </c>
      <c r="AN123" s="680">
        <f t="shared" si="141"/>
        <v>0</v>
      </c>
      <c r="AO123" s="680">
        <f t="shared" si="141"/>
        <v>0.21454425000000002</v>
      </c>
      <c r="AP123" s="680">
        <f t="shared" si="141"/>
        <v>6.0087299999999986E-3</v>
      </c>
      <c r="AQ123" s="680">
        <f t="shared" si="141"/>
        <v>0</v>
      </c>
      <c r="AR123" s="680">
        <f t="shared" si="141"/>
        <v>0</v>
      </c>
      <c r="AS123" s="680">
        <f t="shared" si="141"/>
        <v>6.7840499999999998E-3</v>
      </c>
      <c r="AT123" s="680">
        <f t="shared" si="141"/>
        <v>0.38473125000000002</v>
      </c>
      <c r="AU123" s="680">
        <f t="shared" si="141"/>
        <v>0.33930900000000003</v>
      </c>
      <c r="AV123" s="680">
        <f t="shared" si="141"/>
        <v>0</v>
      </c>
      <c r="AW123" s="680">
        <f t="shared" si="141"/>
        <v>0</v>
      </c>
      <c r="AX123" s="680">
        <f t="shared" si="141"/>
        <v>2.0724899999999984</v>
      </c>
      <c r="AY123" s="680">
        <f t="shared" si="141"/>
        <v>0</v>
      </c>
      <c r="AZ123" s="680">
        <f t="shared" si="141"/>
        <v>0</v>
      </c>
      <c r="BA123" s="680">
        <f t="shared" si="141"/>
        <v>0</v>
      </c>
      <c r="BB123" s="680">
        <f t="shared" si="141"/>
        <v>0</v>
      </c>
      <c r="BC123" s="680">
        <f t="shared" si="141"/>
        <v>0</v>
      </c>
      <c r="BD123" s="680">
        <f t="shared" si="141"/>
        <v>0</v>
      </c>
      <c r="BE123" s="680">
        <f t="shared" si="141"/>
        <v>0</v>
      </c>
      <c r="BF123" s="680">
        <f t="shared" si="141"/>
        <v>0</v>
      </c>
      <c r="BG123" s="680">
        <f t="shared" si="141"/>
        <v>0</v>
      </c>
      <c r="BH123" s="680">
        <f t="shared" si="141"/>
        <v>0</v>
      </c>
      <c r="BI123" s="680">
        <f t="shared" si="141"/>
        <v>0</v>
      </c>
      <c r="BJ123" s="680">
        <f t="shared" ref="BJ123:BQ123" si="142">+BJ74-BJ73</f>
        <v>0</v>
      </c>
      <c r="BK123" s="680">
        <f t="shared" si="142"/>
        <v>3.0883423800000074</v>
      </c>
      <c r="BL123" s="680">
        <f t="shared" si="142"/>
        <v>0</v>
      </c>
      <c r="BM123" s="680">
        <f t="shared" si="142"/>
        <v>0</v>
      </c>
      <c r="BN123" s="680">
        <f t="shared" si="142"/>
        <v>22.183949999999999</v>
      </c>
      <c r="BO123" s="680">
        <f t="shared" si="142"/>
        <v>0</v>
      </c>
      <c r="BP123" s="680">
        <f t="shared" si="142"/>
        <v>22.18395000000001</v>
      </c>
      <c r="BQ123" s="680">
        <f t="shared" si="142"/>
        <v>25.272292380000025</v>
      </c>
      <c r="BS123">
        <f t="shared" si="64"/>
        <v>2010</v>
      </c>
      <c r="BT123" s="680">
        <f t="shared" si="65"/>
        <v>0.29962612899999996</v>
      </c>
      <c r="BU123" s="680">
        <f t="shared" si="65"/>
        <v>0</v>
      </c>
      <c r="BV123" s="680">
        <f t="shared" si="65"/>
        <v>0</v>
      </c>
      <c r="BW123" s="680">
        <f t="shared" si="65"/>
        <v>0.99588058800000034</v>
      </c>
      <c r="BX123" s="680">
        <f t="shared" si="65"/>
        <v>2.4167026440000003</v>
      </c>
      <c r="BY123" s="680">
        <f t="shared" si="65"/>
        <v>9.985351100000002E-2</v>
      </c>
      <c r="BZ123" s="680">
        <f t="shared" si="66"/>
        <v>0</v>
      </c>
      <c r="CA123" s="680">
        <f t="shared" si="66"/>
        <v>0</v>
      </c>
      <c r="CB123" s="680">
        <f t="shared" si="65"/>
        <v>0.246886416</v>
      </c>
      <c r="CC123" s="680">
        <f t="shared" si="65"/>
        <v>0.85793696099999983</v>
      </c>
      <c r="CD123" s="680">
        <f t="shared" si="65"/>
        <v>0.21820720999999998</v>
      </c>
      <c r="CE123" s="680">
        <f t="shared" si="65"/>
        <v>0</v>
      </c>
      <c r="CF123" s="680">
        <f t="shared" si="65"/>
        <v>0</v>
      </c>
      <c r="CG123" s="680">
        <f t="shared" si="65"/>
        <v>6.2183738399999982</v>
      </c>
      <c r="CH123" s="680">
        <f t="shared" si="65"/>
        <v>0</v>
      </c>
      <c r="CI123" s="680">
        <f t="shared" si="65"/>
        <v>0</v>
      </c>
      <c r="CJ123" s="680">
        <f t="shared" ref="CJ123:CR123" si="143">+CJ74-CJ73</f>
        <v>0.22885597999999874</v>
      </c>
      <c r="CK123" s="680">
        <f t="shared" si="143"/>
        <v>0</v>
      </c>
      <c r="CL123" s="680">
        <f t="shared" si="143"/>
        <v>0</v>
      </c>
      <c r="CM123" s="680">
        <f t="shared" si="143"/>
        <v>0</v>
      </c>
      <c r="CN123" s="680">
        <f t="shared" si="143"/>
        <v>0</v>
      </c>
      <c r="CO123" s="680">
        <f t="shared" si="143"/>
        <v>0</v>
      </c>
      <c r="CP123" s="680">
        <f t="shared" si="143"/>
        <v>0</v>
      </c>
      <c r="CQ123" s="680">
        <f t="shared" si="143"/>
        <v>0</v>
      </c>
      <c r="CR123" s="680">
        <f t="shared" si="143"/>
        <v>0</v>
      </c>
      <c r="CS123" s="680">
        <f t="shared" si="68"/>
        <v>0</v>
      </c>
      <c r="CT123" s="680">
        <f t="shared" si="68"/>
        <v>11.582323279000065</v>
      </c>
      <c r="CU123" s="680">
        <f t="shared" si="68"/>
        <v>0</v>
      </c>
      <c r="CV123" s="680">
        <f t="shared" si="68"/>
        <v>0</v>
      </c>
      <c r="CW123" s="680">
        <f t="shared" si="68"/>
        <v>0.91825583333333327</v>
      </c>
      <c r="CX123" s="680">
        <f t="shared" si="68"/>
        <v>0.41658749999999944</v>
      </c>
      <c r="CY123" s="680">
        <f t="shared" si="68"/>
        <v>1.3348433333333336</v>
      </c>
      <c r="CZ123" s="680">
        <f t="shared" si="68"/>
        <v>12.917166612333403</v>
      </c>
      <c r="DA123" s="680">
        <f t="shared" si="68"/>
        <v>8.6609923703333607</v>
      </c>
      <c r="DB123" s="680">
        <f t="shared" si="68"/>
        <v>4.2561742420000428</v>
      </c>
    </row>
    <row r="124" spans="1:106" x14ac:dyDescent="0.2">
      <c r="A124">
        <f t="shared" si="58"/>
        <v>2011</v>
      </c>
      <c r="B124" s="680">
        <f t="shared" ref="B124:AH124" si="144">+B75-B74</f>
        <v>5.5449225000000268E-2</v>
      </c>
      <c r="C124" s="680">
        <f t="shared" si="144"/>
        <v>0</v>
      </c>
      <c r="D124" s="680">
        <f t="shared" si="144"/>
        <v>0</v>
      </c>
      <c r="E124" s="680">
        <f t="shared" si="144"/>
        <v>0.36746760000000012</v>
      </c>
      <c r="F124" s="680">
        <f t="shared" si="144"/>
        <v>2.8205726250000005</v>
      </c>
      <c r="G124" s="680">
        <f t="shared" si="144"/>
        <v>0</v>
      </c>
      <c r="H124" s="680">
        <f t="shared" ref="H124:Z124" si="145">+H75-H74</f>
        <v>0</v>
      </c>
      <c r="I124" s="680">
        <f t="shared" si="145"/>
        <v>0</v>
      </c>
      <c r="J124" s="680">
        <f t="shared" si="145"/>
        <v>1.0351800000000001E-2</v>
      </c>
      <c r="K124" s="680">
        <f t="shared" si="145"/>
        <v>0.128114175</v>
      </c>
      <c r="L124" s="680">
        <f t="shared" si="145"/>
        <v>1.2641283750000003</v>
      </c>
      <c r="M124" s="680">
        <f t="shared" si="145"/>
        <v>0</v>
      </c>
      <c r="N124" s="680">
        <f t="shared" si="145"/>
        <v>0</v>
      </c>
      <c r="O124" s="680">
        <f t="shared" si="145"/>
        <v>0</v>
      </c>
      <c r="P124" s="680">
        <f t="shared" si="145"/>
        <v>0</v>
      </c>
      <c r="Q124" s="680">
        <f t="shared" si="145"/>
        <v>0</v>
      </c>
      <c r="R124" s="680">
        <f t="shared" si="145"/>
        <v>8.9944575000000526E-2</v>
      </c>
      <c r="S124" s="680">
        <f t="shared" si="145"/>
        <v>0</v>
      </c>
      <c r="T124" s="680">
        <f t="shared" si="145"/>
        <v>0</v>
      </c>
      <c r="U124" s="680">
        <f t="shared" si="145"/>
        <v>0</v>
      </c>
      <c r="V124" s="680">
        <f t="shared" si="145"/>
        <v>0</v>
      </c>
      <c r="W124" s="680">
        <f t="shared" si="145"/>
        <v>7.8144374999999988E-2</v>
      </c>
      <c r="X124" s="680">
        <f t="shared" si="145"/>
        <v>0</v>
      </c>
      <c r="Y124" s="680">
        <f t="shared" si="145"/>
        <v>0</v>
      </c>
      <c r="Z124" s="680">
        <f t="shared" si="145"/>
        <v>2.9819999999999998E-3</v>
      </c>
      <c r="AA124" s="680">
        <f t="shared" si="144"/>
        <v>2.2109400000000001E-2</v>
      </c>
      <c r="AB124" s="680">
        <f t="shared" si="144"/>
        <v>4.8392641499999982</v>
      </c>
      <c r="AC124" s="680">
        <f t="shared" si="144"/>
        <v>0</v>
      </c>
      <c r="AD124" s="680">
        <f t="shared" si="144"/>
        <v>0</v>
      </c>
      <c r="AE124" s="680">
        <f t="shared" si="144"/>
        <v>0</v>
      </c>
      <c r="AF124" s="680">
        <f t="shared" si="144"/>
        <v>2.1210007500000003</v>
      </c>
      <c r="AG124" s="680">
        <f t="shared" si="144"/>
        <v>2.1210007500000074</v>
      </c>
      <c r="AH124" s="680">
        <f t="shared" si="144"/>
        <v>6.9602648999999985</v>
      </c>
      <c r="AJ124">
        <f t="shared" si="61"/>
        <v>2011</v>
      </c>
      <c r="AK124" s="680">
        <f t="shared" ref="AK124:BI124" si="146">+AK75-AK74</f>
        <v>5.5550400000001332E-2</v>
      </c>
      <c r="AL124" s="680">
        <f t="shared" si="146"/>
        <v>0</v>
      </c>
      <c r="AM124" s="680">
        <f t="shared" si="146"/>
        <v>0</v>
      </c>
      <c r="AN124" s="680">
        <f t="shared" si="146"/>
        <v>0</v>
      </c>
      <c r="AO124" s="680">
        <f t="shared" si="146"/>
        <v>0.58511099999999994</v>
      </c>
      <c r="AP124" s="680">
        <f t="shared" si="146"/>
        <v>0</v>
      </c>
      <c r="AQ124" s="680">
        <f t="shared" si="146"/>
        <v>0</v>
      </c>
      <c r="AR124" s="680">
        <f t="shared" si="146"/>
        <v>0</v>
      </c>
      <c r="AS124" s="680">
        <f t="shared" si="146"/>
        <v>7.8277499999999996E-3</v>
      </c>
      <c r="AT124" s="680">
        <f t="shared" si="146"/>
        <v>0.12779999999999986</v>
      </c>
      <c r="AU124" s="680">
        <f t="shared" si="146"/>
        <v>1.1339055</v>
      </c>
      <c r="AV124" s="680">
        <f t="shared" si="146"/>
        <v>0</v>
      </c>
      <c r="AW124" s="680">
        <f t="shared" si="146"/>
        <v>0</v>
      </c>
      <c r="AX124" s="680">
        <f t="shared" si="146"/>
        <v>0</v>
      </c>
      <c r="AY124" s="680">
        <f t="shared" si="146"/>
        <v>0</v>
      </c>
      <c r="AZ124" s="680">
        <f t="shared" si="146"/>
        <v>0</v>
      </c>
      <c r="BA124" s="680">
        <f t="shared" si="146"/>
        <v>6.9650999999999907E-2</v>
      </c>
      <c r="BB124" s="680">
        <f t="shared" si="146"/>
        <v>0</v>
      </c>
      <c r="BC124" s="680">
        <f t="shared" si="146"/>
        <v>0</v>
      </c>
      <c r="BD124" s="680">
        <f t="shared" si="146"/>
        <v>0</v>
      </c>
      <c r="BE124" s="680">
        <f t="shared" si="146"/>
        <v>0</v>
      </c>
      <c r="BF124" s="680">
        <f t="shared" si="146"/>
        <v>0</v>
      </c>
      <c r="BG124" s="680">
        <f t="shared" si="146"/>
        <v>0</v>
      </c>
      <c r="BH124" s="680">
        <f t="shared" si="146"/>
        <v>0</v>
      </c>
      <c r="BI124" s="680">
        <f t="shared" si="146"/>
        <v>0</v>
      </c>
      <c r="BJ124" s="680">
        <f t="shared" ref="BJ124:BQ124" si="147">+BJ75-BJ74</f>
        <v>0</v>
      </c>
      <c r="BK124" s="680">
        <f t="shared" si="147"/>
        <v>1.9798456499999872</v>
      </c>
      <c r="BL124" s="680">
        <f t="shared" si="147"/>
        <v>0</v>
      </c>
      <c r="BM124" s="680">
        <f t="shared" si="147"/>
        <v>0</v>
      </c>
      <c r="BN124" s="680">
        <f t="shared" si="147"/>
        <v>0</v>
      </c>
      <c r="BO124" s="680">
        <f t="shared" si="147"/>
        <v>2.1210007500000003</v>
      </c>
      <c r="BP124" s="680">
        <f t="shared" si="147"/>
        <v>2.1210007499999932</v>
      </c>
      <c r="BQ124" s="680">
        <f t="shared" si="147"/>
        <v>4.1008463999999663</v>
      </c>
      <c r="BS124">
        <f t="shared" si="64"/>
        <v>2011</v>
      </c>
      <c r="BT124" s="680">
        <f t="shared" ref="BT124:CJ135" si="148">+BT75-BT74</f>
        <v>0.36539564099999922</v>
      </c>
      <c r="BU124" s="680">
        <f t="shared" si="148"/>
        <v>0</v>
      </c>
      <c r="BV124" s="680">
        <f t="shared" si="148"/>
        <v>0</v>
      </c>
      <c r="BW124" s="680">
        <f t="shared" si="148"/>
        <v>0.68234228800000007</v>
      </c>
      <c r="BX124" s="680">
        <f t="shared" si="148"/>
        <v>10.458051746000001</v>
      </c>
      <c r="BY124" s="680">
        <f t="shared" si="148"/>
        <v>0</v>
      </c>
      <c r="BZ124" s="680">
        <f t="shared" ref="BZ124:CA124" si="149">+BZ75-BZ74</f>
        <v>0</v>
      </c>
      <c r="CA124" s="680">
        <f t="shared" si="149"/>
        <v>0</v>
      </c>
      <c r="CB124" s="680">
        <f t="shared" si="148"/>
        <v>3.2736635999999986E-2</v>
      </c>
      <c r="CC124" s="680">
        <f t="shared" si="148"/>
        <v>0.49475783000000018</v>
      </c>
      <c r="CD124" s="680">
        <f t="shared" si="148"/>
        <v>1.557216242</v>
      </c>
      <c r="CE124" s="680">
        <f t="shared" si="148"/>
        <v>0</v>
      </c>
      <c r="CF124" s="680">
        <f t="shared" si="148"/>
        <v>0</v>
      </c>
      <c r="CG124" s="680">
        <f t="shared" si="148"/>
        <v>0</v>
      </c>
      <c r="CH124" s="680">
        <f t="shared" si="148"/>
        <v>0</v>
      </c>
      <c r="CI124" s="680">
        <f t="shared" si="148"/>
        <v>0</v>
      </c>
      <c r="CJ124" s="680">
        <f t="shared" si="148"/>
        <v>0.42897033199999868</v>
      </c>
      <c r="CK124" s="680">
        <f t="shared" ref="CK124:CR124" si="150">+CK75-CK74</f>
        <v>0</v>
      </c>
      <c r="CL124" s="680">
        <f t="shared" si="150"/>
        <v>0</v>
      </c>
      <c r="CM124" s="680">
        <f t="shared" si="150"/>
        <v>0</v>
      </c>
      <c r="CN124" s="680">
        <f t="shared" si="150"/>
        <v>0</v>
      </c>
      <c r="CO124" s="680">
        <f t="shared" si="150"/>
        <v>0.45423907499999999</v>
      </c>
      <c r="CP124" s="680">
        <f t="shared" si="150"/>
        <v>0</v>
      </c>
      <c r="CQ124" s="680">
        <f t="shared" si="150"/>
        <v>0</v>
      </c>
      <c r="CR124" s="680">
        <f t="shared" si="150"/>
        <v>8.3412720000000003E-3</v>
      </c>
      <c r="CS124" s="680">
        <f t="shared" ref="CS124:DB135" si="151">+CS75-CS74</f>
        <v>6.1859144000000005E-2</v>
      </c>
      <c r="CT124" s="680">
        <f t="shared" si="151"/>
        <v>14.543910205999907</v>
      </c>
      <c r="CU124" s="680">
        <f t="shared" si="151"/>
        <v>0</v>
      </c>
      <c r="CV124" s="680">
        <f t="shared" si="151"/>
        <v>0</v>
      </c>
      <c r="CW124" s="680">
        <f t="shared" si="151"/>
        <v>0</v>
      </c>
      <c r="CX124" s="680">
        <f t="shared" si="151"/>
        <v>0.14473175500000046</v>
      </c>
      <c r="CY124" s="680">
        <f t="shared" si="151"/>
        <v>0.14473175500000046</v>
      </c>
      <c r="CZ124" s="680">
        <f t="shared" si="151"/>
        <v>14.688641960999917</v>
      </c>
      <c r="DA124" s="680">
        <f t="shared" si="151"/>
        <v>1.4767082609999989</v>
      </c>
      <c r="DB124" s="680">
        <f t="shared" si="151"/>
        <v>13.211933699999918</v>
      </c>
    </row>
    <row r="125" spans="1:106" x14ac:dyDescent="0.2">
      <c r="A125">
        <f t="shared" si="58"/>
        <v>2012</v>
      </c>
      <c r="B125" s="680">
        <f t="shared" ref="B125:AH125" si="152">+B76-B75</f>
        <v>5.8149000000000228E-2</v>
      </c>
      <c r="C125" s="680">
        <f t="shared" si="152"/>
        <v>0</v>
      </c>
      <c r="D125" s="680">
        <f t="shared" si="152"/>
        <v>0</v>
      </c>
      <c r="E125" s="680">
        <f t="shared" si="152"/>
        <v>0.15581353965517231</v>
      </c>
      <c r="F125" s="680">
        <f t="shared" si="152"/>
        <v>0.5444173499999998</v>
      </c>
      <c r="G125" s="680">
        <f t="shared" si="152"/>
        <v>0.11098897499999996</v>
      </c>
      <c r="H125" s="680">
        <f t="shared" ref="H125:Z125" si="153">+H76-H75</f>
        <v>0</v>
      </c>
      <c r="I125" s="680">
        <f t="shared" si="153"/>
        <v>0</v>
      </c>
      <c r="J125" s="680">
        <f t="shared" si="153"/>
        <v>1.2779999999999993E-2</v>
      </c>
      <c r="K125" s="680">
        <f t="shared" si="153"/>
        <v>0.14611799999999997</v>
      </c>
      <c r="L125" s="680">
        <f t="shared" si="153"/>
        <v>0.55856587499999977</v>
      </c>
      <c r="M125" s="680">
        <f t="shared" si="153"/>
        <v>0</v>
      </c>
      <c r="N125" s="680">
        <f t="shared" si="153"/>
        <v>0</v>
      </c>
      <c r="O125" s="680">
        <f t="shared" si="153"/>
        <v>1.2524559749999966</v>
      </c>
      <c r="P125" s="680">
        <f t="shared" si="153"/>
        <v>0</v>
      </c>
      <c r="Q125" s="680">
        <f t="shared" si="153"/>
        <v>0</v>
      </c>
      <c r="R125" s="680">
        <f t="shared" si="153"/>
        <v>0.89025480000000012</v>
      </c>
      <c r="S125" s="680">
        <f t="shared" si="153"/>
        <v>0</v>
      </c>
      <c r="T125" s="680">
        <f t="shared" si="153"/>
        <v>0</v>
      </c>
      <c r="U125" s="680">
        <f t="shared" si="153"/>
        <v>0</v>
      </c>
      <c r="V125" s="680">
        <f t="shared" si="153"/>
        <v>0</v>
      </c>
      <c r="W125" s="680">
        <f t="shared" si="153"/>
        <v>0.31405784999999992</v>
      </c>
      <c r="X125" s="680">
        <f t="shared" si="153"/>
        <v>3.7062000000000005E-2</v>
      </c>
      <c r="Y125" s="680">
        <f t="shared" si="153"/>
        <v>0</v>
      </c>
      <c r="Z125" s="680">
        <f t="shared" si="153"/>
        <v>5.9639999999999988E-3</v>
      </c>
      <c r="AA125" s="680">
        <f t="shared" si="152"/>
        <v>3.8979E-2</v>
      </c>
      <c r="AB125" s="680">
        <f t="shared" si="152"/>
        <v>4.1256063646551979</v>
      </c>
      <c r="AC125" s="680">
        <f t="shared" si="152"/>
        <v>0.13821569999999991</v>
      </c>
      <c r="AD125" s="680">
        <f t="shared" si="152"/>
        <v>0</v>
      </c>
      <c r="AE125" s="680">
        <f t="shared" si="152"/>
        <v>11.002514999999995</v>
      </c>
      <c r="AF125" s="680">
        <f t="shared" si="152"/>
        <v>1.0605003749999966</v>
      </c>
      <c r="AG125" s="680">
        <f t="shared" si="152"/>
        <v>12.201231074999995</v>
      </c>
      <c r="AH125" s="680">
        <f t="shared" si="152"/>
        <v>16.326837439655208</v>
      </c>
      <c r="AJ125">
        <f t="shared" si="61"/>
        <v>2012</v>
      </c>
      <c r="AK125" s="680">
        <f t="shared" ref="AK125:BI125" si="154">+AK76-AK75</f>
        <v>4.8404249999997262E-2</v>
      </c>
      <c r="AL125" s="680">
        <f t="shared" si="154"/>
        <v>0</v>
      </c>
      <c r="AM125" s="680">
        <f t="shared" si="154"/>
        <v>0</v>
      </c>
      <c r="AN125" s="680">
        <f t="shared" si="154"/>
        <v>0</v>
      </c>
      <c r="AO125" s="680">
        <f t="shared" si="154"/>
        <v>0</v>
      </c>
      <c r="AP125" s="680">
        <f t="shared" si="154"/>
        <v>0</v>
      </c>
      <c r="AQ125" s="680">
        <f t="shared" si="154"/>
        <v>0</v>
      </c>
      <c r="AR125" s="680">
        <f t="shared" si="154"/>
        <v>0</v>
      </c>
      <c r="AS125" s="680">
        <f t="shared" si="154"/>
        <v>2.5134000000000004E-2</v>
      </c>
      <c r="AT125" s="680">
        <f t="shared" si="154"/>
        <v>0</v>
      </c>
      <c r="AU125" s="680">
        <f t="shared" si="154"/>
        <v>0.68545530000000032</v>
      </c>
      <c r="AV125" s="680">
        <f t="shared" si="154"/>
        <v>0</v>
      </c>
      <c r="AW125" s="680">
        <f t="shared" si="154"/>
        <v>0</v>
      </c>
      <c r="AX125" s="680">
        <f t="shared" si="154"/>
        <v>0</v>
      </c>
      <c r="AY125" s="680">
        <f t="shared" si="154"/>
        <v>0</v>
      </c>
      <c r="AZ125" s="680">
        <f t="shared" si="154"/>
        <v>0</v>
      </c>
      <c r="BA125" s="680">
        <f t="shared" si="154"/>
        <v>0</v>
      </c>
      <c r="BB125" s="680">
        <f t="shared" si="154"/>
        <v>0</v>
      </c>
      <c r="BC125" s="680">
        <f t="shared" si="154"/>
        <v>0</v>
      </c>
      <c r="BD125" s="680">
        <f t="shared" si="154"/>
        <v>0</v>
      </c>
      <c r="BE125" s="680">
        <f t="shared" si="154"/>
        <v>0</v>
      </c>
      <c r="BF125" s="680">
        <f t="shared" si="154"/>
        <v>0</v>
      </c>
      <c r="BG125" s="680">
        <f t="shared" si="154"/>
        <v>0</v>
      </c>
      <c r="BH125" s="680">
        <f t="shared" si="154"/>
        <v>0</v>
      </c>
      <c r="BI125" s="680">
        <f t="shared" si="154"/>
        <v>0</v>
      </c>
      <c r="BJ125" s="680">
        <f t="shared" ref="BJ125:BQ125" si="155">+BJ76-BJ75</f>
        <v>0</v>
      </c>
      <c r="BK125" s="680">
        <f t="shared" si="155"/>
        <v>0.75899354999999957</v>
      </c>
      <c r="BL125" s="680">
        <f t="shared" si="155"/>
        <v>0</v>
      </c>
      <c r="BM125" s="680">
        <f t="shared" si="155"/>
        <v>0</v>
      </c>
      <c r="BN125" s="680">
        <f t="shared" si="155"/>
        <v>8.3904959999999988</v>
      </c>
      <c r="BO125" s="680">
        <f t="shared" si="155"/>
        <v>1.0605003749999966</v>
      </c>
      <c r="BP125" s="680">
        <f t="shared" si="155"/>
        <v>9.4509963750000026</v>
      </c>
      <c r="BQ125" s="680">
        <f t="shared" si="155"/>
        <v>10.209989925000002</v>
      </c>
      <c r="BS125">
        <f t="shared" si="64"/>
        <v>2012</v>
      </c>
      <c r="BT125" s="680">
        <f t="shared" si="148"/>
        <v>0.43209566400000199</v>
      </c>
      <c r="BU125" s="680">
        <f t="shared" si="148"/>
        <v>0</v>
      </c>
      <c r="BV125" s="680">
        <f t="shared" si="148"/>
        <v>0</v>
      </c>
      <c r="BW125" s="680">
        <f t="shared" si="148"/>
        <v>0.29966104299999952</v>
      </c>
      <c r="BX125" s="680">
        <f t="shared" si="148"/>
        <v>2.5297308999999988</v>
      </c>
      <c r="BY125" s="680">
        <f t="shared" si="148"/>
        <v>0.31279611299999999</v>
      </c>
      <c r="BZ125" s="680">
        <f t="shared" ref="BZ125:CA125" si="156">+BZ76-BZ75</f>
        <v>0</v>
      </c>
      <c r="CA125" s="680">
        <f t="shared" si="156"/>
        <v>0</v>
      </c>
      <c r="CB125" s="680">
        <f t="shared" si="148"/>
        <v>3.0819539999999979E-2</v>
      </c>
      <c r="CC125" s="680">
        <f t="shared" si="148"/>
        <v>0.22547567000000024</v>
      </c>
      <c r="CD125" s="680">
        <f t="shared" si="148"/>
        <v>0.66496886999999982</v>
      </c>
      <c r="CE125" s="680">
        <f t="shared" si="148"/>
        <v>0</v>
      </c>
      <c r="CF125" s="680">
        <f t="shared" si="148"/>
        <v>0</v>
      </c>
      <c r="CG125" s="680">
        <f t="shared" si="148"/>
        <v>7.5249519979999775</v>
      </c>
      <c r="CH125" s="680">
        <f t="shared" si="148"/>
        <v>0</v>
      </c>
      <c r="CI125" s="680">
        <f t="shared" si="148"/>
        <v>0</v>
      </c>
      <c r="CJ125" s="680">
        <f t="shared" si="148"/>
        <v>0.16115032799999796</v>
      </c>
      <c r="CK125" s="680">
        <f t="shared" ref="CK125:CR125" si="157">+CK76-CK75</f>
        <v>0</v>
      </c>
      <c r="CL125" s="680">
        <f t="shared" si="157"/>
        <v>0</v>
      </c>
      <c r="CM125" s="680">
        <f t="shared" si="157"/>
        <v>0</v>
      </c>
      <c r="CN125" s="680">
        <f t="shared" si="157"/>
        <v>0.142441185</v>
      </c>
      <c r="CO125" s="680">
        <f t="shared" si="157"/>
        <v>1.58619592</v>
      </c>
      <c r="CP125" s="680">
        <f t="shared" si="157"/>
        <v>0.142441185</v>
      </c>
      <c r="CQ125" s="680">
        <f t="shared" si="157"/>
        <v>0</v>
      </c>
      <c r="CR125" s="680">
        <f t="shared" si="157"/>
        <v>1.6682544000000001E-2</v>
      </c>
      <c r="CS125" s="680">
        <f t="shared" si="151"/>
        <v>0.109034835</v>
      </c>
      <c r="CT125" s="680">
        <f t="shared" si="151"/>
        <v>14.178445795000016</v>
      </c>
      <c r="CU125" s="680">
        <f t="shared" si="151"/>
        <v>0</v>
      </c>
      <c r="CV125" s="680">
        <f t="shared" si="151"/>
        <v>0</v>
      </c>
      <c r="CW125" s="680">
        <f t="shared" si="151"/>
        <v>0.98490101666666563</v>
      </c>
      <c r="CX125" s="680">
        <f t="shared" si="151"/>
        <v>0.14169264999999998</v>
      </c>
      <c r="CY125" s="680">
        <f t="shared" si="151"/>
        <v>1.1265936666666647</v>
      </c>
      <c r="CZ125" s="680">
        <f t="shared" si="151"/>
        <v>15.305039461666638</v>
      </c>
      <c r="DA125" s="680">
        <f t="shared" si="151"/>
        <v>9.4027600496666537</v>
      </c>
      <c r="DB125" s="680">
        <f t="shared" si="151"/>
        <v>5.9022794119999844</v>
      </c>
    </row>
    <row r="126" spans="1:106" x14ac:dyDescent="0.2">
      <c r="A126">
        <f t="shared" si="58"/>
        <v>2013</v>
      </c>
      <c r="B126" s="680">
        <f t="shared" ref="B126:AH126" si="158">+B77-B76</f>
        <v>0.14723716366348505</v>
      </c>
      <c r="C126" s="680">
        <f t="shared" si="158"/>
        <v>2.1340000000000248E-3</v>
      </c>
      <c r="D126" s="680">
        <f t="shared" si="158"/>
        <v>3.9825000000001665E-4</v>
      </c>
      <c r="E126" s="680">
        <f t="shared" si="158"/>
        <v>0.22254136921956835</v>
      </c>
      <c r="F126" s="680">
        <f t="shared" si="158"/>
        <v>0.49810582500000056</v>
      </c>
      <c r="G126" s="680">
        <f t="shared" si="158"/>
        <v>0.20494497682382146</v>
      </c>
      <c r="H126" s="680">
        <f t="shared" ref="H126:Z126" si="159">+H77-H76</f>
        <v>0</v>
      </c>
      <c r="I126" s="680">
        <f t="shared" si="159"/>
        <v>0</v>
      </c>
      <c r="J126" s="680">
        <f t="shared" si="159"/>
        <v>1.2580000000000091E-3</v>
      </c>
      <c r="K126" s="680">
        <f t="shared" si="159"/>
        <v>0.12782765000000018</v>
      </c>
      <c r="L126" s="680">
        <f t="shared" si="159"/>
        <v>0.45303327850000041</v>
      </c>
      <c r="M126" s="680">
        <f t="shared" si="159"/>
        <v>0</v>
      </c>
      <c r="N126" s="680">
        <f t="shared" si="159"/>
        <v>0</v>
      </c>
      <c r="O126" s="680">
        <f t="shared" si="159"/>
        <v>2.4321171036070197</v>
      </c>
      <c r="P126" s="680">
        <f t="shared" si="159"/>
        <v>0</v>
      </c>
      <c r="Q126" s="680">
        <f t="shared" si="159"/>
        <v>0</v>
      </c>
      <c r="R126" s="680">
        <f t="shared" si="159"/>
        <v>0.12094366666666723</v>
      </c>
      <c r="S126" s="680">
        <f t="shared" si="159"/>
        <v>0</v>
      </c>
      <c r="T126" s="680">
        <f t="shared" si="159"/>
        <v>0</v>
      </c>
      <c r="U126" s="680">
        <f t="shared" si="159"/>
        <v>0</v>
      </c>
      <c r="V126" s="680">
        <f t="shared" si="159"/>
        <v>0</v>
      </c>
      <c r="W126" s="680">
        <f t="shared" si="159"/>
        <v>0.60724732500000023</v>
      </c>
      <c r="X126" s="680">
        <f t="shared" si="159"/>
        <v>0.10995600000000003</v>
      </c>
      <c r="Y126" s="680">
        <f t="shared" si="159"/>
        <v>1.0705349999999999E-2</v>
      </c>
      <c r="Z126" s="680">
        <f t="shared" si="159"/>
        <v>6.0339999999999994E-3</v>
      </c>
      <c r="AA126" s="680">
        <f t="shared" si="158"/>
        <v>6.5856399999999995E-2</v>
      </c>
      <c r="AB126" s="680">
        <f t="shared" si="158"/>
        <v>5.0103403584805335</v>
      </c>
      <c r="AC126" s="680">
        <f t="shared" si="158"/>
        <v>6.6003000000001144E-3</v>
      </c>
      <c r="AD126" s="680">
        <f t="shared" si="158"/>
        <v>0</v>
      </c>
      <c r="AE126" s="680">
        <f t="shared" si="158"/>
        <v>-0.43501499999999282</v>
      </c>
      <c r="AF126" s="680">
        <f t="shared" si="158"/>
        <v>1.2546765000000022</v>
      </c>
      <c r="AG126" s="680">
        <f t="shared" si="158"/>
        <v>0.8262618000000117</v>
      </c>
      <c r="AH126" s="680">
        <f t="shared" si="158"/>
        <v>5.8366021584805594</v>
      </c>
      <c r="AJ126">
        <f t="shared" si="61"/>
        <v>2013</v>
      </c>
      <c r="AK126" s="680">
        <f t="shared" ref="AK126:BI126" si="160">+AK77-AK76</f>
        <v>0.21933846551313252</v>
      </c>
      <c r="AL126" s="680">
        <f t="shared" si="160"/>
        <v>4.5721000000001899E-3</v>
      </c>
      <c r="AM126" s="680">
        <f t="shared" si="160"/>
        <v>3.0200000000001059E-4</v>
      </c>
      <c r="AN126" s="680">
        <f t="shared" si="160"/>
        <v>0</v>
      </c>
      <c r="AO126" s="680">
        <f t="shared" si="160"/>
        <v>1.0678550000000064E-2</v>
      </c>
      <c r="AP126" s="680">
        <f t="shared" si="160"/>
        <v>1.846144491315138E-3</v>
      </c>
      <c r="AQ126" s="680">
        <f t="shared" si="160"/>
        <v>0</v>
      </c>
      <c r="AR126" s="680">
        <f t="shared" si="160"/>
        <v>0</v>
      </c>
      <c r="AS126" s="680">
        <f t="shared" si="160"/>
        <v>5.9320000000000206E-4</v>
      </c>
      <c r="AT126" s="680">
        <f t="shared" si="160"/>
        <v>2.942897058823668E-3</v>
      </c>
      <c r="AU126" s="680">
        <f t="shared" si="160"/>
        <v>0.16755196699999964</v>
      </c>
      <c r="AV126" s="680">
        <f t="shared" si="160"/>
        <v>0</v>
      </c>
      <c r="AW126" s="680">
        <f t="shared" si="160"/>
        <v>0</v>
      </c>
      <c r="AX126" s="680">
        <f t="shared" si="160"/>
        <v>1.8948641400684849</v>
      </c>
      <c r="AY126" s="680">
        <f t="shared" si="160"/>
        <v>0</v>
      </c>
      <c r="AZ126" s="680">
        <f t="shared" si="160"/>
        <v>0</v>
      </c>
      <c r="BA126" s="680">
        <f t="shared" si="160"/>
        <v>0.11393045000000024</v>
      </c>
      <c r="BB126" s="680">
        <f t="shared" si="160"/>
        <v>0</v>
      </c>
      <c r="BC126" s="680">
        <f t="shared" si="160"/>
        <v>0</v>
      </c>
      <c r="BD126" s="680">
        <f t="shared" si="160"/>
        <v>0</v>
      </c>
      <c r="BE126" s="680">
        <f t="shared" si="160"/>
        <v>0</v>
      </c>
      <c r="BF126" s="680">
        <f t="shared" si="160"/>
        <v>0</v>
      </c>
      <c r="BG126" s="680">
        <f t="shared" si="160"/>
        <v>0</v>
      </c>
      <c r="BH126" s="680">
        <f t="shared" si="160"/>
        <v>0</v>
      </c>
      <c r="BI126" s="680">
        <f t="shared" si="160"/>
        <v>0</v>
      </c>
      <c r="BJ126" s="680">
        <f t="shared" ref="BJ126:BQ126" si="161">+BJ77-BJ76</f>
        <v>0</v>
      </c>
      <c r="BK126" s="680">
        <f t="shared" si="161"/>
        <v>2.4166199141317648</v>
      </c>
      <c r="BL126" s="680">
        <f t="shared" si="161"/>
        <v>0</v>
      </c>
      <c r="BM126" s="680">
        <f t="shared" si="161"/>
        <v>0</v>
      </c>
      <c r="BN126" s="680">
        <f t="shared" si="161"/>
        <v>2.8190039999999996</v>
      </c>
      <c r="BO126" s="680">
        <f t="shared" si="161"/>
        <v>1.2546765000000022</v>
      </c>
      <c r="BP126" s="680">
        <f t="shared" si="161"/>
        <v>4.0736804999999947</v>
      </c>
      <c r="BQ126" s="680">
        <f t="shared" si="161"/>
        <v>6.4903004141317808</v>
      </c>
      <c r="BS126">
        <f t="shared" si="64"/>
        <v>2013</v>
      </c>
      <c r="BT126" s="680">
        <f t="shared" si="148"/>
        <v>0.45197716877565242</v>
      </c>
      <c r="BU126" s="680">
        <f t="shared" si="148"/>
        <v>-1.437629999999912E-4</v>
      </c>
      <c r="BV126" s="680">
        <f t="shared" si="148"/>
        <v>-2.039039999999992E-3</v>
      </c>
      <c r="BW126" s="680">
        <f t="shared" si="148"/>
        <v>0.36080243703126413</v>
      </c>
      <c r="BX126" s="680">
        <f t="shared" si="148"/>
        <v>1.9382898660000016</v>
      </c>
      <c r="BY126" s="680">
        <f t="shared" si="148"/>
        <v>0.65899600595533503</v>
      </c>
      <c r="BZ126" s="680">
        <f t="shared" ref="BZ126:CA126" si="162">+BZ77-BZ76</f>
        <v>0</v>
      </c>
      <c r="CA126" s="680">
        <f t="shared" si="162"/>
        <v>0</v>
      </c>
      <c r="CB126" s="680">
        <f t="shared" si="148"/>
        <v>2.2154148000000373E-3</v>
      </c>
      <c r="CC126" s="680">
        <f t="shared" si="148"/>
        <v>0.25271928352941142</v>
      </c>
      <c r="CD126" s="680">
        <f t="shared" si="148"/>
        <v>0.41830282632000015</v>
      </c>
      <c r="CE126" s="680">
        <f t="shared" si="148"/>
        <v>0</v>
      </c>
      <c r="CF126" s="680">
        <f t="shared" si="148"/>
        <v>0</v>
      </c>
      <c r="CG126" s="680">
        <f t="shared" si="148"/>
        <v>12.447224090032961</v>
      </c>
      <c r="CH126" s="680">
        <f t="shared" si="148"/>
        <v>0</v>
      </c>
      <c r="CI126" s="680">
        <f t="shared" si="148"/>
        <v>0</v>
      </c>
      <c r="CJ126" s="680">
        <f t="shared" si="148"/>
        <v>0.30676180949999932</v>
      </c>
      <c r="CK126" s="680">
        <f t="shared" ref="CK126:CR126" si="163">+CK77-CK76</f>
        <v>0</v>
      </c>
      <c r="CL126" s="680">
        <f t="shared" si="163"/>
        <v>-9.6000000000000085E-2</v>
      </c>
      <c r="CM126" s="680">
        <f t="shared" si="163"/>
        <v>0</v>
      </c>
      <c r="CN126" s="680">
        <f t="shared" si="163"/>
        <v>0.31136478899999998</v>
      </c>
      <c r="CO126" s="680">
        <f t="shared" si="163"/>
        <v>3.5453373190000006</v>
      </c>
      <c r="CP126" s="680">
        <f t="shared" si="163"/>
        <v>0.31136478899999998</v>
      </c>
      <c r="CQ126" s="680">
        <f t="shared" si="163"/>
        <v>1.6479054000000003E-2</v>
      </c>
      <c r="CR126" s="680">
        <f t="shared" si="163"/>
        <v>1.6446024E-2</v>
      </c>
      <c r="CS126" s="680">
        <f t="shared" si="151"/>
        <v>0.18056396700000002</v>
      </c>
      <c r="CT126" s="680">
        <f t="shared" si="151"/>
        <v>21.216662040944527</v>
      </c>
      <c r="CU126" s="680">
        <f t="shared" si="151"/>
        <v>0</v>
      </c>
      <c r="CV126" s="680">
        <f t="shared" si="151"/>
        <v>0</v>
      </c>
      <c r="CW126" s="680">
        <f t="shared" si="151"/>
        <v>3.9218983333333846E-2</v>
      </c>
      <c r="CX126" s="680">
        <f t="shared" si="151"/>
        <v>6.1389244999999981E-2</v>
      </c>
      <c r="CY126" s="680">
        <f t="shared" si="151"/>
        <v>0.10060822833333383</v>
      </c>
      <c r="CZ126" s="680">
        <f t="shared" si="151"/>
        <v>21.317270269277913</v>
      </c>
      <c r="DA126" s="680">
        <f t="shared" si="151"/>
        <v>13.603801685673204</v>
      </c>
      <c r="DB126" s="680">
        <f t="shared" si="151"/>
        <v>7.7134685836047083</v>
      </c>
    </row>
    <row r="127" spans="1:106" x14ac:dyDescent="0.2">
      <c r="A127">
        <f t="shared" si="58"/>
        <v>2014</v>
      </c>
      <c r="B127" s="680">
        <f t="shared" ref="B127:AH127" si="164">+B78-B77</f>
        <v>8.6135000000000517E-2</v>
      </c>
      <c r="C127" s="680">
        <f t="shared" si="164"/>
        <v>3.2100000000001572E-4</v>
      </c>
      <c r="D127" s="680">
        <f t="shared" si="164"/>
        <v>0</v>
      </c>
      <c r="E127" s="680">
        <f t="shared" si="164"/>
        <v>0.25093639999999962</v>
      </c>
      <c r="F127" s="680">
        <f t="shared" si="164"/>
        <v>8.3203199999999811E-2</v>
      </c>
      <c r="G127" s="680">
        <f t="shared" si="164"/>
        <v>0.59698938000000001</v>
      </c>
      <c r="H127" s="680">
        <f t="shared" ref="H127:Z127" si="165">+H78-H77</f>
        <v>0</v>
      </c>
      <c r="I127" s="680">
        <f t="shared" si="165"/>
        <v>0</v>
      </c>
      <c r="J127" s="680">
        <f t="shared" si="165"/>
        <v>7.6612E-3</v>
      </c>
      <c r="K127" s="680">
        <f t="shared" si="165"/>
        <v>0.14733900000000011</v>
      </c>
      <c r="L127" s="680">
        <f t="shared" si="165"/>
        <v>0.4733947500000002</v>
      </c>
      <c r="M127" s="680">
        <f t="shared" si="165"/>
        <v>0</v>
      </c>
      <c r="N127" s="680">
        <f t="shared" si="165"/>
        <v>0</v>
      </c>
      <c r="O127" s="680">
        <f t="shared" si="165"/>
        <v>3.9267260327586158</v>
      </c>
      <c r="P127" s="680">
        <f t="shared" si="165"/>
        <v>0</v>
      </c>
      <c r="Q127" s="680">
        <f t="shared" si="165"/>
        <v>0</v>
      </c>
      <c r="R127" s="680">
        <f t="shared" si="165"/>
        <v>0.26161499999999993</v>
      </c>
      <c r="S127" s="680">
        <f t="shared" si="165"/>
        <v>0</v>
      </c>
      <c r="T127" s="680">
        <f t="shared" si="165"/>
        <v>0</v>
      </c>
      <c r="U127" s="680">
        <f t="shared" si="165"/>
        <v>0</v>
      </c>
      <c r="V127" s="680">
        <f t="shared" si="165"/>
        <v>0</v>
      </c>
      <c r="W127" s="680">
        <f t="shared" si="165"/>
        <v>0.20142749999999998</v>
      </c>
      <c r="X127" s="680">
        <f t="shared" si="165"/>
        <v>2.0126699999999997E-2</v>
      </c>
      <c r="Y127" s="680">
        <f t="shared" si="165"/>
        <v>1.0705349999999999E-2</v>
      </c>
      <c r="Z127" s="680">
        <f t="shared" si="165"/>
        <v>5.9920000000000025E-3</v>
      </c>
      <c r="AA127" s="680">
        <f t="shared" si="164"/>
        <v>5.29115E-2</v>
      </c>
      <c r="AB127" s="680">
        <f t="shared" si="164"/>
        <v>6.1254840127586192</v>
      </c>
      <c r="AC127" s="680">
        <f t="shared" si="164"/>
        <v>-0.14552000000000004</v>
      </c>
      <c r="AD127" s="680">
        <f t="shared" si="164"/>
        <v>0</v>
      </c>
      <c r="AE127" s="680">
        <f t="shared" si="164"/>
        <v>1.2518999999999991</v>
      </c>
      <c r="AF127" s="680">
        <f t="shared" si="164"/>
        <v>1.9871826000000041</v>
      </c>
      <c r="AG127" s="680">
        <f t="shared" si="164"/>
        <v>3.0935625999999985</v>
      </c>
      <c r="AH127" s="680">
        <f t="shared" si="164"/>
        <v>9.2190466127586035</v>
      </c>
      <c r="AJ127">
        <f t="shared" si="61"/>
        <v>2014</v>
      </c>
      <c r="AK127" s="680">
        <f t="shared" ref="AK127:BI127" si="166">+AK78-AK77</f>
        <v>8.6381100000004096E-2</v>
      </c>
      <c r="AL127" s="680">
        <f t="shared" si="166"/>
        <v>2.8889999999992533E-4</v>
      </c>
      <c r="AM127" s="680">
        <f t="shared" si="166"/>
        <v>0</v>
      </c>
      <c r="AN127" s="680">
        <f t="shared" si="166"/>
        <v>0</v>
      </c>
      <c r="AO127" s="680">
        <f t="shared" si="166"/>
        <v>0</v>
      </c>
      <c r="AP127" s="680">
        <f t="shared" si="166"/>
        <v>2.3967999999999993E-3</v>
      </c>
      <c r="AQ127" s="680">
        <f t="shared" si="166"/>
        <v>0</v>
      </c>
      <c r="AR127" s="680">
        <f t="shared" si="166"/>
        <v>0</v>
      </c>
      <c r="AS127" s="680">
        <f t="shared" si="166"/>
        <v>6.0775999999999955E-3</v>
      </c>
      <c r="AT127" s="680">
        <f t="shared" si="166"/>
        <v>9.6043200000000106E-2</v>
      </c>
      <c r="AU127" s="680">
        <f t="shared" si="166"/>
        <v>0.32107490000000016</v>
      </c>
      <c r="AV127" s="680">
        <f t="shared" si="166"/>
        <v>0</v>
      </c>
      <c r="AW127" s="680">
        <f t="shared" si="166"/>
        <v>0</v>
      </c>
      <c r="AX127" s="680">
        <f t="shared" si="166"/>
        <v>2.8668822144827573</v>
      </c>
      <c r="AY127" s="680">
        <f t="shared" si="166"/>
        <v>0</v>
      </c>
      <c r="AZ127" s="680">
        <f t="shared" si="166"/>
        <v>0</v>
      </c>
      <c r="BA127" s="680">
        <f t="shared" si="166"/>
        <v>0</v>
      </c>
      <c r="BB127" s="680">
        <f t="shared" si="166"/>
        <v>0</v>
      </c>
      <c r="BC127" s="680">
        <f t="shared" si="166"/>
        <v>0</v>
      </c>
      <c r="BD127" s="680">
        <f t="shared" si="166"/>
        <v>0</v>
      </c>
      <c r="BE127" s="680">
        <f t="shared" si="166"/>
        <v>0</v>
      </c>
      <c r="BF127" s="680">
        <f t="shared" si="166"/>
        <v>0</v>
      </c>
      <c r="BG127" s="680">
        <f t="shared" si="166"/>
        <v>0</v>
      </c>
      <c r="BH127" s="680">
        <f t="shared" si="166"/>
        <v>2.2919399999999999E-2</v>
      </c>
      <c r="BI127" s="680">
        <f t="shared" si="166"/>
        <v>0</v>
      </c>
      <c r="BJ127" s="680">
        <f t="shared" ref="BJ127:BQ127" si="167">+BJ78-BJ77</f>
        <v>0</v>
      </c>
      <c r="BK127" s="680">
        <f t="shared" si="167"/>
        <v>3.402064114482755</v>
      </c>
      <c r="BL127" s="680">
        <f t="shared" si="167"/>
        <v>0</v>
      </c>
      <c r="BM127" s="680">
        <f t="shared" si="167"/>
        <v>0</v>
      </c>
      <c r="BN127" s="680">
        <f t="shared" si="167"/>
        <v>6.1632000000000033</v>
      </c>
      <c r="BO127" s="680">
        <f t="shared" si="167"/>
        <v>1.0700214000000017</v>
      </c>
      <c r="BP127" s="680">
        <f t="shared" si="167"/>
        <v>7.233221400000005</v>
      </c>
      <c r="BQ127" s="680">
        <f t="shared" si="167"/>
        <v>10.635285514482746</v>
      </c>
      <c r="BS127">
        <f t="shared" si="64"/>
        <v>2014</v>
      </c>
      <c r="BT127" s="680">
        <f t="shared" si="148"/>
        <v>0.63345127999999917</v>
      </c>
      <c r="BU127" s="680">
        <f t="shared" si="148"/>
        <v>2.3606879999999719E-3</v>
      </c>
      <c r="BV127" s="680">
        <f t="shared" si="148"/>
        <v>0</v>
      </c>
      <c r="BW127" s="680">
        <f t="shared" si="148"/>
        <v>0.46605072799999991</v>
      </c>
      <c r="BX127" s="680">
        <f t="shared" si="148"/>
        <v>0.39879215999999573</v>
      </c>
      <c r="BY127" s="680">
        <f t="shared" si="148"/>
        <v>0.61638415800000002</v>
      </c>
      <c r="BZ127" s="680">
        <f t="shared" ref="BZ127:CA127" si="168">+BZ78-BZ77</f>
        <v>0</v>
      </c>
      <c r="CA127" s="680">
        <f t="shared" si="168"/>
        <v>0</v>
      </c>
      <c r="CB127" s="680">
        <f t="shared" si="148"/>
        <v>8.2645119999999461E-3</v>
      </c>
      <c r="CC127" s="680">
        <f t="shared" si="148"/>
        <v>0.29139663599999999</v>
      </c>
      <c r="CD127" s="680">
        <f t="shared" si="148"/>
        <v>0.43189860000000024</v>
      </c>
      <c r="CE127" s="680">
        <f t="shared" si="148"/>
        <v>0</v>
      </c>
      <c r="CF127" s="680">
        <f t="shared" si="148"/>
        <v>0</v>
      </c>
      <c r="CG127" s="680">
        <f t="shared" si="148"/>
        <v>6.8042723612551868</v>
      </c>
      <c r="CH127" s="680">
        <f t="shared" si="148"/>
        <v>0</v>
      </c>
      <c r="CI127" s="680">
        <f t="shared" si="148"/>
        <v>0</v>
      </c>
      <c r="CJ127" s="680">
        <f t="shared" si="148"/>
        <v>2.6299999999999102E-2</v>
      </c>
      <c r="CK127" s="680">
        <f t="shared" ref="CK127:CR127" si="169">+CK78-CK77</f>
        <v>0</v>
      </c>
      <c r="CL127" s="680">
        <f t="shared" si="169"/>
        <v>0</v>
      </c>
      <c r="CM127" s="680">
        <f t="shared" si="169"/>
        <v>0</v>
      </c>
      <c r="CN127" s="680">
        <f t="shared" si="169"/>
        <v>0.11718964399999998</v>
      </c>
      <c r="CO127" s="680">
        <f t="shared" si="169"/>
        <v>1.1352131999999999</v>
      </c>
      <c r="CP127" s="680">
        <f t="shared" si="169"/>
        <v>0.11718964399999998</v>
      </c>
      <c r="CQ127" s="680">
        <f t="shared" si="169"/>
        <v>1.6479054000000003E-2</v>
      </c>
      <c r="CR127" s="680">
        <f t="shared" si="169"/>
        <v>1.6587936000000005E-2</v>
      </c>
      <c r="CS127" s="680">
        <f t="shared" si="151"/>
        <v>8.2482059999999968E-2</v>
      </c>
      <c r="CT127" s="680">
        <f t="shared" si="151"/>
        <v>11.164312661255281</v>
      </c>
      <c r="CU127" s="680">
        <f t="shared" si="151"/>
        <v>0</v>
      </c>
      <c r="CV127" s="680">
        <f t="shared" si="151"/>
        <v>0</v>
      </c>
      <c r="CW127" s="680">
        <f t="shared" si="151"/>
        <v>0.32427899999999887</v>
      </c>
      <c r="CX127" s="680">
        <f t="shared" si="151"/>
        <v>0.14652466400000019</v>
      </c>
      <c r="CY127" s="680">
        <f t="shared" si="151"/>
        <v>0.47080366399999996</v>
      </c>
      <c r="CZ127" s="680">
        <f t="shared" si="151"/>
        <v>11.63511632525524</v>
      </c>
      <c r="DA127" s="680">
        <f t="shared" si="151"/>
        <v>8.2567140572551807</v>
      </c>
      <c r="DB127" s="680">
        <f t="shared" si="151"/>
        <v>3.3784022680000589</v>
      </c>
    </row>
    <row r="128" spans="1:106" x14ac:dyDescent="0.2">
      <c r="A128">
        <f t="shared" si="58"/>
        <v>2015</v>
      </c>
      <c r="B128" s="680">
        <f t="shared" ref="B128:AH128" si="170">+B79-B78</f>
        <v>0</v>
      </c>
      <c r="C128" s="680">
        <f t="shared" si="170"/>
        <v>0</v>
      </c>
      <c r="D128" s="680">
        <f t="shared" si="170"/>
        <v>0</v>
      </c>
      <c r="E128" s="680">
        <f t="shared" si="170"/>
        <v>0.31471779679487222</v>
      </c>
      <c r="F128" s="680">
        <f t="shared" si="170"/>
        <v>5.1189882490271899E-2</v>
      </c>
      <c r="G128" s="680">
        <f t="shared" si="170"/>
        <v>0.5937670749999997</v>
      </c>
      <c r="H128" s="680">
        <f t="shared" ref="H128:Z128" si="171">+H79-H78</f>
        <v>1.5926949999999999E-2</v>
      </c>
      <c r="I128" s="680">
        <f t="shared" si="171"/>
        <v>0</v>
      </c>
      <c r="J128" s="680">
        <f t="shared" si="171"/>
        <v>3.8306000000000034E-3</v>
      </c>
      <c r="K128" s="680">
        <f t="shared" si="171"/>
        <v>0.22792069999999987</v>
      </c>
      <c r="L128" s="680">
        <f t="shared" si="171"/>
        <v>0.39590000000000014</v>
      </c>
      <c r="M128" s="680">
        <f t="shared" si="171"/>
        <v>0</v>
      </c>
      <c r="N128" s="680">
        <f t="shared" si="171"/>
        <v>0</v>
      </c>
      <c r="O128" s="680">
        <f t="shared" si="171"/>
        <v>9.822600000006787E-3</v>
      </c>
      <c r="P128" s="680">
        <f t="shared" si="171"/>
        <v>0.51945825000000012</v>
      </c>
      <c r="Q128" s="680">
        <f t="shared" si="171"/>
        <v>9.7573300000000002E-2</v>
      </c>
      <c r="R128" s="680">
        <f t="shared" si="171"/>
        <v>1.4513292750000018</v>
      </c>
      <c r="S128" s="680">
        <f t="shared" si="171"/>
        <v>0</v>
      </c>
      <c r="T128" s="680">
        <f t="shared" si="171"/>
        <v>0</v>
      </c>
      <c r="U128" s="680">
        <f t="shared" si="171"/>
        <v>1.8190000000000001E-3</v>
      </c>
      <c r="V128" s="680">
        <f t="shared" si="171"/>
        <v>0</v>
      </c>
      <c r="W128" s="680">
        <f t="shared" si="171"/>
        <v>0.1560375055555554</v>
      </c>
      <c r="X128" s="680">
        <f t="shared" si="171"/>
        <v>0.35557170000000005</v>
      </c>
      <c r="Y128" s="680">
        <f t="shared" si="171"/>
        <v>0</v>
      </c>
      <c r="Z128" s="680">
        <f t="shared" si="171"/>
        <v>5.9920000000000008E-3</v>
      </c>
      <c r="AA128" s="680">
        <f t="shared" si="170"/>
        <v>5.9919999999999973E-3</v>
      </c>
      <c r="AB128" s="680">
        <f t="shared" si="170"/>
        <v>4.2068486348407106</v>
      </c>
      <c r="AC128" s="680">
        <f t="shared" si="170"/>
        <v>0</v>
      </c>
      <c r="AD128" s="680">
        <f t="shared" si="170"/>
        <v>0</v>
      </c>
      <c r="AE128" s="680">
        <f t="shared" si="170"/>
        <v>6.5633800000000022</v>
      </c>
      <c r="AF128" s="680">
        <f t="shared" si="170"/>
        <v>-0.7408733500000011</v>
      </c>
      <c r="AG128" s="680">
        <f t="shared" si="170"/>
        <v>5.822506649999994</v>
      </c>
      <c r="AH128" s="680">
        <f t="shared" si="170"/>
        <v>10.029355284840705</v>
      </c>
      <c r="AJ128">
        <f t="shared" si="61"/>
        <v>2015</v>
      </c>
      <c r="AK128" s="680">
        <f t="shared" ref="AK128:BI128" si="172">+AK79-AK78</f>
        <v>0</v>
      </c>
      <c r="AL128" s="680">
        <f t="shared" si="172"/>
        <v>0</v>
      </c>
      <c r="AM128" s="680">
        <f t="shared" si="172"/>
        <v>0</v>
      </c>
      <c r="AN128" s="680">
        <f t="shared" si="172"/>
        <v>3.4809294871794871E-3</v>
      </c>
      <c r="AO128" s="680">
        <f t="shared" si="172"/>
        <v>0</v>
      </c>
      <c r="AP128" s="680">
        <f t="shared" si="172"/>
        <v>1.3631800000000003E-2</v>
      </c>
      <c r="AQ128" s="680">
        <f t="shared" si="172"/>
        <v>0</v>
      </c>
      <c r="AR128" s="680">
        <f t="shared" si="172"/>
        <v>0</v>
      </c>
      <c r="AS128" s="680">
        <f t="shared" si="172"/>
        <v>6.0776000000000024E-3</v>
      </c>
      <c r="AT128" s="680">
        <f t="shared" si="172"/>
        <v>0.20244399999999996</v>
      </c>
      <c r="AU128" s="680">
        <f t="shared" si="172"/>
        <v>0.59526239999999975</v>
      </c>
      <c r="AV128" s="680">
        <f t="shared" si="172"/>
        <v>0</v>
      </c>
      <c r="AW128" s="680">
        <f t="shared" si="172"/>
        <v>0</v>
      </c>
      <c r="AX128" s="680">
        <f t="shared" si="172"/>
        <v>1.4980000000001326E-2</v>
      </c>
      <c r="AY128" s="680">
        <f t="shared" si="172"/>
        <v>0</v>
      </c>
      <c r="AZ128" s="680">
        <f t="shared" si="172"/>
        <v>0</v>
      </c>
      <c r="BA128" s="680">
        <f t="shared" si="172"/>
        <v>0</v>
      </c>
      <c r="BB128" s="680">
        <f t="shared" si="172"/>
        <v>0</v>
      </c>
      <c r="BC128" s="680">
        <f t="shared" si="172"/>
        <v>0</v>
      </c>
      <c r="BD128" s="680">
        <f t="shared" si="172"/>
        <v>0</v>
      </c>
      <c r="BE128" s="680">
        <f t="shared" si="172"/>
        <v>0</v>
      </c>
      <c r="BF128" s="680">
        <f t="shared" si="172"/>
        <v>0</v>
      </c>
      <c r="BG128" s="680">
        <f t="shared" si="172"/>
        <v>0</v>
      </c>
      <c r="BH128" s="680">
        <f t="shared" si="172"/>
        <v>0</v>
      </c>
      <c r="BI128" s="680">
        <f t="shared" si="172"/>
        <v>0</v>
      </c>
      <c r="BJ128" s="680">
        <f t="shared" ref="BJ128:BQ128" si="173">+BJ79-BJ78</f>
        <v>0</v>
      </c>
      <c r="BK128" s="680">
        <f t="shared" si="173"/>
        <v>0.83587672948719671</v>
      </c>
      <c r="BL128" s="680">
        <f t="shared" si="173"/>
        <v>0</v>
      </c>
      <c r="BM128" s="680">
        <f t="shared" si="173"/>
        <v>0</v>
      </c>
      <c r="BN128" s="680">
        <f t="shared" si="173"/>
        <v>-1.0723539999999971</v>
      </c>
      <c r="BO128" s="680">
        <f t="shared" si="173"/>
        <v>0.17628785000000136</v>
      </c>
      <c r="BP128" s="680">
        <f t="shared" si="173"/>
        <v>-0.89606614999999579</v>
      </c>
      <c r="BQ128" s="680">
        <f t="shared" si="173"/>
        <v>-6.0189420512813285E-2</v>
      </c>
      <c r="BS128">
        <f t="shared" si="64"/>
        <v>2015</v>
      </c>
      <c r="BT128" s="680">
        <f t="shared" si="148"/>
        <v>0</v>
      </c>
      <c r="BU128" s="680">
        <f t="shared" si="148"/>
        <v>0</v>
      </c>
      <c r="BV128" s="680">
        <f t="shared" si="148"/>
        <v>0</v>
      </c>
      <c r="BW128" s="680">
        <f t="shared" si="148"/>
        <v>2.9582990282353849</v>
      </c>
      <c r="BX128" s="680">
        <f t="shared" si="148"/>
        <v>0.23451460723073936</v>
      </c>
      <c r="BY128" s="680">
        <f t="shared" si="148"/>
        <v>0.43749629200000006</v>
      </c>
      <c r="BZ128" s="680">
        <f t="shared" ref="BZ128:CA128" si="174">+BZ79-BZ78</f>
        <v>0.20475835544000001</v>
      </c>
      <c r="CA128" s="680">
        <f t="shared" si="174"/>
        <v>0</v>
      </c>
      <c r="CB128" s="680">
        <f t="shared" si="148"/>
        <v>4.1322560000000008E-3</v>
      </c>
      <c r="CC128" s="680">
        <f t="shared" si="148"/>
        <v>0.52133648400000032</v>
      </c>
      <c r="CD128" s="680">
        <f t="shared" si="148"/>
        <v>0.31723060000000025</v>
      </c>
      <c r="CE128" s="680">
        <f t="shared" si="148"/>
        <v>0</v>
      </c>
      <c r="CF128" s="680">
        <f t="shared" si="148"/>
        <v>0</v>
      </c>
      <c r="CG128" s="680">
        <f t="shared" si="148"/>
        <v>7.4576279999973849E-3</v>
      </c>
      <c r="CH128" s="680">
        <f t="shared" si="148"/>
        <v>1.7723682143200001</v>
      </c>
      <c r="CI128" s="680">
        <f t="shared" si="148"/>
        <v>0.41601385236000005</v>
      </c>
      <c r="CJ128" s="680">
        <f t="shared" si="148"/>
        <v>1.3312260558899993</v>
      </c>
      <c r="CK128" s="680">
        <f t="shared" ref="CK128:CR128" si="175">+CK79-CK78</f>
        <v>0</v>
      </c>
      <c r="CL128" s="680">
        <f t="shared" si="175"/>
        <v>0</v>
      </c>
      <c r="CM128" s="680">
        <f t="shared" si="175"/>
        <v>1.3322370200000001E-2</v>
      </c>
      <c r="CN128" s="680">
        <f t="shared" si="175"/>
        <v>0.62357510399999994</v>
      </c>
      <c r="CO128" s="680">
        <f t="shared" si="175"/>
        <v>0.61661802776933428</v>
      </c>
      <c r="CP128" s="680">
        <f t="shared" si="175"/>
        <v>0.62357510399999994</v>
      </c>
      <c r="CQ128" s="680">
        <f t="shared" si="175"/>
        <v>0</v>
      </c>
      <c r="CR128" s="680">
        <f t="shared" si="175"/>
        <v>1.6587935999999998E-2</v>
      </c>
      <c r="CS128" s="680">
        <f t="shared" si="151"/>
        <v>1.6587936000000025E-2</v>
      </c>
      <c r="CT128" s="680">
        <f t="shared" si="151"/>
        <v>10.11509985144545</v>
      </c>
      <c r="CU128" s="680">
        <f t="shared" si="151"/>
        <v>0</v>
      </c>
      <c r="CV128" s="680">
        <f t="shared" si="151"/>
        <v>0</v>
      </c>
      <c r="CW128" s="680">
        <f t="shared" si="151"/>
        <v>0.33249336666666718</v>
      </c>
      <c r="CX128" s="680">
        <f t="shared" si="151"/>
        <v>0.2370451874999997</v>
      </c>
      <c r="CY128" s="680">
        <f t="shared" si="151"/>
        <v>0.56953855416666599</v>
      </c>
      <c r="CZ128" s="680">
        <f t="shared" si="151"/>
        <v>10.684638405612134</v>
      </c>
      <c r="DA128" s="680">
        <f t="shared" si="151"/>
        <v>4.6294760787920382</v>
      </c>
      <c r="DB128" s="680">
        <f t="shared" si="151"/>
        <v>6.0551623268200956</v>
      </c>
    </row>
    <row r="129" spans="1:106" x14ac:dyDescent="0.2">
      <c r="A129">
        <f t="shared" si="58"/>
        <v>2016</v>
      </c>
      <c r="B129" s="680">
        <f t="shared" ref="B129:AH129" si="176">+B80-B79</f>
        <v>0</v>
      </c>
      <c r="C129" s="680">
        <f t="shared" si="176"/>
        <v>0</v>
      </c>
      <c r="D129" s="680">
        <f t="shared" si="176"/>
        <v>0</v>
      </c>
      <c r="E129" s="680">
        <f t="shared" si="176"/>
        <v>0.12090464999999995</v>
      </c>
      <c r="F129" s="680">
        <f t="shared" si="176"/>
        <v>3.5882449999999011E-2</v>
      </c>
      <c r="G129" s="680">
        <f t="shared" si="176"/>
        <v>0</v>
      </c>
      <c r="H129" s="680">
        <f t="shared" ref="H129:Z129" si="177">+H80-H79</f>
        <v>2.2068750000000002E-2</v>
      </c>
      <c r="I129" s="680">
        <f t="shared" si="177"/>
        <v>0</v>
      </c>
      <c r="J129" s="680">
        <f t="shared" si="177"/>
        <v>0</v>
      </c>
      <c r="K129" s="680">
        <f t="shared" si="177"/>
        <v>0.10946100000000003</v>
      </c>
      <c r="L129" s="680">
        <f t="shared" si="177"/>
        <v>0.11751810000000029</v>
      </c>
      <c r="M129" s="680">
        <f t="shared" si="177"/>
        <v>0</v>
      </c>
      <c r="N129" s="680">
        <f t="shared" si="177"/>
        <v>0</v>
      </c>
      <c r="O129" s="680">
        <f t="shared" si="177"/>
        <v>0</v>
      </c>
      <c r="P129" s="680">
        <f t="shared" si="177"/>
        <v>1.95170675</v>
      </c>
      <c r="Q129" s="680">
        <f t="shared" si="177"/>
        <v>0.44522700000000004</v>
      </c>
      <c r="R129" s="680">
        <f t="shared" si="177"/>
        <v>0.5745900000000006</v>
      </c>
      <c r="S129" s="680">
        <f t="shared" si="177"/>
        <v>0</v>
      </c>
      <c r="T129" s="680">
        <f t="shared" si="177"/>
        <v>0</v>
      </c>
      <c r="U129" s="680">
        <f t="shared" si="177"/>
        <v>2.8033999999999996E-2</v>
      </c>
      <c r="V129" s="680">
        <f t="shared" si="177"/>
        <v>0</v>
      </c>
      <c r="W129" s="680">
        <f t="shared" si="177"/>
        <v>0.54826799999999998</v>
      </c>
      <c r="X129" s="680">
        <f t="shared" si="177"/>
        <v>0</v>
      </c>
      <c r="Y129" s="680">
        <f t="shared" si="177"/>
        <v>0</v>
      </c>
      <c r="Z129" s="680">
        <f t="shared" si="177"/>
        <v>0</v>
      </c>
      <c r="AA129" s="680">
        <f t="shared" si="176"/>
        <v>0</v>
      </c>
      <c r="AB129" s="680">
        <f t="shared" si="176"/>
        <v>3.9536607000000004</v>
      </c>
      <c r="AC129" s="680">
        <f t="shared" si="176"/>
        <v>0</v>
      </c>
      <c r="AD129" s="680">
        <f t="shared" si="176"/>
        <v>0</v>
      </c>
      <c r="AE129" s="680">
        <f t="shared" si="176"/>
        <v>-0.99395866666666421</v>
      </c>
      <c r="AF129" s="680">
        <f t="shared" si="176"/>
        <v>0</v>
      </c>
      <c r="AG129" s="680">
        <f t="shared" si="176"/>
        <v>-0.99395866666665711</v>
      </c>
      <c r="AH129" s="680">
        <f t="shared" si="176"/>
        <v>2.9597020333333433</v>
      </c>
      <c r="AJ129">
        <f t="shared" si="61"/>
        <v>2016</v>
      </c>
      <c r="AK129" s="680">
        <f t="shared" ref="AK129:BI129" si="178">+AK80-AK79</f>
        <v>0</v>
      </c>
      <c r="AL129" s="680">
        <f t="shared" si="178"/>
        <v>0</v>
      </c>
      <c r="AM129" s="680">
        <f t="shared" si="178"/>
        <v>0</v>
      </c>
      <c r="AN129" s="680">
        <f t="shared" si="178"/>
        <v>0</v>
      </c>
      <c r="AO129" s="680">
        <f t="shared" si="178"/>
        <v>0</v>
      </c>
      <c r="AP129" s="680">
        <f t="shared" si="178"/>
        <v>0</v>
      </c>
      <c r="AQ129" s="680">
        <f t="shared" si="178"/>
        <v>8.7740000000000018E-4</v>
      </c>
      <c r="AR129" s="680">
        <f t="shared" si="178"/>
        <v>0</v>
      </c>
      <c r="AS129" s="680">
        <f t="shared" si="178"/>
        <v>0</v>
      </c>
      <c r="AT129" s="680">
        <f t="shared" si="178"/>
        <v>9.5797100000000079E-2</v>
      </c>
      <c r="AU129" s="680">
        <f t="shared" si="178"/>
        <v>2.6857000000000131E-2</v>
      </c>
      <c r="AV129" s="680">
        <f t="shared" si="178"/>
        <v>0</v>
      </c>
      <c r="AW129" s="680">
        <f t="shared" si="178"/>
        <v>0</v>
      </c>
      <c r="AX129" s="680">
        <f t="shared" si="178"/>
        <v>0</v>
      </c>
      <c r="AY129" s="680">
        <f t="shared" si="178"/>
        <v>1.0674320000000002</v>
      </c>
      <c r="AZ129" s="680">
        <f t="shared" si="178"/>
        <v>0.18746399999999999</v>
      </c>
      <c r="BA129" s="680">
        <f t="shared" si="178"/>
        <v>0</v>
      </c>
      <c r="BB129" s="680">
        <f t="shared" si="178"/>
        <v>0</v>
      </c>
      <c r="BC129" s="680">
        <f t="shared" si="178"/>
        <v>0</v>
      </c>
      <c r="BD129" s="680">
        <f t="shared" si="178"/>
        <v>0</v>
      </c>
      <c r="BE129" s="680">
        <f t="shared" si="178"/>
        <v>0</v>
      </c>
      <c r="BF129" s="680">
        <f t="shared" si="178"/>
        <v>0</v>
      </c>
      <c r="BG129" s="680">
        <f t="shared" si="178"/>
        <v>0</v>
      </c>
      <c r="BH129" s="680">
        <f t="shared" si="178"/>
        <v>0</v>
      </c>
      <c r="BI129" s="680">
        <f t="shared" si="178"/>
        <v>0</v>
      </c>
      <c r="BJ129" s="680">
        <f t="shared" ref="BJ129:BQ129" si="179">+BJ80-BJ79</f>
        <v>0</v>
      </c>
      <c r="BK129" s="680">
        <f t="shared" si="179"/>
        <v>1.3784274999999866</v>
      </c>
      <c r="BL129" s="680">
        <f t="shared" si="179"/>
        <v>0</v>
      </c>
      <c r="BM129" s="680">
        <f t="shared" si="179"/>
        <v>0</v>
      </c>
      <c r="BN129" s="680">
        <f t="shared" si="179"/>
        <v>-1.710631696969692</v>
      </c>
      <c r="BO129" s="680">
        <f t="shared" si="179"/>
        <v>0</v>
      </c>
      <c r="BP129" s="680">
        <f t="shared" si="179"/>
        <v>-1.7106316969696849</v>
      </c>
      <c r="BQ129" s="680">
        <f t="shared" si="179"/>
        <v>-0.33220419696968406</v>
      </c>
      <c r="BS129">
        <f t="shared" si="64"/>
        <v>2016</v>
      </c>
      <c r="BT129" s="680">
        <f t="shared" si="148"/>
        <v>0</v>
      </c>
      <c r="BU129" s="680">
        <f t="shared" si="148"/>
        <v>0</v>
      </c>
      <c r="BV129" s="680">
        <f t="shared" si="148"/>
        <v>0</v>
      </c>
      <c r="BW129" s="680">
        <f t="shared" si="148"/>
        <v>0.23186185200000153</v>
      </c>
      <c r="BX129" s="680">
        <f t="shared" si="148"/>
        <v>0.16098282599999791</v>
      </c>
      <c r="BY129" s="680">
        <f t="shared" si="148"/>
        <v>0</v>
      </c>
      <c r="BZ129" s="680">
        <f t="shared" ref="BZ129:CA129" si="180">+BZ80-BZ79</f>
        <v>0.27497965000000002</v>
      </c>
      <c r="CA129" s="680">
        <f t="shared" si="180"/>
        <v>0</v>
      </c>
      <c r="CB129" s="680">
        <f t="shared" si="148"/>
        <v>0</v>
      </c>
      <c r="CC129" s="680">
        <f t="shared" si="148"/>
        <v>0.30226274399999919</v>
      </c>
      <c r="CD129" s="680">
        <f t="shared" si="148"/>
        <v>0.70555956799999908</v>
      </c>
      <c r="CE129" s="680">
        <f t="shared" si="148"/>
        <v>0</v>
      </c>
      <c r="CF129" s="680">
        <f t="shared" si="148"/>
        <v>0</v>
      </c>
      <c r="CG129" s="680">
        <f t="shared" si="148"/>
        <v>0</v>
      </c>
      <c r="CH129" s="680">
        <f t="shared" si="148"/>
        <v>9.02618367</v>
      </c>
      <c r="CI129" s="680">
        <f t="shared" si="148"/>
        <v>2.1724557440000001</v>
      </c>
      <c r="CJ129" s="680">
        <f t="shared" si="148"/>
        <v>1.5391812000000726E-2</v>
      </c>
      <c r="CK129" s="680">
        <f t="shared" ref="CK129:CR129" si="181">+CK80-CK79</f>
        <v>0</v>
      </c>
      <c r="CL129" s="680">
        <f t="shared" si="181"/>
        <v>0</v>
      </c>
      <c r="CM129" s="680">
        <f t="shared" si="181"/>
        <v>8.268720000000002E-3</v>
      </c>
      <c r="CN129" s="680">
        <f t="shared" si="181"/>
        <v>0</v>
      </c>
      <c r="CO129" s="680">
        <f t="shared" si="181"/>
        <v>1.3141794400000002</v>
      </c>
      <c r="CP129" s="680">
        <f t="shared" si="181"/>
        <v>0</v>
      </c>
      <c r="CQ129" s="680">
        <f t="shared" si="181"/>
        <v>0</v>
      </c>
      <c r="CR129" s="680">
        <f t="shared" si="181"/>
        <v>0</v>
      </c>
      <c r="CS129" s="680">
        <f t="shared" si="151"/>
        <v>0</v>
      </c>
      <c r="CT129" s="680">
        <f t="shared" si="151"/>
        <v>14.212126025999964</v>
      </c>
      <c r="CU129" s="680">
        <f t="shared" si="151"/>
        <v>0</v>
      </c>
      <c r="CV129" s="680">
        <f t="shared" si="151"/>
        <v>0</v>
      </c>
      <c r="CW129" s="680">
        <f t="shared" si="151"/>
        <v>-0.12708282202020094</v>
      </c>
      <c r="CX129" s="680">
        <f t="shared" si="151"/>
        <v>7.4258576000000076E-2</v>
      </c>
      <c r="CY129" s="680">
        <f t="shared" si="151"/>
        <v>-5.282424602020086E-2</v>
      </c>
      <c r="CZ129" s="680">
        <f t="shared" si="151"/>
        <v>14.159301779979785</v>
      </c>
      <c r="DA129" s="680">
        <f t="shared" si="151"/>
        <v>0.12017084197975691</v>
      </c>
      <c r="DB129" s="680">
        <f t="shared" si="151"/>
        <v>14.039130938000028</v>
      </c>
    </row>
    <row r="130" spans="1:106" x14ac:dyDescent="0.2">
      <c r="A130">
        <f t="shared" si="58"/>
        <v>2017</v>
      </c>
      <c r="B130" s="680">
        <f t="shared" ref="B130:AH130" si="182">+B81-B80</f>
        <v>0</v>
      </c>
      <c r="C130" s="680">
        <f t="shared" si="182"/>
        <v>0</v>
      </c>
      <c r="D130" s="680">
        <f t="shared" si="182"/>
        <v>0</v>
      </c>
      <c r="E130" s="680">
        <f t="shared" si="182"/>
        <v>8.1640999999999853E-2</v>
      </c>
      <c r="F130" s="680">
        <f t="shared" si="182"/>
        <v>3.5170900000000671E-2</v>
      </c>
      <c r="G130" s="680">
        <f t="shared" si="182"/>
        <v>0</v>
      </c>
      <c r="H130" s="680">
        <f t="shared" ref="H130:Z130" si="183">+H81-H80</f>
        <v>2.5680000000000001E-2</v>
      </c>
      <c r="I130" s="680">
        <f t="shared" si="183"/>
        <v>5.3499999999999999E-4</v>
      </c>
      <c r="J130" s="680">
        <f t="shared" si="183"/>
        <v>0</v>
      </c>
      <c r="K130" s="680">
        <f t="shared" si="183"/>
        <v>9.1217500000000173E-2</v>
      </c>
      <c r="L130" s="680">
        <f t="shared" si="183"/>
        <v>0.35881380000000007</v>
      </c>
      <c r="M130" s="680">
        <f t="shared" si="183"/>
        <v>8.5814000000000018E-4</v>
      </c>
      <c r="N130" s="680">
        <f t="shared" si="183"/>
        <v>3.3758500000000006E-4</v>
      </c>
      <c r="O130" s="680">
        <f t="shared" si="183"/>
        <v>0</v>
      </c>
      <c r="P130" s="680">
        <f t="shared" si="183"/>
        <v>1.4657716000000001</v>
      </c>
      <c r="Q130" s="680">
        <f t="shared" si="183"/>
        <v>0.38078624999999999</v>
      </c>
      <c r="R130" s="680">
        <f t="shared" si="183"/>
        <v>0.3830600000000004</v>
      </c>
      <c r="S130" s="680">
        <f t="shared" si="183"/>
        <v>0.29714969999999996</v>
      </c>
      <c r="T130" s="680">
        <f t="shared" si="183"/>
        <v>0</v>
      </c>
      <c r="U130" s="680">
        <f t="shared" si="183"/>
        <v>2.6322000000000005E-2</v>
      </c>
      <c r="V130" s="680">
        <f t="shared" si="183"/>
        <v>0</v>
      </c>
      <c r="W130" s="680">
        <f t="shared" si="183"/>
        <v>0.35245800000000016</v>
      </c>
      <c r="X130" s="680">
        <f t="shared" si="183"/>
        <v>0</v>
      </c>
      <c r="Y130" s="680">
        <f t="shared" si="183"/>
        <v>0</v>
      </c>
      <c r="Z130" s="680">
        <f t="shared" si="183"/>
        <v>0</v>
      </c>
      <c r="AA130" s="680">
        <f t="shared" si="182"/>
        <v>0</v>
      </c>
      <c r="AB130" s="680">
        <f t="shared" si="182"/>
        <v>3.4998014750000124</v>
      </c>
      <c r="AC130" s="680">
        <f t="shared" si="182"/>
        <v>-3.7093333333333423E-3</v>
      </c>
      <c r="AD130" s="680">
        <f t="shared" si="182"/>
        <v>4.922E-2</v>
      </c>
      <c r="AE130" s="680">
        <f t="shared" si="182"/>
        <v>-1.5273214331550804</v>
      </c>
      <c r="AF130" s="680">
        <f t="shared" si="182"/>
        <v>0</v>
      </c>
      <c r="AG130" s="680">
        <f t="shared" si="182"/>
        <v>-1.4818107664884224</v>
      </c>
      <c r="AH130" s="680">
        <f t="shared" si="182"/>
        <v>2.0179907085115758</v>
      </c>
      <c r="AJ130">
        <f t="shared" si="61"/>
        <v>2017</v>
      </c>
      <c r="AK130" s="680">
        <f t="shared" ref="AK130:BI130" si="184">+AK81-AK80</f>
        <v>0</v>
      </c>
      <c r="AL130" s="680">
        <f t="shared" si="184"/>
        <v>0</v>
      </c>
      <c r="AM130" s="680">
        <f t="shared" si="184"/>
        <v>0</v>
      </c>
      <c r="AN130" s="680">
        <f t="shared" si="184"/>
        <v>0</v>
      </c>
      <c r="AO130" s="680">
        <f t="shared" si="184"/>
        <v>0</v>
      </c>
      <c r="AP130" s="680">
        <f t="shared" si="184"/>
        <v>0</v>
      </c>
      <c r="AQ130" s="680">
        <f t="shared" si="184"/>
        <v>2.9959999999999991E-4</v>
      </c>
      <c r="AR130" s="680">
        <f t="shared" si="184"/>
        <v>0</v>
      </c>
      <c r="AS130" s="680">
        <f t="shared" si="184"/>
        <v>0</v>
      </c>
      <c r="AT130" s="680">
        <f t="shared" si="184"/>
        <v>6.8426499999999946E-2</v>
      </c>
      <c r="AU130" s="680">
        <f t="shared" si="184"/>
        <v>0.25025160000000035</v>
      </c>
      <c r="AV130" s="680">
        <f t="shared" si="184"/>
        <v>0</v>
      </c>
      <c r="AW130" s="680">
        <f t="shared" si="184"/>
        <v>0</v>
      </c>
      <c r="AX130" s="680">
        <f t="shared" si="184"/>
        <v>0</v>
      </c>
      <c r="AY130" s="680">
        <f t="shared" si="184"/>
        <v>1.9735079999999998</v>
      </c>
      <c r="AZ130" s="680">
        <f t="shared" si="184"/>
        <v>0.70299000000000011</v>
      </c>
      <c r="BA130" s="680">
        <f t="shared" si="184"/>
        <v>0</v>
      </c>
      <c r="BB130" s="680">
        <f t="shared" si="184"/>
        <v>0</v>
      </c>
      <c r="BC130" s="680">
        <f t="shared" si="184"/>
        <v>0</v>
      </c>
      <c r="BD130" s="680">
        <f t="shared" si="184"/>
        <v>0</v>
      </c>
      <c r="BE130" s="680">
        <f t="shared" si="184"/>
        <v>0</v>
      </c>
      <c r="BF130" s="680">
        <f t="shared" si="184"/>
        <v>0</v>
      </c>
      <c r="BG130" s="680">
        <f t="shared" si="184"/>
        <v>0</v>
      </c>
      <c r="BH130" s="680">
        <f t="shared" si="184"/>
        <v>0</v>
      </c>
      <c r="BI130" s="680">
        <f t="shared" si="184"/>
        <v>0</v>
      </c>
      <c r="BJ130" s="680">
        <f t="shared" ref="BJ130:BQ130" si="185">+BJ81-BJ80</f>
        <v>0</v>
      </c>
      <c r="BK130" s="680">
        <f t="shared" si="185"/>
        <v>2.9954757000000143</v>
      </c>
      <c r="BL130" s="680">
        <f t="shared" si="185"/>
        <v>0</v>
      </c>
      <c r="BM130" s="680">
        <f t="shared" si="185"/>
        <v>0</v>
      </c>
      <c r="BN130" s="680">
        <f t="shared" si="185"/>
        <v>-2.8510528282828176</v>
      </c>
      <c r="BO130" s="680">
        <f t="shared" si="185"/>
        <v>0</v>
      </c>
      <c r="BP130" s="680">
        <f t="shared" si="185"/>
        <v>-2.8510528282828318</v>
      </c>
      <c r="BQ130" s="680">
        <f t="shared" si="185"/>
        <v>0.14442287171718249</v>
      </c>
      <c r="BS130">
        <f t="shared" si="64"/>
        <v>2017</v>
      </c>
      <c r="BT130" s="680">
        <f t="shared" si="148"/>
        <v>0</v>
      </c>
      <c r="BU130" s="680">
        <f t="shared" si="148"/>
        <v>0</v>
      </c>
      <c r="BV130" s="680">
        <f t="shared" si="148"/>
        <v>0</v>
      </c>
      <c r="BW130" s="680">
        <f t="shared" si="148"/>
        <v>0.15497380199999888</v>
      </c>
      <c r="BX130" s="680">
        <f t="shared" si="148"/>
        <v>0.15779053199999993</v>
      </c>
      <c r="BY130" s="680">
        <f t="shared" si="148"/>
        <v>0</v>
      </c>
      <c r="BZ130" s="680">
        <f t="shared" ref="BZ130:CA130" si="186">+BZ81-BZ80</f>
        <v>0.31997632000000009</v>
      </c>
      <c r="CA130" s="680">
        <f t="shared" si="186"/>
        <v>7.1746400000000001E-4</v>
      </c>
      <c r="CB130" s="680">
        <f t="shared" si="148"/>
        <v>0</v>
      </c>
      <c r="CC130" s="680">
        <f t="shared" si="148"/>
        <v>0.25188562000000037</v>
      </c>
      <c r="CD130" s="680">
        <f t="shared" si="148"/>
        <v>0.39441794399999974</v>
      </c>
      <c r="CE130" s="680">
        <f t="shared" si="148"/>
        <v>1.3605516E-2</v>
      </c>
      <c r="CF130" s="680">
        <f t="shared" si="148"/>
        <v>2.4906099999999999E-3</v>
      </c>
      <c r="CG130" s="680">
        <f t="shared" si="148"/>
        <v>0</v>
      </c>
      <c r="CH130" s="680">
        <f t="shared" si="148"/>
        <v>6.7788481439999995</v>
      </c>
      <c r="CI130" s="680">
        <f t="shared" si="148"/>
        <v>1.85802136</v>
      </c>
      <c r="CJ130" s="680">
        <f t="shared" si="148"/>
        <v>1.02612079999993E-2</v>
      </c>
      <c r="CK130" s="680">
        <f t="shared" ref="CK130:CR130" si="187">+CK81-CK80</f>
        <v>3.0367032000000002E-2</v>
      </c>
      <c r="CL130" s="680">
        <f t="shared" si="187"/>
        <v>0</v>
      </c>
      <c r="CM130" s="680">
        <f t="shared" si="187"/>
        <v>7.7637600000000015E-3</v>
      </c>
      <c r="CN130" s="680">
        <f t="shared" si="187"/>
        <v>0</v>
      </c>
      <c r="CO130" s="680">
        <f t="shared" si="187"/>
        <v>0.84482964000000038</v>
      </c>
      <c r="CP130" s="680">
        <f t="shared" si="187"/>
        <v>0</v>
      </c>
      <c r="CQ130" s="680">
        <f t="shared" si="187"/>
        <v>0</v>
      </c>
      <c r="CR130" s="680">
        <f t="shared" si="187"/>
        <v>0</v>
      </c>
      <c r="CS130" s="680">
        <f t="shared" si="151"/>
        <v>0</v>
      </c>
      <c r="CT130" s="680">
        <f t="shared" si="151"/>
        <v>10.825948952000033</v>
      </c>
      <c r="CU130" s="680">
        <f t="shared" si="151"/>
        <v>0</v>
      </c>
      <c r="CV130" s="680">
        <f t="shared" si="151"/>
        <v>0</v>
      </c>
      <c r="CW130" s="680">
        <f t="shared" si="151"/>
        <v>-0.20439044322836164</v>
      </c>
      <c r="CX130" s="680">
        <f t="shared" si="151"/>
        <v>1.8564644000000019E-2</v>
      </c>
      <c r="CY130" s="680">
        <f t="shared" si="151"/>
        <v>-0.18582579922836118</v>
      </c>
      <c r="CZ130" s="680">
        <f t="shared" si="151"/>
        <v>10.64012315277165</v>
      </c>
      <c r="DA130" s="680">
        <f t="shared" si="151"/>
        <v>-3.9155433228302172E-2</v>
      </c>
      <c r="DB130" s="680">
        <f t="shared" si="151"/>
        <v>10.679278585999953</v>
      </c>
    </row>
    <row r="131" spans="1:106" x14ac:dyDescent="0.2">
      <c r="A131">
        <f t="shared" si="58"/>
        <v>2018</v>
      </c>
      <c r="B131" s="680">
        <f t="shared" ref="B131:AH131" si="188">+B82-B81</f>
        <v>0</v>
      </c>
      <c r="C131" s="680">
        <f t="shared" si="188"/>
        <v>0</v>
      </c>
      <c r="D131" s="680">
        <f t="shared" si="188"/>
        <v>0</v>
      </c>
      <c r="E131" s="680">
        <f t="shared" si="188"/>
        <v>0.14979999999999993</v>
      </c>
      <c r="F131" s="680">
        <f t="shared" si="188"/>
        <v>5.0824999999999676E-2</v>
      </c>
      <c r="G131" s="680">
        <f t="shared" si="188"/>
        <v>0</v>
      </c>
      <c r="H131" s="680">
        <f t="shared" ref="H131:Z131" si="189">+H82-H81</f>
        <v>4.0125000000000008E-2</v>
      </c>
      <c r="I131" s="680">
        <f t="shared" si="189"/>
        <v>1.0700000000000002E-3</v>
      </c>
      <c r="J131" s="680">
        <f t="shared" si="189"/>
        <v>0</v>
      </c>
      <c r="K131" s="680">
        <f t="shared" si="189"/>
        <v>9.1217500000000173E-2</v>
      </c>
      <c r="L131" s="680">
        <f t="shared" si="189"/>
        <v>0.39868199999999998</v>
      </c>
      <c r="M131" s="680">
        <f t="shared" si="189"/>
        <v>1.7162800000000001E-3</v>
      </c>
      <c r="N131" s="680">
        <f t="shared" si="189"/>
        <v>6.7517000000000011E-4</v>
      </c>
      <c r="O131" s="680">
        <f t="shared" si="189"/>
        <v>0</v>
      </c>
      <c r="P131" s="680">
        <f t="shared" si="189"/>
        <v>0.39830750000000048</v>
      </c>
      <c r="Q131" s="680">
        <f t="shared" si="189"/>
        <v>5.8582499999999982E-2</v>
      </c>
      <c r="R131" s="680">
        <f t="shared" si="189"/>
        <v>0.3830600000000004</v>
      </c>
      <c r="S131" s="680">
        <f t="shared" si="189"/>
        <v>0.79239920000000008</v>
      </c>
      <c r="T131" s="680">
        <f t="shared" si="189"/>
        <v>0</v>
      </c>
      <c r="U131" s="680">
        <f t="shared" si="189"/>
        <v>2.1399999999999891E-4</v>
      </c>
      <c r="V131" s="680">
        <f t="shared" si="189"/>
        <v>0</v>
      </c>
      <c r="W131" s="680">
        <f t="shared" si="189"/>
        <v>0.31329600000000024</v>
      </c>
      <c r="X131" s="680">
        <f t="shared" si="189"/>
        <v>0</v>
      </c>
      <c r="Y131" s="680">
        <f t="shared" si="189"/>
        <v>0</v>
      </c>
      <c r="Z131" s="680">
        <f t="shared" si="189"/>
        <v>0</v>
      </c>
      <c r="AA131" s="680">
        <f t="shared" si="188"/>
        <v>0</v>
      </c>
      <c r="AB131" s="680">
        <f t="shared" si="188"/>
        <v>2.6799701499999884</v>
      </c>
      <c r="AC131" s="680">
        <f t="shared" si="188"/>
        <v>1.4124000000000025E-2</v>
      </c>
      <c r="AD131" s="680">
        <f t="shared" si="188"/>
        <v>9.8440000000000014E-2</v>
      </c>
      <c r="AE131" s="680">
        <f t="shared" si="188"/>
        <v>0.31886000000000081</v>
      </c>
      <c r="AF131" s="680">
        <f t="shared" si="188"/>
        <v>0</v>
      </c>
      <c r="AG131" s="680">
        <f t="shared" si="188"/>
        <v>0.43142400000002112</v>
      </c>
      <c r="AH131" s="680">
        <f t="shared" si="188"/>
        <v>3.1113941500000237</v>
      </c>
      <c r="AJ131">
        <f t="shared" si="61"/>
        <v>2018</v>
      </c>
      <c r="AK131" s="680">
        <f t="shared" ref="AK131:BI131" si="190">+AK82-AK81</f>
        <v>0</v>
      </c>
      <c r="AL131" s="680">
        <f t="shared" si="190"/>
        <v>0</v>
      </c>
      <c r="AM131" s="680">
        <f t="shared" si="190"/>
        <v>0</v>
      </c>
      <c r="AN131" s="680">
        <f t="shared" si="190"/>
        <v>0</v>
      </c>
      <c r="AO131" s="680">
        <f t="shared" si="190"/>
        <v>0</v>
      </c>
      <c r="AP131" s="680">
        <f t="shared" si="190"/>
        <v>0</v>
      </c>
      <c r="AQ131" s="680">
        <f t="shared" si="190"/>
        <v>1.0700000000000002E-3</v>
      </c>
      <c r="AR131" s="680">
        <f t="shared" si="190"/>
        <v>8.3460000000000001E-4</v>
      </c>
      <c r="AS131" s="680">
        <f t="shared" si="190"/>
        <v>0</v>
      </c>
      <c r="AT131" s="680">
        <f t="shared" si="190"/>
        <v>6.8426499999999946E-2</v>
      </c>
      <c r="AU131" s="680">
        <f t="shared" si="190"/>
        <v>0.31281449999999955</v>
      </c>
      <c r="AV131" s="680">
        <f t="shared" si="190"/>
        <v>2.8162400000000002E-3</v>
      </c>
      <c r="AW131" s="680">
        <f t="shared" si="190"/>
        <v>3.5203000000000003E-4</v>
      </c>
      <c r="AX131" s="680">
        <f t="shared" si="190"/>
        <v>0</v>
      </c>
      <c r="AY131" s="680">
        <f t="shared" si="190"/>
        <v>0.3102999999999998</v>
      </c>
      <c r="AZ131" s="680">
        <f t="shared" si="190"/>
        <v>5.8582499999999982E-2</v>
      </c>
      <c r="BA131" s="680">
        <f t="shared" si="190"/>
        <v>0</v>
      </c>
      <c r="BB131" s="680">
        <f t="shared" si="190"/>
        <v>0</v>
      </c>
      <c r="BC131" s="680">
        <f t="shared" si="190"/>
        <v>0</v>
      </c>
      <c r="BD131" s="680">
        <f t="shared" si="190"/>
        <v>0</v>
      </c>
      <c r="BE131" s="680">
        <f t="shared" si="190"/>
        <v>0</v>
      </c>
      <c r="BF131" s="680">
        <f t="shared" si="190"/>
        <v>0</v>
      </c>
      <c r="BG131" s="680">
        <f t="shared" si="190"/>
        <v>0</v>
      </c>
      <c r="BH131" s="680">
        <f t="shared" si="190"/>
        <v>0</v>
      </c>
      <c r="BI131" s="680">
        <f t="shared" si="190"/>
        <v>0</v>
      </c>
      <c r="BJ131" s="680">
        <f t="shared" ref="BJ131:BQ131" si="191">+BJ82-BJ81</f>
        <v>0</v>
      </c>
      <c r="BK131" s="680">
        <f t="shared" si="191"/>
        <v>0.75519637000000728</v>
      </c>
      <c r="BL131" s="680">
        <f t="shared" si="191"/>
        <v>0</v>
      </c>
      <c r="BM131" s="680">
        <f t="shared" si="191"/>
        <v>6.4200000000000007E-2</v>
      </c>
      <c r="BN131" s="680">
        <f t="shared" si="191"/>
        <v>0.57021056565655925</v>
      </c>
      <c r="BO131" s="680">
        <f t="shared" si="191"/>
        <v>0</v>
      </c>
      <c r="BP131" s="680">
        <f t="shared" si="191"/>
        <v>0.63441056565656595</v>
      </c>
      <c r="BQ131" s="680">
        <f t="shared" si="191"/>
        <v>1.389606935656559</v>
      </c>
      <c r="BS131">
        <f t="shared" si="64"/>
        <v>2018</v>
      </c>
      <c r="BT131" s="680">
        <f t="shared" si="148"/>
        <v>0</v>
      </c>
      <c r="BU131" s="680">
        <f t="shared" si="148"/>
        <v>0</v>
      </c>
      <c r="BV131" s="680">
        <f t="shared" si="148"/>
        <v>0</v>
      </c>
      <c r="BW131" s="680">
        <f t="shared" si="148"/>
        <v>0.28435560000000137</v>
      </c>
      <c r="BX131" s="680">
        <f t="shared" si="148"/>
        <v>0.22802100000000181</v>
      </c>
      <c r="BY131" s="680">
        <f t="shared" si="148"/>
        <v>0</v>
      </c>
      <c r="BZ131" s="680">
        <f t="shared" ref="BZ131:CA131" si="192">+BZ82-BZ81</f>
        <v>0.49996299999999994</v>
      </c>
      <c r="CA131" s="680">
        <f t="shared" si="192"/>
        <v>1.4349280000000002E-3</v>
      </c>
      <c r="CB131" s="680">
        <f t="shared" si="148"/>
        <v>0</v>
      </c>
      <c r="CC131" s="680">
        <f t="shared" si="148"/>
        <v>0.25188562000000037</v>
      </c>
      <c r="CD131" s="680">
        <f t="shared" si="148"/>
        <v>0.43824215999999971</v>
      </c>
      <c r="CE131" s="680">
        <f t="shared" si="148"/>
        <v>2.7211032000000003E-2</v>
      </c>
      <c r="CF131" s="680">
        <f t="shared" si="148"/>
        <v>4.9812199999999997E-3</v>
      </c>
      <c r="CG131" s="680">
        <f t="shared" si="148"/>
        <v>0</v>
      </c>
      <c r="CH131" s="680">
        <f t="shared" si="148"/>
        <v>1.8420783000000007</v>
      </c>
      <c r="CI131" s="680">
        <f t="shared" si="148"/>
        <v>0.28584943999999979</v>
      </c>
      <c r="CJ131" s="680">
        <f t="shared" si="148"/>
        <v>1.0261208000002853E-2</v>
      </c>
      <c r="CK131" s="680">
        <f t="shared" ref="CK131:CR131" si="193">+CK82-CK81</f>
        <v>8.0978752000000015E-2</v>
      </c>
      <c r="CL131" s="680">
        <f t="shared" si="193"/>
        <v>0</v>
      </c>
      <c r="CM131" s="680">
        <f t="shared" si="193"/>
        <v>6.3120000000003312E-5</v>
      </c>
      <c r="CN131" s="680">
        <f t="shared" si="193"/>
        <v>0</v>
      </c>
      <c r="CO131" s="680">
        <f t="shared" si="193"/>
        <v>0.75095967999999935</v>
      </c>
      <c r="CP131" s="680">
        <f t="shared" si="193"/>
        <v>0</v>
      </c>
      <c r="CQ131" s="680">
        <f t="shared" si="193"/>
        <v>0</v>
      </c>
      <c r="CR131" s="680">
        <f t="shared" si="193"/>
        <v>0</v>
      </c>
      <c r="CS131" s="680">
        <f t="shared" si="151"/>
        <v>0</v>
      </c>
      <c r="CT131" s="680">
        <f t="shared" si="151"/>
        <v>4.7062850599998569</v>
      </c>
      <c r="CU131" s="680">
        <f t="shared" si="151"/>
        <v>0</v>
      </c>
      <c r="CV131" s="680">
        <f t="shared" si="151"/>
        <v>0</v>
      </c>
      <c r="CW131" s="680">
        <f t="shared" si="151"/>
        <v>4.1646359932660637E-2</v>
      </c>
      <c r="CX131" s="680">
        <f t="shared" si="151"/>
        <v>3.7129288000000038E-2</v>
      </c>
      <c r="CY131" s="680">
        <f t="shared" si="151"/>
        <v>7.8775647932660675E-2</v>
      </c>
      <c r="CZ131" s="680">
        <f t="shared" si="151"/>
        <v>4.78506070793253</v>
      </c>
      <c r="DA131" s="680">
        <f t="shared" si="151"/>
        <v>0.33626316793260003</v>
      </c>
      <c r="DB131" s="680">
        <f t="shared" si="151"/>
        <v>4.44879753999993</v>
      </c>
    </row>
    <row r="132" spans="1:106" x14ac:dyDescent="0.2">
      <c r="A132">
        <f t="shared" si="58"/>
        <v>2019</v>
      </c>
      <c r="B132" s="680">
        <f t="shared" ref="B132:AH132" si="194">+B83-B82</f>
        <v>0</v>
      </c>
      <c r="C132" s="680">
        <f t="shared" si="194"/>
        <v>0</v>
      </c>
      <c r="D132" s="680">
        <f t="shared" si="194"/>
        <v>0</v>
      </c>
      <c r="E132" s="680">
        <f t="shared" si="194"/>
        <v>0.14980000000000038</v>
      </c>
      <c r="F132" s="680">
        <f t="shared" si="194"/>
        <v>5.0825000000000564E-2</v>
      </c>
      <c r="G132" s="680">
        <f t="shared" si="194"/>
        <v>0</v>
      </c>
      <c r="H132" s="680">
        <f t="shared" ref="H132:Z132" si="195">+H83-H82</f>
        <v>4.012499999999998E-2</v>
      </c>
      <c r="I132" s="680">
        <f t="shared" si="195"/>
        <v>1.0700000000000002E-3</v>
      </c>
      <c r="J132" s="680">
        <f t="shared" si="195"/>
        <v>0</v>
      </c>
      <c r="K132" s="680">
        <f t="shared" si="195"/>
        <v>9.1217499999999951E-2</v>
      </c>
      <c r="L132" s="680">
        <f t="shared" si="195"/>
        <v>0.39868199999999998</v>
      </c>
      <c r="M132" s="680">
        <f t="shared" si="195"/>
        <v>2.1453499999999994E-3</v>
      </c>
      <c r="N132" s="680">
        <f t="shared" si="195"/>
        <v>6.7517000000000011E-4</v>
      </c>
      <c r="O132" s="680">
        <f t="shared" si="195"/>
        <v>0</v>
      </c>
      <c r="P132" s="680">
        <f t="shared" si="195"/>
        <v>0.51779975</v>
      </c>
      <c r="Q132" s="680">
        <f t="shared" si="195"/>
        <v>5.8582499999999982E-2</v>
      </c>
      <c r="R132" s="680">
        <f t="shared" si="195"/>
        <v>0.3830600000000004</v>
      </c>
      <c r="S132" s="680">
        <f t="shared" si="195"/>
        <v>0.99049900000000024</v>
      </c>
      <c r="T132" s="680">
        <f t="shared" si="195"/>
        <v>0</v>
      </c>
      <c r="U132" s="680">
        <f t="shared" si="195"/>
        <v>2.1399999999999891E-4</v>
      </c>
      <c r="V132" s="680">
        <f t="shared" si="195"/>
        <v>0</v>
      </c>
      <c r="W132" s="680">
        <f t="shared" si="195"/>
        <v>0.31329600000000024</v>
      </c>
      <c r="X132" s="680">
        <f t="shared" si="195"/>
        <v>0</v>
      </c>
      <c r="Y132" s="680">
        <f t="shared" si="195"/>
        <v>0</v>
      </c>
      <c r="Z132" s="680">
        <f t="shared" si="195"/>
        <v>0</v>
      </c>
      <c r="AA132" s="680">
        <f t="shared" si="194"/>
        <v>0</v>
      </c>
      <c r="AB132" s="680">
        <f t="shared" si="194"/>
        <v>2.9979912700000142</v>
      </c>
      <c r="AC132" s="680">
        <f t="shared" si="194"/>
        <v>1.4124000000000025E-2</v>
      </c>
      <c r="AD132" s="680">
        <f t="shared" si="194"/>
        <v>9.844E-2</v>
      </c>
      <c r="AE132" s="680">
        <f t="shared" si="194"/>
        <v>0.31886000000000081</v>
      </c>
      <c r="AF132" s="680">
        <f t="shared" si="194"/>
        <v>0</v>
      </c>
      <c r="AG132" s="680">
        <f t="shared" si="194"/>
        <v>0.4314239999999927</v>
      </c>
      <c r="AH132" s="680">
        <f t="shared" si="194"/>
        <v>3.4294152699999927</v>
      </c>
      <c r="AJ132">
        <f t="shared" si="61"/>
        <v>2019</v>
      </c>
      <c r="AK132" s="680">
        <f t="shared" ref="AK132:BI132" si="196">+AK83-AK82</f>
        <v>0</v>
      </c>
      <c r="AL132" s="680">
        <f t="shared" si="196"/>
        <v>0</v>
      </c>
      <c r="AM132" s="680">
        <f t="shared" si="196"/>
        <v>0</v>
      </c>
      <c r="AN132" s="680">
        <f t="shared" si="196"/>
        <v>0</v>
      </c>
      <c r="AO132" s="680">
        <f t="shared" si="196"/>
        <v>0</v>
      </c>
      <c r="AP132" s="680">
        <f t="shared" si="196"/>
        <v>0</v>
      </c>
      <c r="AQ132" s="680">
        <f t="shared" si="196"/>
        <v>1.0700000000000002E-3</v>
      </c>
      <c r="AR132" s="680">
        <f t="shared" si="196"/>
        <v>8.3460000000000001E-4</v>
      </c>
      <c r="AS132" s="680">
        <f t="shared" si="196"/>
        <v>0</v>
      </c>
      <c r="AT132" s="680">
        <f t="shared" si="196"/>
        <v>6.8426499999999946E-2</v>
      </c>
      <c r="AU132" s="680">
        <f t="shared" si="196"/>
        <v>0.3128145</v>
      </c>
      <c r="AV132" s="680">
        <f t="shared" si="196"/>
        <v>2.8162400000000002E-3</v>
      </c>
      <c r="AW132" s="680">
        <f t="shared" si="196"/>
        <v>3.5203000000000003E-4</v>
      </c>
      <c r="AX132" s="680">
        <f t="shared" si="196"/>
        <v>0</v>
      </c>
      <c r="AY132" s="680">
        <f t="shared" si="196"/>
        <v>0.31030000000000024</v>
      </c>
      <c r="AZ132" s="680">
        <f t="shared" si="196"/>
        <v>5.8582499999999982E-2</v>
      </c>
      <c r="BA132" s="680">
        <f t="shared" si="196"/>
        <v>0</v>
      </c>
      <c r="BB132" s="680">
        <f t="shared" si="196"/>
        <v>0</v>
      </c>
      <c r="BC132" s="680">
        <f t="shared" si="196"/>
        <v>0</v>
      </c>
      <c r="BD132" s="680">
        <f t="shared" si="196"/>
        <v>0</v>
      </c>
      <c r="BE132" s="680">
        <f t="shared" si="196"/>
        <v>0</v>
      </c>
      <c r="BF132" s="680">
        <f t="shared" si="196"/>
        <v>0</v>
      </c>
      <c r="BG132" s="680">
        <f t="shared" si="196"/>
        <v>0</v>
      </c>
      <c r="BH132" s="680">
        <f t="shared" si="196"/>
        <v>0</v>
      </c>
      <c r="BI132" s="680">
        <f t="shared" si="196"/>
        <v>0</v>
      </c>
      <c r="BJ132" s="680">
        <f t="shared" ref="BJ132:BQ132" si="197">+BJ83-BJ82</f>
        <v>0</v>
      </c>
      <c r="BK132" s="680">
        <f t="shared" si="197"/>
        <v>0.75519636999999307</v>
      </c>
      <c r="BL132" s="680">
        <f t="shared" si="197"/>
        <v>0</v>
      </c>
      <c r="BM132" s="680">
        <f t="shared" si="197"/>
        <v>6.4200000000000007E-2</v>
      </c>
      <c r="BN132" s="680">
        <f t="shared" si="197"/>
        <v>0.57021056565657346</v>
      </c>
      <c r="BO132" s="680">
        <f t="shared" si="197"/>
        <v>0</v>
      </c>
      <c r="BP132" s="680">
        <f t="shared" si="197"/>
        <v>0.63441056565656595</v>
      </c>
      <c r="BQ132" s="680">
        <f t="shared" si="197"/>
        <v>1.389606935656559</v>
      </c>
      <c r="BS132">
        <f t="shared" si="64"/>
        <v>2019</v>
      </c>
      <c r="BT132" s="680">
        <f t="shared" si="148"/>
        <v>0</v>
      </c>
      <c r="BU132" s="680">
        <f t="shared" si="148"/>
        <v>0</v>
      </c>
      <c r="BV132" s="680">
        <f t="shared" si="148"/>
        <v>0</v>
      </c>
      <c r="BW132" s="680">
        <f t="shared" si="148"/>
        <v>0.2843555999999996</v>
      </c>
      <c r="BX132" s="680">
        <f t="shared" si="148"/>
        <v>0.22802100000000181</v>
      </c>
      <c r="BY132" s="680">
        <f t="shared" si="148"/>
        <v>0</v>
      </c>
      <c r="BZ132" s="680">
        <f t="shared" ref="BZ132:CA132" si="198">+BZ83-BZ82</f>
        <v>0.49996299999999994</v>
      </c>
      <c r="CA132" s="680">
        <f t="shared" si="198"/>
        <v>1.4349279999999998E-3</v>
      </c>
      <c r="CB132" s="680">
        <f t="shared" si="148"/>
        <v>0</v>
      </c>
      <c r="CC132" s="680">
        <f t="shared" si="148"/>
        <v>0.25188562000000037</v>
      </c>
      <c r="CD132" s="680">
        <f t="shared" si="148"/>
        <v>0.43824215999999971</v>
      </c>
      <c r="CE132" s="680">
        <f t="shared" si="148"/>
        <v>3.4013790000000009E-2</v>
      </c>
      <c r="CF132" s="680">
        <f t="shared" si="148"/>
        <v>4.9812200000000006E-3</v>
      </c>
      <c r="CG132" s="680">
        <f t="shared" si="148"/>
        <v>0</v>
      </c>
      <c r="CH132" s="680">
        <f t="shared" si="148"/>
        <v>2.3947017899999956</v>
      </c>
      <c r="CI132" s="680">
        <f t="shared" si="148"/>
        <v>0.28584944000000068</v>
      </c>
      <c r="CJ132" s="680">
        <f t="shared" si="148"/>
        <v>1.02612079999993E-2</v>
      </c>
      <c r="CK132" s="680">
        <f t="shared" ref="CK132:CR132" si="199">+CK83-CK82</f>
        <v>0.10122344000000001</v>
      </c>
      <c r="CL132" s="680">
        <f t="shared" si="199"/>
        <v>0</v>
      </c>
      <c r="CM132" s="680">
        <f t="shared" si="199"/>
        <v>6.3119999999999843E-5</v>
      </c>
      <c r="CN132" s="680">
        <f t="shared" si="199"/>
        <v>0</v>
      </c>
      <c r="CO132" s="680">
        <f t="shared" si="199"/>
        <v>0.75095967999999935</v>
      </c>
      <c r="CP132" s="680">
        <f t="shared" si="199"/>
        <v>0</v>
      </c>
      <c r="CQ132" s="680">
        <f t="shared" si="199"/>
        <v>0</v>
      </c>
      <c r="CR132" s="680">
        <f t="shared" si="199"/>
        <v>0</v>
      </c>
      <c r="CS132" s="680">
        <f t="shared" si="151"/>
        <v>0</v>
      </c>
      <c r="CT132" s="680">
        <f t="shared" si="151"/>
        <v>5.2859559960002116</v>
      </c>
      <c r="CU132" s="680">
        <f t="shared" si="151"/>
        <v>0</v>
      </c>
      <c r="CV132" s="680">
        <f t="shared" si="151"/>
        <v>0</v>
      </c>
      <c r="CW132" s="680">
        <f t="shared" si="151"/>
        <v>4.1646359932657973E-2</v>
      </c>
      <c r="CX132" s="680">
        <f t="shared" si="151"/>
        <v>3.7129288000000038E-2</v>
      </c>
      <c r="CY132" s="680">
        <f t="shared" si="151"/>
        <v>7.8775647932658899E-2</v>
      </c>
      <c r="CZ132" s="680">
        <f t="shared" si="151"/>
        <v>5.3647316439328279</v>
      </c>
      <c r="DA132" s="680">
        <f t="shared" si="151"/>
        <v>0.33626316793271371</v>
      </c>
      <c r="DB132" s="680">
        <f t="shared" si="151"/>
        <v>5.0284684760001142</v>
      </c>
    </row>
    <row r="133" spans="1:106" x14ac:dyDescent="0.2">
      <c r="A133">
        <f t="shared" si="58"/>
        <v>2020</v>
      </c>
      <c r="B133" s="680">
        <f t="shared" ref="B133:AH133" si="200">+B84-B83</f>
        <v>0</v>
      </c>
      <c r="C133" s="680">
        <f t="shared" si="200"/>
        <v>0</v>
      </c>
      <c r="D133" s="680">
        <f t="shared" si="200"/>
        <v>0</v>
      </c>
      <c r="E133" s="680">
        <f t="shared" si="200"/>
        <v>0.14979999999999993</v>
      </c>
      <c r="F133" s="680">
        <f t="shared" si="200"/>
        <v>4.5742500000000241E-2</v>
      </c>
      <c r="G133" s="680">
        <f t="shared" si="200"/>
        <v>0</v>
      </c>
      <c r="H133" s="680">
        <f t="shared" ref="H133:Z133" si="201">+H84-H83</f>
        <v>4.0125000000000022E-2</v>
      </c>
      <c r="I133" s="680">
        <f t="shared" si="201"/>
        <v>1.0700000000000002E-3</v>
      </c>
      <c r="J133" s="680">
        <f t="shared" si="201"/>
        <v>0</v>
      </c>
      <c r="K133" s="680">
        <f t="shared" si="201"/>
        <v>9.1217499999999951E-2</v>
      </c>
      <c r="L133" s="680">
        <f t="shared" si="201"/>
        <v>0.39868200000000087</v>
      </c>
      <c r="M133" s="680">
        <f t="shared" si="201"/>
        <v>2.5744200000000009E-3</v>
      </c>
      <c r="N133" s="680">
        <f t="shared" si="201"/>
        <v>6.7517000000000011E-4</v>
      </c>
      <c r="O133" s="680">
        <f t="shared" si="201"/>
        <v>0</v>
      </c>
      <c r="P133" s="680">
        <f t="shared" si="201"/>
        <v>0.63729200000000041</v>
      </c>
      <c r="Q133" s="680">
        <f t="shared" si="201"/>
        <v>8.7873749999999973E-2</v>
      </c>
      <c r="R133" s="680">
        <f t="shared" si="201"/>
        <v>0.3830600000000004</v>
      </c>
      <c r="S133" s="680">
        <f t="shared" si="201"/>
        <v>0.99049900000000024</v>
      </c>
      <c r="T133" s="680">
        <f t="shared" si="201"/>
        <v>0</v>
      </c>
      <c r="U133" s="680">
        <f t="shared" si="201"/>
        <v>2.1399999999999891E-4</v>
      </c>
      <c r="V133" s="680">
        <f t="shared" si="201"/>
        <v>0</v>
      </c>
      <c r="W133" s="680">
        <f t="shared" si="201"/>
        <v>0.31329600000000024</v>
      </c>
      <c r="X133" s="680">
        <f t="shared" si="201"/>
        <v>0</v>
      </c>
      <c r="Y133" s="680">
        <f t="shared" si="201"/>
        <v>0</v>
      </c>
      <c r="Z133" s="680">
        <f t="shared" si="201"/>
        <v>0</v>
      </c>
      <c r="AA133" s="680">
        <f t="shared" si="200"/>
        <v>0</v>
      </c>
      <c r="AB133" s="680">
        <f t="shared" si="200"/>
        <v>3.1421213400000028</v>
      </c>
      <c r="AC133" s="680">
        <f t="shared" si="200"/>
        <v>1.4124000000000025E-2</v>
      </c>
      <c r="AD133" s="680">
        <f t="shared" si="200"/>
        <v>9.844E-2</v>
      </c>
      <c r="AE133" s="680">
        <f t="shared" si="200"/>
        <v>0.3188599999999937</v>
      </c>
      <c r="AF133" s="680">
        <f t="shared" si="200"/>
        <v>0</v>
      </c>
      <c r="AG133" s="680">
        <f t="shared" si="200"/>
        <v>0.4314239999999927</v>
      </c>
      <c r="AH133" s="680">
        <f t="shared" si="200"/>
        <v>3.5735453400000097</v>
      </c>
      <c r="AJ133">
        <f t="shared" si="61"/>
        <v>2020</v>
      </c>
      <c r="AK133" s="680">
        <f t="shared" ref="AK133:BI133" si="202">+AK84-AK83</f>
        <v>0</v>
      </c>
      <c r="AL133" s="680">
        <f t="shared" si="202"/>
        <v>0</v>
      </c>
      <c r="AM133" s="680">
        <f t="shared" si="202"/>
        <v>0</v>
      </c>
      <c r="AN133" s="680">
        <f t="shared" si="202"/>
        <v>0</v>
      </c>
      <c r="AO133" s="680">
        <f t="shared" si="202"/>
        <v>0</v>
      </c>
      <c r="AP133" s="680">
        <f t="shared" si="202"/>
        <v>0</v>
      </c>
      <c r="AQ133" s="680">
        <f t="shared" si="202"/>
        <v>1.0699999999999998E-3</v>
      </c>
      <c r="AR133" s="680">
        <f t="shared" si="202"/>
        <v>8.3460000000000001E-4</v>
      </c>
      <c r="AS133" s="680">
        <f t="shared" si="202"/>
        <v>0</v>
      </c>
      <c r="AT133" s="680">
        <f t="shared" si="202"/>
        <v>6.8426499999999946E-2</v>
      </c>
      <c r="AU133" s="680">
        <f t="shared" si="202"/>
        <v>0.3128145</v>
      </c>
      <c r="AV133" s="680">
        <f t="shared" si="202"/>
        <v>4.2243600000000017E-3</v>
      </c>
      <c r="AW133" s="680">
        <f t="shared" si="202"/>
        <v>3.5203000000000014E-4</v>
      </c>
      <c r="AX133" s="680">
        <f t="shared" si="202"/>
        <v>0</v>
      </c>
      <c r="AY133" s="680">
        <f t="shared" si="202"/>
        <v>0.49647999999999959</v>
      </c>
      <c r="AZ133" s="680">
        <f t="shared" si="202"/>
        <v>5.8582499999999982E-2</v>
      </c>
      <c r="BA133" s="680">
        <f t="shared" si="202"/>
        <v>0</v>
      </c>
      <c r="BB133" s="680">
        <f t="shared" si="202"/>
        <v>0</v>
      </c>
      <c r="BC133" s="680">
        <f t="shared" si="202"/>
        <v>0</v>
      </c>
      <c r="BD133" s="680">
        <f t="shared" si="202"/>
        <v>0</v>
      </c>
      <c r="BE133" s="680">
        <f t="shared" si="202"/>
        <v>0</v>
      </c>
      <c r="BF133" s="680">
        <f t="shared" si="202"/>
        <v>0</v>
      </c>
      <c r="BG133" s="680">
        <f t="shared" si="202"/>
        <v>0</v>
      </c>
      <c r="BH133" s="680">
        <f t="shared" si="202"/>
        <v>0</v>
      </c>
      <c r="BI133" s="680">
        <f t="shared" si="202"/>
        <v>0</v>
      </c>
      <c r="BJ133" s="680">
        <f t="shared" ref="BJ133:BQ133" si="203">+BJ84-BJ83</f>
        <v>0</v>
      </c>
      <c r="BK133" s="680">
        <f t="shared" si="203"/>
        <v>0.94278448999999398</v>
      </c>
      <c r="BL133" s="680">
        <f t="shared" si="203"/>
        <v>0</v>
      </c>
      <c r="BM133" s="680">
        <f t="shared" si="203"/>
        <v>6.4199999999999979E-2</v>
      </c>
      <c r="BN133" s="680">
        <f t="shared" si="203"/>
        <v>0.57021056565655925</v>
      </c>
      <c r="BO133" s="680">
        <f t="shared" si="203"/>
        <v>0</v>
      </c>
      <c r="BP133" s="680">
        <f t="shared" si="203"/>
        <v>0.63441056565656595</v>
      </c>
      <c r="BQ133" s="680">
        <f t="shared" si="203"/>
        <v>1.5771950556565741</v>
      </c>
      <c r="BS133">
        <f t="shared" si="64"/>
        <v>2020</v>
      </c>
      <c r="BT133" s="680">
        <f t="shared" si="148"/>
        <v>0</v>
      </c>
      <c r="BU133" s="680">
        <f t="shared" si="148"/>
        <v>0</v>
      </c>
      <c r="BV133" s="680">
        <f t="shared" si="148"/>
        <v>0</v>
      </c>
      <c r="BW133" s="680">
        <f t="shared" si="148"/>
        <v>0.28435560000000137</v>
      </c>
      <c r="BX133" s="680">
        <f t="shared" si="148"/>
        <v>0.20521889999999843</v>
      </c>
      <c r="BY133" s="680">
        <f t="shared" si="148"/>
        <v>0</v>
      </c>
      <c r="BZ133" s="680">
        <f t="shared" ref="BZ133:CA133" si="204">+BZ84-BZ83</f>
        <v>0.49996300000000016</v>
      </c>
      <c r="CA133" s="680">
        <f t="shared" si="204"/>
        <v>1.4349279999999998E-3</v>
      </c>
      <c r="CB133" s="680">
        <f t="shared" si="148"/>
        <v>0</v>
      </c>
      <c r="CC133" s="680">
        <f t="shared" si="148"/>
        <v>0.25188562000000037</v>
      </c>
      <c r="CD133" s="680">
        <f t="shared" si="148"/>
        <v>0.43824215999999971</v>
      </c>
      <c r="CE133" s="680">
        <f t="shared" si="148"/>
        <v>4.0816547999999994E-2</v>
      </c>
      <c r="CF133" s="680">
        <f t="shared" si="148"/>
        <v>4.981219999999998E-3</v>
      </c>
      <c r="CG133" s="680">
        <f t="shared" si="148"/>
        <v>0</v>
      </c>
      <c r="CH133" s="680">
        <f t="shared" si="148"/>
        <v>2.9473252800000012</v>
      </c>
      <c r="CI133" s="680">
        <f t="shared" si="148"/>
        <v>0.42877415999999968</v>
      </c>
      <c r="CJ133" s="680">
        <f t="shared" si="148"/>
        <v>1.0261208000002853E-2</v>
      </c>
      <c r="CK133" s="680">
        <f t="shared" ref="CK133:CR133" si="205">+CK84-CK83</f>
        <v>0.10122344000000003</v>
      </c>
      <c r="CL133" s="680">
        <f t="shared" si="205"/>
        <v>0</v>
      </c>
      <c r="CM133" s="680">
        <f t="shared" si="205"/>
        <v>6.3119999999999843E-5</v>
      </c>
      <c r="CN133" s="680">
        <f t="shared" si="205"/>
        <v>0</v>
      </c>
      <c r="CO133" s="680">
        <f t="shared" si="205"/>
        <v>0.75095967999999935</v>
      </c>
      <c r="CP133" s="680">
        <f t="shared" si="205"/>
        <v>0</v>
      </c>
      <c r="CQ133" s="680">
        <f t="shared" si="205"/>
        <v>0</v>
      </c>
      <c r="CR133" s="680">
        <f t="shared" si="205"/>
        <v>0</v>
      </c>
      <c r="CS133" s="680">
        <f t="shared" si="151"/>
        <v>0</v>
      </c>
      <c r="CT133" s="680">
        <f t="shared" si="151"/>
        <v>5.9655048639999109</v>
      </c>
      <c r="CU133" s="680">
        <f t="shared" si="151"/>
        <v>0</v>
      </c>
      <c r="CV133" s="680">
        <f t="shared" si="151"/>
        <v>0</v>
      </c>
      <c r="CW133" s="680">
        <f t="shared" si="151"/>
        <v>4.1646359932659749E-2</v>
      </c>
      <c r="CX133" s="680">
        <f t="shared" si="151"/>
        <v>3.7129287999999594E-2</v>
      </c>
      <c r="CY133" s="680">
        <f t="shared" si="151"/>
        <v>7.8775647932658899E-2</v>
      </c>
      <c r="CZ133" s="680">
        <f t="shared" si="151"/>
        <v>6.044280511932584</v>
      </c>
      <c r="DA133" s="680">
        <f t="shared" si="151"/>
        <v>0.33626316793265687</v>
      </c>
      <c r="DB133" s="680">
        <f t="shared" si="151"/>
        <v>5.7080173439999271</v>
      </c>
    </row>
    <row r="134" spans="1:106" x14ac:dyDescent="0.2">
      <c r="A134">
        <f t="shared" si="58"/>
        <v>2021</v>
      </c>
      <c r="B134" s="680">
        <f t="shared" ref="B134:AH134" si="206">+B85-B84</f>
        <v>0</v>
      </c>
      <c r="C134" s="680">
        <f t="shared" si="206"/>
        <v>0</v>
      </c>
      <c r="D134" s="680">
        <f t="shared" si="206"/>
        <v>0</v>
      </c>
      <c r="E134" s="680">
        <f t="shared" si="206"/>
        <v>0.14980000000000038</v>
      </c>
      <c r="F134" s="680">
        <f t="shared" si="206"/>
        <v>4.0659999999999918E-2</v>
      </c>
      <c r="G134" s="680">
        <f t="shared" si="206"/>
        <v>0</v>
      </c>
      <c r="H134" s="680">
        <f t="shared" ref="H134:Z134" si="207">+H85-H84</f>
        <v>4.0124999999999994E-2</v>
      </c>
      <c r="I134" s="680">
        <f t="shared" si="207"/>
        <v>1.0700000000000002E-3</v>
      </c>
      <c r="J134" s="680">
        <f t="shared" si="207"/>
        <v>0</v>
      </c>
      <c r="K134" s="680">
        <f t="shared" si="207"/>
        <v>9.1217499999999951E-2</v>
      </c>
      <c r="L134" s="680">
        <f t="shared" si="207"/>
        <v>0.39868199999999998</v>
      </c>
      <c r="M134" s="680">
        <f t="shared" si="207"/>
        <v>2.5744200000000009E-3</v>
      </c>
      <c r="N134" s="680">
        <f t="shared" si="207"/>
        <v>6.7517000000000011E-4</v>
      </c>
      <c r="O134" s="680">
        <f t="shared" si="207"/>
        <v>0</v>
      </c>
      <c r="P134" s="680">
        <f t="shared" si="207"/>
        <v>0.63729200000000041</v>
      </c>
      <c r="Q134" s="680">
        <f t="shared" si="207"/>
        <v>0.11716499999999996</v>
      </c>
      <c r="R134" s="680">
        <f t="shared" si="207"/>
        <v>0.3830600000000004</v>
      </c>
      <c r="S134" s="680">
        <f t="shared" si="207"/>
        <v>0.99049900000000024</v>
      </c>
      <c r="T134" s="680">
        <f t="shared" si="207"/>
        <v>0</v>
      </c>
      <c r="U134" s="680">
        <f t="shared" si="207"/>
        <v>2.1399999999999891E-4</v>
      </c>
      <c r="V134" s="680">
        <f t="shared" si="207"/>
        <v>0</v>
      </c>
      <c r="W134" s="680">
        <f t="shared" si="207"/>
        <v>0.31329600000000024</v>
      </c>
      <c r="X134" s="680">
        <f t="shared" si="207"/>
        <v>0</v>
      </c>
      <c r="Y134" s="680">
        <f t="shared" si="207"/>
        <v>0</v>
      </c>
      <c r="Z134" s="680">
        <f t="shared" si="207"/>
        <v>0</v>
      </c>
      <c r="AA134" s="680">
        <f t="shared" si="206"/>
        <v>0</v>
      </c>
      <c r="AB134" s="680">
        <f t="shared" si="206"/>
        <v>3.166330089999974</v>
      </c>
      <c r="AC134" s="680">
        <f t="shared" si="206"/>
        <v>1.412399999999997E-2</v>
      </c>
      <c r="AD134" s="680">
        <f t="shared" si="206"/>
        <v>9.8439999999999972E-2</v>
      </c>
      <c r="AE134" s="680">
        <f t="shared" si="206"/>
        <v>0.3188599999999937</v>
      </c>
      <c r="AF134" s="680">
        <f t="shared" si="206"/>
        <v>0</v>
      </c>
      <c r="AG134" s="680">
        <f t="shared" si="206"/>
        <v>0.4314239999999927</v>
      </c>
      <c r="AH134" s="680">
        <f t="shared" si="206"/>
        <v>3.5977540899999667</v>
      </c>
      <c r="AJ134">
        <f t="shared" si="61"/>
        <v>2021</v>
      </c>
      <c r="AK134" s="680">
        <f t="shared" ref="AK134:BI134" si="208">+AK85-AK84</f>
        <v>0</v>
      </c>
      <c r="AL134" s="680">
        <f t="shared" si="208"/>
        <v>0</v>
      </c>
      <c r="AM134" s="680">
        <f t="shared" si="208"/>
        <v>0</v>
      </c>
      <c r="AN134" s="680">
        <f t="shared" si="208"/>
        <v>0</v>
      </c>
      <c r="AO134" s="680">
        <f t="shared" si="208"/>
        <v>0</v>
      </c>
      <c r="AP134" s="680">
        <f t="shared" si="208"/>
        <v>0</v>
      </c>
      <c r="AQ134" s="680">
        <f t="shared" si="208"/>
        <v>1.0700000000000006E-3</v>
      </c>
      <c r="AR134" s="680">
        <f t="shared" si="208"/>
        <v>8.3460000000000001E-4</v>
      </c>
      <c r="AS134" s="680">
        <f t="shared" si="208"/>
        <v>0</v>
      </c>
      <c r="AT134" s="680">
        <f t="shared" si="208"/>
        <v>6.8426500000000168E-2</v>
      </c>
      <c r="AU134" s="680">
        <f t="shared" si="208"/>
        <v>0.3128145</v>
      </c>
      <c r="AV134" s="680">
        <f t="shared" si="208"/>
        <v>4.2243599999999999E-3</v>
      </c>
      <c r="AW134" s="680">
        <f t="shared" si="208"/>
        <v>3.5202999999999992E-4</v>
      </c>
      <c r="AX134" s="680">
        <f t="shared" si="208"/>
        <v>0</v>
      </c>
      <c r="AY134" s="680">
        <f t="shared" si="208"/>
        <v>0.49648000000000003</v>
      </c>
      <c r="AZ134" s="680">
        <f t="shared" si="208"/>
        <v>0.11716499999999996</v>
      </c>
      <c r="BA134" s="680">
        <f t="shared" si="208"/>
        <v>0</v>
      </c>
      <c r="BB134" s="680">
        <f t="shared" si="208"/>
        <v>0</v>
      </c>
      <c r="BC134" s="680">
        <f t="shared" si="208"/>
        <v>0</v>
      </c>
      <c r="BD134" s="680">
        <f t="shared" si="208"/>
        <v>0</v>
      </c>
      <c r="BE134" s="680">
        <f t="shared" si="208"/>
        <v>0</v>
      </c>
      <c r="BF134" s="680">
        <f t="shared" si="208"/>
        <v>0</v>
      </c>
      <c r="BG134" s="680">
        <f t="shared" si="208"/>
        <v>0</v>
      </c>
      <c r="BH134" s="680">
        <f t="shared" si="208"/>
        <v>0</v>
      </c>
      <c r="BI134" s="680">
        <f t="shared" si="208"/>
        <v>0</v>
      </c>
      <c r="BJ134" s="680">
        <f t="shared" ref="BJ134:BQ134" si="209">+BJ85-BJ84</f>
        <v>0</v>
      </c>
      <c r="BK134" s="680">
        <f t="shared" si="209"/>
        <v>1.0013669900000082</v>
      </c>
      <c r="BL134" s="680">
        <f t="shared" si="209"/>
        <v>0</v>
      </c>
      <c r="BM134" s="680">
        <f t="shared" si="209"/>
        <v>6.4200000000000035E-2</v>
      </c>
      <c r="BN134" s="680">
        <f t="shared" si="209"/>
        <v>0.57021056565656636</v>
      </c>
      <c r="BO134" s="680">
        <f t="shared" si="209"/>
        <v>0</v>
      </c>
      <c r="BP134" s="680">
        <f t="shared" si="209"/>
        <v>0.63441056565656595</v>
      </c>
      <c r="BQ134" s="680">
        <f t="shared" si="209"/>
        <v>1.6357775556565741</v>
      </c>
      <c r="BS134">
        <f t="shared" si="64"/>
        <v>2021</v>
      </c>
      <c r="BT134" s="680">
        <f t="shared" si="148"/>
        <v>0</v>
      </c>
      <c r="BU134" s="680">
        <f t="shared" si="148"/>
        <v>0</v>
      </c>
      <c r="BV134" s="680">
        <f t="shared" si="148"/>
        <v>0</v>
      </c>
      <c r="BW134" s="680">
        <f t="shared" si="148"/>
        <v>0.28435560000000137</v>
      </c>
      <c r="BX134" s="680">
        <f t="shared" si="148"/>
        <v>0.18241680000000216</v>
      </c>
      <c r="BY134" s="680">
        <f t="shared" si="148"/>
        <v>0</v>
      </c>
      <c r="BZ134" s="680">
        <f t="shared" ref="BZ134:CA134" si="210">+BZ85-BZ84</f>
        <v>0.49996300000000016</v>
      </c>
      <c r="CA134" s="680">
        <f t="shared" si="210"/>
        <v>1.4349279999999994E-3</v>
      </c>
      <c r="CB134" s="680">
        <f t="shared" si="148"/>
        <v>0</v>
      </c>
      <c r="CC134" s="680">
        <f t="shared" si="148"/>
        <v>0.25188562000000037</v>
      </c>
      <c r="CD134" s="680">
        <f t="shared" si="148"/>
        <v>0.43824215999999971</v>
      </c>
      <c r="CE134" s="680">
        <f t="shared" si="148"/>
        <v>4.0816548000000008E-2</v>
      </c>
      <c r="CF134" s="680">
        <f t="shared" si="148"/>
        <v>4.981219999999998E-3</v>
      </c>
      <c r="CG134" s="680">
        <f t="shared" si="148"/>
        <v>0</v>
      </c>
      <c r="CH134" s="680">
        <f t="shared" si="148"/>
        <v>2.9473252799999976</v>
      </c>
      <c r="CI134" s="680">
        <f t="shared" si="148"/>
        <v>0.57169888000000046</v>
      </c>
      <c r="CJ134" s="680">
        <f t="shared" si="148"/>
        <v>1.02612079999993E-2</v>
      </c>
      <c r="CK134" s="680">
        <f t="shared" ref="CK134:CR134" si="211">+CK85-CK84</f>
        <v>0.10122344</v>
      </c>
      <c r="CL134" s="680">
        <f t="shared" si="211"/>
        <v>0</v>
      </c>
      <c r="CM134" s="680">
        <f t="shared" si="211"/>
        <v>6.3120000000003312E-5</v>
      </c>
      <c r="CN134" s="680">
        <f t="shared" si="211"/>
        <v>0</v>
      </c>
      <c r="CO134" s="680">
        <f t="shared" si="211"/>
        <v>0.75095967999999935</v>
      </c>
      <c r="CP134" s="680">
        <f t="shared" si="211"/>
        <v>0</v>
      </c>
      <c r="CQ134" s="680">
        <f t="shared" si="211"/>
        <v>0</v>
      </c>
      <c r="CR134" s="680">
        <f t="shared" si="211"/>
        <v>0</v>
      </c>
      <c r="CS134" s="680">
        <f t="shared" si="151"/>
        <v>0</v>
      </c>
      <c r="CT134" s="680">
        <f t="shared" si="151"/>
        <v>6.0856274840000424</v>
      </c>
      <c r="CU134" s="680">
        <f t="shared" si="151"/>
        <v>0</v>
      </c>
      <c r="CV134" s="680">
        <f t="shared" si="151"/>
        <v>0</v>
      </c>
      <c r="CW134" s="680">
        <f t="shared" si="151"/>
        <v>4.1646359932661525E-2</v>
      </c>
      <c r="CX134" s="680">
        <f t="shared" si="151"/>
        <v>3.7129288000000038E-2</v>
      </c>
      <c r="CY134" s="680">
        <f t="shared" si="151"/>
        <v>7.8775647932660675E-2</v>
      </c>
      <c r="CZ134" s="680">
        <f t="shared" si="151"/>
        <v>6.1644031319327155</v>
      </c>
      <c r="DA134" s="680">
        <f t="shared" si="151"/>
        <v>0.33626316793271371</v>
      </c>
      <c r="DB134" s="680">
        <f t="shared" si="151"/>
        <v>5.8281399640000018</v>
      </c>
    </row>
    <row r="135" spans="1:106" x14ac:dyDescent="0.2">
      <c r="A135">
        <f t="shared" si="58"/>
        <v>2022</v>
      </c>
      <c r="B135" s="680">
        <f t="shared" ref="B135:AH135" si="212">+B86-B85</f>
        <v>0</v>
      </c>
      <c r="C135" s="680">
        <f t="shared" si="212"/>
        <v>0</v>
      </c>
      <c r="D135" s="680">
        <f t="shared" si="212"/>
        <v>0</v>
      </c>
      <c r="E135" s="680">
        <f t="shared" si="212"/>
        <v>0.14979999999999993</v>
      </c>
      <c r="F135" s="680">
        <f t="shared" si="212"/>
        <v>4.0659999999999918E-2</v>
      </c>
      <c r="G135" s="680">
        <f t="shared" si="212"/>
        <v>0</v>
      </c>
      <c r="H135" s="680">
        <f t="shared" ref="H135:Z135" si="213">+H86-H85</f>
        <v>4.0124999999999994E-2</v>
      </c>
      <c r="I135" s="680">
        <f t="shared" si="213"/>
        <v>1.0700000000000006E-3</v>
      </c>
      <c r="J135" s="680">
        <f t="shared" si="213"/>
        <v>0</v>
      </c>
      <c r="K135" s="680">
        <f t="shared" si="213"/>
        <v>9.1217499999999507E-2</v>
      </c>
      <c r="L135" s="680">
        <f t="shared" si="213"/>
        <v>0.39868199999999998</v>
      </c>
      <c r="M135" s="680">
        <f t="shared" si="213"/>
        <v>3.0034899999999993E-3</v>
      </c>
      <c r="N135" s="680">
        <f t="shared" si="213"/>
        <v>6.7517000000000011E-4</v>
      </c>
      <c r="O135" s="680">
        <f t="shared" si="213"/>
        <v>0</v>
      </c>
      <c r="P135" s="680">
        <f t="shared" si="213"/>
        <v>0.63729199999999953</v>
      </c>
      <c r="Q135" s="680">
        <f t="shared" si="213"/>
        <v>0.11716499999999996</v>
      </c>
      <c r="R135" s="680">
        <f t="shared" si="213"/>
        <v>0.3830600000000004</v>
      </c>
      <c r="S135" s="680">
        <f t="shared" si="213"/>
        <v>0.9904989999999998</v>
      </c>
      <c r="T135" s="680">
        <f t="shared" si="213"/>
        <v>0</v>
      </c>
      <c r="U135" s="680">
        <f t="shared" si="213"/>
        <v>2.1399999999999891E-4</v>
      </c>
      <c r="V135" s="680">
        <f t="shared" si="213"/>
        <v>0</v>
      </c>
      <c r="W135" s="680">
        <f t="shared" si="213"/>
        <v>0.31329600000000024</v>
      </c>
      <c r="X135" s="680">
        <f t="shared" si="213"/>
        <v>0</v>
      </c>
      <c r="Y135" s="680">
        <f t="shared" si="213"/>
        <v>0</v>
      </c>
      <c r="Z135" s="680">
        <f t="shared" si="213"/>
        <v>0</v>
      </c>
      <c r="AA135" s="680">
        <f t="shared" si="212"/>
        <v>0</v>
      </c>
      <c r="AB135" s="680">
        <f t="shared" si="212"/>
        <v>3.1667591600000122</v>
      </c>
      <c r="AC135" s="680">
        <f t="shared" si="212"/>
        <v>1.4124000000000025E-2</v>
      </c>
      <c r="AD135" s="680">
        <f t="shared" si="212"/>
        <v>9.8440000000000027E-2</v>
      </c>
      <c r="AE135" s="680">
        <f t="shared" si="212"/>
        <v>0.31886000000000791</v>
      </c>
      <c r="AF135" s="680">
        <f t="shared" si="212"/>
        <v>0</v>
      </c>
      <c r="AG135" s="680">
        <f t="shared" si="212"/>
        <v>0.43142400000000691</v>
      </c>
      <c r="AH135" s="680">
        <f t="shared" si="212"/>
        <v>3.5981831600000191</v>
      </c>
      <c r="AJ135">
        <f t="shared" si="61"/>
        <v>2022</v>
      </c>
      <c r="AK135" s="680">
        <f t="shared" ref="AK135:BI135" si="214">+AK86-AK85</f>
        <v>0</v>
      </c>
      <c r="AL135" s="680">
        <f t="shared" si="214"/>
        <v>0</v>
      </c>
      <c r="AM135" s="680">
        <f t="shared" si="214"/>
        <v>0</v>
      </c>
      <c r="AN135" s="680">
        <f t="shared" si="214"/>
        <v>0</v>
      </c>
      <c r="AO135" s="680">
        <f t="shared" si="214"/>
        <v>0</v>
      </c>
      <c r="AP135" s="680">
        <f t="shared" si="214"/>
        <v>0</v>
      </c>
      <c r="AQ135" s="680">
        <f t="shared" si="214"/>
        <v>1.0699999999999998E-3</v>
      </c>
      <c r="AR135" s="680">
        <f t="shared" si="214"/>
        <v>8.3459999999999958E-4</v>
      </c>
      <c r="AS135" s="680">
        <f t="shared" si="214"/>
        <v>0</v>
      </c>
      <c r="AT135" s="680">
        <f t="shared" si="214"/>
        <v>6.8426499999999946E-2</v>
      </c>
      <c r="AU135" s="680">
        <f t="shared" si="214"/>
        <v>0.3128145</v>
      </c>
      <c r="AV135" s="680">
        <f t="shared" si="214"/>
        <v>4.2243599999999999E-3</v>
      </c>
      <c r="AW135" s="680">
        <f t="shared" si="214"/>
        <v>3.5203000000000014E-4</v>
      </c>
      <c r="AX135" s="680">
        <f t="shared" si="214"/>
        <v>0</v>
      </c>
      <c r="AY135" s="680">
        <f t="shared" si="214"/>
        <v>0.49648000000000092</v>
      </c>
      <c r="AZ135" s="680">
        <f t="shared" si="214"/>
        <v>0.11716499999999996</v>
      </c>
      <c r="BA135" s="680">
        <f t="shared" si="214"/>
        <v>0</v>
      </c>
      <c r="BB135" s="680">
        <f t="shared" si="214"/>
        <v>0</v>
      </c>
      <c r="BC135" s="680">
        <f t="shared" si="214"/>
        <v>0</v>
      </c>
      <c r="BD135" s="680">
        <f t="shared" si="214"/>
        <v>0</v>
      </c>
      <c r="BE135" s="680">
        <f t="shared" si="214"/>
        <v>0</v>
      </c>
      <c r="BF135" s="680">
        <f t="shared" si="214"/>
        <v>0</v>
      </c>
      <c r="BG135" s="680">
        <f t="shared" si="214"/>
        <v>0</v>
      </c>
      <c r="BH135" s="680">
        <f t="shared" si="214"/>
        <v>0</v>
      </c>
      <c r="BI135" s="680">
        <f t="shared" si="214"/>
        <v>0</v>
      </c>
      <c r="BJ135" s="680">
        <f t="shared" ref="BJ135:BQ135" si="215">+BJ86-BJ85</f>
        <v>0</v>
      </c>
      <c r="BK135" s="680">
        <f t="shared" si="215"/>
        <v>1.001366989999994</v>
      </c>
      <c r="BL135" s="680">
        <f t="shared" si="215"/>
        <v>0</v>
      </c>
      <c r="BM135" s="680">
        <f t="shared" si="215"/>
        <v>6.4199999999999979E-2</v>
      </c>
      <c r="BN135" s="680">
        <f t="shared" si="215"/>
        <v>0.57021056565655925</v>
      </c>
      <c r="BO135" s="680">
        <f t="shared" si="215"/>
        <v>0</v>
      </c>
      <c r="BP135" s="680">
        <f t="shared" si="215"/>
        <v>0.63441056565656595</v>
      </c>
      <c r="BQ135" s="680">
        <f t="shared" si="215"/>
        <v>1.6357775556565457</v>
      </c>
      <c r="BS135">
        <f t="shared" si="64"/>
        <v>2022</v>
      </c>
      <c r="BT135" s="680">
        <f t="shared" si="148"/>
        <v>0</v>
      </c>
      <c r="BU135" s="680">
        <f t="shared" si="148"/>
        <v>0</v>
      </c>
      <c r="BV135" s="680">
        <f t="shared" si="148"/>
        <v>0</v>
      </c>
      <c r="BW135" s="680">
        <f t="shared" si="148"/>
        <v>0.2843555999999996</v>
      </c>
      <c r="BX135" s="680">
        <f t="shared" si="148"/>
        <v>0.18241680000000216</v>
      </c>
      <c r="BY135" s="680">
        <f t="shared" si="148"/>
        <v>0</v>
      </c>
      <c r="BZ135" s="680">
        <f t="shared" ref="BZ135:CA135" si="216">+BZ86-BZ85</f>
        <v>0.49996299999999971</v>
      </c>
      <c r="CA135" s="680">
        <f t="shared" si="216"/>
        <v>1.4349279999999994E-3</v>
      </c>
      <c r="CB135" s="680">
        <f t="shared" si="148"/>
        <v>0</v>
      </c>
      <c r="CC135" s="680">
        <f t="shared" si="148"/>
        <v>0.25188562000000037</v>
      </c>
      <c r="CD135" s="680">
        <f t="shared" si="148"/>
        <v>0.4382421600000006</v>
      </c>
      <c r="CE135" s="680">
        <f t="shared" si="148"/>
        <v>4.7619306000000028E-2</v>
      </c>
      <c r="CF135" s="680">
        <f t="shared" si="148"/>
        <v>4.9812200000000015E-3</v>
      </c>
      <c r="CG135" s="680">
        <f t="shared" si="148"/>
        <v>0</v>
      </c>
      <c r="CH135" s="680">
        <f t="shared" si="148"/>
        <v>2.9473252800000012</v>
      </c>
      <c r="CI135" s="680">
        <f t="shared" si="148"/>
        <v>0.57169888000000046</v>
      </c>
      <c r="CJ135" s="680">
        <f t="shared" si="148"/>
        <v>1.0261208000002853E-2</v>
      </c>
      <c r="CK135" s="680">
        <f t="shared" ref="CK135:CR135" si="217">+CK86-CK85</f>
        <v>0.10122344</v>
      </c>
      <c r="CL135" s="680">
        <f t="shared" si="217"/>
        <v>0</v>
      </c>
      <c r="CM135" s="680">
        <f t="shared" si="217"/>
        <v>6.3119999999999843E-5</v>
      </c>
      <c r="CN135" s="680">
        <f t="shared" si="217"/>
        <v>0</v>
      </c>
      <c r="CO135" s="680">
        <f t="shared" si="217"/>
        <v>0.75095967999999935</v>
      </c>
      <c r="CP135" s="680">
        <f t="shared" si="217"/>
        <v>0</v>
      </c>
      <c r="CQ135" s="680">
        <f t="shared" si="217"/>
        <v>0</v>
      </c>
      <c r="CR135" s="680">
        <f t="shared" si="217"/>
        <v>0</v>
      </c>
      <c r="CS135" s="680">
        <f t="shared" si="151"/>
        <v>0</v>
      </c>
      <c r="CT135" s="680">
        <f t="shared" si="151"/>
        <v>6.0924302419999208</v>
      </c>
      <c r="CU135" s="680">
        <f t="shared" si="151"/>
        <v>0</v>
      </c>
      <c r="CV135" s="680">
        <f t="shared" si="151"/>
        <v>0</v>
      </c>
      <c r="CW135" s="680">
        <f t="shared" si="151"/>
        <v>4.1646359932659749E-2</v>
      </c>
      <c r="CX135" s="680">
        <f t="shared" si="151"/>
        <v>3.7129288000000038E-2</v>
      </c>
      <c r="CY135" s="680">
        <f t="shared" si="151"/>
        <v>7.8775647932660675E-2</v>
      </c>
      <c r="CZ135" s="680">
        <f t="shared" si="151"/>
        <v>6.1712058899325939</v>
      </c>
      <c r="DA135" s="162">
        <f>+BT135+BU135+BV135+BW135+CG135+CJ135+CL135+CU135+CV135+CW135</f>
        <v>0.3362631679326622</v>
      </c>
      <c r="DB135" s="680">
        <f t="shared" si="151"/>
        <v>5.834942721999937</v>
      </c>
    </row>
  </sheetData>
  <mergeCells count="18">
    <mergeCell ref="B1:AG1"/>
    <mergeCell ref="AK1:BP1"/>
    <mergeCell ref="BT1:CY1"/>
    <mergeCell ref="B2:AB2"/>
    <mergeCell ref="AC2:AG2"/>
    <mergeCell ref="AK2:BK2"/>
    <mergeCell ref="BL2:BP2"/>
    <mergeCell ref="BT2:CT2"/>
    <mergeCell ref="CU2:CY2"/>
    <mergeCell ref="B54:AG54"/>
    <mergeCell ref="AK54:BP54"/>
    <mergeCell ref="BT54:CY54"/>
    <mergeCell ref="B55:AB55"/>
    <mergeCell ref="AC55:AG55"/>
    <mergeCell ref="AK55:BK55"/>
    <mergeCell ref="BL55:BP55"/>
    <mergeCell ref="BT55:CT55"/>
    <mergeCell ref="CU55:CY55"/>
  </mergeCells>
  <phoneticPr fontId="7" type="noConversion"/>
  <pageMargins left="0.25" right="0.35" top="0.3" bottom="0.22" header="0.25" footer="0.16"/>
  <pageSetup scale="16" orientation="landscape" r:id="rId1"/>
  <headerFooter alignWithMargins="0"/>
  <ignoredErrors>
    <ignoredError sqref="AB59:AB91 BF4:BF36 CT59:CT75 CT77:CT91" formula="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FF0000"/>
    <pageSetUpPr fitToPage="1"/>
  </sheetPr>
  <dimension ref="A1:X59"/>
  <sheetViews>
    <sheetView workbookViewId="0">
      <pane xSplit="1" ySplit="5" topLeftCell="B24" activePane="bottomRight" state="frozen"/>
      <selection activeCell="A3" sqref="A3:M4"/>
      <selection pane="topRight" activeCell="A3" sqref="A3:M4"/>
      <selection pane="bottomLeft" activeCell="A3" sqref="A3:M4"/>
      <selection pane="bottomRight" activeCell="A55" sqref="A55:XFD55"/>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8" t="s">
        <v>313</v>
      </c>
      <c r="F1" s="4"/>
      <c r="G1" s="249"/>
      <c r="H1" s="249"/>
      <c r="I1" s="249"/>
      <c r="J1" s="4"/>
      <c r="K1" s="4"/>
      <c r="L1" s="4"/>
      <c r="M1" s="4"/>
      <c r="N1" s="4"/>
    </row>
    <row r="2" spans="1:24" ht="16.5" thickBot="1" x14ac:dyDescent="0.3">
      <c r="A2" s="5" t="s">
        <v>1</v>
      </c>
      <c r="B2" s="27" t="s">
        <v>205</v>
      </c>
      <c r="C2" s="27"/>
      <c r="D2" s="27"/>
      <c r="E2" s="27"/>
      <c r="F2" s="27"/>
      <c r="G2" s="27"/>
      <c r="H2" s="27"/>
      <c r="J2" s="4"/>
      <c r="K2" s="4"/>
      <c r="L2" s="4"/>
      <c r="M2" s="4"/>
      <c r="N2" s="4"/>
    </row>
    <row r="3" spans="1:24" ht="16.5" thickBot="1" x14ac:dyDescent="0.3">
      <c r="A3" s="4"/>
      <c r="B3" s="4"/>
      <c r="C3" s="4"/>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0+C6</f>
        <v>0</v>
      </c>
      <c r="D7" s="628"/>
      <c r="E7" s="15"/>
      <c r="F7" s="31"/>
      <c r="G7" s="208"/>
      <c r="H7" s="15"/>
      <c r="I7" s="31"/>
      <c r="J7" s="37"/>
      <c r="K7" s="59"/>
      <c r="L7" s="6"/>
      <c r="M7" s="46"/>
      <c r="N7" s="40"/>
      <c r="O7" s="55"/>
      <c r="P7" s="57"/>
      <c r="Q7" s="41"/>
      <c r="R7" s="43"/>
      <c r="S7" s="24"/>
      <c r="T7" s="21"/>
      <c r="U7" s="47"/>
      <c r="V7" s="3"/>
    </row>
    <row r="8" spans="1:24" x14ac:dyDescent="0.2">
      <c r="A8" s="33">
        <v>1995</v>
      </c>
      <c r="B8" s="30">
        <v>0</v>
      </c>
      <c r="C8" s="660">
        <f t="shared" ref="C8:C39" si="0">+C7+B8</f>
        <v>0</v>
      </c>
      <c r="D8" s="662">
        <f t="shared" ref="D8:D19" si="1">IF($B8=0,0,(G8*1000)/$B8)</f>
        <v>0</v>
      </c>
      <c r="E8" s="663">
        <f t="shared" ref="E8:E19" si="2">IF($B8=0,0,(H8*1000)/$B8)</f>
        <v>0</v>
      </c>
      <c r="F8" s="675">
        <f t="shared" ref="F8:F19" si="3">IF($B8=0,0,(I8*1000000)/$B8)</f>
        <v>0</v>
      </c>
      <c r="G8" s="626">
        <f t="shared" ref="G8:G21" si="4">+$B8*D8/1000</f>
        <v>0</v>
      </c>
      <c r="H8" s="72">
        <f t="shared" ref="H8:H21" si="5">+$B8*E8/1000</f>
        <v>0</v>
      </c>
      <c r="I8" s="630">
        <f t="shared" ref="I8:I21" si="6">+$B8*F8/1000000</f>
        <v>0</v>
      </c>
      <c r="J8" s="61">
        <f>+(B8+N8)/2</f>
        <v>0</v>
      </c>
      <c r="K8" s="188">
        <f t="shared" ref="K8:K39" si="7">+D8</f>
        <v>0</v>
      </c>
      <c r="L8" s="188">
        <f t="shared" ref="L8:L39" si="8">+J8*K8/1000</f>
        <v>0</v>
      </c>
      <c r="M8" s="188">
        <f t="shared" ref="M8:M39" si="9">+M7+L8</f>
        <v>0</v>
      </c>
      <c r="N8" s="51">
        <v>0</v>
      </c>
      <c r="O8" s="670">
        <f t="shared" ref="O8:O39" si="10">+E8</f>
        <v>0</v>
      </c>
      <c r="P8" s="670">
        <f t="shared" ref="P8:P39" si="11">+N8*O8/1000</f>
        <v>0</v>
      </c>
      <c r="Q8" s="670">
        <f t="shared" ref="Q8:Q39" si="12">+Q7+P8</f>
        <v>0</v>
      </c>
      <c r="R8" s="247">
        <f>J8</f>
        <v>0</v>
      </c>
      <c r="S8" s="24">
        <f t="shared" ref="S8:S38" si="13">+F8</f>
        <v>0</v>
      </c>
      <c r="T8" s="25">
        <f t="shared" ref="T8:T38" si="14">+R8*S8/1000000</f>
        <v>0</v>
      </c>
      <c r="U8" s="654">
        <f t="shared" ref="U8:U38" si="15">+U7+T8</f>
        <v>0</v>
      </c>
      <c r="V8" s="248"/>
      <c r="X8" s="1"/>
    </row>
    <row r="9" spans="1:24" x14ac:dyDescent="0.2">
      <c r="A9" s="33">
        <v>1996</v>
      </c>
      <c r="B9" s="30">
        <v>0</v>
      </c>
      <c r="C9" s="660">
        <f t="shared" si="0"/>
        <v>0</v>
      </c>
      <c r="D9" s="662">
        <f t="shared" si="1"/>
        <v>0</v>
      </c>
      <c r="E9" s="663">
        <f t="shared" si="2"/>
        <v>0</v>
      </c>
      <c r="F9" s="675">
        <f t="shared" si="3"/>
        <v>0</v>
      </c>
      <c r="G9" s="626">
        <f t="shared" si="4"/>
        <v>0</v>
      </c>
      <c r="H9" s="72">
        <f t="shared" si="5"/>
        <v>0</v>
      </c>
      <c r="I9" s="630">
        <f t="shared" si="6"/>
        <v>0</v>
      </c>
      <c r="J9" s="61">
        <f t="shared" ref="J9:J39" si="16">+(B9+B8)/2</f>
        <v>0</v>
      </c>
      <c r="K9" s="188">
        <f t="shared" si="7"/>
        <v>0</v>
      </c>
      <c r="L9" s="188">
        <f t="shared" si="8"/>
        <v>0</v>
      </c>
      <c r="M9" s="188">
        <f t="shared" si="9"/>
        <v>0</v>
      </c>
      <c r="N9" s="54">
        <f t="shared" ref="N9:N39" si="17">+B8</f>
        <v>0</v>
      </c>
      <c r="O9" s="670">
        <f t="shared" si="10"/>
        <v>0</v>
      </c>
      <c r="P9" s="670">
        <f t="shared" si="11"/>
        <v>0</v>
      </c>
      <c r="Q9" s="670">
        <f t="shared" si="12"/>
        <v>0</v>
      </c>
      <c r="R9" s="247">
        <f t="shared" ref="R9:R38" si="18">+(B9+B8)/2</f>
        <v>0</v>
      </c>
      <c r="S9" s="24">
        <f t="shared" si="13"/>
        <v>0</v>
      </c>
      <c r="T9" s="25">
        <f t="shared" si="14"/>
        <v>0</v>
      </c>
      <c r="U9" s="654">
        <f t="shared" si="15"/>
        <v>0</v>
      </c>
      <c r="V9" s="10"/>
      <c r="X9" s="1"/>
    </row>
    <row r="10" spans="1:24" x14ac:dyDescent="0.2">
      <c r="A10" s="33">
        <v>1997</v>
      </c>
      <c r="B10" s="30">
        <v>0</v>
      </c>
      <c r="C10" s="660">
        <f t="shared" si="0"/>
        <v>0</v>
      </c>
      <c r="D10" s="662">
        <f t="shared" si="1"/>
        <v>0</v>
      </c>
      <c r="E10" s="663">
        <f t="shared" si="2"/>
        <v>0</v>
      </c>
      <c r="F10" s="675">
        <f t="shared" si="3"/>
        <v>0</v>
      </c>
      <c r="G10" s="626">
        <f t="shared" si="4"/>
        <v>0</v>
      </c>
      <c r="H10" s="72">
        <f t="shared" si="5"/>
        <v>0</v>
      </c>
      <c r="I10" s="630">
        <f t="shared" si="6"/>
        <v>0</v>
      </c>
      <c r="J10" s="61">
        <f t="shared" si="16"/>
        <v>0</v>
      </c>
      <c r="K10" s="188">
        <f t="shared" si="7"/>
        <v>0</v>
      </c>
      <c r="L10" s="188">
        <f t="shared" si="8"/>
        <v>0</v>
      </c>
      <c r="M10" s="188">
        <f t="shared" si="9"/>
        <v>0</v>
      </c>
      <c r="N10" s="54">
        <f t="shared" si="17"/>
        <v>0</v>
      </c>
      <c r="O10" s="670">
        <f t="shared" si="10"/>
        <v>0</v>
      </c>
      <c r="P10" s="670">
        <f t="shared" si="11"/>
        <v>0</v>
      </c>
      <c r="Q10" s="670">
        <f t="shared" si="12"/>
        <v>0</v>
      </c>
      <c r="R10" s="247">
        <f t="shared" si="18"/>
        <v>0</v>
      </c>
      <c r="S10" s="24">
        <f t="shared" si="13"/>
        <v>0</v>
      </c>
      <c r="T10" s="25">
        <f t="shared" si="14"/>
        <v>0</v>
      </c>
      <c r="U10" s="654">
        <f t="shared" si="15"/>
        <v>0</v>
      </c>
      <c r="V10" s="10"/>
      <c r="X10" s="1"/>
    </row>
    <row r="11" spans="1:24" x14ac:dyDescent="0.2">
      <c r="A11" s="33">
        <v>1998</v>
      </c>
      <c r="B11" s="30">
        <v>0</v>
      </c>
      <c r="C11" s="660">
        <f t="shared" si="0"/>
        <v>0</v>
      </c>
      <c r="D11" s="662">
        <f t="shared" si="1"/>
        <v>0</v>
      </c>
      <c r="E11" s="663">
        <f t="shared" si="2"/>
        <v>0</v>
      </c>
      <c r="F11" s="675">
        <f t="shared" si="3"/>
        <v>0</v>
      </c>
      <c r="G11" s="626">
        <f t="shared" si="4"/>
        <v>0</v>
      </c>
      <c r="H11" s="72">
        <f t="shared" si="5"/>
        <v>0</v>
      </c>
      <c r="I11" s="630">
        <f t="shared" si="6"/>
        <v>0</v>
      </c>
      <c r="J11" s="61">
        <f t="shared" si="16"/>
        <v>0</v>
      </c>
      <c r="K11" s="188">
        <f t="shared" si="7"/>
        <v>0</v>
      </c>
      <c r="L11" s="188">
        <f t="shared" si="8"/>
        <v>0</v>
      </c>
      <c r="M11" s="188">
        <f t="shared" si="9"/>
        <v>0</v>
      </c>
      <c r="N11" s="54">
        <f t="shared" si="17"/>
        <v>0</v>
      </c>
      <c r="O11" s="670">
        <f t="shared" si="10"/>
        <v>0</v>
      </c>
      <c r="P11" s="670">
        <f t="shared" si="11"/>
        <v>0</v>
      </c>
      <c r="Q11" s="670">
        <f t="shared" si="12"/>
        <v>0</v>
      </c>
      <c r="R11" s="247">
        <f t="shared" si="18"/>
        <v>0</v>
      </c>
      <c r="S11" s="24">
        <f t="shared" si="13"/>
        <v>0</v>
      </c>
      <c r="T11" s="25">
        <f t="shared" si="14"/>
        <v>0</v>
      </c>
      <c r="U11" s="654">
        <f t="shared" si="15"/>
        <v>0</v>
      </c>
      <c r="V11" s="10"/>
      <c r="X11" s="1"/>
    </row>
    <row r="12" spans="1:24" x14ac:dyDescent="0.2">
      <c r="A12" s="33">
        <v>1999</v>
      </c>
      <c r="B12" s="30">
        <v>0</v>
      </c>
      <c r="C12" s="660">
        <f t="shared" si="0"/>
        <v>0</v>
      </c>
      <c r="D12" s="662">
        <f t="shared" si="1"/>
        <v>0</v>
      </c>
      <c r="E12" s="663">
        <f t="shared" si="2"/>
        <v>0</v>
      </c>
      <c r="F12" s="675">
        <f t="shared" si="3"/>
        <v>0</v>
      </c>
      <c r="G12" s="626">
        <f t="shared" si="4"/>
        <v>0</v>
      </c>
      <c r="H12" s="72">
        <f t="shared" si="5"/>
        <v>0</v>
      </c>
      <c r="I12" s="630">
        <f t="shared" si="6"/>
        <v>0</v>
      </c>
      <c r="J12" s="61">
        <f t="shared" si="16"/>
        <v>0</v>
      </c>
      <c r="K12" s="188">
        <f t="shared" si="7"/>
        <v>0</v>
      </c>
      <c r="L12" s="188">
        <f t="shared" si="8"/>
        <v>0</v>
      </c>
      <c r="M12" s="188">
        <f t="shared" si="9"/>
        <v>0</v>
      </c>
      <c r="N12" s="54">
        <f t="shared" si="17"/>
        <v>0</v>
      </c>
      <c r="O12" s="670">
        <f t="shared" si="10"/>
        <v>0</v>
      </c>
      <c r="P12" s="670">
        <f t="shared" si="11"/>
        <v>0</v>
      </c>
      <c r="Q12" s="670">
        <f t="shared" si="12"/>
        <v>0</v>
      </c>
      <c r="R12" s="247">
        <f t="shared" si="18"/>
        <v>0</v>
      </c>
      <c r="S12" s="24">
        <f t="shared" si="13"/>
        <v>0</v>
      </c>
      <c r="T12" s="25">
        <f t="shared" si="14"/>
        <v>0</v>
      </c>
      <c r="U12" s="654">
        <f t="shared" si="15"/>
        <v>0</v>
      </c>
      <c r="V12" s="10"/>
      <c r="X12" s="1"/>
    </row>
    <row r="13" spans="1:24" x14ac:dyDescent="0.2">
      <c r="A13" s="33">
        <v>2000</v>
      </c>
      <c r="B13" s="30">
        <v>0</v>
      </c>
      <c r="C13" s="660">
        <f t="shared" si="0"/>
        <v>0</v>
      </c>
      <c r="D13" s="662">
        <f t="shared" si="1"/>
        <v>0</v>
      </c>
      <c r="E13" s="663">
        <f t="shared" si="2"/>
        <v>0</v>
      </c>
      <c r="F13" s="675">
        <f t="shared" si="3"/>
        <v>0</v>
      </c>
      <c r="G13" s="626">
        <f t="shared" si="4"/>
        <v>0</v>
      </c>
      <c r="H13" s="72">
        <f t="shared" si="5"/>
        <v>0</v>
      </c>
      <c r="I13" s="630">
        <f t="shared" si="6"/>
        <v>0</v>
      </c>
      <c r="J13" s="61">
        <f t="shared" si="16"/>
        <v>0</v>
      </c>
      <c r="K13" s="188">
        <f t="shared" si="7"/>
        <v>0</v>
      </c>
      <c r="L13" s="188">
        <f t="shared" si="8"/>
        <v>0</v>
      </c>
      <c r="M13" s="188">
        <f t="shared" si="9"/>
        <v>0</v>
      </c>
      <c r="N13" s="54">
        <f t="shared" si="17"/>
        <v>0</v>
      </c>
      <c r="O13" s="670">
        <f t="shared" si="10"/>
        <v>0</v>
      </c>
      <c r="P13" s="670">
        <f t="shared" si="11"/>
        <v>0</v>
      </c>
      <c r="Q13" s="670">
        <f t="shared" si="12"/>
        <v>0</v>
      </c>
      <c r="R13" s="247">
        <f t="shared" si="18"/>
        <v>0</v>
      </c>
      <c r="S13" s="24">
        <f t="shared" si="13"/>
        <v>0</v>
      </c>
      <c r="T13" s="25">
        <f t="shared" si="14"/>
        <v>0</v>
      </c>
      <c r="U13" s="654">
        <f t="shared" si="15"/>
        <v>0</v>
      </c>
      <c r="V13" s="248"/>
      <c r="X13" s="1"/>
    </row>
    <row r="14" spans="1:24" x14ac:dyDescent="0.2">
      <c r="A14" s="33">
        <v>2001</v>
      </c>
      <c r="B14" s="30">
        <v>0</v>
      </c>
      <c r="C14" s="660">
        <f t="shared" si="0"/>
        <v>0</v>
      </c>
      <c r="D14" s="662">
        <f t="shared" si="1"/>
        <v>0</v>
      </c>
      <c r="E14" s="663">
        <f t="shared" si="2"/>
        <v>0</v>
      </c>
      <c r="F14" s="675">
        <f t="shared" si="3"/>
        <v>0</v>
      </c>
      <c r="G14" s="626">
        <f t="shared" si="4"/>
        <v>0</v>
      </c>
      <c r="H14" s="72">
        <f t="shared" si="5"/>
        <v>0</v>
      </c>
      <c r="I14" s="630">
        <f t="shared" si="6"/>
        <v>0</v>
      </c>
      <c r="J14" s="61">
        <f t="shared" si="16"/>
        <v>0</v>
      </c>
      <c r="K14" s="188">
        <f t="shared" si="7"/>
        <v>0</v>
      </c>
      <c r="L14" s="188">
        <f t="shared" si="8"/>
        <v>0</v>
      </c>
      <c r="M14" s="188">
        <f t="shared" si="9"/>
        <v>0</v>
      </c>
      <c r="N14" s="54">
        <f t="shared" si="17"/>
        <v>0</v>
      </c>
      <c r="O14" s="670">
        <f t="shared" si="10"/>
        <v>0</v>
      </c>
      <c r="P14" s="670">
        <f t="shared" si="11"/>
        <v>0</v>
      </c>
      <c r="Q14" s="670">
        <f t="shared" si="12"/>
        <v>0</v>
      </c>
      <c r="R14" s="247">
        <f t="shared" si="18"/>
        <v>0</v>
      </c>
      <c r="S14" s="24">
        <f t="shared" si="13"/>
        <v>0</v>
      </c>
      <c r="T14" s="25">
        <f t="shared" si="14"/>
        <v>0</v>
      </c>
      <c r="U14" s="654">
        <f t="shared" si="15"/>
        <v>0</v>
      </c>
      <c r="V14" s="248"/>
      <c r="X14" s="1"/>
    </row>
    <row r="15" spans="1:24" x14ac:dyDescent="0.2">
      <c r="A15" s="33">
        <v>2002</v>
      </c>
      <c r="B15" s="30">
        <v>0</v>
      </c>
      <c r="C15" s="660">
        <f t="shared" si="0"/>
        <v>0</v>
      </c>
      <c r="D15" s="662">
        <f t="shared" si="1"/>
        <v>0</v>
      </c>
      <c r="E15" s="663">
        <f t="shared" si="2"/>
        <v>0</v>
      </c>
      <c r="F15" s="675">
        <f t="shared" si="3"/>
        <v>0</v>
      </c>
      <c r="G15" s="626">
        <f t="shared" si="4"/>
        <v>0</v>
      </c>
      <c r="H15" s="72">
        <f t="shared" si="5"/>
        <v>0</v>
      </c>
      <c r="I15" s="630">
        <f t="shared" si="6"/>
        <v>0</v>
      </c>
      <c r="J15" s="61">
        <f t="shared" si="16"/>
        <v>0</v>
      </c>
      <c r="K15" s="188">
        <f t="shared" si="7"/>
        <v>0</v>
      </c>
      <c r="L15" s="188">
        <f t="shared" si="8"/>
        <v>0</v>
      </c>
      <c r="M15" s="188">
        <f t="shared" si="9"/>
        <v>0</v>
      </c>
      <c r="N15" s="54">
        <f t="shared" si="17"/>
        <v>0</v>
      </c>
      <c r="O15" s="670">
        <f t="shared" si="10"/>
        <v>0</v>
      </c>
      <c r="P15" s="670">
        <f t="shared" si="11"/>
        <v>0</v>
      </c>
      <c r="Q15" s="670">
        <f t="shared" si="12"/>
        <v>0</v>
      </c>
      <c r="R15" s="247">
        <f t="shared" si="18"/>
        <v>0</v>
      </c>
      <c r="S15" s="24">
        <f t="shared" si="13"/>
        <v>0</v>
      </c>
      <c r="T15" s="25">
        <f t="shared" si="14"/>
        <v>0</v>
      </c>
      <c r="U15" s="654">
        <f t="shared" si="15"/>
        <v>0</v>
      </c>
      <c r="V15" s="248"/>
      <c r="X15" s="1"/>
    </row>
    <row r="16" spans="1:24" x14ac:dyDescent="0.2">
      <c r="A16" s="33">
        <v>2003</v>
      </c>
      <c r="B16" s="30">
        <v>0</v>
      </c>
      <c r="C16" s="660">
        <f t="shared" si="0"/>
        <v>0</v>
      </c>
      <c r="D16" s="662">
        <f t="shared" si="1"/>
        <v>0</v>
      </c>
      <c r="E16" s="663">
        <f t="shared" si="2"/>
        <v>0</v>
      </c>
      <c r="F16" s="675">
        <f t="shared" si="3"/>
        <v>0</v>
      </c>
      <c r="G16" s="626">
        <f t="shared" si="4"/>
        <v>0</v>
      </c>
      <c r="H16" s="72">
        <f t="shared" si="5"/>
        <v>0</v>
      </c>
      <c r="I16" s="630">
        <f t="shared" si="6"/>
        <v>0</v>
      </c>
      <c r="J16" s="61">
        <f t="shared" si="16"/>
        <v>0</v>
      </c>
      <c r="K16" s="188">
        <f t="shared" si="7"/>
        <v>0</v>
      </c>
      <c r="L16" s="188">
        <f t="shared" si="8"/>
        <v>0</v>
      </c>
      <c r="M16" s="188">
        <f t="shared" si="9"/>
        <v>0</v>
      </c>
      <c r="N16" s="54">
        <f t="shared" si="17"/>
        <v>0</v>
      </c>
      <c r="O16" s="670">
        <f t="shared" si="10"/>
        <v>0</v>
      </c>
      <c r="P16" s="670">
        <f t="shared" si="11"/>
        <v>0</v>
      </c>
      <c r="Q16" s="670">
        <f t="shared" si="12"/>
        <v>0</v>
      </c>
      <c r="R16" s="247">
        <f t="shared" si="18"/>
        <v>0</v>
      </c>
      <c r="S16" s="24">
        <f t="shared" si="13"/>
        <v>0</v>
      </c>
      <c r="T16" s="25">
        <f t="shared" si="14"/>
        <v>0</v>
      </c>
      <c r="U16" s="654">
        <f t="shared" si="15"/>
        <v>0</v>
      </c>
      <c r="V16" s="248"/>
      <c r="X16" s="1"/>
    </row>
    <row r="17" spans="1:24" x14ac:dyDescent="0.2">
      <c r="A17" s="33">
        <f t="shared" ref="A17:A54" si="19">+A16+1</f>
        <v>2004</v>
      </c>
      <c r="B17" s="30">
        <v>0</v>
      </c>
      <c r="C17" s="660">
        <f t="shared" si="0"/>
        <v>0</v>
      </c>
      <c r="D17" s="662">
        <f t="shared" si="1"/>
        <v>0</v>
      </c>
      <c r="E17" s="663">
        <f t="shared" si="2"/>
        <v>0</v>
      </c>
      <c r="F17" s="675">
        <f t="shared" si="3"/>
        <v>0</v>
      </c>
      <c r="G17" s="626">
        <f t="shared" si="4"/>
        <v>0</v>
      </c>
      <c r="H17" s="72">
        <f t="shared" si="5"/>
        <v>0</v>
      </c>
      <c r="I17" s="630">
        <f t="shared" si="6"/>
        <v>0</v>
      </c>
      <c r="J17" s="61">
        <f t="shared" si="16"/>
        <v>0</v>
      </c>
      <c r="K17" s="188">
        <f t="shared" si="7"/>
        <v>0</v>
      </c>
      <c r="L17" s="188">
        <f t="shared" si="8"/>
        <v>0</v>
      </c>
      <c r="M17" s="188">
        <f t="shared" si="9"/>
        <v>0</v>
      </c>
      <c r="N17" s="54">
        <f t="shared" si="17"/>
        <v>0</v>
      </c>
      <c r="O17" s="670">
        <f t="shared" si="10"/>
        <v>0</v>
      </c>
      <c r="P17" s="670">
        <f t="shared" si="11"/>
        <v>0</v>
      </c>
      <c r="Q17" s="670">
        <f t="shared" si="12"/>
        <v>0</v>
      </c>
      <c r="R17" s="247">
        <f t="shared" si="18"/>
        <v>0</v>
      </c>
      <c r="S17" s="24">
        <f t="shared" si="13"/>
        <v>0</v>
      </c>
      <c r="T17" s="25">
        <f t="shared" si="14"/>
        <v>0</v>
      </c>
      <c r="U17" s="654">
        <f t="shared" si="15"/>
        <v>0</v>
      </c>
      <c r="V17" s="248"/>
      <c r="X17" s="1"/>
    </row>
    <row r="18" spans="1:24" x14ac:dyDescent="0.2">
      <c r="A18" s="33">
        <f t="shared" si="19"/>
        <v>2005</v>
      </c>
      <c r="B18" s="30">
        <v>0</v>
      </c>
      <c r="C18" s="660">
        <f t="shared" si="0"/>
        <v>0</v>
      </c>
      <c r="D18" s="662">
        <f t="shared" si="1"/>
        <v>0</v>
      </c>
      <c r="E18" s="663">
        <f t="shared" si="2"/>
        <v>0</v>
      </c>
      <c r="F18" s="675">
        <f t="shared" si="3"/>
        <v>0</v>
      </c>
      <c r="G18" s="626">
        <f t="shared" si="4"/>
        <v>0</v>
      </c>
      <c r="H18" s="72">
        <f t="shared" si="5"/>
        <v>0</v>
      </c>
      <c r="I18" s="630">
        <f t="shared" si="6"/>
        <v>0</v>
      </c>
      <c r="J18" s="61">
        <f t="shared" si="16"/>
        <v>0</v>
      </c>
      <c r="K18" s="188">
        <f t="shared" si="7"/>
        <v>0</v>
      </c>
      <c r="L18" s="188">
        <f t="shared" si="8"/>
        <v>0</v>
      </c>
      <c r="M18" s="188">
        <f t="shared" si="9"/>
        <v>0</v>
      </c>
      <c r="N18" s="54">
        <f t="shared" si="17"/>
        <v>0</v>
      </c>
      <c r="O18" s="670">
        <f t="shared" si="10"/>
        <v>0</v>
      </c>
      <c r="P18" s="670">
        <f t="shared" si="11"/>
        <v>0</v>
      </c>
      <c r="Q18" s="670">
        <f t="shared" si="12"/>
        <v>0</v>
      </c>
      <c r="R18" s="247">
        <f t="shared" si="18"/>
        <v>0</v>
      </c>
      <c r="S18" s="24">
        <f t="shared" si="13"/>
        <v>0</v>
      </c>
      <c r="T18" s="25">
        <f t="shared" si="14"/>
        <v>0</v>
      </c>
      <c r="U18" s="654">
        <f t="shared" si="15"/>
        <v>0</v>
      </c>
      <c r="V18" s="248"/>
      <c r="X18" s="1"/>
    </row>
    <row r="19" spans="1:24" x14ac:dyDescent="0.2">
      <c r="A19" s="33">
        <f t="shared" si="19"/>
        <v>2006</v>
      </c>
      <c r="B19" s="30">
        <v>0</v>
      </c>
      <c r="C19" s="660">
        <f t="shared" si="0"/>
        <v>0</v>
      </c>
      <c r="D19" s="662">
        <f t="shared" si="1"/>
        <v>0</v>
      </c>
      <c r="E19" s="663">
        <f t="shared" si="2"/>
        <v>0</v>
      </c>
      <c r="F19" s="675">
        <f t="shared" si="3"/>
        <v>0</v>
      </c>
      <c r="G19" s="626">
        <f t="shared" si="4"/>
        <v>0</v>
      </c>
      <c r="H19" s="72">
        <f t="shared" si="5"/>
        <v>0</v>
      </c>
      <c r="I19" s="630">
        <f t="shared" si="6"/>
        <v>0</v>
      </c>
      <c r="J19" s="61">
        <f t="shared" si="16"/>
        <v>0</v>
      </c>
      <c r="K19" s="188">
        <f t="shared" si="7"/>
        <v>0</v>
      </c>
      <c r="L19" s="188">
        <f t="shared" si="8"/>
        <v>0</v>
      </c>
      <c r="M19" s="188">
        <f t="shared" si="9"/>
        <v>0</v>
      </c>
      <c r="N19" s="54">
        <f t="shared" si="17"/>
        <v>0</v>
      </c>
      <c r="O19" s="670">
        <f t="shared" si="10"/>
        <v>0</v>
      </c>
      <c r="P19" s="670">
        <f t="shared" si="11"/>
        <v>0</v>
      </c>
      <c r="Q19" s="670">
        <f t="shared" si="12"/>
        <v>0</v>
      </c>
      <c r="R19" s="247">
        <f t="shared" si="18"/>
        <v>0</v>
      </c>
      <c r="S19" s="24">
        <f t="shared" si="13"/>
        <v>0</v>
      </c>
      <c r="T19" s="25">
        <f t="shared" si="14"/>
        <v>0</v>
      </c>
      <c r="U19" s="654">
        <f t="shared" si="15"/>
        <v>0</v>
      </c>
      <c r="V19" s="8"/>
      <c r="X19" s="1"/>
    </row>
    <row r="20" spans="1:24" x14ac:dyDescent="0.2">
      <c r="A20" s="33">
        <f t="shared" si="19"/>
        <v>2007</v>
      </c>
      <c r="B20" s="30">
        <v>0</v>
      </c>
      <c r="C20" s="660">
        <f t="shared" si="0"/>
        <v>0</v>
      </c>
      <c r="D20" s="662">
        <f>IF($B20=0,0,(G20*1000)/$B20)</f>
        <v>0</v>
      </c>
      <c r="E20" s="663">
        <f>IF($B20=0,0,(H20*1000)/$B20)</f>
        <v>0</v>
      </c>
      <c r="F20" s="675">
        <f>IF($B20=0,0,(I20*1000000)/$B20)</f>
        <v>0</v>
      </c>
      <c r="G20" s="626">
        <f t="shared" si="4"/>
        <v>0</v>
      </c>
      <c r="H20" s="72">
        <f t="shared" si="5"/>
        <v>0</v>
      </c>
      <c r="I20" s="630">
        <f t="shared" si="6"/>
        <v>0</v>
      </c>
      <c r="J20" s="61">
        <f t="shared" si="16"/>
        <v>0</v>
      </c>
      <c r="K20" s="188">
        <f t="shared" si="7"/>
        <v>0</v>
      </c>
      <c r="L20" s="188">
        <f t="shared" si="8"/>
        <v>0</v>
      </c>
      <c r="M20" s="188">
        <f t="shared" si="9"/>
        <v>0</v>
      </c>
      <c r="N20" s="54">
        <f t="shared" si="17"/>
        <v>0</v>
      </c>
      <c r="O20" s="670">
        <f t="shared" si="10"/>
        <v>0</v>
      </c>
      <c r="P20" s="670">
        <f t="shared" si="11"/>
        <v>0</v>
      </c>
      <c r="Q20" s="670">
        <f t="shared" si="12"/>
        <v>0</v>
      </c>
      <c r="R20" s="247">
        <f t="shared" si="18"/>
        <v>0</v>
      </c>
      <c r="S20" s="24">
        <f t="shared" si="13"/>
        <v>0</v>
      </c>
      <c r="T20" s="25">
        <f t="shared" si="14"/>
        <v>0</v>
      </c>
      <c r="U20" s="654">
        <f t="shared" si="15"/>
        <v>0</v>
      </c>
    </row>
    <row r="21" spans="1:24" x14ac:dyDescent="0.2">
      <c r="A21" s="33">
        <f t="shared" si="19"/>
        <v>2008</v>
      </c>
      <c r="B21" s="30">
        <v>0</v>
      </c>
      <c r="C21" s="660">
        <f t="shared" si="0"/>
        <v>0</v>
      </c>
      <c r="D21" s="662">
        <f>IF($B21=0,0,(G21*1000)/$B21)</f>
        <v>0</v>
      </c>
      <c r="E21" s="663">
        <f>IF($B21=0,0,(H21*1000)/$B21)</f>
        <v>0</v>
      </c>
      <c r="F21" s="617">
        <f>IF($B21=0,0,(I21*1000000)/$B21)</f>
        <v>0</v>
      </c>
      <c r="G21" s="626">
        <f t="shared" si="4"/>
        <v>0</v>
      </c>
      <c r="H21" s="72">
        <f t="shared" si="5"/>
        <v>0</v>
      </c>
      <c r="I21" s="630">
        <f t="shared" si="6"/>
        <v>0</v>
      </c>
      <c r="J21" s="61">
        <f t="shared" si="16"/>
        <v>0</v>
      </c>
      <c r="K21" s="188">
        <f t="shared" si="7"/>
        <v>0</v>
      </c>
      <c r="L21" s="188">
        <f t="shared" si="8"/>
        <v>0</v>
      </c>
      <c r="M21" s="188">
        <f t="shared" si="9"/>
        <v>0</v>
      </c>
      <c r="N21" s="54">
        <f t="shared" si="17"/>
        <v>0</v>
      </c>
      <c r="O21" s="670">
        <f t="shared" si="10"/>
        <v>0</v>
      </c>
      <c r="P21" s="670">
        <f t="shared" si="11"/>
        <v>0</v>
      </c>
      <c r="Q21" s="670">
        <f t="shared" si="12"/>
        <v>0</v>
      </c>
      <c r="R21" s="247">
        <f t="shared" si="18"/>
        <v>0</v>
      </c>
      <c r="S21" s="24">
        <f t="shared" si="13"/>
        <v>0</v>
      </c>
      <c r="T21" s="25">
        <f t="shared" si="14"/>
        <v>0</v>
      </c>
      <c r="U21" s="654">
        <f t="shared" si="15"/>
        <v>0</v>
      </c>
    </row>
    <row r="22" spans="1:24" x14ac:dyDescent="0.2">
      <c r="A22" s="33">
        <f t="shared" si="19"/>
        <v>2009</v>
      </c>
      <c r="B22" s="30">
        <v>7</v>
      </c>
      <c r="C22" s="660">
        <f t="shared" si="0"/>
        <v>7</v>
      </c>
      <c r="D22" s="662">
        <v>0.31428571428571433</v>
      </c>
      <c r="E22" s="663">
        <v>0.31428571428571433</v>
      </c>
      <c r="F22" s="617">
        <v>780.05714285714294</v>
      </c>
      <c r="G22" s="626">
        <f t="shared" ref="G22:G39" si="20">+$B22*D22/1000</f>
        <v>2.2000000000000001E-3</v>
      </c>
      <c r="H22" s="72">
        <f t="shared" ref="H22:H39" si="21">+$B22*E22/1000</f>
        <v>2.2000000000000001E-3</v>
      </c>
      <c r="I22" s="630">
        <f t="shared" ref="I22:I39" si="22">+$B22*F22/1000000</f>
        <v>5.4604000000000007E-3</v>
      </c>
      <c r="J22" s="61">
        <f t="shared" si="16"/>
        <v>3.5</v>
      </c>
      <c r="K22" s="188">
        <f t="shared" si="7"/>
        <v>0.31428571428571433</v>
      </c>
      <c r="L22" s="188">
        <f t="shared" si="8"/>
        <v>1.1000000000000001E-3</v>
      </c>
      <c r="M22" s="188">
        <f t="shared" si="9"/>
        <v>1.1000000000000001E-3</v>
      </c>
      <c r="N22" s="54">
        <f t="shared" si="17"/>
        <v>0</v>
      </c>
      <c r="O22" s="670">
        <f t="shared" si="10"/>
        <v>0.31428571428571433</v>
      </c>
      <c r="P22" s="670">
        <f t="shared" si="11"/>
        <v>0</v>
      </c>
      <c r="Q22" s="670">
        <f t="shared" si="12"/>
        <v>0</v>
      </c>
      <c r="R22" s="247">
        <f t="shared" si="18"/>
        <v>3.5</v>
      </c>
      <c r="S22" s="24">
        <f t="shared" si="13"/>
        <v>780.05714285714294</v>
      </c>
      <c r="T22" s="25">
        <f t="shared" si="14"/>
        <v>2.7302000000000003E-3</v>
      </c>
      <c r="U22" s="654">
        <f t="shared" si="15"/>
        <v>2.7302000000000003E-3</v>
      </c>
    </row>
    <row r="23" spans="1:24" x14ac:dyDescent="0.2">
      <c r="A23" s="33">
        <f t="shared" si="19"/>
        <v>2010</v>
      </c>
      <c r="B23" s="30">
        <v>49</v>
      </c>
      <c r="C23" s="661">
        <f t="shared" si="0"/>
        <v>56</v>
      </c>
      <c r="D23" s="662">
        <v>0.91</v>
      </c>
      <c r="E23" s="663">
        <v>0.91</v>
      </c>
      <c r="F23" s="617">
        <v>8334</v>
      </c>
      <c r="G23" s="626">
        <f t="shared" si="20"/>
        <v>4.4590000000000005E-2</v>
      </c>
      <c r="H23" s="72">
        <f t="shared" si="21"/>
        <v>4.4590000000000005E-2</v>
      </c>
      <c r="I23" s="630">
        <f t="shared" si="22"/>
        <v>0.40836600000000001</v>
      </c>
      <c r="J23" s="666">
        <f t="shared" si="16"/>
        <v>28</v>
      </c>
      <c r="K23" s="188">
        <f t="shared" si="7"/>
        <v>0.91</v>
      </c>
      <c r="L23" s="188">
        <f t="shared" si="8"/>
        <v>2.5479999999999999E-2</v>
      </c>
      <c r="M23" s="188">
        <f t="shared" si="9"/>
        <v>2.6579999999999999E-2</v>
      </c>
      <c r="N23" s="669">
        <f t="shared" si="17"/>
        <v>7</v>
      </c>
      <c r="O23" s="670">
        <f t="shared" si="10"/>
        <v>0.91</v>
      </c>
      <c r="P23" s="670">
        <f t="shared" si="11"/>
        <v>6.3699999999999998E-3</v>
      </c>
      <c r="Q23" s="670">
        <f t="shared" si="12"/>
        <v>6.3699999999999998E-3</v>
      </c>
      <c r="R23" s="247">
        <f t="shared" si="18"/>
        <v>28</v>
      </c>
      <c r="S23" s="24">
        <f t="shared" si="13"/>
        <v>8334</v>
      </c>
      <c r="T23" s="25">
        <f t="shared" si="14"/>
        <v>0.233352</v>
      </c>
      <c r="U23" s="654">
        <f t="shared" si="15"/>
        <v>0.23608219999999999</v>
      </c>
    </row>
    <row r="24" spans="1:24" x14ac:dyDescent="0.2">
      <c r="A24" s="33">
        <f t="shared" si="19"/>
        <v>2011</v>
      </c>
      <c r="B24" s="30">
        <v>59</v>
      </c>
      <c r="C24" s="661">
        <f t="shared" si="0"/>
        <v>115</v>
      </c>
      <c r="D24" s="662">
        <v>0.18</v>
      </c>
      <c r="E24" s="663">
        <v>0.15</v>
      </c>
      <c r="F24" s="617">
        <v>573</v>
      </c>
      <c r="G24" s="626">
        <f t="shared" si="20"/>
        <v>1.0619999999999999E-2</v>
      </c>
      <c r="H24" s="72">
        <f t="shared" si="21"/>
        <v>8.8500000000000002E-3</v>
      </c>
      <c r="I24" s="630">
        <f t="shared" si="22"/>
        <v>3.3806999999999997E-2</v>
      </c>
      <c r="J24" s="666">
        <f t="shared" si="16"/>
        <v>54</v>
      </c>
      <c r="K24" s="188">
        <f t="shared" si="7"/>
        <v>0.18</v>
      </c>
      <c r="L24" s="188">
        <f t="shared" si="8"/>
        <v>9.7199999999999995E-3</v>
      </c>
      <c r="M24" s="188">
        <f t="shared" si="9"/>
        <v>3.6299999999999999E-2</v>
      </c>
      <c r="N24" s="669">
        <f t="shared" si="17"/>
        <v>49</v>
      </c>
      <c r="O24" s="670">
        <f t="shared" si="10"/>
        <v>0.15</v>
      </c>
      <c r="P24" s="670">
        <f t="shared" si="11"/>
        <v>7.3499999999999998E-3</v>
      </c>
      <c r="Q24" s="670">
        <f t="shared" si="12"/>
        <v>1.372E-2</v>
      </c>
      <c r="R24" s="247">
        <f t="shared" si="18"/>
        <v>54</v>
      </c>
      <c r="S24" s="24">
        <f t="shared" si="13"/>
        <v>573</v>
      </c>
      <c r="T24" s="25">
        <f t="shared" si="14"/>
        <v>3.0942000000000001E-2</v>
      </c>
      <c r="U24" s="654">
        <f t="shared" si="15"/>
        <v>0.26702419999999999</v>
      </c>
    </row>
    <row r="25" spans="1:24" x14ac:dyDescent="0.2">
      <c r="A25" s="33">
        <f t="shared" si="19"/>
        <v>2012</v>
      </c>
      <c r="B25" s="30">
        <v>1</v>
      </c>
      <c r="C25" s="661">
        <f t="shared" si="0"/>
        <v>116</v>
      </c>
      <c r="D25" s="662">
        <v>0.4</v>
      </c>
      <c r="E25" s="663">
        <v>0.4</v>
      </c>
      <c r="F25" s="617">
        <v>971</v>
      </c>
      <c r="G25" s="626">
        <f t="shared" si="20"/>
        <v>4.0000000000000002E-4</v>
      </c>
      <c r="H25" s="72">
        <f t="shared" si="21"/>
        <v>4.0000000000000002E-4</v>
      </c>
      <c r="I25" s="630">
        <f t="shared" si="22"/>
        <v>9.7099999999999997E-4</v>
      </c>
      <c r="J25" s="666">
        <f t="shared" si="16"/>
        <v>30</v>
      </c>
      <c r="K25" s="188">
        <f t="shared" si="7"/>
        <v>0.4</v>
      </c>
      <c r="L25" s="188">
        <f t="shared" si="8"/>
        <v>1.2E-2</v>
      </c>
      <c r="M25" s="188">
        <f t="shared" si="9"/>
        <v>4.8299999999999996E-2</v>
      </c>
      <c r="N25" s="669">
        <f t="shared" si="17"/>
        <v>59</v>
      </c>
      <c r="O25" s="670">
        <f t="shared" si="10"/>
        <v>0.4</v>
      </c>
      <c r="P25" s="670">
        <f t="shared" si="11"/>
        <v>2.3600000000000003E-2</v>
      </c>
      <c r="Q25" s="670">
        <f t="shared" si="12"/>
        <v>3.7320000000000006E-2</v>
      </c>
      <c r="R25" s="247">
        <f t="shared" si="18"/>
        <v>30</v>
      </c>
      <c r="S25" s="24">
        <f t="shared" si="13"/>
        <v>971</v>
      </c>
      <c r="T25" s="25">
        <f t="shared" si="14"/>
        <v>2.913E-2</v>
      </c>
      <c r="U25" s="654">
        <f t="shared" si="15"/>
        <v>0.29615419999999998</v>
      </c>
    </row>
    <row r="26" spans="1:24" s="831" customFormat="1" x14ac:dyDescent="0.2">
      <c r="A26" s="33">
        <f t="shared" si="19"/>
        <v>2013</v>
      </c>
      <c r="B26" s="30">
        <v>4</v>
      </c>
      <c r="C26" s="619">
        <f t="shared" si="0"/>
        <v>120</v>
      </c>
      <c r="D26" s="807">
        <v>0.38</v>
      </c>
      <c r="E26" s="808">
        <v>0.38</v>
      </c>
      <c r="F26" s="806">
        <v>1518</v>
      </c>
      <c r="G26" s="626">
        <f t="shared" si="20"/>
        <v>1.5200000000000001E-3</v>
      </c>
      <c r="H26" s="72">
        <f t="shared" si="21"/>
        <v>1.5200000000000001E-3</v>
      </c>
      <c r="I26" s="630">
        <f t="shared" si="22"/>
        <v>6.0720000000000001E-3</v>
      </c>
      <c r="J26" s="666">
        <f t="shared" si="16"/>
        <v>2.5</v>
      </c>
      <c r="K26" s="188">
        <f t="shared" si="7"/>
        <v>0.38</v>
      </c>
      <c r="L26" s="188">
        <f t="shared" si="8"/>
        <v>9.5E-4</v>
      </c>
      <c r="M26" s="829">
        <f t="shared" si="9"/>
        <v>4.9249999999999995E-2</v>
      </c>
      <c r="N26" s="669">
        <f t="shared" si="17"/>
        <v>1</v>
      </c>
      <c r="O26" s="670">
        <f t="shared" si="10"/>
        <v>0.38</v>
      </c>
      <c r="P26" s="670">
        <f t="shared" si="11"/>
        <v>3.8000000000000002E-4</v>
      </c>
      <c r="Q26" s="671">
        <f t="shared" si="12"/>
        <v>3.7700000000000004E-2</v>
      </c>
      <c r="R26" s="247">
        <f t="shared" si="18"/>
        <v>2.5</v>
      </c>
      <c r="S26" s="24">
        <f t="shared" si="13"/>
        <v>1518</v>
      </c>
      <c r="T26" s="25">
        <f t="shared" si="14"/>
        <v>3.7950000000000002E-3</v>
      </c>
      <c r="U26" s="654">
        <f t="shared" si="15"/>
        <v>0.29994919999999997</v>
      </c>
      <c r="V26" s="830"/>
    </row>
    <row r="27" spans="1:24" s="831" customFormat="1" x14ac:dyDescent="0.2">
      <c r="A27" s="33">
        <f t="shared" si="19"/>
        <v>2014</v>
      </c>
      <c r="B27" s="30">
        <v>4</v>
      </c>
      <c r="C27" s="619">
        <f t="shared" si="0"/>
        <v>124</v>
      </c>
      <c r="D27" s="807">
        <v>1.79</v>
      </c>
      <c r="E27" s="808">
        <v>1.42</v>
      </c>
      <c r="F27" s="806">
        <v>1964</v>
      </c>
      <c r="G27" s="626">
        <f t="shared" si="20"/>
        <v>7.1600000000000006E-3</v>
      </c>
      <c r="H27" s="72">
        <f t="shared" si="21"/>
        <v>5.6799999999999993E-3</v>
      </c>
      <c r="I27" s="630">
        <f t="shared" si="22"/>
        <v>7.8560000000000001E-3</v>
      </c>
      <c r="J27" s="666">
        <f t="shared" si="16"/>
        <v>4</v>
      </c>
      <c r="K27" s="188">
        <f t="shared" si="7"/>
        <v>1.79</v>
      </c>
      <c r="L27" s="188">
        <f t="shared" si="8"/>
        <v>7.1600000000000006E-3</v>
      </c>
      <c r="M27" s="829">
        <f t="shared" si="9"/>
        <v>5.6409999999999995E-2</v>
      </c>
      <c r="N27" s="669">
        <f t="shared" si="17"/>
        <v>4</v>
      </c>
      <c r="O27" s="670">
        <f t="shared" si="10"/>
        <v>1.42</v>
      </c>
      <c r="P27" s="670">
        <f t="shared" si="11"/>
        <v>5.6799999999999993E-3</v>
      </c>
      <c r="Q27" s="671">
        <f t="shared" si="12"/>
        <v>4.3380000000000002E-2</v>
      </c>
      <c r="R27" s="247">
        <f t="shared" si="18"/>
        <v>4</v>
      </c>
      <c r="S27" s="24">
        <f t="shared" si="13"/>
        <v>1964</v>
      </c>
      <c r="T27" s="25">
        <f t="shared" si="14"/>
        <v>7.8560000000000001E-3</v>
      </c>
      <c r="U27" s="654">
        <f t="shared" si="15"/>
        <v>0.30780519999999995</v>
      </c>
      <c r="V27" s="830"/>
    </row>
    <row r="28" spans="1:24" ht="13.5" thickBot="1" x14ac:dyDescent="0.25">
      <c r="A28" s="701">
        <f t="shared" si="19"/>
        <v>2015</v>
      </c>
      <c r="B28" s="702">
        <v>0</v>
      </c>
      <c r="C28" s="703">
        <f t="shared" si="0"/>
        <v>124</v>
      </c>
      <c r="D28" s="835">
        <f t="shared" ref="D28" si="23">+D27</f>
        <v>1.79</v>
      </c>
      <c r="E28" s="836">
        <f t="shared" ref="E28" si="24">+E27</f>
        <v>1.42</v>
      </c>
      <c r="F28" s="705">
        <f t="shared" ref="F28" si="25">+F27</f>
        <v>1964</v>
      </c>
      <c r="G28" s="823">
        <f t="shared" si="20"/>
        <v>0</v>
      </c>
      <c r="H28" s="707">
        <f t="shared" si="21"/>
        <v>0</v>
      </c>
      <c r="I28" s="824">
        <f t="shared" si="22"/>
        <v>0</v>
      </c>
      <c r="J28" s="880">
        <f t="shared" si="16"/>
        <v>2</v>
      </c>
      <c r="K28" s="825">
        <f t="shared" si="7"/>
        <v>1.79</v>
      </c>
      <c r="L28" s="825">
        <f t="shared" si="8"/>
        <v>3.5800000000000003E-3</v>
      </c>
      <c r="M28" s="826">
        <f t="shared" si="9"/>
        <v>5.9989999999999995E-2</v>
      </c>
      <c r="N28" s="881">
        <f t="shared" si="17"/>
        <v>4</v>
      </c>
      <c r="O28" s="827">
        <f t="shared" si="10"/>
        <v>1.42</v>
      </c>
      <c r="P28" s="827">
        <f t="shared" si="11"/>
        <v>5.6799999999999993E-3</v>
      </c>
      <c r="Q28" s="828">
        <f t="shared" si="12"/>
        <v>4.9059999999999999E-2</v>
      </c>
      <c r="R28" s="714">
        <f t="shared" si="18"/>
        <v>2</v>
      </c>
      <c r="S28" s="715">
        <f t="shared" si="13"/>
        <v>1964</v>
      </c>
      <c r="T28" s="716">
        <f t="shared" si="14"/>
        <v>3.9280000000000001E-3</v>
      </c>
      <c r="U28" s="717">
        <f t="shared" si="15"/>
        <v>0.31173319999999993</v>
      </c>
    </row>
    <row r="29" spans="1:24" x14ac:dyDescent="0.2">
      <c r="A29" s="33">
        <f t="shared" si="19"/>
        <v>2016</v>
      </c>
      <c r="B29" s="1036">
        <v>0</v>
      </c>
      <c r="C29" s="565">
        <f t="shared" si="0"/>
        <v>124</v>
      </c>
      <c r="D29" s="965"/>
      <c r="E29" s="966"/>
      <c r="F29" s="790"/>
      <c r="G29" s="473">
        <f t="shared" si="20"/>
        <v>0</v>
      </c>
      <c r="H29" s="474">
        <f t="shared" si="21"/>
        <v>0</v>
      </c>
      <c r="I29" s="474">
        <f t="shared" si="22"/>
        <v>0</v>
      </c>
      <c r="J29" s="61">
        <f t="shared" si="16"/>
        <v>0</v>
      </c>
      <c r="K29" s="967">
        <f t="shared" si="7"/>
        <v>0</v>
      </c>
      <c r="L29" s="967">
        <f t="shared" si="8"/>
        <v>0</v>
      </c>
      <c r="M29" s="967">
        <f t="shared" si="9"/>
        <v>5.9989999999999995E-2</v>
      </c>
      <c r="N29" s="54">
        <f t="shared" si="17"/>
        <v>0</v>
      </c>
      <c r="O29" s="968">
        <f t="shared" si="10"/>
        <v>0</v>
      </c>
      <c r="P29" s="968">
        <f t="shared" si="11"/>
        <v>0</v>
      </c>
      <c r="Q29" s="969">
        <f t="shared" si="12"/>
        <v>4.9059999999999999E-2</v>
      </c>
      <c r="R29" s="247">
        <f t="shared" si="18"/>
        <v>0</v>
      </c>
      <c r="S29" s="24">
        <f t="shared" si="13"/>
        <v>0</v>
      </c>
      <c r="T29" s="970">
        <f t="shared" si="14"/>
        <v>0</v>
      </c>
      <c r="U29" s="971">
        <f t="shared" si="15"/>
        <v>0.31173319999999993</v>
      </c>
    </row>
    <row r="30" spans="1:24" x14ac:dyDescent="0.2">
      <c r="A30" s="33">
        <f t="shared" si="19"/>
        <v>2017</v>
      </c>
      <c r="B30" s="1036">
        <v>0</v>
      </c>
      <c r="C30" s="565">
        <f t="shared" si="0"/>
        <v>124</v>
      </c>
      <c r="D30" s="965"/>
      <c r="E30" s="966"/>
      <c r="F30" s="790"/>
      <c r="G30" s="473">
        <f t="shared" si="20"/>
        <v>0</v>
      </c>
      <c r="H30" s="474">
        <f t="shared" si="21"/>
        <v>0</v>
      </c>
      <c r="I30" s="474">
        <f t="shared" si="22"/>
        <v>0</v>
      </c>
      <c r="J30" s="61">
        <f t="shared" si="16"/>
        <v>0</v>
      </c>
      <c r="K30" s="967">
        <f t="shared" si="7"/>
        <v>0</v>
      </c>
      <c r="L30" s="967">
        <f t="shared" si="8"/>
        <v>0</v>
      </c>
      <c r="M30" s="967">
        <f t="shared" si="9"/>
        <v>5.9989999999999995E-2</v>
      </c>
      <c r="N30" s="54">
        <f t="shared" si="17"/>
        <v>0</v>
      </c>
      <c r="O30" s="968">
        <f t="shared" si="10"/>
        <v>0</v>
      </c>
      <c r="P30" s="968">
        <f t="shared" si="11"/>
        <v>0</v>
      </c>
      <c r="Q30" s="969">
        <f t="shared" si="12"/>
        <v>4.9059999999999999E-2</v>
      </c>
      <c r="R30" s="247">
        <f t="shared" si="18"/>
        <v>0</v>
      </c>
      <c r="S30" s="24">
        <f t="shared" si="13"/>
        <v>0</v>
      </c>
      <c r="T30" s="970">
        <f t="shared" si="14"/>
        <v>0</v>
      </c>
      <c r="U30" s="971">
        <f t="shared" si="15"/>
        <v>0.31173319999999993</v>
      </c>
    </row>
    <row r="31" spans="1:24" x14ac:dyDescent="0.2">
      <c r="A31" s="33">
        <f t="shared" si="19"/>
        <v>2018</v>
      </c>
      <c r="B31" s="1036">
        <v>0</v>
      </c>
      <c r="C31" s="565">
        <f t="shared" si="0"/>
        <v>124</v>
      </c>
      <c r="D31" s="965"/>
      <c r="E31" s="966"/>
      <c r="F31" s="790"/>
      <c r="G31" s="473">
        <f t="shared" si="20"/>
        <v>0</v>
      </c>
      <c r="H31" s="474">
        <f t="shared" si="21"/>
        <v>0</v>
      </c>
      <c r="I31" s="474">
        <f t="shared" si="22"/>
        <v>0</v>
      </c>
      <c r="J31" s="61">
        <f t="shared" si="16"/>
        <v>0</v>
      </c>
      <c r="K31" s="967">
        <f t="shared" si="7"/>
        <v>0</v>
      </c>
      <c r="L31" s="967">
        <f t="shared" si="8"/>
        <v>0</v>
      </c>
      <c r="M31" s="967">
        <f t="shared" si="9"/>
        <v>5.9989999999999995E-2</v>
      </c>
      <c r="N31" s="54">
        <f t="shared" si="17"/>
        <v>0</v>
      </c>
      <c r="O31" s="968">
        <f t="shared" si="10"/>
        <v>0</v>
      </c>
      <c r="P31" s="968">
        <f t="shared" si="11"/>
        <v>0</v>
      </c>
      <c r="Q31" s="969">
        <f t="shared" si="12"/>
        <v>4.9059999999999999E-2</v>
      </c>
      <c r="R31" s="247">
        <f t="shared" si="18"/>
        <v>0</v>
      </c>
      <c r="S31" s="24">
        <f t="shared" si="13"/>
        <v>0</v>
      </c>
      <c r="T31" s="970">
        <f t="shared" si="14"/>
        <v>0</v>
      </c>
      <c r="U31" s="971">
        <f t="shared" si="15"/>
        <v>0.31173319999999993</v>
      </c>
    </row>
    <row r="32" spans="1:24" x14ac:dyDescent="0.2">
      <c r="A32" s="33">
        <f t="shared" si="19"/>
        <v>2019</v>
      </c>
      <c r="B32" s="1036">
        <v>0</v>
      </c>
      <c r="C32" s="565">
        <f t="shared" si="0"/>
        <v>124</v>
      </c>
      <c r="D32" s="965"/>
      <c r="E32" s="966"/>
      <c r="F32" s="790"/>
      <c r="G32" s="473">
        <f t="shared" si="20"/>
        <v>0</v>
      </c>
      <c r="H32" s="474">
        <f t="shared" si="21"/>
        <v>0</v>
      </c>
      <c r="I32" s="474">
        <f t="shared" si="22"/>
        <v>0</v>
      </c>
      <c r="J32" s="61">
        <f t="shared" si="16"/>
        <v>0</v>
      </c>
      <c r="K32" s="967">
        <f t="shared" si="7"/>
        <v>0</v>
      </c>
      <c r="L32" s="967">
        <f t="shared" si="8"/>
        <v>0</v>
      </c>
      <c r="M32" s="967">
        <f t="shared" si="9"/>
        <v>5.9989999999999995E-2</v>
      </c>
      <c r="N32" s="54">
        <f t="shared" si="17"/>
        <v>0</v>
      </c>
      <c r="O32" s="968">
        <f t="shared" si="10"/>
        <v>0</v>
      </c>
      <c r="P32" s="968">
        <f t="shared" si="11"/>
        <v>0</v>
      </c>
      <c r="Q32" s="969">
        <f t="shared" si="12"/>
        <v>4.9059999999999999E-2</v>
      </c>
      <c r="R32" s="247">
        <f t="shared" si="18"/>
        <v>0</v>
      </c>
      <c r="S32" s="24">
        <f t="shared" si="13"/>
        <v>0</v>
      </c>
      <c r="T32" s="970">
        <f t="shared" si="14"/>
        <v>0</v>
      </c>
      <c r="U32" s="971">
        <f t="shared" si="15"/>
        <v>0.31173319999999993</v>
      </c>
    </row>
    <row r="33" spans="1:21" x14ac:dyDescent="0.2">
      <c r="A33" s="33">
        <f t="shared" si="19"/>
        <v>2020</v>
      </c>
      <c r="B33" s="1036">
        <v>0</v>
      </c>
      <c r="C33" s="565">
        <f t="shared" si="0"/>
        <v>124</v>
      </c>
      <c r="D33" s="965"/>
      <c r="E33" s="966"/>
      <c r="F33" s="790"/>
      <c r="G33" s="473">
        <f t="shared" si="20"/>
        <v>0</v>
      </c>
      <c r="H33" s="474">
        <f t="shared" si="21"/>
        <v>0</v>
      </c>
      <c r="I33" s="474">
        <f t="shared" si="22"/>
        <v>0</v>
      </c>
      <c r="J33" s="61">
        <f t="shared" si="16"/>
        <v>0</v>
      </c>
      <c r="K33" s="967">
        <f t="shared" si="7"/>
        <v>0</v>
      </c>
      <c r="L33" s="967">
        <f t="shared" si="8"/>
        <v>0</v>
      </c>
      <c r="M33" s="967">
        <f t="shared" si="9"/>
        <v>5.9989999999999995E-2</v>
      </c>
      <c r="N33" s="54">
        <f t="shared" si="17"/>
        <v>0</v>
      </c>
      <c r="O33" s="968">
        <f t="shared" si="10"/>
        <v>0</v>
      </c>
      <c r="P33" s="968">
        <f t="shared" si="11"/>
        <v>0</v>
      </c>
      <c r="Q33" s="969">
        <f t="shared" si="12"/>
        <v>4.9059999999999999E-2</v>
      </c>
      <c r="R33" s="247">
        <f t="shared" si="18"/>
        <v>0</v>
      </c>
      <c r="S33" s="24">
        <f t="shared" si="13"/>
        <v>0</v>
      </c>
      <c r="T33" s="970">
        <f t="shared" si="14"/>
        <v>0</v>
      </c>
      <c r="U33" s="971">
        <f t="shared" si="15"/>
        <v>0.31173319999999993</v>
      </c>
    </row>
    <row r="34" spans="1:21" x14ac:dyDescent="0.2">
      <c r="A34" s="33">
        <f t="shared" si="19"/>
        <v>2021</v>
      </c>
      <c r="B34" s="1036">
        <v>0</v>
      </c>
      <c r="C34" s="565">
        <f t="shared" si="0"/>
        <v>124</v>
      </c>
      <c r="D34" s="965"/>
      <c r="E34" s="966"/>
      <c r="F34" s="790"/>
      <c r="G34" s="473">
        <f t="shared" si="20"/>
        <v>0</v>
      </c>
      <c r="H34" s="474">
        <f t="shared" si="21"/>
        <v>0</v>
      </c>
      <c r="I34" s="474">
        <f t="shared" si="22"/>
        <v>0</v>
      </c>
      <c r="J34" s="61">
        <f t="shared" si="16"/>
        <v>0</v>
      </c>
      <c r="K34" s="967">
        <f t="shared" si="7"/>
        <v>0</v>
      </c>
      <c r="L34" s="967">
        <f t="shared" si="8"/>
        <v>0</v>
      </c>
      <c r="M34" s="967">
        <f t="shared" si="9"/>
        <v>5.9989999999999995E-2</v>
      </c>
      <c r="N34" s="54">
        <f t="shared" si="17"/>
        <v>0</v>
      </c>
      <c r="O34" s="968">
        <f t="shared" si="10"/>
        <v>0</v>
      </c>
      <c r="P34" s="968">
        <f t="shared" si="11"/>
        <v>0</v>
      </c>
      <c r="Q34" s="969">
        <f t="shared" si="12"/>
        <v>4.9059999999999999E-2</v>
      </c>
      <c r="R34" s="247">
        <f t="shared" si="18"/>
        <v>0</v>
      </c>
      <c r="S34" s="24">
        <f t="shared" si="13"/>
        <v>0</v>
      </c>
      <c r="T34" s="970">
        <f t="shared" si="14"/>
        <v>0</v>
      </c>
      <c r="U34" s="971">
        <f t="shared" si="15"/>
        <v>0.31173319999999993</v>
      </c>
    </row>
    <row r="35" spans="1:21" x14ac:dyDescent="0.2">
      <c r="A35" s="33">
        <f t="shared" si="19"/>
        <v>2022</v>
      </c>
      <c r="B35" s="1036">
        <v>0</v>
      </c>
      <c r="C35" s="565">
        <f t="shared" si="0"/>
        <v>124</v>
      </c>
      <c r="D35" s="965"/>
      <c r="E35" s="966"/>
      <c r="F35" s="790"/>
      <c r="G35" s="473">
        <f t="shared" si="20"/>
        <v>0</v>
      </c>
      <c r="H35" s="474">
        <f t="shared" si="21"/>
        <v>0</v>
      </c>
      <c r="I35" s="474">
        <f t="shared" si="22"/>
        <v>0</v>
      </c>
      <c r="J35" s="61">
        <f t="shared" si="16"/>
        <v>0</v>
      </c>
      <c r="K35" s="967">
        <f t="shared" si="7"/>
        <v>0</v>
      </c>
      <c r="L35" s="967">
        <f t="shared" si="8"/>
        <v>0</v>
      </c>
      <c r="M35" s="967">
        <f t="shared" si="9"/>
        <v>5.9989999999999995E-2</v>
      </c>
      <c r="N35" s="54">
        <f t="shared" si="17"/>
        <v>0</v>
      </c>
      <c r="O35" s="968">
        <f t="shared" si="10"/>
        <v>0</v>
      </c>
      <c r="P35" s="968">
        <f t="shared" si="11"/>
        <v>0</v>
      </c>
      <c r="Q35" s="969">
        <f t="shared" si="12"/>
        <v>4.9059999999999999E-2</v>
      </c>
      <c r="R35" s="247">
        <f t="shared" si="18"/>
        <v>0</v>
      </c>
      <c r="S35" s="24">
        <f t="shared" si="13"/>
        <v>0</v>
      </c>
      <c r="T35" s="970">
        <f t="shared" si="14"/>
        <v>0</v>
      </c>
      <c r="U35" s="971">
        <f t="shared" si="15"/>
        <v>0.31173319999999993</v>
      </c>
    </row>
    <row r="36" spans="1:21" x14ac:dyDescent="0.2">
      <c r="A36" s="33">
        <f t="shared" si="19"/>
        <v>2023</v>
      </c>
      <c r="B36" s="1036">
        <v>0</v>
      </c>
      <c r="C36" s="565">
        <f t="shared" si="0"/>
        <v>124</v>
      </c>
      <c r="D36" s="965"/>
      <c r="E36" s="966"/>
      <c r="F36" s="790"/>
      <c r="G36" s="473">
        <f t="shared" si="20"/>
        <v>0</v>
      </c>
      <c r="H36" s="474">
        <f t="shared" si="21"/>
        <v>0</v>
      </c>
      <c r="I36" s="474">
        <f t="shared" si="22"/>
        <v>0</v>
      </c>
      <c r="J36" s="61">
        <f t="shared" si="16"/>
        <v>0</v>
      </c>
      <c r="K36" s="967">
        <f t="shared" si="7"/>
        <v>0</v>
      </c>
      <c r="L36" s="967">
        <f t="shared" si="8"/>
        <v>0</v>
      </c>
      <c r="M36" s="967">
        <f t="shared" si="9"/>
        <v>5.9989999999999995E-2</v>
      </c>
      <c r="N36" s="54">
        <f t="shared" si="17"/>
        <v>0</v>
      </c>
      <c r="O36" s="968">
        <f t="shared" si="10"/>
        <v>0</v>
      </c>
      <c r="P36" s="968">
        <f t="shared" si="11"/>
        <v>0</v>
      </c>
      <c r="Q36" s="969">
        <f t="shared" si="12"/>
        <v>4.9059999999999999E-2</v>
      </c>
      <c r="R36" s="247">
        <f t="shared" si="18"/>
        <v>0</v>
      </c>
      <c r="S36" s="24">
        <f t="shared" si="13"/>
        <v>0</v>
      </c>
      <c r="T36" s="970">
        <f t="shared" si="14"/>
        <v>0</v>
      </c>
      <c r="U36" s="971">
        <f t="shared" si="15"/>
        <v>0.31173319999999993</v>
      </c>
    </row>
    <row r="37" spans="1:21" x14ac:dyDescent="0.2">
      <c r="A37" s="33">
        <f t="shared" si="19"/>
        <v>2024</v>
      </c>
      <c r="B37" s="1036">
        <v>0</v>
      </c>
      <c r="C37" s="565">
        <f t="shared" si="0"/>
        <v>124</v>
      </c>
      <c r="D37" s="965"/>
      <c r="E37" s="966"/>
      <c r="F37" s="790"/>
      <c r="G37" s="473">
        <f t="shared" si="20"/>
        <v>0</v>
      </c>
      <c r="H37" s="474">
        <f t="shared" si="21"/>
        <v>0</v>
      </c>
      <c r="I37" s="474">
        <f t="shared" si="22"/>
        <v>0</v>
      </c>
      <c r="J37" s="61">
        <f t="shared" si="16"/>
        <v>0</v>
      </c>
      <c r="K37" s="967">
        <f t="shared" si="7"/>
        <v>0</v>
      </c>
      <c r="L37" s="967">
        <f t="shared" si="8"/>
        <v>0</v>
      </c>
      <c r="M37" s="967">
        <f t="shared" si="9"/>
        <v>5.9989999999999995E-2</v>
      </c>
      <c r="N37" s="54">
        <f t="shared" si="17"/>
        <v>0</v>
      </c>
      <c r="O37" s="968">
        <f t="shared" si="10"/>
        <v>0</v>
      </c>
      <c r="P37" s="968">
        <f t="shared" si="11"/>
        <v>0</v>
      </c>
      <c r="Q37" s="969">
        <f t="shared" si="12"/>
        <v>4.9059999999999999E-2</v>
      </c>
      <c r="R37" s="247">
        <f t="shared" si="18"/>
        <v>0</v>
      </c>
      <c r="S37" s="24">
        <f t="shared" si="13"/>
        <v>0</v>
      </c>
      <c r="T37" s="970">
        <f t="shared" si="14"/>
        <v>0</v>
      </c>
      <c r="U37" s="971">
        <f t="shared" si="15"/>
        <v>0.31173319999999993</v>
      </c>
    </row>
    <row r="38" spans="1:21" x14ac:dyDescent="0.2">
      <c r="A38" s="33">
        <f t="shared" si="19"/>
        <v>2025</v>
      </c>
      <c r="B38" s="1036">
        <v>0</v>
      </c>
      <c r="C38" s="565">
        <f t="shared" si="0"/>
        <v>124</v>
      </c>
      <c r="D38" s="965"/>
      <c r="E38" s="966"/>
      <c r="F38" s="790"/>
      <c r="G38" s="473">
        <f t="shared" si="20"/>
        <v>0</v>
      </c>
      <c r="H38" s="474">
        <f t="shared" si="21"/>
        <v>0</v>
      </c>
      <c r="I38" s="474">
        <f t="shared" si="22"/>
        <v>0</v>
      </c>
      <c r="J38" s="61">
        <f t="shared" si="16"/>
        <v>0</v>
      </c>
      <c r="K38" s="967">
        <f t="shared" si="7"/>
        <v>0</v>
      </c>
      <c r="L38" s="967">
        <f t="shared" si="8"/>
        <v>0</v>
      </c>
      <c r="M38" s="967">
        <f t="shared" si="9"/>
        <v>5.9989999999999995E-2</v>
      </c>
      <c r="N38" s="54">
        <f t="shared" si="17"/>
        <v>0</v>
      </c>
      <c r="O38" s="968">
        <f t="shared" si="10"/>
        <v>0</v>
      </c>
      <c r="P38" s="968">
        <f t="shared" si="11"/>
        <v>0</v>
      </c>
      <c r="Q38" s="969">
        <f t="shared" si="12"/>
        <v>4.9059999999999999E-2</v>
      </c>
      <c r="R38" s="247">
        <f t="shared" si="18"/>
        <v>0</v>
      </c>
      <c r="S38" s="24">
        <f t="shared" si="13"/>
        <v>0</v>
      </c>
      <c r="T38" s="970">
        <f t="shared" si="14"/>
        <v>0</v>
      </c>
      <c r="U38" s="971">
        <f t="shared" si="15"/>
        <v>0.31173319999999993</v>
      </c>
    </row>
    <row r="39" spans="1:21" x14ac:dyDescent="0.2">
      <c r="A39" s="33">
        <f t="shared" si="19"/>
        <v>2026</v>
      </c>
      <c r="B39" s="1036">
        <v>0</v>
      </c>
      <c r="C39" s="565">
        <f t="shared" si="0"/>
        <v>124</v>
      </c>
      <c r="D39" s="965"/>
      <c r="E39" s="966"/>
      <c r="F39" s="790"/>
      <c r="G39" s="473">
        <f t="shared" si="20"/>
        <v>0</v>
      </c>
      <c r="H39" s="474">
        <f t="shared" si="21"/>
        <v>0</v>
      </c>
      <c r="I39" s="474">
        <f t="shared" si="22"/>
        <v>0</v>
      </c>
      <c r="J39" s="61">
        <f t="shared" si="16"/>
        <v>0</v>
      </c>
      <c r="K39" s="967">
        <f t="shared" si="7"/>
        <v>0</v>
      </c>
      <c r="L39" s="967">
        <f t="shared" si="8"/>
        <v>0</v>
      </c>
      <c r="M39" s="967">
        <f t="shared" si="9"/>
        <v>5.9989999999999995E-2</v>
      </c>
      <c r="N39" s="54">
        <f t="shared" si="17"/>
        <v>0</v>
      </c>
      <c r="O39" s="968">
        <f t="shared" si="10"/>
        <v>0</v>
      </c>
      <c r="P39" s="968">
        <f t="shared" si="11"/>
        <v>0</v>
      </c>
      <c r="Q39" s="969">
        <f t="shared" si="12"/>
        <v>4.9059999999999999E-2</v>
      </c>
      <c r="R39" s="247">
        <f>+(B39+B38)/2</f>
        <v>0</v>
      </c>
      <c r="S39" s="24">
        <f>+F39</f>
        <v>0</v>
      </c>
      <c r="T39" s="970">
        <f>+R39*S39/1000000</f>
        <v>0</v>
      </c>
      <c r="U39" s="971">
        <f>+U38+T39</f>
        <v>0.31173319999999993</v>
      </c>
    </row>
    <row r="40" spans="1:21" x14ac:dyDescent="0.2">
      <c r="A40" s="33">
        <f t="shared" si="19"/>
        <v>2027</v>
      </c>
      <c r="B40" s="1036">
        <v>0</v>
      </c>
      <c r="C40" s="565">
        <f>+C39+B40</f>
        <v>124</v>
      </c>
      <c r="D40" s="965"/>
      <c r="E40" s="966"/>
      <c r="F40" s="790"/>
      <c r="G40" s="473">
        <f t="shared" ref="G40:H42" si="26">+$B40*D40/1000</f>
        <v>0</v>
      </c>
      <c r="H40" s="474">
        <f t="shared" si="26"/>
        <v>0</v>
      </c>
      <c r="I40" s="474">
        <f>+$B40*F40/1000000</f>
        <v>0</v>
      </c>
      <c r="J40" s="61">
        <f>+(B40+B39)/2</f>
        <v>0</v>
      </c>
      <c r="K40" s="967">
        <f>+D40</f>
        <v>0</v>
      </c>
      <c r="L40" s="967">
        <f>+J40*K40/1000</f>
        <v>0</v>
      </c>
      <c r="M40" s="967">
        <f>+M39+L40</f>
        <v>5.9989999999999995E-2</v>
      </c>
      <c r="N40" s="54">
        <f>+B39</f>
        <v>0</v>
      </c>
      <c r="O40" s="968">
        <f>+E40</f>
        <v>0</v>
      </c>
      <c r="P40" s="968">
        <f>+N40*O40/1000</f>
        <v>0</v>
      </c>
      <c r="Q40" s="969">
        <f>+Q39+P40</f>
        <v>4.9059999999999999E-2</v>
      </c>
      <c r="R40" s="247">
        <f>+(B40+B39)/2</f>
        <v>0</v>
      </c>
      <c r="S40" s="24">
        <f>+F40</f>
        <v>0</v>
      </c>
      <c r="T40" s="970">
        <f>+R40*S40/1000000</f>
        <v>0</v>
      </c>
      <c r="U40" s="971">
        <f>+U39+T40</f>
        <v>0.31173319999999993</v>
      </c>
    </row>
    <row r="41" spans="1:21" x14ac:dyDescent="0.2">
      <c r="A41" s="33">
        <f t="shared" si="19"/>
        <v>2028</v>
      </c>
      <c r="B41" s="1036">
        <v>0</v>
      </c>
      <c r="C41" s="565">
        <f>+C40+B41</f>
        <v>124</v>
      </c>
      <c r="D41" s="965"/>
      <c r="E41" s="966"/>
      <c r="F41" s="790"/>
      <c r="G41" s="473">
        <f t="shared" si="26"/>
        <v>0</v>
      </c>
      <c r="H41" s="474">
        <f t="shared" si="26"/>
        <v>0</v>
      </c>
      <c r="I41" s="474">
        <f>+$B41*F41/1000000</f>
        <v>0</v>
      </c>
      <c r="J41" s="61">
        <f>+(B41+B40)/2</f>
        <v>0</v>
      </c>
      <c r="K41" s="967">
        <f>+D41</f>
        <v>0</v>
      </c>
      <c r="L41" s="967">
        <f>+J41*K41/1000</f>
        <v>0</v>
      </c>
      <c r="M41" s="967">
        <f>+M40+L41</f>
        <v>5.9989999999999995E-2</v>
      </c>
      <c r="N41" s="54">
        <f>+B40</f>
        <v>0</v>
      </c>
      <c r="O41" s="968">
        <f>+E41</f>
        <v>0</v>
      </c>
      <c r="P41" s="968">
        <f>+N41*O41/1000</f>
        <v>0</v>
      </c>
      <c r="Q41" s="969">
        <f>+Q40+P41</f>
        <v>4.9059999999999999E-2</v>
      </c>
      <c r="R41" s="247">
        <f>+(B41+B40)/2</f>
        <v>0</v>
      </c>
      <c r="S41" s="24">
        <f>+F41</f>
        <v>0</v>
      </c>
      <c r="T41" s="970">
        <f>+R41*S41/1000000</f>
        <v>0</v>
      </c>
      <c r="U41" s="971">
        <f>+U40+T41</f>
        <v>0.31173319999999993</v>
      </c>
    </row>
    <row r="42" spans="1:21" x14ac:dyDescent="0.2">
      <c r="A42" s="33">
        <f t="shared" si="19"/>
        <v>2029</v>
      </c>
      <c r="B42" s="1036">
        <v>0</v>
      </c>
      <c r="C42" s="565">
        <f>+C41+B42</f>
        <v>124</v>
      </c>
      <c r="D42" s="965"/>
      <c r="E42" s="966"/>
      <c r="F42" s="790"/>
      <c r="G42" s="473">
        <f t="shared" si="26"/>
        <v>0</v>
      </c>
      <c r="H42" s="474">
        <f t="shared" si="26"/>
        <v>0</v>
      </c>
      <c r="I42" s="474">
        <f>+$B42*F42/1000000</f>
        <v>0</v>
      </c>
      <c r="J42" s="61">
        <f>+(B42+B41)/2</f>
        <v>0</v>
      </c>
      <c r="K42" s="967">
        <f>+D42</f>
        <v>0</v>
      </c>
      <c r="L42" s="967">
        <f>+J42*K42/1000</f>
        <v>0</v>
      </c>
      <c r="M42" s="967">
        <f>+M41+L42</f>
        <v>5.9989999999999995E-2</v>
      </c>
      <c r="N42" s="54">
        <f>+B41</f>
        <v>0</v>
      </c>
      <c r="O42" s="968">
        <f>+E42</f>
        <v>0</v>
      </c>
      <c r="P42" s="968">
        <f>+N42*O42/1000</f>
        <v>0</v>
      </c>
      <c r="Q42" s="969">
        <f>+Q41+P42</f>
        <v>4.9059999999999999E-2</v>
      </c>
      <c r="R42" s="247">
        <f>+(B42+B41)/2</f>
        <v>0</v>
      </c>
      <c r="S42" s="24">
        <f>+F42</f>
        <v>0</v>
      </c>
      <c r="T42" s="970">
        <f>+R42*S42/1000000</f>
        <v>0</v>
      </c>
      <c r="U42" s="971">
        <f>+U41+T42</f>
        <v>0.31173319999999993</v>
      </c>
    </row>
    <row r="43" spans="1:21" x14ac:dyDescent="0.2">
      <c r="A43" s="33">
        <f t="shared" si="19"/>
        <v>2030</v>
      </c>
      <c r="B43" s="1036">
        <v>0</v>
      </c>
      <c r="C43" s="565">
        <f t="shared" ref="C43:C47" si="27">+C42+B43</f>
        <v>124</v>
      </c>
      <c r="D43" s="965"/>
      <c r="E43" s="966"/>
      <c r="F43" s="790"/>
      <c r="G43" s="473">
        <f t="shared" ref="G43:G47" si="28">+$B43*D43/1000</f>
        <v>0</v>
      </c>
      <c r="H43" s="474">
        <f t="shared" ref="H43:H47" si="29">+$B43*E43/1000</f>
        <v>0</v>
      </c>
      <c r="I43" s="474">
        <f t="shared" ref="I43:I47" si="30">+$B43*F43/1000000</f>
        <v>0</v>
      </c>
      <c r="J43" s="61">
        <f t="shared" ref="J43:J47" si="31">+(B43+B42)/2</f>
        <v>0</v>
      </c>
      <c r="K43" s="967">
        <f t="shared" ref="K43:K47" si="32">+D43</f>
        <v>0</v>
      </c>
      <c r="L43" s="967">
        <f t="shared" ref="L43:L47" si="33">+J43*K43/1000</f>
        <v>0</v>
      </c>
      <c r="M43" s="967">
        <f t="shared" ref="M43:M47" si="34">+M42+L43</f>
        <v>5.9989999999999995E-2</v>
      </c>
      <c r="N43" s="54">
        <f t="shared" ref="N43:N47" si="35">+B42</f>
        <v>0</v>
      </c>
      <c r="O43" s="968">
        <f t="shared" ref="O43:O47" si="36">+E43</f>
        <v>0</v>
      </c>
      <c r="P43" s="968">
        <f t="shared" ref="P43:P47" si="37">+N43*O43/1000</f>
        <v>0</v>
      </c>
      <c r="Q43" s="969">
        <f t="shared" ref="Q43:Q47" si="38">+Q42+P43</f>
        <v>4.9059999999999999E-2</v>
      </c>
      <c r="R43" s="247">
        <f t="shared" ref="R43:R47" si="39">+(B43+B42)/2</f>
        <v>0</v>
      </c>
      <c r="S43" s="24">
        <f t="shared" ref="S43:S47" si="40">+F43</f>
        <v>0</v>
      </c>
      <c r="T43" s="970">
        <f t="shared" ref="T43:T47" si="41">+R43*S43/1000000</f>
        <v>0</v>
      </c>
      <c r="U43" s="971">
        <f t="shared" ref="U43:U47" si="42">+U42+T43</f>
        <v>0.31173319999999993</v>
      </c>
    </row>
    <row r="44" spans="1:21" x14ac:dyDescent="0.2">
      <c r="A44" s="33">
        <f t="shared" si="19"/>
        <v>2031</v>
      </c>
      <c r="B44" s="1036">
        <v>0</v>
      </c>
      <c r="C44" s="565">
        <f t="shared" si="27"/>
        <v>124</v>
      </c>
      <c r="D44" s="965"/>
      <c r="E44" s="966"/>
      <c r="F44" s="790"/>
      <c r="G44" s="473">
        <f t="shared" si="28"/>
        <v>0</v>
      </c>
      <c r="H44" s="474">
        <f t="shared" si="29"/>
        <v>0</v>
      </c>
      <c r="I44" s="474">
        <f t="shared" si="30"/>
        <v>0</v>
      </c>
      <c r="J44" s="61">
        <f t="shared" si="31"/>
        <v>0</v>
      </c>
      <c r="K44" s="967">
        <f t="shared" si="32"/>
        <v>0</v>
      </c>
      <c r="L44" s="967">
        <f t="shared" si="33"/>
        <v>0</v>
      </c>
      <c r="M44" s="967">
        <f t="shared" si="34"/>
        <v>5.9989999999999995E-2</v>
      </c>
      <c r="N44" s="54">
        <f t="shared" si="35"/>
        <v>0</v>
      </c>
      <c r="O44" s="968">
        <f t="shared" si="36"/>
        <v>0</v>
      </c>
      <c r="P44" s="968">
        <f t="shared" si="37"/>
        <v>0</v>
      </c>
      <c r="Q44" s="969">
        <f t="shared" si="38"/>
        <v>4.9059999999999999E-2</v>
      </c>
      <c r="R44" s="247">
        <f t="shared" si="39"/>
        <v>0</v>
      </c>
      <c r="S44" s="24">
        <f t="shared" si="40"/>
        <v>0</v>
      </c>
      <c r="T44" s="970">
        <f t="shared" si="41"/>
        <v>0</v>
      </c>
      <c r="U44" s="971">
        <f t="shared" si="42"/>
        <v>0.31173319999999993</v>
      </c>
    </row>
    <row r="45" spans="1:21" x14ac:dyDescent="0.2">
      <c r="A45" s="33">
        <f t="shared" si="19"/>
        <v>2032</v>
      </c>
      <c r="B45" s="1036">
        <v>0</v>
      </c>
      <c r="C45" s="565">
        <f t="shared" si="27"/>
        <v>124</v>
      </c>
      <c r="D45" s="965"/>
      <c r="E45" s="966"/>
      <c r="F45" s="790"/>
      <c r="G45" s="473">
        <f t="shared" si="28"/>
        <v>0</v>
      </c>
      <c r="H45" s="474">
        <f t="shared" si="29"/>
        <v>0</v>
      </c>
      <c r="I45" s="474">
        <f t="shared" si="30"/>
        <v>0</v>
      </c>
      <c r="J45" s="61">
        <f t="shared" si="31"/>
        <v>0</v>
      </c>
      <c r="K45" s="967">
        <f t="shared" si="32"/>
        <v>0</v>
      </c>
      <c r="L45" s="967">
        <f t="shared" si="33"/>
        <v>0</v>
      </c>
      <c r="M45" s="967">
        <f t="shared" si="34"/>
        <v>5.9989999999999995E-2</v>
      </c>
      <c r="N45" s="54">
        <f t="shared" si="35"/>
        <v>0</v>
      </c>
      <c r="O45" s="968">
        <f t="shared" si="36"/>
        <v>0</v>
      </c>
      <c r="P45" s="968">
        <f t="shared" si="37"/>
        <v>0</v>
      </c>
      <c r="Q45" s="969">
        <f t="shared" si="38"/>
        <v>4.9059999999999999E-2</v>
      </c>
      <c r="R45" s="247">
        <f t="shared" si="39"/>
        <v>0</v>
      </c>
      <c r="S45" s="24">
        <f t="shared" si="40"/>
        <v>0</v>
      </c>
      <c r="T45" s="970">
        <f t="shared" si="41"/>
        <v>0</v>
      </c>
      <c r="U45" s="971">
        <f t="shared" si="42"/>
        <v>0.31173319999999993</v>
      </c>
    </row>
    <row r="46" spans="1:21" x14ac:dyDescent="0.2">
      <c r="A46" s="33">
        <f t="shared" si="19"/>
        <v>2033</v>
      </c>
      <c r="B46" s="1036">
        <v>0</v>
      </c>
      <c r="C46" s="565">
        <f t="shared" si="27"/>
        <v>124</v>
      </c>
      <c r="D46" s="965"/>
      <c r="E46" s="966"/>
      <c r="F46" s="790"/>
      <c r="G46" s="473">
        <f t="shared" si="28"/>
        <v>0</v>
      </c>
      <c r="H46" s="474">
        <f t="shared" si="29"/>
        <v>0</v>
      </c>
      <c r="I46" s="474">
        <f t="shared" si="30"/>
        <v>0</v>
      </c>
      <c r="J46" s="61">
        <f t="shared" si="31"/>
        <v>0</v>
      </c>
      <c r="K46" s="967">
        <f t="shared" si="32"/>
        <v>0</v>
      </c>
      <c r="L46" s="967">
        <f t="shared" si="33"/>
        <v>0</v>
      </c>
      <c r="M46" s="967">
        <f t="shared" si="34"/>
        <v>5.9989999999999995E-2</v>
      </c>
      <c r="N46" s="54">
        <f t="shared" si="35"/>
        <v>0</v>
      </c>
      <c r="O46" s="968">
        <f t="shared" si="36"/>
        <v>0</v>
      </c>
      <c r="P46" s="968">
        <f t="shared" si="37"/>
        <v>0</v>
      </c>
      <c r="Q46" s="969">
        <f t="shared" si="38"/>
        <v>4.9059999999999999E-2</v>
      </c>
      <c r="R46" s="247">
        <f t="shared" si="39"/>
        <v>0</v>
      </c>
      <c r="S46" s="24">
        <f t="shared" si="40"/>
        <v>0</v>
      </c>
      <c r="T46" s="970">
        <f t="shared" si="41"/>
        <v>0</v>
      </c>
      <c r="U46" s="971">
        <f t="shared" si="42"/>
        <v>0.31173319999999993</v>
      </c>
    </row>
    <row r="47" spans="1:21" x14ac:dyDescent="0.2">
      <c r="A47" s="33">
        <f t="shared" si="19"/>
        <v>2034</v>
      </c>
      <c r="B47" s="1036">
        <v>0</v>
      </c>
      <c r="C47" s="565">
        <f t="shared" si="27"/>
        <v>124</v>
      </c>
      <c r="D47" s="965"/>
      <c r="E47" s="966"/>
      <c r="F47" s="790"/>
      <c r="G47" s="473">
        <f t="shared" si="28"/>
        <v>0</v>
      </c>
      <c r="H47" s="474">
        <f t="shared" si="29"/>
        <v>0</v>
      </c>
      <c r="I47" s="474">
        <f t="shared" si="30"/>
        <v>0</v>
      </c>
      <c r="J47" s="61">
        <f t="shared" si="31"/>
        <v>0</v>
      </c>
      <c r="K47" s="967">
        <f t="shared" si="32"/>
        <v>0</v>
      </c>
      <c r="L47" s="967">
        <f t="shared" si="33"/>
        <v>0</v>
      </c>
      <c r="M47" s="967">
        <f t="shared" si="34"/>
        <v>5.9989999999999995E-2</v>
      </c>
      <c r="N47" s="54">
        <f t="shared" si="35"/>
        <v>0</v>
      </c>
      <c r="O47" s="968">
        <f t="shared" si="36"/>
        <v>0</v>
      </c>
      <c r="P47" s="968">
        <f t="shared" si="37"/>
        <v>0</v>
      </c>
      <c r="Q47" s="969">
        <f t="shared" si="38"/>
        <v>4.9059999999999999E-2</v>
      </c>
      <c r="R47" s="247">
        <f t="shared" si="39"/>
        <v>0</v>
      </c>
      <c r="S47" s="24">
        <f t="shared" si="40"/>
        <v>0</v>
      </c>
      <c r="T47" s="970">
        <f t="shared" si="41"/>
        <v>0</v>
      </c>
      <c r="U47" s="971">
        <f t="shared" si="42"/>
        <v>0.31173319999999993</v>
      </c>
    </row>
    <row r="48" spans="1:21" x14ac:dyDescent="0.2">
      <c r="A48" s="33">
        <f t="shared" si="19"/>
        <v>2035</v>
      </c>
      <c r="B48" s="1036">
        <f>B47</f>
        <v>0</v>
      </c>
      <c r="C48" s="565">
        <f t="shared" ref="C48:C54" si="43">+C47+B48</f>
        <v>124</v>
      </c>
      <c r="D48" s="965"/>
      <c r="E48" s="966"/>
      <c r="F48" s="790"/>
      <c r="G48" s="473">
        <f t="shared" ref="G48:G54" si="44">+$B48*D48/1000</f>
        <v>0</v>
      </c>
      <c r="H48" s="474">
        <f t="shared" ref="H48:H54" si="45">+$B48*E48/1000</f>
        <v>0</v>
      </c>
      <c r="I48" s="474">
        <f t="shared" ref="I48:I54" si="46">+$B48*F48/1000000</f>
        <v>0</v>
      </c>
      <c r="J48" s="61">
        <f t="shared" ref="J48:J54" si="47">+(B48+B47)/2</f>
        <v>0</v>
      </c>
      <c r="K48" s="967">
        <f t="shared" ref="K48:K54" si="48">+D48</f>
        <v>0</v>
      </c>
      <c r="L48" s="967">
        <f t="shared" ref="L48:L54" si="49">+J48*K48/1000</f>
        <v>0</v>
      </c>
      <c r="M48" s="967">
        <f t="shared" ref="M48:M54" si="50">+M47+L48</f>
        <v>5.9989999999999995E-2</v>
      </c>
      <c r="N48" s="54">
        <f t="shared" ref="N48:N54" si="51">+B47</f>
        <v>0</v>
      </c>
      <c r="O48" s="968">
        <f t="shared" ref="O48:O54" si="52">+E48</f>
        <v>0</v>
      </c>
      <c r="P48" s="968">
        <f t="shared" ref="P48:P54" si="53">+N48*O48/1000</f>
        <v>0</v>
      </c>
      <c r="Q48" s="969">
        <f t="shared" ref="Q48:Q54" si="54">+Q47+P48</f>
        <v>4.9059999999999999E-2</v>
      </c>
      <c r="R48" s="247">
        <f t="shared" ref="R48:R54" si="55">+(B48+B47)/2</f>
        <v>0</v>
      </c>
      <c r="S48" s="24">
        <f t="shared" ref="S48:S54" si="56">+F48</f>
        <v>0</v>
      </c>
      <c r="T48" s="970">
        <f t="shared" ref="T48:T54" si="57">+R48*S48/1000000</f>
        <v>0</v>
      </c>
      <c r="U48" s="971">
        <f t="shared" ref="U48:U54" si="58">+U47+T48</f>
        <v>0.31173319999999993</v>
      </c>
    </row>
    <row r="49" spans="1:21" x14ac:dyDescent="0.2">
      <c r="A49" s="33">
        <f t="shared" si="19"/>
        <v>2036</v>
      </c>
      <c r="B49" s="1036">
        <f t="shared" ref="B49:B54" si="59">B48</f>
        <v>0</v>
      </c>
      <c r="C49" s="565">
        <f t="shared" si="43"/>
        <v>124</v>
      </c>
      <c r="D49" s="965"/>
      <c r="E49" s="966"/>
      <c r="F49" s="790"/>
      <c r="G49" s="473">
        <f t="shared" si="44"/>
        <v>0</v>
      </c>
      <c r="H49" s="474">
        <f t="shared" si="45"/>
        <v>0</v>
      </c>
      <c r="I49" s="474">
        <f t="shared" si="46"/>
        <v>0</v>
      </c>
      <c r="J49" s="61">
        <f t="shared" si="47"/>
        <v>0</v>
      </c>
      <c r="K49" s="967">
        <f t="shared" si="48"/>
        <v>0</v>
      </c>
      <c r="L49" s="967">
        <f t="shared" si="49"/>
        <v>0</v>
      </c>
      <c r="M49" s="967">
        <f t="shared" si="50"/>
        <v>5.9989999999999995E-2</v>
      </c>
      <c r="N49" s="54">
        <f t="shared" si="51"/>
        <v>0</v>
      </c>
      <c r="O49" s="968">
        <f t="shared" si="52"/>
        <v>0</v>
      </c>
      <c r="P49" s="968">
        <f t="shared" si="53"/>
        <v>0</v>
      </c>
      <c r="Q49" s="969">
        <f t="shared" si="54"/>
        <v>4.9059999999999999E-2</v>
      </c>
      <c r="R49" s="247">
        <f t="shared" si="55"/>
        <v>0</v>
      </c>
      <c r="S49" s="24">
        <f t="shared" si="56"/>
        <v>0</v>
      </c>
      <c r="T49" s="970">
        <f t="shared" si="57"/>
        <v>0</v>
      </c>
      <c r="U49" s="971">
        <f t="shared" si="58"/>
        <v>0.31173319999999993</v>
      </c>
    </row>
    <row r="50" spans="1:21" x14ac:dyDescent="0.2">
      <c r="A50" s="33">
        <f t="shared" si="19"/>
        <v>2037</v>
      </c>
      <c r="B50" s="1036">
        <f t="shared" si="59"/>
        <v>0</v>
      </c>
      <c r="C50" s="565">
        <f t="shared" si="43"/>
        <v>124</v>
      </c>
      <c r="D50" s="965"/>
      <c r="E50" s="966"/>
      <c r="F50" s="790"/>
      <c r="G50" s="473">
        <f t="shared" si="44"/>
        <v>0</v>
      </c>
      <c r="H50" s="474">
        <f t="shared" si="45"/>
        <v>0</v>
      </c>
      <c r="I50" s="474">
        <f t="shared" si="46"/>
        <v>0</v>
      </c>
      <c r="J50" s="61">
        <f t="shared" si="47"/>
        <v>0</v>
      </c>
      <c r="K50" s="967">
        <f t="shared" si="48"/>
        <v>0</v>
      </c>
      <c r="L50" s="967">
        <f t="shared" si="49"/>
        <v>0</v>
      </c>
      <c r="M50" s="967">
        <f t="shared" si="50"/>
        <v>5.9989999999999995E-2</v>
      </c>
      <c r="N50" s="54">
        <f t="shared" si="51"/>
        <v>0</v>
      </c>
      <c r="O50" s="968">
        <f t="shared" si="52"/>
        <v>0</v>
      </c>
      <c r="P50" s="968">
        <f t="shared" si="53"/>
        <v>0</v>
      </c>
      <c r="Q50" s="969">
        <f t="shared" si="54"/>
        <v>4.9059999999999999E-2</v>
      </c>
      <c r="R50" s="247">
        <f t="shared" si="55"/>
        <v>0</v>
      </c>
      <c r="S50" s="24">
        <f t="shared" si="56"/>
        <v>0</v>
      </c>
      <c r="T50" s="970">
        <f t="shared" si="57"/>
        <v>0</v>
      </c>
      <c r="U50" s="971">
        <f t="shared" si="58"/>
        <v>0.31173319999999993</v>
      </c>
    </row>
    <row r="51" spans="1:21" x14ac:dyDescent="0.2">
      <c r="A51" s="33">
        <f t="shared" si="19"/>
        <v>2038</v>
      </c>
      <c r="B51" s="1036">
        <f t="shared" si="59"/>
        <v>0</v>
      </c>
      <c r="C51" s="565">
        <f t="shared" si="43"/>
        <v>124</v>
      </c>
      <c r="D51" s="965"/>
      <c r="E51" s="966"/>
      <c r="F51" s="790"/>
      <c r="G51" s="473">
        <f t="shared" si="44"/>
        <v>0</v>
      </c>
      <c r="H51" s="474">
        <f t="shared" si="45"/>
        <v>0</v>
      </c>
      <c r="I51" s="474">
        <f t="shared" si="46"/>
        <v>0</v>
      </c>
      <c r="J51" s="61">
        <f t="shared" si="47"/>
        <v>0</v>
      </c>
      <c r="K51" s="967">
        <f t="shared" si="48"/>
        <v>0</v>
      </c>
      <c r="L51" s="967">
        <f t="shared" si="49"/>
        <v>0</v>
      </c>
      <c r="M51" s="967">
        <f t="shared" si="50"/>
        <v>5.9989999999999995E-2</v>
      </c>
      <c r="N51" s="54">
        <f t="shared" si="51"/>
        <v>0</v>
      </c>
      <c r="O51" s="968">
        <f t="shared" si="52"/>
        <v>0</v>
      </c>
      <c r="P51" s="968">
        <f t="shared" si="53"/>
        <v>0</v>
      </c>
      <c r="Q51" s="969">
        <f t="shared" si="54"/>
        <v>4.9059999999999999E-2</v>
      </c>
      <c r="R51" s="247">
        <f t="shared" si="55"/>
        <v>0</v>
      </c>
      <c r="S51" s="24">
        <f t="shared" si="56"/>
        <v>0</v>
      </c>
      <c r="T51" s="970">
        <f t="shared" si="57"/>
        <v>0</v>
      </c>
      <c r="U51" s="971">
        <f t="shared" si="58"/>
        <v>0.31173319999999993</v>
      </c>
    </row>
    <row r="52" spans="1:21" x14ac:dyDescent="0.2">
      <c r="A52" s="33">
        <f t="shared" si="19"/>
        <v>2039</v>
      </c>
      <c r="B52" s="1036">
        <f t="shared" si="59"/>
        <v>0</v>
      </c>
      <c r="C52" s="565">
        <f t="shared" si="43"/>
        <v>124</v>
      </c>
      <c r="D52" s="965"/>
      <c r="E52" s="966"/>
      <c r="F52" s="790"/>
      <c r="G52" s="473">
        <f t="shared" si="44"/>
        <v>0</v>
      </c>
      <c r="H52" s="474">
        <f t="shared" si="45"/>
        <v>0</v>
      </c>
      <c r="I52" s="474">
        <f t="shared" si="46"/>
        <v>0</v>
      </c>
      <c r="J52" s="61">
        <f t="shared" si="47"/>
        <v>0</v>
      </c>
      <c r="K52" s="967">
        <f t="shared" si="48"/>
        <v>0</v>
      </c>
      <c r="L52" s="967">
        <f t="shared" si="49"/>
        <v>0</v>
      </c>
      <c r="M52" s="967">
        <f t="shared" si="50"/>
        <v>5.9989999999999995E-2</v>
      </c>
      <c r="N52" s="54">
        <f t="shared" si="51"/>
        <v>0</v>
      </c>
      <c r="O52" s="968">
        <f t="shared" si="52"/>
        <v>0</v>
      </c>
      <c r="P52" s="968">
        <f t="shared" si="53"/>
        <v>0</v>
      </c>
      <c r="Q52" s="969">
        <f t="shared" si="54"/>
        <v>4.9059999999999999E-2</v>
      </c>
      <c r="R52" s="247">
        <f t="shared" si="55"/>
        <v>0</v>
      </c>
      <c r="S52" s="24">
        <f t="shared" si="56"/>
        <v>0</v>
      </c>
      <c r="T52" s="970">
        <f t="shared" si="57"/>
        <v>0</v>
      </c>
      <c r="U52" s="971">
        <f t="shared" si="58"/>
        <v>0.31173319999999993</v>
      </c>
    </row>
    <row r="53" spans="1:21" x14ac:dyDescent="0.2">
      <c r="A53" s="33">
        <f t="shared" si="19"/>
        <v>2040</v>
      </c>
      <c r="B53" s="1036">
        <f t="shared" si="59"/>
        <v>0</v>
      </c>
      <c r="C53" s="565">
        <f t="shared" si="43"/>
        <v>124</v>
      </c>
      <c r="D53" s="965"/>
      <c r="E53" s="966"/>
      <c r="F53" s="790"/>
      <c r="G53" s="473">
        <f t="shared" si="44"/>
        <v>0</v>
      </c>
      <c r="H53" s="474">
        <f t="shared" si="45"/>
        <v>0</v>
      </c>
      <c r="I53" s="474">
        <f t="shared" si="46"/>
        <v>0</v>
      </c>
      <c r="J53" s="61">
        <f t="shared" si="47"/>
        <v>0</v>
      </c>
      <c r="K53" s="967">
        <f t="shared" si="48"/>
        <v>0</v>
      </c>
      <c r="L53" s="967">
        <f t="shared" si="49"/>
        <v>0</v>
      </c>
      <c r="M53" s="967">
        <f t="shared" si="50"/>
        <v>5.9989999999999995E-2</v>
      </c>
      <c r="N53" s="54">
        <f t="shared" si="51"/>
        <v>0</v>
      </c>
      <c r="O53" s="968">
        <f t="shared" si="52"/>
        <v>0</v>
      </c>
      <c r="P53" s="968">
        <f t="shared" si="53"/>
        <v>0</v>
      </c>
      <c r="Q53" s="969">
        <f t="shared" si="54"/>
        <v>4.9059999999999999E-2</v>
      </c>
      <c r="R53" s="247">
        <f t="shared" si="55"/>
        <v>0</v>
      </c>
      <c r="S53" s="24">
        <f t="shared" si="56"/>
        <v>0</v>
      </c>
      <c r="T53" s="970">
        <f t="shared" si="57"/>
        <v>0</v>
      </c>
      <c r="U53" s="971">
        <f t="shared" si="58"/>
        <v>0.31173319999999993</v>
      </c>
    </row>
    <row r="54" spans="1:21" x14ac:dyDescent="0.2">
      <c r="A54" s="33">
        <f t="shared" si="19"/>
        <v>2041</v>
      </c>
      <c r="B54" s="1036">
        <f t="shared" si="59"/>
        <v>0</v>
      </c>
      <c r="C54" s="565">
        <f t="shared" si="43"/>
        <v>124</v>
      </c>
      <c r="D54" s="965"/>
      <c r="E54" s="966"/>
      <c r="F54" s="790"/>
      <c r="G54" s="473">
        <f t="shared" si="44"/>
        <v>0</v>
      </c>
      <c r="H54" s="474">
        <f t="shared" si="45"/>
        <v>0</v>
      </c>
      <c r="I54" s="474">
        <f t="shared" si="46"/>
        <v>0</v>
      </c>
      <c r="J54" s="61">
        <f t="shared" si="47"/>
        <v>0</v>
      </c>
      <c r="K54" s="967">
        <f t="shared" si="48"/>
        <v>0</v>
      </c>
      <c r="L54" s="967">
        <f t="shared" si="49"/>
        <v>0</v>
      </c>
      <c r="M54" s="967">
        <f t="shared" si="50"/>
        <v>5.9989999999999995E-2</v>
      </c>
      <c r="N54" s="54">
        <f t="shared" si="51"/>
        <v>0</v>
      </c>
      <c r="O54" s="968">
        <f t="shared" si="52"/>
        <v>0</v>
      </c>
      <c r="P54" s="968">
        <f t="shared" si="53"/>
        <v>0</v>
      </c>
      <c r="Q54" s="969">
        <f t="shared" si="54"/>
        <v>4.9059999999999999E-2</v>
      </c>
      <c r="R54" s="247">
        <f t="shared" si="55"/>
        <v>0</v>
      </c>
      <c r="S54" s="24">
        <f t="shared" si="56"/>
        <v>0</v>
      </c>
      <c r="T54" s="970">
        <f t="shared" si="57"/>
        <v>0</v>
      </c>
      <c r="U54" s="971">
        <f t="shared" si="58"/>
        <v>0.31173319999999993</v>
      </c>
    </row>
    <row r="55" spans="1:21" s="2" customFormat="1" x14ac:dyDescent="0.2">
      <c r="A55" s="491"/>
      <c r="B55" s="498"/>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R4:U4"/>
    <mergeCell ref="G3:I3"/>
    <mergeCell ref="B4:I4"/>
    <mergeCell ref="J4:M4"/>
    <mergeCell ref="N4:Q4"/>
  </mergeCells>
  <phoneticPr fontId="7" type="noConversion"/>
  <pageMargins left="0.75" right="0.75" top="1" bottom="1" header="0.5" footer="0.5"/>
  <pageSetup scale="4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3">
    <tabColor rgb="FFFF0000"/>
    <pageSetUpPr fitToPage="1"/>
  </sheetPr>
  <dimension ref="A1:X84"/>
  <sheetViews>
    <sheetView workbookViewId="0">
      <pane xSplit="1" ySplit="5" topLeftCell="B24" activePane="bottomRight" state="frozen"/>
      <selection activeCell="A3" sqref="A3:M4"/>
      <selection pane="topRight" activeCell="A3" sqref="A3:M4"/>
      <selection pane="bottomLeft" activeCell="A3" sqref="A3:M4"/>
      <selection pane="bottomRight" activeCell="M59" sqref="M59"/>
    </sheetView>
  </sheetViews>
  <sheetFormatPr defaultRowHeight="12.75" x14ac:dyDescent="0.2"/>
  <cols>
    <col min="1" max="1" width="11.7109375" customWidth="1"/>
    <col min="2" max="2" width="10.28515625" customWidth="1"/>
    <col min="3" max="3" width="14.28515625" customWidth="1"/>
    <col min="4" max="4" width="13.28515625" customWidth="1"/>
    <col min="5" max="5" width="10.28515625" customWidth="1"/>
    <col min="6" max="6" width="12.28515625" customWidth="1"/>
    <col min="7" max="7" width="11.28515625" customWidth="1"/>
    <col min="8" max="9" width="10.42578125" customWidth="1"/>
    <col min="10" max="10" width="11.28515625" bestFit="1"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958" t="s">
        <v>317</v>
      </c>
      <c r="G1" s="4"/>
      <c r="H1" s="4"/>
      <c r="I1" s="249"/>
      <c r="J1" s="4"/>
      <c r="K1" s="4"/>
      <c r="L1" s="4"/>
      <c r="M1" s="4"/>
      <c r="N1" s="4"/>
    </row>
    <row r="2" spans="1:24" ht="16.5" thickBot="1" x14ac:dyDescent="0.3">
      <c r="A2" s="5" t="s">
        <v>1</v>
      </c>
      <c r="B2" s="27" t="s">
        <v>209</v>
      </c>
      <c r="C2" s="27"/>
      <c r="D2" s="27"/>
      <c r="E2" s="27"/>
      <c r="F2" s="23"/>
      <c r="G2" s="27"/>
      <c r="H2" s="27"/>
      <c r="I2" s="27"/>
      <c r="J2" s="958" t="s">
        <v>318</v>
      </c>
      <c r="K2" s="4"/>
      <c r="L2" s="4"/>
      <c r="M2" s="4"/>
      <c r="N2" s="4"/>
    </row>
    <row r="3" spans="1:24" ht="16.5" thickBot="1" x14ac:dyDescent="0.3">
      <c r="A3" s="4"/>
      <c r="B3" s="4"/>
      <c r="C3" s="410"/>
      <c r="D3" s="410"/>
      <c r="E3" s="410"/>
      <c r="F3" s="410"/>
      <c r="G3" s="1463" t="s">
        <v>20</v>
      </c>
      <c r="H3" s="1464"/>
      <c r="I3" s="1465"/>
      <c r="J3" s="958" t="s">
        <v>330</v>
      </c>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f>73+C6</f>
        <v>73</v>
      </c>
      <c r="D7" s="628"/>
      <c r="E7" s="15"/>
      <c r="F7" s="31"/>
      <c r="G7" s="208"/>
      <c r="H7" s="15"/>
      <c r="I7" s="31"/>
      <c r="J7" s="37"/>
      <c r="K7" s="59">
        <f>+(M7-M6)/($C7-$C6)*1000</f>
        <v>8.2191780821917799</v>
      </c>
      <c r="L7" s="6"/>
      <c r="M7" s="46">
        <v>0.6</v>
      </c>
      <c r="N7" s="40"/>
      <c r="O7" s="55">
        <f>+(Q7-Q6)/($C7-$C6)*1000</f>
        <v>3.0136986301369864</v>
      </c>
      <c r="P7" s="57"/>
      <c r="Q7" s="41">
        <v>0.22</v>
      </c>
      <c r="R7" s="43"/>
      <c r="S7" s="24">
        <f>+(U7-U6)/($C7-$C6)*1000000</f>
        <v>27123.287671232876</v>
      </c>
      <c r="T7" s="21"/>
      <c r="U7" s="47">
        <v>1.98</v>
      </c>
      <c r="V7" s="3"/>
    </row>
    <row r="8" spans="1:24" x14ac:dyDescent="0.2">
      <c r="A8" s="33">
        <v>1995</v>
      </c>
      <c r="B8" s="30">
        <v>191</v>
      </c>
      <c r="C8" s="660">
        <f>+C7+B8</f>
        <v>264</v>
      </c>
      <c r="D8" s="30">
        <v>10.837696335078535</v>
      </c>
      <c r="E8" s="210">
        <v>3.9267015706806281</v>
      </c>
      <c r="F8" s="617">
        <v>36125.654450261783</v>
      </c>
      <c r="G8" s="452">
        <f t="shared" ref="G8" si="0">+$B8*D8/1000</f>
        <v>2.0699999999999998</v>
      </c>
      <c r="H8" s="72">
        <f t="shared" ref="H8" si="1">+$B8*E8/1000</f>
        <v>0.75</v>
      </c>
      <c r="I8" s="72">
        <f t="shared" ref="I8" si="2">+$B8*F8/1000000</f>
        <v>6.9000000000000012</v>
      </c>
      <c r="J8" s="61">
        <f>+(B8+N8)/2</f>
        <v>107.5</v>
      </c>
      <c r="K8" s="59">
        <f>+D8</f>
        <v>10.837696335078535</v>
      </c>
      <c r="L8" s="59">
        <f>+J8*K8/1000</f>
        <v>1.1650523560209425</v>
      </c>
      <c r="M8" s="60">
        <f>+M7+L8</f>
        <v>1.7650523560209423</v>
      </c>
      <c r="N8" s="51">
        <v>24</v>
      </c>
      <c r="O8" s="55">
        <f>+E8</f>
        <v>3.9267015706806281</v>
      </c>
      <c r="P8" s="55">
        <f>+N8*O8/1000</f>
        <v>9.4240837696335081E-2</v>
      </c>
      <c r="Q8" s="56">
        <f>+Q7+P8</f>
        <v>0.3142408376963351</v>
      </c>
      <c r="R8" s="247">
        <f>J8</f>
        <v>107.5</v>
      </c>
      <c r="S8" s="24">
        <f>+F8</f>
        <v>36125.654450261783</v>
      </c>
      <c r="T8" s="25">
        <f>+R8*S8/1000000</f>
        <v>3.8835078534031418</v>
      </c>
      <c r="U8" s="53">
        <f>+U7+T8</f>
        <v>5.8635078534031422</v>
      </c>
      <c r="V8" s="9"/>
      <c r="X8" s="1"/>
    </row>
    <row r="9" spans="1:24" x14ac:dyDescent="0.2">
      <c r="A9" s="33">
        <v>1996</v>
      </c>
      <c r="B9" s="30">
        <v>203</v>
      </c>
      <c r="C9" s="660">
        <f t="shared" ref="C9:C37" si="3">+C8+B9</f>
        <v>467</v>
      </c>
      <c r="D9" s="30">
        <v>15.91</v>
      </c>
      <c r="E9" s="210">
        <v>5.52</v>
      </c>
      <c r="F9" s="617">
        <v>72680</v>
      </c>
      <c r="G9" s="452">
        <f t="shared" ref="G9:G23" si="4">+$B9*D9/1000</f>
        <v>3.22973</v>
      </c>
      <c r="H9" s="72">
        <f t="shared" ref="H9:H23" si="5">+$B9*E9/1000</f>
        <v>1.12056</v>
      </c>
      <c r="I9" s="72">
        <f t="shared" ref="I9:I23" si="6">+$B9*F9/1000000</f>
        <v>14.75404</v>
      </c>
      <c r="J9" s="61">
        <f t="shared" ref="J9:J40" si="7">+(B9+B8)/2</f>
        <v>197</v>
      </c>
      <c r="K9" s="59">
        <f t="shared" ref="K9:K37" si="8">+D9</f>
        <v>15.91</v>
      </c>
      <c r="L9" s="59">
        <f t="shared" ref="L9:L37" si="9">+J9*K9/1000</f>
        <v>3.1342699999999999</v>
      </c>
      <c r="M9" s="60">
        <f t="shared" ref="M9:M37" si="10">+M8+L9</f>
        <v>4.8993223560209422</v>
      </c>
      <c r="N9" s="54">
        <f>+B8</f>
        <v>191</v>
      </c>
      <c r="O9" s="55">
        <f t="shared" ref="O9:O37" si="11">+E9</f>
        <v>5.52</v>
      </c>
      <c r="P9" s="55">
        <f t="shared" ref="P9:P37" si="12">+N9*O9/1000</f>
        <v>1.0543199999999999</v>
      </c>
      <c r="Q9" s="56">
        <f t="shared" ref="Q9:Q37" si="13">+Q8+P9</f>
        <v>1.368560837696335</v>
      </c>
      <c r="R9" s="247">
        <f t="shared" ref="R9:R47" si="14">+(B9+B8)/2</f>
        <v>197</v>
      </c>
      <c r="S9" s="24">
        <f t="shared" ref="S9:S37" si="15">+F9</f>
        <v>72680</v>
      </c>
      <c r="T9" s="25">
        <f t="shared" ref="T9:T40" si="16">+R9*S9/1000000</f>
        <v>14.317959999999999</v>
      </c>
      <c r="U9" s="53">
        <f t="shared" ref="U9:U37" si="17">+U8+T9</f>
        <v>20.181467853403142</v>
      </c>
      <c r="V9" s="10"/>
      <c r="X9" s="1"/>
    </row>
    <row r="10" spans="1:24" x14ac:dyDescent="0.2">
      <c r="A10" s="33">
        <v>1997</v>
      </c>
      <c r="B10" s="30">
        <v>122</v>
      </c>
      <c r="C10" s="660">
        <f t="shared" si="3"/>
        <v>589</v>
      </c>
      <c r="D10" s="30">
        <v>25.859508196721311</v>
      </c>
      <c r="E10" s="210">
        <v>8.9720491803278684</v>
      </c>
      <c r="F10" s="617">
        <v>117743.26229508196</v>
      </c>
      <c r="G10" s="452">
        <f t="shared" si="4"/>
        <v>3.1548600000000002</v>
      </c>
      <c r="H10" s="72">
        <f t="shared" si="5"/>
        <v>1.09459</v>
      </c>
      <c r="I10" s="72">
        <f t="shared" si="6"/>
        <v>14.364678</v>
      </c>
      <c r="J10" s="61">
        <f t="shared" si="7"/>
        <v>162.5</v>
      </c>
      <c r="K10" s="59">
        <f t="shared" si="8"/>
        <v>25.859508196721311</v>
      </c>
      <c r="L10" s="59">
        <f t="shared" si="9"/>
        <v>4.2021700819672132</v>
      </c>
      <c r="M10" s="60">
        <f t="shared" si="10"/>
        <v>9.1014924379881563</v>
      </c>
      <c r="N10" s="54">
        <f t="shared" ref="N10:N37" si="18">+B9</f>
        <v>203</v>
      </c>
      <c r="O10" s="55">
        <f t="shared" si="11"/>
        <v>8.9720491803278684</v>
      </c>
      <c r="P10" s="55">
        <f t="shared" si="12"/>
        <v>1.8213259836065572</v>
      </c>
      <c r="Q10" s="56">
        <f t="shared" si="13"/>
        <v>3.1898868213028919</v>
      </c>
      <c r="R10" s="247">
        <f t="shared" si="14"/>
        <v>162.5</v>
      </c>
      <c r="S10" s="24">
        <f t="shared" si="15"/>
        <v>117743.26229508196</v>
      </c>
      <c r="T10" s="25">
        <f t="shared" si="16"/>
        <v>19.133280122950818</v>
      </c>
      <c r="U10" s="53">
        <f t="shared" si="17"/>
        <v>39.314747976353956</v>
      </c>
      <c r="V10" s="10"/>
      <c r="X10" s="1"/>
    </row>
    <row r="11" spans="1:24" x14ac:dyDescent="0.2">
      <c r="A11" s="33">
        <v>1998</v>
      </c>
      <c r="B11" s="30">
        <v>106</v>
      </c>
      <c r="C11" s="660">
        <f t="shared" si="3"/>
        <v>695</v>
      </c>
      <c r="D11" s="30">
        <v>26.43</v>
      </c>
      <c r="E11" s="210">
        <v>9.17</v>
      </c>
      <c r="F11" s="617">
        <v>121682</v>
      </c>
      <c r="G11" s="452">
        <f t="shared" si="4"/>
        <v>2.80158</v>
      </c>
      <c r="H11" s="72">
        <f t="shared" si="5"/>
        <v>0.97202</v>
      </c>
      <c r="I11" s="72">
        <f t="shared" si="6"/>
        <v>12.898292</v>
      </c>
      <c r="J11" s="61">
        <f t="shared" si="7"/>
        <v>114</v>
      </c>
      <c r="K11" s="59">
        <f t="shared" si="8"/>
        <v>26.43</v>
      </c>
      <c r="L11" s="59">
        <f t="shared" si="9"/>
        <v>3.01302</v>
      </c>
      <c r="M11" s="60">
        <f t="shared" si="10"/>
        <v>12.114512437988157</v>
      </c>
      <c r="N11" s="54">
        <f t="shared" si="18"/>
        <v>122</v>
      </c>
      <c r="O11" s="55">
        <f t="shared" si="11"/>
        <v>9.17</v>
      </c>
      <c r="P11" s="55">
        <f t="shared" si="12"/>
        <v>1.1187400000000001</v>
      </c>
      <c r="Q11" s="56">
        <f t="shared" si="13"/>
        <v>4.3086268213028918</v>
      </c>
      <c r="R11" s="247">
        <f t="shared" si="14"/>
        <v>114</v>
      </c>
      <c r="S11" s="24">
        <f t="shared" si="15"/>
        <v>121682</v>
      </c>
      <c r="T11" s="25">
        <f t="shared" si="16"/>
        <v>13.871748</v>
      </c>
      <c r="U11" s="53">
        <f t="shared" si="17"/>
        <v>53.186495976353953</v>
      </c>
      <c r="V11" s="10"/>
      <c r="X11" s="1"/>
    </row>
    <row r="12" spans="1:24" x14ac:dyDescent="0.2">
      <c r="A12" s="33">
        <v>1999</v>
      </c>
      <c r="B12" s="30">
        <v>66</v>
      </c>
      <c r="C12" s="660">
        <f t="shared" si="3"/>
        <v>761</v>
      </c>
      <c r="D12" s="30">
        <v>39.489999999999995</v>
      </c>
      <c r="E12" s="210">
        <v>13.700000000000001</v>
      </c>
      <c r="F12" s="617">
        <v>185052</v>
      </c>
      <c r="G12" s="452">
        <f t="shared" si="4"/>
        <v>2.6063399999999999</v>
      </c>
      <c r="H12" s="72">
        <f t="shared" si="5"/>
        <v>0.9042</v>
      </c>
      <c r="I12" s="72">
        <f t="shared" si="6"/>
        <v>12.213431999999999</v>
      </c>
      <c r="J12" s="61">
        <f t="shared" si="7"/>
        <v>86</v>
      </c>
      <c r="K12" s="59">
        <f t="shared" si="8"/>
        <v>39.489999999999995</v>
      </c>
      <c r="L12" s="59">
        <f t="shared" si="9"/>
        <v>3.3961399999999995</v>
      </c>
      <c r="M12" s="60">
        <f t="shared" si="10"/>
        <v>15.510652437988156</v>
      </c>
      <c r="N12" s="54">
        <f t="shared" si="18"/>
        <v>106</v>
      </c>
      <c r="O12" s="55">
        <f t="shared" si="11"/>
        <v>13.700000000000001</v>
      </c>
      <c r="P12" s="55">
        <f t="shared" si="12"/>
        <v>1.4521999999999999</v>
      </c>
      <c r="Q12" s="56">
        <f t="shared" si="13"/>
        <v>5.7608268213028921</v>
      </c>
      <c r="R12" s="247">
        <f t="shared" si="14"/>
        <v>86</v>
      </c>
      <c r="S12" s="24">
        <f t="shared" si="15"/>
        <v>185052</v>
      </c>
      <c r="T12" s="25">
        <f t="shared" si="16"/>
        <v>15.914472</v>
      </c>
      <c r="U12" s="53">
        <f t="shared" si="17"/>
        <v>69.100967976353957</v>
      </c>
      <c r="V12" s="10"/>
      <c r="X12" s="1"/>
    </row>
    <row r="13" spans="1:24" x14ac:dyDescent="0.2">
      <c r="A13" s="33">
        <v>2000</v>
      </c>
      <c r="B13" s="30">
        <v>46</v>
      </c>
      <c r="C13" s="660">
        <f t="shared" si="3"/>
        <v>807</v>
      </c>
      <c r="D13" s="30">
        <v>96.567391304347836</v>
      </c>
      <c r="E13" s="210">
        <v>33.506086956521742</v>
      </c>
      <c r="F13" s="617">
        <v>325773.78260869568</v>
      </c>
      <c r="G13" s="452">
        <f t="shared" si="4"/>
        <v>4.4420999999999999</v>
      </c>
      <c r="H13" s="72">
        <f t="shared" si="5"/>
        <v>1.5412800000000002</v>
      </c>
      <c r="I13" s="72">
        <f t="shared" si="6"/>
        <v>14.985594000000003</v>
      </c>
      <c r="J13" s="61">
        <f t="shared" si="7"/>
        <v>56</v>
      </c>
      <c r="K13" s="59">
        <f t="shared" si="8"/>
        <v>96.567391304347836</v>
      </c>
      <c r="L13" s="59">
        <f t="shared" si="9"/>
        <v>5.4077739130434788</v>
      </c>
      <c r="M13" s="60">
        <f t="shared" si="10"/>
        <v>20.918426351031634</v>
      </c>
      <c r="N13" s="54">
        <f t="shared" si="18"/>
        <v>66</v>
      </c>
      <c r="O13" s="55">
        <f t="shared" si="11"/>
        <v>33.506086956521742</v>
      </c>
      <c r="P13" s="55">
        <f t="shared" si="12"/>
        <v>2.211401739130435</v>
      </c>
      <c r="Q13" s="56">
        <f t="shared" si="13"/>
        <v>7.9722285604333276</v>
      </c>
      <c r="R13" s="247">
        <f t="shared" si="14"/>
        <v>56</v>
      </c>
      <c r="S13" s="24">
        <f t="shared" si="15"/>
        <v>325773.78260869568</v>
      </c>
      <c r="T13" s="25">
        <f t="shared" si="16"/>
        <v>18.243331826086958</v>
      </c>
      <c r="U13" s="53">
        <f t="shared" si="17"/>
        <v>87.344299802440915</v>
      </c>
      <c r="V13" s="9"/>
      <c r="X13" s="1"/>
    </row>
    <row r="14" spans="1:24" x14ac:dyDescent="0.2">
      <c r="A14" s="33">
        <v>2001</v>
      </c>
      <c r="B14" s="30">
        <v>58</v>
      </c>
      <c r="C14" s="660">
        <f t="shared" si="3"/>
        <v>865</v>
      </c>
      <c r="D14" s="30">
        <v>43.89</v>
      </c>
      <c r="E14" s="210">
        <v>15.23</v>
      </c>
      <c r="F14" s="617">
        <v>107032</v>
      </c>
      <c r="G14" s="452">
        <f t="shared" si="4"/>
        <v>2.54562</v>
      </c>
      <c r="H14" s="72">
        <f t="shared" si="5"/>
        <v>0.88334000000000001</v>
      </c>
      <c r="I14" s="72">
        <f t="shared" si="6"/>
        <v>6.2078559999999996</v>
      </c>
      <c r="J14" s="61">
        <f t="shared" si="7"/>
        <v>52</v>
      </c>
      <c r="K14" s="59">
        <f t="shared" si="8"/>
        <v>43.89</v>
      </c>
      <c r="L14" s="59">
        <f t="shared" si="9"/>
        <v>2.2822800000000001</v>
      </c>
      <c r="M14" s="60">
        <f t="shared" si="10"/>
        <v>23.200706351031634</v>
      </c>
      <c r="N14" s="54">
        <f t="shared" si="18"/>
        <v>46</v>
      </c>
      <c r="O14" s="55">
        <f t="shared" si="11"/>
        <v>15.23</v>
      </c>
      <c r="P14" s="55">
        <f t="shared" si="12"/>
        <v>0.70058000000000009</v>
      </c>
      <c r="Q14" s="56">
        <f t="shared" si="13"/>
        <v>8.672808560433328</v>
      </c>
      <c r="R14" s="247">
        <f t="shared" si="14"/>
        <v>52</v>
      </c>
      <c r="S14" s="24">
        <f t="shared" si="15"/>
        <v>107032</v>
      </c>
      <c r="T14" s="25">
        <f t="shared" si="16"/>
        <v>5.5656639999999999</v>
      </c>
      <c r="U14" s="53">
        <f t="shared" si="17"/>
        <v>92.909963802440913</v>
      </c>
      <c r="V14" s="9"/>
      <c r="X14" s="1"/>
    </row>
    <row r="15" spans="1:24" x14ac:dyDescent="0.2">
      <c r="A15" s="33">
        <v>2002</v>
      </c>
      <c r="B15" s="30">
        <v>51</v>
      </c>
      <c r="C15" s="660">
        <f t="shared" si="3"/>
        <v>916</v>
      </c>
      <c r="D15" s="30">
        <v>20.21</v>
      </c>
      <c r="E15" s="210">
        <v>7.01</v>
      </c>
      <c r="F15" s="617">
        <v>147693</v>
      </c>
      <c r="G15" s="452">
        <f t="shared" si="4"/>
        <v>1.03071</v>
      </c>
      <c r="H15" s="72">
        <f t="shared" si="5"/>
        <v>0.35750999999999999</v>
      </c>
      <c r="I15" s="72">
        <f t="shared" si="6"/>
        <v>7.532343</v>
      </c>
      <c r="J15" s="61">
        <f t="shared" si="7"/>
        <v>54.5</v>
      </c>
      <c r="K15" s="59">
        <f t="shared" si="8"/>
        <v>20.21</v>
      </c>
      <c r="L15" s="59">
        <f t="shared" si="9"/>
        <v>1.101445</v>
      </c>
      <c r="M15" s="60">
        <f t="shared" si="10"/>
        <v>24.302151351031632</v>
      </c>
      <c r="N15" s="54">
        <f t="shared" si="18"/>
        <v>58</v>
      </c>
      <c r="O15" s="55">
        <f t="shared" si="11"/>
        <v>7.01</v>
      </c>
      <c r="P15" s="55">
        <f t="shared" si="12"/>
        <v>0.40658</v>
      </c>
      <c r="Q15" s="56">
        <f t="shared" si="13"/>
        <v>9.079388560433328</v>
      </c>
      <c r="R15" s="247">
        <f t="shared" si="14"/>
        <v>54.5</v>
      </c>
      <c r="S15" s="24">
        <f t="shared" si="15"/>
        <v>147693</v>
      </c>
      <c r="T15" s="25">
        <f t="shared" si="16"/>
        <v>8.0492685000000002</v>
      </c>
      <c r="U15" s="53">
        <f t="shared" si="17"/>
        <v>100.95923230244091</v>
      </c>
      <c r="V15" s="9"/>
      <c r="X15" s="1"/>
    </row>
    <row r="16" spans="1:24" x14ac:dyDescent="0.2">
      <c r="A16" s="33">
        <v>2003</v>
      </c>
      <c r="B16" s="30">
        <v>40</v>
      </c>
      <c r="C16" s="660">
        <f t="shared" si="3"/>
        <v>956</v>
      </c>
      <c r="D16" s="30">
        <v>31.2</v>
      </c>
      <c r="E16" s="210">
        <v>10.82</v>
      </c>
      <c r="F16" s="617">
        <v>277055</v>
      </c>
      <c r="G16" s="452">
        <f t="shared" si="4"/>
        <v>1.248</v>
      </c>
      <c r="H16" s="72">
        <f t="shared" si="5"/>
        <v>0.43280000000000002</v>
      </c>
      <c r="I16" s="72">
        <f t="shared" si="6"/>
        <v>11.0822</v>
      </c>
      <c r="J16" s="61">
        <f t="shared" si="7"/>
        <v>45.5</v>
      </c>
      <c r="K16" s="59">
        <f t="shared" si="8"/>
        <v>31.2</v>
      </c>
      <c r="L16" s="59">
        <f t="shared" si="9"/>
        <v>1.4196</v>
      </c>
      <c r="M16" s="60">
        <f t="shared" si="10"/>
        <v>25.721751351031632</v>
      </c>
      <c r="N16" s="54">
        <f t="shared" si="18"/>
        <v>51</v>
      </c>
      <c r="O16" s="55">
        <f t="shared" si="11"/>
        <v>10.82</v>
      </c>
      <c r="P16" s="55">
        <f t="shared" si="12"/>
        <v>0.55182000000000009</v>
      </c>
      <c r="Q16" s="56">
        <f t="shared" si="13"/>
        <v>9.6312085604333273</v>
      </c>
      <c r="R16" s="247">
        <f t="shared" si="14"/>
        <v>45.5</v>
      </c>
      <c r="S16" s="24">
        <f t="shared" si="15"/>
        <v>277055</v>
      </c>
      <c r="T16" s="25">
        <f t="shared" si="16"/>
        <v>12.606002500000001</v>
      </c>
      <c r="U16" s="53">
        <f t="shared" si="17"/>
        <v>113.56523480244091</v>
      </c>
      <c r="V16" s="9"/>
      <c r="X16" s="1"/>
    </row>
    <row r="17" spans="1:24" x14ac:dyDescent="0.2">
      <c r="A17" s="33">
        <f>+A16+1</f>
        <v>2004</v>
      </c>
      <c r="B17" s="30">
        <v>58</v>
      </c>
      <c r="C17" s="660">
        <f t="shared" si="3"/>
        <v>1014</v>
      </c>
      <c r="D17" s="30">
        <v>34.369999999999997</v>
      </c>
      <c r="E17" s="210">
        <v>11.92</v>
      </c>
      <c r="F17" s="617">
        <v>197388</v>
      </c>
      <c r="G17" s="452">
        <f t="shared" si="4"/>
        <v>1.9934599999999998</v>
      </c>
      <c r="H17" s="72">
        <f t="shared" si="5"/>
        <v>0.69135999999999997</v>
      </c>
      <c r="I17" s="72">
        <f t="shared" si="6"/>
        <v>11.448504</v>
      </c>
      <c r="J17" s="61">
        <f t="shared" si="7"/>
        <v>49</v>
      </c>
      <c r="K17" s="59">
        <f t="shared" si="8"/>
        <v>34.369999999999997</v>
      </c>
      <c r="L17" s="59">
        <f t="shared" si="9"/>
        <v>1.6841299999999999</v>
      </c>
      <c r="M17" s="60">
        <f t="shared" si="10"/>
        <v>27.405881351031631</v>
      </c>
      <c r="N17" s="54">
        <f t="shared" si="18"/>
        <v>40</v>
      </c>
      <c r="O17" s="55">
        <f t="shared" si="11"/>
        <v>11.92</v>
      </c>
      <c r="P17" s="55">
        <f t="shared" si="12"/>
        <v>0.4768</v>
      </c>
      <c r="Q17" s="56">
        <f t="shared" si="13"/>
        <v>10.108008560433328</v>
      </c>
      <c r="R17" s="247">
        <f t="shared" si="14"/>
        <v>49</v>
      </c>
      <c r="S17" s="24">
        <f t="shared" si="15"/>
        <v>197388</v>
      </c>
      <c r="T17" s="25">
        <f t="shared" si="16"/>
        <v>9.6720120000000005</v>
      </c>
      <c r="U17" s="53">
        <f t="shared" si="17"/>
        <v>123.23724680244091</v>
      </c>
      <c r="V17" s="9"/>
      <c r="X17" s="1"/>
    </row>
    <row r="18" spans="1:24" x14ac:dyDescent="0.2">
      <c r="A18" s="33">
        <f t="shared" ref="A18:A38" si="19">+A17+1</f>
        <v>2005</v>
      </c>
      <c r="B18" s="30">
        <v>29</v>
      </c>
      <c r="C18" s="660">
        <f t="shared" si="3"/>
        <v>1043</v>
      </c>
      <c r="D18" s="30">
        <v>29.82</v>
      </c>
      <c r="E18" s="210">
        <v>10.34</v>
      </c>
      <c r="F18" s="617">
        <v>223006</v>
      </c>
      <c r="G18" s="452">
        <f t="shared" si="4"/>
        <v>0.86477999999999999</v>
      </c>
      <c r="H18" s="72">
        <f t="shared" si="5"/>
        <v>0.29986000000000002</v>
      </c>
      <c r="I18" s="72">
        <f t="shared" si="6"/>
        <v>6.467174</v>
      </c>
      <c r="J18" s="61">
        <f t="shared" si="7"/>
        <v>43.5</v>
      </c>
      <c r="K18" s="59">
        <f t="shared" si="8"/>
        <v>29.82</v>
      </c>
      <c r="L18" s="59">
        <f t="shared" si="9"/>
        <v>1.2971700000000002</v>
      </c>
      <c r="M18" s="60">
        <f t="shared" si="10"/>
        <v>28.703051351031633</v>
      </c>
      <c r="N18" s="54">
        <f t="shared" si="18"/>
        <v>58</v>
      </c>
      <c r="O18" s="55">
        <f t="shared" si="11"/>
        <v>10.34</v>
      </c>
      <c r="P18" s="55">
        <f t="shared" si="12"/>
        <v>0.59972000000000003</v>
      </c>
      <c r="Q18" s="56">
        <f t="shared" si="13"/>
        <v>10.707728560433328</v>
      </c>
      <c r="R18" s="247">
        <f t="shared" si="14"/>
        <v>43.5</v>
      </c>
      <c r="S18" s="24">
        <f t="shared" si="15"/>
        <v>223006</v>
      </c>
      <c r="T18" s="25">
        <f t="shared" si="16"/>
        <v>9.700761</v>
      </c>
      <c r="U18" s="53">
        <f t="shared" si="17"/>
        <v>132.93800780244089</v>
      </c>
      <c r="V18" s="9"/>
      <c r="X18" s="1"/>
    </row>
    <row r="19" spans="1:24" x14ac:dyDescent="0.2">
      <c r="A19" s="33">
        <f t="shared" si="19"/>
        <v>2006</v>
      </c>
      <c r="B19" s="30">
        <v>20</v>
      </c>
      <c r="C19" s="660">
        <f t="shared" si="3"/>
        <v>1063</v>
      </c>
      <c r="D19" s="30">
        <v>50.33</v>
      </c>
      <c r="E19" s="210">
        <v>17.46</v>
      </c>
      <c r="F19" s="617">
        <v>284306</v>
      </c>
      <c r="G19" s="452">
        <f t="shared" si="4"/>
        <v>1.0065999999999999</v>
      </c>
      <c r="H19" s="72">
        <f t="shared" si="5"/>
        <v>0.34920000000000007</v>
      </c>
      <c r="I19" s="72">
        <f t="shared" si="6"/>
        <v>5.6861199999999998</v>
      </c>
      <c r="J19" s="61">
        <f t="shared" si="7"/>
        <v>24.5</v>
      </c>
      <c r="K19" s="59">
        <f t="shared" si="8"/>
        <v>50.33</v>
      </c>
      <c r="L19" s="59">
        <f t="shared" si="9"/>
        <v>1.233085</v>
      </c>
      <c r="M19" s="60">
        <f t="shared" si="10"/>
        <v>29.936136351031632</v>
      </c>
      <c r="N19" s="54">
        <f t="shared" si="18"/>
        <v>29</v>
      </c>
      <c r="O19" s="55">
        <f t="shared" si="11"/>
        <v>17.46</v>
      </c>
      <c r="P19" s="55">
        <f t="shared" si="12"/>
        <v>0.50634000000000001</v>
      </c>
      <c r="Q19" s="56">
        <f t="shared" si="13"/>
        <v>11.214068560433327</v>
      </c>
      <c r="R19" s="247">
        <f t="shared" si="14"/>
        <v>24.5</v>
      </c>
      <c r="S19" s="24">
        <f t="shared" si="15"/>
        <v>284306</v>
      </c>
      <c r="T19" s="25">
        <f t="shared" si="16"/>
        <v>6.965497</v>
      </c>
      <c r="U19" s="53">
        <f t="shared" si="17"/>
        <v>139.90350480244089</v>
      </c>
      <c r="V19" s="8"/>
      <c r="X19" s="1"/>
    </row>
    <row r="20" spans="1:24" x14ac:dyDescent="0.2">
      <c r="A20" s="33">
        <f t="shared" si="19"/>
        <v>2007</v>
      </c>
      <c r="B20" s="30">
        <v>44</v>
      </c>
      <c r="C20" s="660">
        <f t="shared" si="3"/>
        <v>1107</v>
      </c>
      <c r="D20" s="30">
        <v>32.53</v>
      </c>
      <c r="E20" s="210">
        <v>11.29</v>
      </c>
      <c r="F20" s="617">
        <v>201353</v>
      </c>
      <c r="G20" s="452">
        <f t="shared" si="4"/>
        <v>1.4313200000000001</v>
      </c>
      <c r="H20" s="72">
        <f t="shared" si="5"/>
        <v>0.49675999999999998</v>
      </c>
      <c r="I20" s="72">
        <f t="shared" si="6"/>
        <v>8.8595319999999997</v>
      </c>
      <c r="J20" s="61">
        <f t="shared" si="7"/>
        <v>32</v>
      </c>
      <c r="K20" s="59">
        <f t="shared" si="8"/>
        <v>32.53</v>
      </c>
      <c r="L20" s="59">
        <f t="shared" si="9"/>
        <v>1.0409600000000001</v>
      </c>
      <c r="M20" s="60">
        <f t="shared" si="10"/>
        <v>30.977096351031634</v>
      </c>
      <c r="N20" s="54">
        <f t="shared" si="18"/>
        <v>20</v>
      </c>
      <c r="O20" s="55">
        <f t="shared" si="11"/>
        <v>11.29</v>
      </c>
      <c r="P20" s="55">
        <f t="shared" si="12"/>
        <v>0.22579999999999997</v>
      </c>
      <c r="Q20" s="56">
        <f t="shared" si="13"/>
        <v>11.439868560433327</v>
      </c>
      <c r="R20" s="247">
        <f t="shared" si="14"/>
        <v>32</v>
      </c>
      <c r="S20" s="24">
        <f t="shared" si="15"/>
        <v>201353</v>
      </c>
      <c r="T20" s="25">
        <f t="shared" si="16"/>
        <v>6.4432960000000001</v>
      </c>
      <c r="U20" s="53">
        <f t="shared" si="17"/>
        <v>146.3468008024409</v>
      </c>
    </row>
    <row r="21" spans="1:24" x14ac:dyDescent="0.2">
      <c r="A21" s="33">
        <f t="shared" si="19"/>
        <v>2008</v>
      </c>
      <c r="B21" s="30">
        <v>50</v>
      </c>
      <c r="C21" s="660">
        <f t="shared" si="3"/>
        <v>1157</v>
      </c>
      <c r="D21" s="30">
        <v>37.247</v>
      </c>
      <c r="E21" s="210">
        <v>20.440000000000001</v>
      </c>
      <c r="F21" s="617">
        <v>264472.09999999998</v>
      </c>
      <c r="G21" s="452">
        <f t="shared" si="4"/>
        <v>1.8623499999999999</v>
      </c>
      <c r="H21" s="72">
        <f t="shared" si="5"/>
        <v>1.022</v>
      </c>
      <c r="I21" s="72">
        <f t="shared" si="6"/>
        <v>13.223604999999997</v>
      </c>
      <c r="J21" s="61">
        <f t="shared" si="7"/>
        <v>47</v>
      </c>
      <c r="K21" s="59">
        <f t="shared" si="8"/>
        <v>37.247</v>
      </c>
      <c r="L21" s="59">
        <f t="shared" si="9"/>
        <v>1.7506089999999999</v>
      </c>
      <c r="M21" s="60">
        <f t="shared" si="10"/>
        <v>32.727705351031631</v>
      </c>
      <c r="N21" s="54">
        <f t="shared" si="18"/>
        <v>44</v>
      </c>
      <c r="O21" s="55">
        <f t="shared" si="11"/>
        <v>20.440000000000001</v>
      </c>
      <c r="P21" s="55">
        <f t="shared" si="12"/>
        <v>0.89936000000000005</v>
      </c>
      <c r="Q21" s="56">
        <f t="shared" si="13"/>
        <v>12.339228560433327</v>
      </c>
      <c r="R21" s="247">
        <f t="shared" si="14"/>
        <v>47</v>
      </c>
      <c r="S21" s="24">
        <f t="shared" si="15"/>
        <v>264472.09999999998</v>
      </c>
      <c r="T21" s="25">
        <f t="shared" si="16"/>
        <v>12.430188699999999</v>
      </c>
      <c r="U21" s="53">
        <f t="shared" si="17"/>
        <v>158.7769895024409</v>
      </c>
    </row>
    <row r="22" spans="1:24" x14ac:dyDescent="0.2">
      <c r="A22" s="33">
        <f t="shared" si="19"/>
        <v>2009</v>
      </c>
      <c r="B22" s="30">
        <v>140</v>
      </c>
      <c r="C22" s="660">
        <f>+C21+B22</f>
        <v>1297</v>
      </c>
      <c r="D22" s="30">
        <v>22.762</v>
      </c>
      <c r="E22" s="210">
        <v>12.754428571428573</v>
      </c>
      <c r="F22" s="617">
        <v>153129.62857142856</v>
      </c>
      <c r="G22" s="452">
        <f t="shared" si="4"/>
        <v>3.1866800000000004</v>
      </c>
      <c r="H22" s="72">
        <f t="shared" si="5"/>
        <v>1.7856200000000002</v>
      </c>
      <c r="I22" s="72">
        <f t="shared" si="6"/>
        <v>21.438148000000002</v>
      </c>
      <c r="J22" s="61">
        <f t="shared" si="7"/>
        <v>95</v>
      </c>
      <c r="K22" s="59">
        <f t="shared" si="8"/>
        <v>22.762</v>
      </c>
      <c r="L22" s="59">
        <f t="shared" si="9"/>
        <v>2.1623899999999998</v>
      </c>
      <c r="M22" s="60">
        <f t="shared" si="10"/>
        <v>34.890095351031633</v>
      </c>
      <c r="N22" s="54">
        <f t="shared" si="18"/>
        <v>50</v>
      </c>
      <c r="O22" s="55">
        <f t="shared" si="11"/>
        <v>12.754428571428573</v>
      </c>
      <c r="P22" s="55">
        <f t="shared" si="12"/>
        <v>0.63772142857142866</v>
      </c>
      <c r="Q22" s="56">
        <f t="shared" si="13"/>
        <v>12.976949989004755</v>
      </c>
      <c r="R22" s="247">
        <f t="shared" si="14"/>
        <v>95</v>
      </c>
      <c r="S22" s="24">
        <f t="shared" si="15"/>
        <v>153129.62857142856</v>
      </c>
      <c r="T22" s="25">
        <f t="shared" si="16"/>
        <v>14.547314714285713</v>
      </c>
      <c r="U22" s="53">
        <f t="shared" si="17"/>
        <v>173.3243042167266</v>
      </c>
    </row>
    <row r="23" spans="1:24" x14ac:dyDescent="0.2">
      <c r="A23" s="33">
        <f t="shared" si="19"/>
        <v>2010</v>
      </c>
      <c r="B23" s="30">
        <v>0</v>
      </c>
      <c r="C23" s="661">
        <f t="shared" si="3"/>
        <v>1297</v>
      </c>
      <c r="D23" s="30">
        <v>13.6</v>
      </c>
      <c r="E23" s="210">
        <v>13.9</v>
      </c>
      <c r="F23" s="617">
        <v>83964</v>
      </c>
      <c r="G23" s="452">
        <f t="shared" si="4"/>
        <v>0</v>
      </c>
      <c r="H23" s="72">
        <f t="shared" si="5"/>
        <v>0</v>
      </c>
      <c r="I23" s="72">
        <f t="shared" si="6"/>
        <v>0</v>
      </c>
      <c r="J23" s="61">
        <f t="shared" si="7"/>
        <v>70</v>
      </c>
      <c r="K23" s="651">
        <f t="shared" si="8"/>
        <v>13.6</v>
      </c>
      <c r="L23" s="651">
        <f t="shared" si="9"/>
        <v>0.95199999999999996</v>
      </c>
      <c r="M23" s="652">
        <f t="shared" si="10"/>
        <v>35.842095351031631</v>
      </c>
      <c r="N23" s="54">
        <f t="shared" si="18"/>
        <v>140</v>
      </c>
      <c r="O23" s="597">
        <f t="shared" si="11"/>
        <v>13.9</v>
      </c>
      <c r="P23" s="597">
        <f t="shared" si="12"/>
        <v>1.946</v>
      </c>
      <c r="Q23" s="653">
        <f t="shared" si="13"/>
        <v>14.922949989004755</v>
      </c>
      <c r="R23" s="247">
        <f t="shared" si="14"/>
        <v>70</v>
      </c>
      <c r="S23" s="24">
        <f t="shared" si="15"/>
        <v>83964</v>
      </c>
      <c r="T23" s="25">
        <f t="shared" si="16"/>
        <v>5.8774800000000003</v>
      </c>
      <c r="U23" s="654">
        <f t="shared" si="17"/>
        <v>179.20178421672659</v>
      </c>
    </row>
    <row r="24" spans="1:24" x14ac:dyDescent="0.2">
      <c r="A24" s="33">
        <f t="shared" si="19"/>
        <v>2011</v>
      </c>
      <c r="B24" s="30">
        <v>0</v>
      </c>
      <c r="C24" s="661">
        <f t="shared" si="3"/>
        <v>1297</v>
      </c>
      <c r="D24" s="645">
        <v>20.839457831325301</v>
      </c>
      <c r="E24" s="656">
        <v>18.084759036144579</v>
      </c>
      <c r="F24" s="657">
        <v>115512.47590361445</v>
      </c>
      <c r="G24" s="452">
        <f t="shared" ref="G24:H34" si="20">+$B24*D24/1000</f>
        <v>0</v>
      </c>
      <c r="H24" s="72">
        <f t="shared" si="20"/>
        <v>0</v>
      </c>
      <c r="I24" s="72">
        <f t="shared" ref="I24:I34" si="21">+$B24*F24/1000000</f>
        <v>0</v>
      </c>
      <c r="J24" s="61">
        <f t="shared" si="7"/>
        <v>0</v>
      </c>
      <c r="K24" s="651">
        <f t="shared" si="8"/>
        <v>20.839457831325301</v>
      </c>
      <c r="L24" s="651">
        <f t="shared" si="9"/>
        <v>0</v>
      </c>
      <c r="M24" s="652">
        <f t="shared" si="10"/>
        <v>35.842095351031631</v>
      </c>
      <c r="N24" s="54">
        <f t="shared" si="18"/>
        <v>0</v>
      </c>
      <c r="O24" s="597">
        <f t="shared" si="11"/>
        <v>18.084759036144579</v>
      </c>
      <c r="P24" s="597">
        <f t="shared" si="12"/>
        <v>0</v>
      </c>
      <c r="Q24" s="653">
        <f t="shared" si="13"/>
        <v>14.922949989004755</v>
      </c>
      <c r="R24" s="247">
        <f t="shared" si="14"/>
        <v>0</v>
      </c>
      <c r="S24" s="24">
        <f t="shared" si="15"/>
        <v>115512.47590361445</v>
      </c>
      <c r="T24" s="25">
        <f t="shared" si="16"/>
        <v>0</v>
      </c>
      <c r="U24" s="654">
        <f t="shared" si="17"/>
        <v>179.20178421672659</v>
      </c>
    </row>
    <row r="25" spans="1:24" x14ac:dyDescent="0.2">
      <c r="A25" s="33">
        <f t="shared" si="19"/>
        <v>2012</v>
      </c>
      <c r="B25" s="30">
        <v>77</v>
      </c>
      <c r="C25" s="619">
        <f t="shared" si="3"/>
        <v>1374</v>
      </c>
      <c r="D25" s="30">
        <v>30.545844155844158</v>
      </c>
      <c r="E25" s="210">
        <v>24.848571428571429</v>
      </c>
      <c r="F25" s="617">
        <v>184738.46753246753</v>
      </c>
      <c r="G25" s="452">
        <f t="shared" si="20"/>
        <v>2.3520300000000001</v>
      </c>
      <c r="H25" s="72">
        <f t="shared" si="20"/>
        <v>1.9133399999999998</v>
      </c>
      <c r="I25" s="72">
        <f t="shared" si="21"/>
        <v>14.224862</v>
      </c>
      <c r="J25" s="61">
        <f t="shared" si="7"/>
        <v>38.5</v>
      </c>
      <c r="K25" s="651">
        <f t="shared" si="8"/>
        <v>30.545844155844158</v>
      </c>
      <c r="L25" s="651">
        <f t="shared" si="9"/>
        <v>1.176015</v>
      </c>
      <c r="M25" s="652">
        <f t="shared" si="10"/>
        <v>37.018110351031631</v>
      </c>
      <c r="N25" s="54">
        <f t="shared" si="18"/>
        <v>0</v>
      </c>
      <c r="O25" s="597">
        <f t="shared" si="11"/>
        <v>24.848571428571429</v>
      </c>
      <c r="P25" s="597">
        <f t="shared" si="12"/>
        <v>0</v>
      </c>
      <c r="Q25" s="653">
        <f t="shared" si="13"/>
        <v>14.922949989004755</v>
      </c>
      <c r="R25" s="247">
        <f t="shared" si="14"/>
        <v>38.5</v>
      </c>
      <c r="S25" s="24">
        <f t="shared" si="15"/>
        <v>184738.46753246753</v>
      </c>
      <c r="T25" s="25">
        <f t="shared" si="16"/>
        <v>7.1124309999999999</v>
      </c>
      <c r="U25" s="654">
        <f t="shared" si="17"/>
        <v>186.31421521672658</v>
      </c>
    </row>
    <row r="26" spans="1:24" s="831" customFormat="1" ht="15" customHeight="1" x14ac:dyDescent="0.2">
      <c r="A26" s="283">
        <f t="shared" si="19"/>
        <v>2013</v>
      </c>
      <c r="B26" s="882">
        <v>81</v>
      </c>
      <c r="C26" s="883">
        <f t="shared" si="3"/>
        <v>1455</v>
      </c>
      <c r="D26" s="882">
        <v>26.582592592592587</v>
      </c>
      <c r="E26" s="884">
        <v>22.093086419753085</v>
      </c>
      <c r="F26" s="834">
        <v>163222.66666666666</v>
      </c>
      <c r="G26" s="885">
        <f t="shared" si="20"/>
        <v>2.1531899999999995</v>
      </c>
      <c r="H26" s="886">
        <f t="shared" si="20"/>
        <v>1.7895399999999999</v>
      </c>
      <c r="I26" s="886">
        <f t="shared" si="21"/>
        <v>13.221036</v>
      </c>
      <c r="J26" s="138">
        <f t="shared" si="7"/>
        <v>79</v>
      </c>
      <c r="K26" s="887">
        <f t="shared" si="8"/>
        <v>26.582592592592587</v>
      </c>
      <c r="L26" s="887">
        <f t="shared" si="9"/>
        <v>2.1000248148148142</v>
      </c>
      <c r="M26" s="888">
        <f t="shared" si="10"/>
        <v>39.118135165846446</v>
      </c>
      <c r="N26" s="141">
        <f t="shared" si="18"/>
        <v>77</v>
      </c>
      <c r="O26" s="889">
        <f t="shared" si="11"/>
        <v>22.093086419753085</v>
      </c>
      <c r="P26" s="889">
        <f t="shared" si="12"/>
        <v>1.7011676543209875</v>
      </c>
      <c r="Q26" s="890">
        <f t="shared" si="13"/>
        <v>16.624117643325743</v>
      </c>
      <c r="R26" s="891">
        <f t="shared" si="14"/>
        <v>79</v>
      </c>
      <c r="S26" s="145">
        <f t="shared" si="15"/>
        <v>163222.66666666666</v>
      </c>
      <c r="T26" s="146">
        <f t="shared" si="16"/>
        <v>12.894590666666666</v>
      </c>
      <c r="U26" s="892">
        <f t="shared" si="17"/>
        <v>199.20880588339324</v>
      </c>
      <c r="V26" s="830"/>
    </row>
    <row r="27" spans="1:24" s="831" customFormat="1" ht="15" customHeight="1" x14ac:dyDescent="0.2">
      <c r="A27" s="283">
        <f t="shared" si="19"/>
        <v>2014</v>
      </c>
      <c r="B27" s="882">
        <v>100</v>
      </c>
      <c r="C27" s="883">
        <f t="shared" si="3"/>
        <v>1555</v>
      </c>
      <c r="D27" s="882">
        <f t="shared" ref="D27" si="22">+J78</f>
        <v>40.550689655172413</v>
      </c>
      <c r="E27" s="884">
        <f t="shared" ref="E27" si="23">+L78</f>
        <v>33.078137931034483</v>
      </c>
      <c r="F27" s="834">
        <f t="shared" ref="F27" si="24">+N78</f>
        <v>71468.944827586209</v>
      </c>
      <c r="G27" s="885">
        <f t="shared" si="20"/>
        <v>4.0550689655172416</v>
      </c>
      <c r="H27" s="886">
        <f t="shared" si="20"/>
        <v>3.3078137931034486</v>
      </c>
      <c r="I27" s="886">
        <f t="shared" si="21"/>
        <v>7.1468944827586212</v>
      </c>
      <c r="J27" s="138">
        <f t="shared" si="7"/>
        <v>90.5</v>
      </c>
      <c r="K27" s="887">
        <f t="shared" si="8"/>
        <v>40.550689655172413</v>
      </c>
      <c r="L27" s="887">
        <f t="shared" si="9"/>
        <v>3.6698374137931031</v>
      </c>
      <c r="M27" s="888">
        <f t="shared" si="10"/>
        <v>42.78797257963955</v>
      </c>
      <c r="N27" s="141">
        <f t="shared" si="18"/>
        <v>81</v>
      </c>
      <c r="O27" s="889">
        <f t="shared" si="11"/>
        <v>33.078137931034483</v>
      </c>
      <c r="P27" s="889">
        <f t="shared" si="12"/>
        <v>2.6793291724137931</v>
      </c>
      <c r="Q27" s="890">
        <f t="shared" si="13"/>
        <v>19.303446815739537</v>
      </c>
      <c r="R27" s="891">
        <f t="shared" si="14"/>
        <v>90.5</v>
      </c>
      <c r="S27" s="145">
        <f t="shared" si="15"/>
        <v>71468.944827586209</v>
      </c>
      <c r="T27" s="146">
        <f t="shared" si="16"/>
        <v>6.4679395068965517</v>
      </c>
      <c r="U27" s="892">
        <f t="shared" si="17"/>
        <v>205.6767453902898</v>
      </c>
      <c r="V27" s="830"/>
    </row>
    <row r="28" spans="1:24" ht="13.5" thickBot="1" x14ac:dyDescent="0.25">
      <c r="A28" s="701">
        <f t="shared" si="19"/>
        <v>2015</v>
      </c>
      <c r="B28" s="702">
        <v>2</v>
      </c>
      <c r="C28" s="703">
        <f t="shared" si="3"/>
        <v>1557</v>
      </c>
      <c r="D28" s="835">
        <v>0.18</v>
      </c>
      <c r="E28" s="836">
        <v>0.14000000000000001</v>
      </c>
      <c r="F28" s="705">
        <v>139</v>
      </c>
      <c r="G28" s="706">
        <f t="shared" si="20"/>
        <v>3.5999999999999997E-4</v>
      </c>
      <c r="H28" s="707">
        <f t="shared" si="20"/>
        <v>2.8000000000000003E-4</v>
      </c>
      <c r="I28" s="707">
        <f t="shared" si="21"/>
        <v>2.7799999999999998E-4</v>
      </c>
      <c r="J28" s="708">
        <f t="shared" si="7"/>
        <v>51</v>
      </c>
      <c r="K28" s="709">
        <f t="shared" si="8"/>
        <v>0.18</v>
      </c>
      <c r="L28" s="709">
        <f t="shared" si="9"/>
        <v>9.1799999999999989E-3</v>
      </c>
      <c r="M28" s="710">
        <f t="shared" si="10"/>
        <v>42.797152579639551</v>
      </c>
      <c r="N28" s="711">
        <f t="shared" si="18"/>
        <v>100</v>
      </c>
      <c r="O28" s="712">
        <f t="shared" si="11"/>
        <v>0.14000000000000001</v>
      </c>
      <c r="P28" s="712">
        <f t="shared" si="12"/>
        <v>1.4000000000000002E-2</v>
      </c>
      <c r="Q28" s="713">
        <f t="shared" si="13"/>
        <v>19.317446815739537</v>
      </c>
      <c r="R28" s="714">
        <f t="shared" si="14"/>
        <v>51</v>
      </c>
      <c r="S28" s="715">
        <f t="shared" si="15"/>
        <v>139</v>
      </c>
      <c r="T28" s="716">
        <f t="shared" si="16"/>
        <v>7.0889999999999998E-3</v>
      </c>
      <c r="U28" s="717">
        <f t="shared" si="17"/>
        <v>205.6838343902898</v>
      </c>
    </row>
    <row r="29" spans="1:24" x14ac:dyDescent="0.2">
      <c r="A29" s="33">
        <f t="shared" si="19"/>
        <v>2016</v>
      </c>
      <c r="B29" s="1037">
        <v>0</v>
      </c>
      <c r="C29" s="565">
        <f t="shared" si="3"/>
        <v>1557</v>
      </c>
      <c r="D29" s="965"/>
      <c r="E29" s="966"/>
      <c r="F29" s="790"/>
      <c r="G29" s="473">
        <f t="shared" si="20"/>
        <v>0</v>
      </c>
      <c r="H29" s="474">
        <f t="shared" si="20"/>
        <v>0</v>
      </c>
      <c r="I29" s="474">
        <f t="shared" si="21"/>
        <v>0</v>
      </c>
      <c r="J29" s="61">
        <f t="shared" si="7"/>
        <v>1</v>
      </c>
      <c r="K29" s="967">
        <f t="shared" si="8"/>
        <v>0</v>
      </c>
      <c r="L29" s="967">
        <f t="shared" si="9"/>
        <v>0</v>
      </c>
      <c r="M29" s="967">
        <f t="shared" si="10"/>
        <v>42.797152579639551</v>
      </c>
      <c r="N29" s="54">
        <f t="shared" si="18"/>
        <v>2</v>
      </c>
      <c r="O29" s="968">
        <f t="shared" si="11"/>
        <v>0</v>
      </c>
      <c r="P29" s="968">
        <f t="shared" si="12"/>
        <v>0</v>
      </c>
      <c r="Q29" s="969">
        <f t="shared" si="13"/>
        <v>19.317446815739537</v>
      </c>
      <c r="R29" s="247">
        <f t="shared" si="14"/>
        <v>1</v>
      </c>
      <c r="S29" s="24">
        <f t="shared" si="15"/>
        <v>0</v>
      </c>
      <c r="T29" s="970">
        <f t="shared" si="16"/>
        <v>0</v>
      </c>
      <c r="U29" s="971">
        <f t="shared" si="17"/>
        <v>205.6838343902898</v>
      </c>
    </row>
    <row r="30" spans="1:24" x14ac:dyDescent="0.2">
      <c r="A30" s="33">
        <f t="shared" si="19"/>
        <v>2017</v>
      </c>
      <c r="B30" s="1037"/>
      <c r="C30" s="565">
        <f t="shared" si="3"/>
        <v>1557</v>
      </c>
      <c r="D30" s="965"/>
      <c r="E30" s="966"/>
      <c r="F30" s="790"/>
      <c r="G30" s="473">
        <f t="shared" si="20"/>
        <v>0</v>
      </c>
      <c r="H30" s="474">
        <f t="shared" si="20"/>
        <v>0</v>
      </c>
      <c r="I30" s="474">
        <f t="shared" si="21"/>
        <v>0</v>
      </c>
      <c r="J30" s="61">
        <f t="shared" si="7"/>
        <v>0</v>
      </c>
      <c r="K30" s="967">
        <f t="shared" si="8"/>
        <v>0</v>
      </c>
      <c r="L30" s="967">
        <f t="shared" si="9"/>
        <v>0</v>
      </c>
      <c r="M30" s="967">
        <f t="shared" si="10"/>
        <v>42.797152579639551</v>
      </c>
      <c r="N30" s="54">
        <f t="shared" si="18"/>
        <v>0</v>
      </c>
      <c r="O30" s="968">
        <f t="shared" si="11"/>
        <v>0</v>
      </c>
      <c r="P30" s="968">
        <f t="shared" si="12"/>
        <v>0</v>
      </c>
      <c r="Q30" s="969">
        <f t="shared" si="13"/>
        <v>19.317446815739537</v>
      </c>
      <c r="R30" s="247">
        <f t="shared" si="14"/>
        <v>0</v>
      </c>
      <c r="S30" s="24">
        <f t="shared" si="15"/>
        <v>0</v>
      </c>
      <c r="T30" s="970">
        <f t="shared" si="16"/>
        <v>0</v>
      </c>
      <c r="U30" s="971">
        <f t="shared" si="17"/>
        <v>205.6838343902898</v>
      </c>
    </row>
    <row r="31" spans="1:24" x14ac:dyDescent="0.2">
      <c r="A31" s="33">
        <f t="shared" si="19"/>
        <v>2018</v>
      </c>
      <c r="B31" s="1037"/>
      <c r="C31" s="565">
        <f t="shared" si="3"/>
        <v>1557</v>
      </c>
      <c r="D31" s="965"/>
      <c r="E31" s="966"/>
      <c r="F31" s="790"/>
      <c r="G31" s="473">
        <f t="shared" si="20"/>
        <v>0</v>
      </c>
      <c r="H31" s="474">
        <f t="shared" si="20"/>
        <v>0</v>
      </c>
      <c r="I31" s="474">
        <f t="shared" si="21"/>
        <v>0</v>
      </c>
      <c r="J31" s="61">
        <f t="shared" si="7"/>
        <v>0</v>
      </c>
      <c r="K31" s="967">
        <f t="shared" si="8"/>
        <v>0</v>
      </c>
      <c r="L31" s="967">
        <f t="shared" si="9"/>
        <v>0</v>
      </c>
      <c r="M31" s="967">
        <f t="shared" si="10"/>
        <v>42.797152579639551</v>
      </c>
      <c r="N31" s="54">
        <f t="shared" si="18"/>
        <v>0</v>
      </c>
      <c r="O31" s="968">
        <f t="shared" si="11"/>
        <v>0</v>
      </c>
      <c r="P31" s="968">
        <f t="shared" si="12"/>
        <v>0</v>
      </c>
      <c r="Q31" s="969">
        <f t="shared" si="13"/>
        <v>19.317446815739537</v>
      </c>
      <c r="R31" s="247">
        <f t="shared" si="14"/>
        <v>0</v>
      </c>
      <c r="S31" s="24">
        <f t="shared" si="15"/>
        <v>0</v>
      </c>
      <c r="T31" s="970">
        <f t="shared" si="16"/>
        <v>0</v>
      </c>
      <c r="U31" s="971">
        <f t="shared" si="17"/>
        <v>205.6838343902898</v>
      </c>
    </row>
    <row r="32" spans="1:24" x14ac:dyDescent="0.2">
      <c r="A32" s="33">
        <f t="shared" si="19"/>
        <v>2019</v>
      </c>
      <c r="B32" s="1037"/>
      <c r="C32" s="565">
        <f t="shared" si="3"/>
        <v>1557</v>
      </c>
      <c r="D32" s="965"/>
      <c r="E32" s="966"/>
      <c r="F32" s="790"/>
      <c r="G32" s="473">
        <f t="shared" si="20"/>
        <v>0</v>
      </c>
      <c r="H32" s="474">
        <f t="shared" si="20"/>
        <v>0</v>
      </c>
      <c r="I32" s="474">
        <f t="shared" si="21"/>
        <v>0</v>
      </c>
      <c r="J32" s="61">
        <f t="shared" si="7"/>
        <v>0</v>
      </c>
      <c r="K32" s="967">
        <f t="shared" si="8"/>
        <v>0</v>
      </c>
      <c r="L32" s="967">
        <f t="shared" si="9"/>
        <v>0</v>
      </c>
      <c r="M32" s="967">
        <f t="shared" si="10"/>
        <v>42.797152579639551</v>
      </c>
      <c r="N32" s="54">
        <f t="shared" si="18"/>
        <v>0</v>
      </c>
      <c r="O32" s="968">
        <f t="shared" si="11"/>
        <v>0</v>
      </c>
      <c r="P32" s="968">
        <f t="shared" si="12"/>
        <v>0</v>
      </c>
      <c r="Q32" s="969">
        <f t="shared" si="13"/>
        <v>19.317446815739537</v>
      </c>
      <c r="R32" s="247">
        <f t="shared" si="14"/>
        <v>0</v>
      </c>
      <c r="S32" s="24">
        <f t="shared" si="15"/>
        <v>0</v>
      </c>
      <c r="T32" s="970">
        <f t="shared" si="16"/>
        <v>0</v>
      </c>
      <c r="U32" s="971">
        <f t="shared" si="17"/>
        <v>205.6838343902898</v>
      </c>
    </row>
    <row r="33" spans="1:21" x14ac:dyDescent="0.2">
      <c r="A33" s="33">
        <f t="shared" si="19"/>
        <v>2020</v>
      </c>
      <c r="B33" s="1038"/>
      <c r="C33" s="565">
        <f t="shared" si="3"/>
        <v>1557</v>
      </c>
      <c r="D33" s="965"/>
      <c r="E33" s="966"/>
      <c r="F33" s="790"/>
      <c r="G33" s="473">
        <f t="shared" si="20"/>
        <v>0</v>
      </c>
      <c r="H33" s="474">
        <f t="shared" si="20"/>
        <v>0</v>
      </c>
      <c r="I33" s="474">
        <f t="shared" si="21"/>
        <v>0</v>
      </c>
      <c r="J33" s="61">
        <f t="shared" si="7"/>
        <v>0</v>
      </c>
      <c r="K33" s="967">
        <f t="shared" si="8"/>
        <v>0</v>
      </c>
      <c r="L33" s="967">
        <f t="shared" si="9"/>
        <v>0</v>
      </c>
      <c r="M33" s="967">
        <f t="shared" si="10"/>
        <v>42.797152579639551</v>
      </c>
      <c r="N33" s="54">
        <f t="shared" si="18"/>
        <v>0</v>
      </c>
      <c r="O33" s="968">
        <f t="shared" si="11"/>
        <v>0</v>
      </c>
      <c r="P33" s="968">
        <f t="shared" si="12"/>
        <v>0</v>
      </c>
      <c r="Q33" s="969">
        <f t="shared" si="13"/>
        <v>19.317446815739537</v>
      </c>
      <c r="R33" s="247">
        <f t="shared" si="14"/>
        <v>0</v>
      </c>
      <c r="S33" s="24">
        <f t="shared" si="15"/>
        <v>0</v>
      </c>
      <c r="T33" s="970">
        <f t="shared" si="16"/>
        <v>0</v>
      </c>
      <c r="U33" s="971">
        <f t="shared" si="17"/>
        <v>205.6838343902898</v>
      </c>
    </row>
    <row r="34" spans="1:21" x14ac:dyDescent="0.2">
      <c r="A34" s="33">
        <f t="shared" si="19"/>
        <v>2021</v>
      </c>
      <c r="B34" s="1038"/>
      <c r="C34" s="565">
        <f t="shared" si="3"/>
        <v>1557</v>
      </c>
      <c r="D34" s="965"/>
      <c r="E34" s="966"/>
      <c r="F34" s="790"/>
      <c r="G34" s="473">
        <f t="shared" si="20"/>
        <v>0</v>
      </c>
      <c r="H34" s="474">
        <f t="shared" si="20"/>
        <v>0</v>
      </c>
      <c r="I34" s="474">
        <f t="shared" si="21"/>
        <v>0</v>
      </c>
      <c r="J34" s="61">
        <f t="shared" si="7"/>
        <v>0</v>
      </c>
      <c r="K34" s="967">
        <f t="shared" si="8"/>
        <v>0</v>
      </c>
      <c r="L34" s="967">
        <f t="shared" si="9"/>
        <v>0</v>
      </c>
      <c r="M34" s="967">
        <f t="shared" si="10"/>
        <v>42.797152579639551</v>
      </c>
      <c r="N34" s="54">
        <f t="shared" si="18"/>
        <v>0</v>
      </c>
      <c r="O34" s="968">
        <f t="shared" si="11"/>
        <v>0</v>
      </c>
      <c r="P34" s="968">
        <f t="shared" si="12"/>
        <v>0</v>
      </c>
      <c r="Q34" s="969">
        <f t="shared" si="13"/>
        <v>19.317446815739537</v>
      </c>
      <c r="R34" s="247">
        <f t="shared" si="14"/>
        <v>0</v>
      </c>
      <c r="S34" s="24">
        <f t="shared" si="15"/>
        <v>0</v>
      </c>
      <c r="T34" s="970">
        <f t="shared" si="16"/>
        <v>0</v>
      </c>
      <c r="U34" s="971">
        <f t="shared" si="17"/>
        <v>205.6838343902898</v>
      </c>
    </row>
    <row r="35" spans="1:21" x14ac:dyDescent="0.2">
      <c r="A35" s="33">
        <f t="shared" si="19"/>
        <v>2022</v>
      </c>
      <c r="B35" s="1038"/>
      <c r="C35" s="565">
        <f t="shared" si="3"/>
        <v>1557</v>
      </c>
      <c r="D35" s="965"/>
      <c r="E35" s="966"/>
      <c r="F35" s="790"/>
      <c r="G35" s="473">
        <f t="shared" ref="G35:G40" si="25">+$B35*D35/1000</f>
        <v>0</v>
      </c>
      <c r="H35" s="474">
        <f t="shared" ref="H35:H40" si="26">+$B35*E35/1000</f>
        <v>0</v>
      </c>
      <c r="I35" s="474">
        <f t="shared" ref="I35:I40" si="27">+$B35*F35/1000000</f>
        <v>0</v>
      </c>
      <c r="J35" s="61">
        <f t="shared" si="7"/>
        <v>0</v>
      </c>
      <c r="K35" s="967">
        <f t="shared" si="8"/>
        <v>0</v>
      </c>
      <c r="L35" s="967">
        <f t="shared" si="9"/>
        <v>0</v>
      </c>
      <c r="M35" s="967">
        <f t="shared" si="10"/>
        <v>42.797152579639551</v>
      </c>
      <c r="N35" s="54">
        <f t="shared" si="18"/>
        <v>0</v>
      </c>
      <c r="O35" s="968">
        <f t="shared" si="11"/>
        <v>0</v>
      </c>
      <c r="P35" s="968">
        <f t="shared" si="12"/>
        <v>0</v>
      </c>
      <c r="Q35" s="969">
        <f t="shared" si="13"/>
        <v>19.317446815739537</v>
      </c>
      <c r="R35" s="247">
        <f t="shared" si="14"/>
        <v>0</v>
      </c>
      <c r="S35" s="24">
        <f t="shared" si="15"/>
        <v>0</v>
      </c>
      <c r="T35" s="970">
        <f t="shared" si="16"/>
        <v>0</v>
      </c>
      <c r="U35" s="971">
        <f t="shared" si="17"/>
        <v>205.6838343902898</v>
      </c>
    </row>
    <row r="36" spans="1:21" x14ac:dyDescent="0.2">
      <c r="A36" s="33">
        <f t="shared" si="19"/>
        <v>2023</v>
      </c>
      <c r="B36" s="1038"/>
      <c r="C36" s="565">
        <f t="shared" si="3"/>
        <v>1557</v>
      </c>
      <c r="D36" s="965"/>
      <c r="E36" s="966"/>
      <c r="F36" s="790"/>
      <c r="G36" s="473">
        <f t="shared" si="25"/>
        <v>0</v>
      </c>
      <c r="H36" s="474">
        <f t="shared" si="26"/>
        <v>0</v>
      </c>
      <c r="I36" s="474">
        <f t="shared" si="27"/>
        <v>0</v>
      </c>
      <c r="J36" s="61">
        <f t="shared" si="7"/>
        <v>0</v>
      </c>
      <c r="K36" s="967">
        <f t="shared" si="8"/>
        <v>0</v>
      </c>
      <c r="L36" s="967">
        <f t="shared" si="9"/>
        <v>0</v>
      </c>
      <c r="M36" s="967">
        <f t="shared" si="10"/>
        <v>42.797152579639551</v>
      </c>
      <c r="N36" s="54">
        <f t="shared" si="18"/>
        <v>0</v>
      </c>
      <c r="O36" s="968">
        <f t="shared" si="11"/>
        <v>0</v>
      </c>
      <c r="P36" s="968">
        <f t="shared" si="12"/>
        <v>0</v>
      </c>
      <c r="Q36" s="969">
        <f t="shared" si="13"/>
        <v>19.317446815739537</v>
      </c>
      <c r="R36" s="247">
        <f t="shared" si="14"/>
        <v>0</v>
      </c>
      <c r="S36" s="24">
        <f t="shared" si="15"/>
        <v>0</v>
      </c>
      <c r="T36" s="970">
        <f t="shared" si="16"/>
        <v>0</v>
      </c>
      <c r="U36" s="971">
        <f t="shared" si="17"/>
        <v>205.6838343902898</v>
      </c>
    </row>
    <row r="37" spans="1:21" x14ac:dyDescent="0.2">
      <c r="A37" s="33">
        <f t="shared" si="19"/>
        <v>2024</v>
      </c>
      <c r="B37" s="1038"/>
      <c r="C37" s="565">
        <f t="shared" si="3"/>
        <v>1557</v>
      </c>
      <c r="D37" s="965"/>
      <c r="E37" s="966"/>
      <c r="F37" s="790"/>
      <c r="G37" s="473">
        <f t="shared" si="25"/>
        <v>0</v>
      </c>
      <c r="H37" s="474">
        <f t="shared" si="26"/>
        <v>0</v>
      </c>
      <c r="I37" s="474">
        <f t="shared" si="27"/>
        <v>0</v>
      </c>
      <c r="J37" s="61">
        <f t="shared" si="7"/>
        <v>0</v>
      </c>
      <c r="K37" s="967">
        <f t="shared" si="8"/>
        <v>0</v>
      </c>
      <c r="L37" s="967">
        <f t="shared" si="9"/>
        <v>0</v>
      </c>
      <c r="M37" s="967">
        <f t="shared" si="10"/>
        <v>42.797152579639551</v>
      </c>
      <c r="N37" s="54">
        <f t="shared" si="18"/>
        <v>0</v>
      </c>
      <c r="O37" s="968">
        <f t="shared" si="11"/>
        <v>0</v>
      </c>
      <c r="P37" s="968">
        <f t="shared" si="12"/>
        <v>0</v>
      </c>
      <c r="Q37" s="969">
        <f t="shared" si="13"/>
        <v>19.317446815739537</v>
      </c>
      <c r="R37" s="247">
        <f t="shared" si="14"/>
        <v>0</v>
      </c>
      <c r="S37" s="24">
        <f t="shared" si="15"/>
        <v>0</v>
      </c>
      <c r="T37" s="970">
        <f t="shared" si="16"/>
        <v>0</v>
      </c>
      <c r="U37" s="971">
        <f t="shared" si="17"/>
        <v>205.6838343902898</v>
      </c>
    </row>
    <row r="38" spans="1:21" x14ac:dyDescent="0.2">
      <c r="A38" s="33">
        <f t="shared" si="19"/>
        <v>2025</v>
      </c>
      <c r="B38" s="1038"/>
      <c r="C38" s="565">
        <f t="shared" ref="C38:C42" si="28">+C37+B38</f>
        <v>1557</v>
      </c>
      <c r="D38" s="965"/>
      <c r="E38" s="966"/>
      <c r="F38" s="790"/>
      <c r="G38" s="473">
        <f t="shared" si="25"/>
        <v>0</v>
      </c>
      <c r="H38" s="474">
        <f t="shared" si="26"/>
        <v>0</v>
      </c>
      <c r="I38" s="474">
        <f t="shared" si="27"/>
        <v>0</v>
      </c>
      <c r="J38" s="61">
        <f t="shared" si="7"/>
        <v>0</v>
      </c>
      <c r="K38" s="967">
        <f t="shared" ref="K38:K42" si="29">+D38</f>
        <v>0</v>
      </c>
      <c r="L38" s="967">
        <f t="shared" ref="L38:L42" si="30">+J38*K38/1000</f>
        <v>0</v>
      </c>
      <c r="M38" s="967">
        <f t="shared" ref="M38:M42" si="31">+M37+L38</f>
        <v>42.797152579639551</v>
      </c>
      <c r="N38" s="54">
        <f t="shared" ref="N38:N42" si="32">+B37</f>
        <v>0</v>
      </c>
      <c r="O38" s="968">
        <f t="shared" ref="O38:O42" si="33">+E38</f>
        <v>0</v>
      </c>
      <c r="P38" s="968">
        <f t="shared" ref="P38:P42" si="34">+N38*O38/1000</f>
        <v>0</v>
      </c>
      <c r="Q38" s="969">
        <f t="shared" ref="Q38:Q42" si="35">+Q37+P38</f>
        <v>19.317446815739537</v>
      </c>
      <c r="R38" s="247">
        <f t="shared" si="14"/>
        <v>0</v>
      </c>
      <c r="S38" s="24">
        <f t="shared" ref="S38:S42" si="36">+F38</f>
        <v>0</v>
      </c>
      <c r="T38" s="970">
        <f t="shared" si="16"/>
        <v>0</v>
      </c>
      <c r="U38" s="971">
        <f t="shared" ref="U38:U42" si="37">+U37+T38</f>
        <v>205.6838343902898</v>
      </c>
    </row>
    <row r="39" spans="1:21" x14ac:dyDescent="0.2">
      <c r="A39" s="33">
        <f>+A38+1</f>
        <v>2026</v>
      </c>
      <c r="B39" s="1038"/>
      <c r="C39" s="565">
        <f t="shared" si="28"/>
        <v>1557</v>
      </c>
      <c r="D39" s="965"/>
      <c r="E39" s="966"/>
      <c r="F39" s="790"/>
      <c r="G39" s="473">
        <f t="shared" si="25"/>
        <v>0</v>
      </c>
      <c r="H39" s="474">
        <f t="shared" si="26"/>
        <v>0</v>
      </c>
      <c r="I39" s="474">
        <f t="shared" si="27"/>
        <v>0</v>
      </c>
      <c r="J39" s="61">
        <f t="shared" si="7"/>
        <v>0</v>
      </c>
      <c r="K39" s="967">
        <f t="shared" si="29"/>
        <v>0</v>
      </c>
      <c r="L39" s="967">
        <f t="shared" si="30"/>
        <v>0</v>
      </c>
      <c r="M39" s="967">
        <f t="shared" si="31"/>
        <v>42.797152579639551</v>
      </c>
      <c r="N39" s="54">
        <f t="shared" si="32"/>
        <v>0</v>
      </c>
      <c r="O39" s="968">
        <f t="shared" si="33"/>
        <v>0</v>
      </c>
      <c r="P39" s="968">
        <f t="shared" si="34"/>
        <v>0</v>
      </c>
      <c r="Q39" s="969">
        <f t="shared" si="35"/>
        <v>19.317446815739537</v>
      </c>
      <c r="R39" s="247">
        <f t="shared" si="14"/>
        <v>0</v>
      </c>
      <c r="S39" s="24">
        <f t="shared" si="36"/>
        <v>0</v>
      </c>
      <c r="T39" s="970">
        <f t="shared" si="16"/>
        <v>0</v>
      </c>
      <c r="U39" s="971">
        <f t="shared" si="37"/>
        <v>205.6838343902898</v>
      </c>
    </row>
    <row r="40" spans="1:21" x14ac:dyDescent="0.2">
      <c r="A40" s="33">
        <f>+A39+1</f>
        <v>2027</v>
      </c>
      <c r="B40" s="1038"/>
      <c r="C40" s="565">
        <f t="shared" si="28"/>
        <v>1557</v>
      </c>
      <c r="D40" s="965"/>
      <c r="E40" s="966"/>
      <c r="F40" s="790"/>
      <c r="G40" s="473">
        <f t="shared" si="25"/>
        <v>0</v>
      </c>
      <c r="H40" s="474">
        <f t="shared" si="26"/>
        <v>0</v>
      </c>
      <c r="I40" s="474">
        <f t="shared" si="27"/>
        <v>0</v>
      </c>
      <c r="J40" s="61">
        <f t="shared" si="7"/>
        <v>0</v>
      </c>
      <c r="K40" s="967">
        <f t="shared" si="29"/>
        <v>0</v>
      </c>
      <c r="L40" s="967">
        <f t="shared" si="30"/>
        <v>0</v>
      </c>
      <c r="M40" s="967">
        <f t="shared" si="31"/>
        <v>42.797152579639551</v>
      </c>
      <c r="N40" s="54">
        <f t="shared" si="32"/>
        <v>0</v>
      </c>
      <c r="O40" s="968">
        <f t="shared" si="33"/>
        <v>0</v>
      </c>
      <c r="P40" s="968">
        <f t="shared" si="34"/>
        <v>0</v>
      </c>
      <c r="Q40" s="969">
        <f t="shared" si="35"/>
        <v>19.317446815739537</v>
      </c>
      <c r="R40" s="247">
        <f t="shared" si="14"/>
        <v>0</v>
      </c>
      <c r="S40" s="24">
        <f t="shared" si="36"/>
        <v>0</v>
      </c>
      <c r="T40" s="970">
        <f t="shared" si="16"/>
        <v>0</v>
      </c>
      <c r="U40" s="971">
        <f t="shared" si="37"/>
        <v>205.6838343902898</v>
      </c>
    </row>
    <row r="41" spans="1:21" x14ac:dyDescent="0.2">
      <c r="A41" s="33">
        <f t="shared" ref="A41:A54" si="38">+A40+1</f>
        <v>2028</v>
      </c>
      <c r="B41" s="1038"/>
      <c r="C41" s="565">
        <f t="shared" si="28"/>
        <v>1557</v>
      </c>
      <c r="D41" s="965"/>
      <c r="E41" s="966"/>
      <c r="F41" s="790"/>
      <c r="G41" s="473">
        <f t="shared" ref="G41:H42" si="39">+$B41*D41/1000</f>
        <v>0</v>
      </c>
      <c r="H41" s="474">
        <f t="shared" si="39"/>
        <v>0</v>
      </c>
      <c r="I41" s="474">
        <f>+$B41*F41/1000000</f>
        <v>0</v>
      </c>
      <c r="J41" s="61">
        <f>+(B41+B40)/2</f>
        <v>0</v>
      </c>
      <c r="K41" s="967">
        <f t="shared" si="29"/>
        <v>0</v>
      </c>
      <c r="L41" s="967">
        <f t="shared" si="30"/>
        <v>0</v>
      </c>
      <c r="M41" s="967">
        <f t="shared" si="31"/>
        <v>42.797152579639551</v>
      </c>
      <c r="N41" s="54">
        <f t="shared" si="32"/>
        <v>0</v>
      </c>
      <c r="O41" s="968">
        <f t="shared" si="33"/>
        <v>0</v>
      </c>
      <c r="P41" s="968">
        <f t="shared" si="34"/>
        <v>0</v>
      </c>
      <c r="Q41" s="969">
        <f t="shared" si="35"/>
        <v>19.317446815739537</v>
      </c>
      <c r="R41" s="247">
        <f t="shared" si="14"/>
        <v>0</v>
      </c>
      <c r="S41" s="24">
        <f t="shared" si="36"/>
        <v>0</v>
      </c>
      <c r="T41" s="970">
        <f>+R41*S41/1000000</f>
        <v>0</v>
      </c>
      <c r="U41" s="971">
        <f t="shared" si="37"/>
        <v>205.6838343902898</v>
      </c>
    </row>
    <row r="42" spans="1:21" x14ac:dyDescent="0.2">
      <c r="A42" s="33">
        <f t="shared" si="38"/>
        <v>2029</v>
      </c>
      <c r="B42" s="1038"/>
      <c r="C42" s="565">
        <f t="shared" si="28"/>
        <v>1557</v>
      </c>
      <c r="D42" s="965"/>
      <c r="E42" s="966"/>
      <c r="F42" s="790"/>
      <c r="G42" s="473">
        <f t="shared" si="39"/>
        <v>0</v>
      </c>
      <c r="H42" s="474">
        <f t="shared" si="39"/>
        <v>0</v>
      </c>
      <c r="I42" s="474">
        <f>+$B42*F42/1000000</f>
        <v>0</v>
      </c>
      <c r="J42" s="61">
        <f>+(B42+B41)/2</f>
        <v>0</v>
      </c>
      <c r="K42" s="967">
        <f t="shared" si="29"/>
        <v>0</v>
      </c>
      <c r="L42" s="967">
        <f t="shared" si="30"/>
        <v>0</v>
      </c>
      <c r="M42" s="967">
        <f t="shared" si="31"/>
        <v>42.797152579639551</v>
      </c>
      <c r="N42" s="54">
        <f t="shared" si="32"/>
        <v>0</v>
      </c>
      <c r="O42" s="968">
        <f t="shared" si="33"/>
        <v>0</v>
      </c>
      <c r="P42" s="968">
        <f t="shared" si="34"/>
        <v>0</v>
      </c>
      <c r="Q42" s="969">
        <f t="shared" si="35"/>
        <v>19.317446815739537</v>
      </c>
      <c r="R42" s="247">
        <f t="shared" si="14"/>
        <v>0</v>
      </c>
      <c r="S42" s="24">
        <f t="shared" si="36"/>
        <v>0</v>
      </c>
      <c r="T42" s="970">
        <f>+R42*S42/1000000</f>
        <v>0</v>
      </c>
      <c r="U42" s="971">
        <f t="shared" si="37"/>
        <v>205.6838343902898</v>
      </c>
    </row>
    <row r="43" spans="1:21" x14ac:dyDescent="0.2">
      <c r="A43" s="33">
        <f t="shared" si="38"/>
        <v>2030</v>
      </c>
      <c r="B43" s="1038"/>
      <c r="C43" s="565">
        <f t="shared" ref="C43:C47" si="40">+C42+B43</f>
        <v>1557</v>
      </c>
      <c r="D43" s="965"/>
      <c r="E43" s="966"/>
      <c r="F43" s="790"/>
      <c r="G43" s="473">
        <f t="shared" ref="G43:G47" si="41">+$B43*D43/1000</f>
        <v>0</v>
      </c>
      <c r="H43" s="474">
        <f t="shared" ref="H43:H47" si="42">+$B43*E43/1000</f>
        <v>0</v>
      </c>
      <c r="I43" s="474">
        <f t="shared" ref="I43:I47" si="43">+$B43*F43/1000000</f>
        <v>0</v>
      </c>
      <c r="J43" s="61">
        <f t="shared" ref="J43:J47" si="44">+(B43+B42)/2</f>
        <v>0</v>
      </c>
      <c r="K43" s="967">
        <f t="shared" ref="K43:K47" si="45">+D43</f>
        <v>0</v>
      </c>
      <c r="L43" s="967">
        <f t="shared" ref="L43:L47" si="46">+J43*K43/1000</f>
        <v>0</v>
      </c>
      <c r="M43" s="967">
        <f t="shared" ref="M43:M47" si="47">+M42+L43</f>
        <v>42.797152579639551</v>
      </c>
      <c r="N43" s="54">
        <f t="shared" ref="N43:N47" si="48">+B42</f>
        <v>0</v>
      </c>
      <c r="O43" s="968">
        <f t="shared" ref="O43:O47" si="49">+E43</f>
        <v>0</v>
      </c>
      <c r="P43" s="968">
        <f t="shared" ref="P43:P47" si="50">+N43*O43/1000</f>
        <v>0</v>
      </c>
      <c r="Q43" s="969">
        <f t="shared" ref="Q43:Q47" si="51">+Q42+P43</f>
        <v>19.317446815739537</v>
      </c>
      <c r="R43" s="247">
        <f t="shared" si="14"/>
        <v>0</v>
      </c>
      <c r="S43" s="24">
        <f t="shared" ref="S43:S47" si="52">+F43</f>
        <v>0</v>
      </c>
      <c r="T43" s="970">
        <f t="shared" ref="T43:T47" si="53">+R43*S43/1000000</f>
        <v>0</v>
      </c>
      <c r="U43" s="971">
        <f t="shared" ref="U43:U47" si="54">+U42+T43</f>
        <v>205.6838343902898</v>
      </c>
    </row>
    <row r="44" spans="1:21" x14ac:dyDescent="0.2">
      <c r="A44" s="33">
        <f t="shared" si="38"/>
        <v>2031</v>
      </c>
      <c r="B44" s="1038"/>
      <c r="C44" s="565">
        <f t="shared" si="40"/>
        <v>1557</v>
      </c>
      <c r="D44" s="965"/>
      <c r="E44" s="966"/>
      <c r="F44" s="790"/>
      <c r="G44" s="473">
        <f t="shared" si="41"/>
        <v>0</v>
      </c>
      <c r="H44" s="474">
        <f t="shared" si="42"/>
        <v>0</v>
      </c>
      <c r="I44" s="474">
        <f t="shared" si="43"/>
        <v>0</v>
      </c>
      <c r="J44" s="61">
        <f t="shared" si="44"/>
        <v>0</v>
      </c>
      <c r="K44" s="967">
        <f t="shared" si="45"/>
        <v>0</v>
      </c>
      <c r="L44" s="967">
        <f t="shared" si="46"/>
        <v>0</v>
      </c>
      <c r="M44" s="967">
        <f t="shared" si="47"/>
        <v>42.797152579639551</v>
      </c>
      <c r="N44" s="54">
        <f t="shared" si="48"/>
        <v>0</v>
      </c>
      <c r="O44" s="968">
        <f t="shared" si="49"/>
        <v>0</v>
      </c>
      <c r="P44" s="968">
        <f t="shared" si="50"/>
        <v>0</v>
      </c>
      <c r="Q44" s="969">
        <f t="shared" si="51"/>
        <v>19.317446815739537</v>
      </c>
      <c r="R44" s="247">
        <f t="shared" si="14"/>
        <v>0</v>
      </c>
      <c r="S44" s="24">
        <f t="shared" si="52"/>
        <v>0</v>
      </c>
      <c r="T44" s="970">
        <f t="shared" si="53"/>
        <v>0</v>
      </c>
      <c r="U44" s="971">
        <f t="shared" si="54"/>
        <v>205.6838343902898</v>
      </c>
    </row>
    <row r="45" spans="1:21" x14ac:dyDescent="0.2">
      <c r="A45" s="33">
        <f t="shared" si="38"/>
        <v>2032</v>
      </c>
      <c r="B45" s="1038"/>
      <c r="C45" s="565">
        <f t="shared" si="40"/>
        <v>1557</v>
      </c>
      <c r="D45" s="965"/>
      <c r="E45" s="966"/>
      <c r="F45" s="790"/>
      <c r="G45" s="473">
        <f t="shared" si="41"/>
        <v>0</v>
      </c>
      <c r="H45" s="474">
        <f t="shared" si="42"/>
        <v>0</v>
      </c>
      <c r="I45" s="474">
        <f t="shared" si="43"/>
        <v>0</v>
      </c>
      <c r="J45" s="61">
        <f t="shared" si="44"/>
        <v>0</v>
      </c>
      <c r="K45" s="967">
        <f t="shared" si="45"/>
        <v>0</v>
      </c>
      <c r="L45" s="967">
        <f t="shared" si="46"/>
        <v>0</v>
      </c>
      <c r="M45" s="967">
        <f t="shared" si="47"/>
        <v>42.797152579639551</v>
      </c>
      <c r="N45" s="54">
        <f t="shared" si="48"/>
        <v>0</v>
      </c>
      <c r="O45" s="968">
        <f t="shared" si="49"/>
        <v>0</v>
      </c>
      <c r="P45" s="968">
        <f t="shared" si="50"/>
        <v>0</v>
      </c>
      <c r="Q45" s="969">
        <f t="shared" si="51"/>
        <v>19.317446815739537</v>
      </c>
      <c r="R45" s="247">
        <f t="shared" si="14"/>
        <v>0</v>
      </c>
      <c r="S45" s="24">
        <f t="shared" si="52"/>
        <v>0</v>
      </c>
      <c r="T45" s="970">
        <f t="shared" si="53"/>
        <v>0</v>
      </c>
      <c r="U45" s="971">
        <f t="shared" si="54"/>
        <v>205.6838343902898</v>
      </c>
    </row>
    <row r="46" spans="1:21" x14ac:dyDescent="0.2">
      <c r="A46" s="33">
        <f t="shared" si="38"/>
        <v>2033</v>
      </c>
      <c r="B46" s="1038"/>
      <c r="C46" s="565">
        <f t="shared" si="40"/>
        <v>1557</v>
      </c>
      <c r="D46" s="965"/>
      <c r="E46" s="966"/>
      <c r="F46" s="790"/>
      <c r="G46" s="473">
        <f t="shared" si="41"/>
        <v>0</v>
      </c>
      <c r="H46" s="474">
        <f t="shared" si="42"/>
        <v>0</v>
      </c>
      <c r="I46" s="474">
        <f t="shared" si="43"/>
        <v>0</v>
      </c>
      <c r="J46" s="61">
        <f t="shared" si="44"/>
        <v>0</v>
      </c>
      <c r="K46" s="967">
        <f t="shared" si="45"/>
        <v>0</v>
      </c>
      <c r="L46" s="967">
        <f t="shared" si="46"/>
        <v>0</v>
      </c>
      <c r="M46" s="967">
        <f t="shared" si="47"/>
        <v>42.797152579639551</v>
      </c>
      <c r="N46" s="54">
        <f t="shared" si="48"/>
        <v>0</v>
      </c>
      <c r="O46" s="968">
        <f t="shared" si="49"/>
        <v>0</v>
      </c>
      <c r="P46" s="968">
        <f t="shared" si="50"/>
        <v>0</v>
      </c>
      <c r="Q46" s="969">
        <f t="shared" si="51"/>
        <v>19.317446815739537</v>
      </c>
      <c r="R46" s="247">
        <f t="shared" si="14"/>
        <v>0</v>
      </c>
      <c r="S46" s="24">
        <f t="shared" si="52"/>
        <v>0</v>
      </c>
      <c r="T46" s="970">
        <f t="shared" si="53"/>
        <v>0</v>
      </c>
      <c r="U46" s="971">
        <f t="shared" si="54"/>
        <v>205.6838343902898</v>
      </c>
    </row>
    <row r="47" spans="1:21" x14ac:dyDescent="0.2">
      <c r="A47" s="33">
        <f t="shared" si="38"/>
        <v>2034</v>
      </c>
      <c r="B47" s="1038">
        <f t="shared" ref="B47" si="55">B46</f>
        <v>0</v>
      </c>
      <c r="C47" s="565">
        <f t="shared" si="40"/>
        <v>1557</v>
      </c>
      <c r="D47" s="965"/>
      <c r="E47" s="966"/>
      <c r="F47" s="790"/>
      <c r="G47" s="473">
        <f t="shared" si="41"/>
        <v>0</v>
      </c>
      <c r="H47" s="474">
        <f t="shared" si="42"/>
        <v>0</v>
      </c>
      <c r="I47" s="474">
        <f t="shared" si="43"/>
        <v>0</v>
      </c>
      <c r="J47" s="61">
        <f t="shared" si="44"/>
        <v>0</v>
      </c>
      <c r="K47" s="967">
        <f t="shared" si="45"/>
        <v>0</v>
      </c>
      <c r="L47" s="967">
        <f t="shared" si="46"/>
        <v>0</v>
      </c>
      <c r="M47" s="967">
        <f t="shared" si="47"/>
        <v>42.797152579639551</v>
      </c>
      <c r="N47" s="54">
        <f t="shared" si="48"/>
        <v>0</v>
      </c>
      <c r="O47" s="968">
        <f t="shared" si="49"/>
        <v>0</v>
      </c>
      <c r="P47" s="968">
        <f t="shared" si="50"/>
        <v>0</v>
      </c>
      <c r="Q47" s="969">
        <f t="shared" si="51"/>
        <v>19.317446815739537</v>
      </c>
      <c r="R47" s="247">
        <f t="shared" si="14"/>
        <v>0</v>
      </c>
      <c r="S47" s="24">
        <f t="shared" si="52"/>
        <v>0</v>
      </c>
      <c r="T47" s="970">
        <f t="shared" si="53"/>
        <v>0</v>
      </c>
      <c r="U47" s="971">
        <f t="shared" si="54"/>
        <v>205.6838343902898</v>
      </c>
    </row>
    <row r="48" spans="1:21" x14ac:dyDescent="0.2">
      <c r="A48" s="33">
        <f t="shared" si="38"/>
        <v>2035</v>
      </c>
      <c r="B48" s="1038">
        <f>B47</f>
        <v>0</v>
      </c>
      <c r="C48" s="565">
        <f t="shared" ref="C48:C54" si="56">+C47+B48</f>
        <v>1557</v>
      </c>
      <c r="D48" s="965"/>
      <c r="E48" s="966"/>
      <c r="F48" s="790"/>
      <c r="G48" s="473">
        <f t="shared" ref="G48:G54" si="57">+$B48*D48/1000</f>
        <v>0</v>
      </c>
      <c r="H48" s="474">
        <f t="shared" ref="H48:H54" si="58">+$B48*E48/1000</f>
        <v>0</v>
      </c>
      <c r="I48" s="474">
        <f t="shared" ref="I48:I54" si="59">+$B48*F48/1000000</f>
        <v>0</v>
      </c>
      <c r="J48" s="61">
        <f t="shared" ref="J48:J54" si="60">+(B48+B47)/2</f>
        <v>0</v>
      </c>
      <c r="K48" s="967">
        <f t="shared" ref="K48:K54" si="61">+D48</f>
        <v>0</v>
      </c>
      <c r="L48" s="967">
        <f t="shared" ref="L48:L54" si="62">+J48*K48/1000</f>
        <v>0</v>
      </c>
      <c r="M48" s="967">
        <f t="shared" ref="M48:M54" si="63">+M47+L48</f>
        <v>42.797152579639551</v>
      </c>
      <c r="N48" s="54">
        <f t="shared" ref="N48:N54" si="64">+B47</f>
        <v>0</v>
      </c>
      <c r="O48" s="968">
        <f t="shared" ref="O48:O54" si="65">+E48</f>
        <v>0</v>
      </c>
      <c r="P48" s="968">
        <f t="shared" ref="P48:P54" si="66">+N48*O48/1000</f>
        <v>0</v>
      </c>
      <c r="Q48" s="969">
        <f t="shared" ref="Q48:Q54" si="67">+Q47+P48</f>
        <v>19.317446815739537</v>
      </c>
      <c r="R48" s="247">
        <f t="shared" ref="R48:R54" si="68">+(B48+B47)/2</f>
        <v>0</v>
      </c>
      <c r="S48" s="24">
        <f t="shared" ref="S48:S54" si="69">+F48</f>
        <v>0</v>
      </c>
      <c r="T48" s="970">
        <f t="shared" ref="T48:T54" si="70">+R48*S48/1000000</f>
        <v>0</v>
      </c>
      <c r="U48" s="971">
        <f t="shared" ref="U48:U54" si="71">+U47+T48</f>
        <v>205.6838343902898</v>
      </c>
    </row>
    <row r="49" spans="1:21" x14ac:dyDescent="0.2">
      <c r="A49" s="33">
        <f t="shared" si="38"/>
        <v>2036</v>
      </c>
      <c r="B49" s="1038">
        <f t="shared" ref="B49:B54" si="72">B48</f>
        <v>0</v>
      </c>
      <c r="C49" s="565">
        <f t="shared" si="56"/>
        <v>1557</v>
      </c>
      <c r="D49" s="965"/>
      <c r="E49" s="966"/>
      <c r="F49" s="790"/>
      <c r="G49" s="473">
        <f t="shared" si="57"/>
        <v>0</v>
      </c>
      <c r="H49" s="474">
        <f t="shared" si="58"/>
        <v>0</v>
      </c>
      <c r="I49" s="474">
        <f t="shared" si="59"/>
        <v>0</v>
      </c>
      <c r="J49" s="61">
        <f t="shared" si="60"/>
        <v>0</v>
      </c>
      <c r="K49" s="967">
        <f t="shared" si="61"/>
        <v>0</v>
      </c>
      <c r="L49" s="967">
        <f t="shared" si="62"/>
        <v>0</v>
      </c>
      <c r="M49" s="967">
        <f t="shared" si="63"/>
        <v>42.797152579639551</v>
      </c>
      <c r="N49" s="54">
        <f t="shared" si="64"/>
        <v>0</v>
      </c>
      <c r="O49" s="968">
        <f t="shared" si="65"/>
        <v>0</v>
      </c>
      <c r="P49" s="968">
        <f t="shared" si="66"/>
        <v>0</v>
      </c>
      <c r="Q49" s="969">
        <f t="shared" si="67"/>
        <v>19.317446815739537</v>
      </c>
      <c r="R49" s="247">
        <f t="shared" si="68"/>
        <v>0</v>
      </c>
      <c r="S49" s="24">
        <f t="shared" si="69"/>
        <v>0</v>
      </c>
      <c r="T49" s="970">
        <f t="shared" si="70"/>
        <v>0</v>
      </c>
      <c r="U49" s="971">
        <f t="shared" si="71"/>
        <v>205.6838343902898</v>
      </c>
    </row>
    <row r="50" spans="1:21" x14ac:dyDescent="0.2">
      <c r="A50" s="33">
        <f t="shared" si="38"/>
        <v>2037</v>
      </c>
      <c r="B50" s="1038">
        <f t="shared" si="72"/>
        <v>0</v>
      </c>
      <c r="C50" s="565">
        <f t="shared" si="56"/>
        <v>1557</v>
      </c>
      <c r="D50" s="965"/>
      <c r="E50" s="966"/>
      <c r="F50" s="790"/>
      <c r="G50" s="473">
        <f t="shared" si="57"/>
        <v>0</v>
      </c>
      <c r="H50" s="474">
        <f t="shared" si="58"/>
        <v>0</v>
      </c>
      <c r="I50" s="474">
        <f t="shared" si="59"/>
        <v>0</v>
      </c>
      <c r="J50" s="61">
        <f t="shared" si="60"/>
        <v>0</v>
      </c>
      <c r="K50" s="967">
        <f t="shared" si="61"/>
        <v>0</v>
      </c>
      <c r="L50" s="967">
        <f t="shared" si="62"/>
        <v>0</v>
      </c>
      <c r="M50" s="967">
        <f t="shared" si="63"/>
        <v>42.797152579639551</v>
      </c>
      <c r="N50" s="54">
        <f t="shared" si="64"/>
        <v>0</v>
      </c>
      <c r="O50" s="968">
        <f t="shared" si="65"/>
        <v>0</v>
      </c>
      <c r="P50" s="968">
        <f t="shared" si="66"/>
        <v>0</v>
      </c>
      <c r="Q50" s="969">
        <f t="shared" si="67"/>
        <v>19.317446815739537</v>
      </c>
      <c r="R50" s="247">
        <f t="shared" si="68"/>
        <v>0</v>
      </c>
      <c r="S50" s="24">
        <f t="shared" si="69"/>
        <v>0</v>
      </c>
      <c r="T50" s="970">
        <f t="shared" si="70"/>
        <v>0</v>
      </c>
      <c r="U50" s="971">
        <f t="shared" si="71"/>
        <v>205.6838343902898</v>
      </c>
    </row>
    <row r="51" spans="1:21" x14ac:dyDescent="0.2">
      <c r="A51" s="33">
        <f t="shared" si="38"/>
        <v>2038</v>
      </c>
      <c r="B51" s="1038">
        <f t="shared" si="72"/>
        <v>0</v>
      </c>
      <c r="C51" s="565">
        <f t="shared" si="56"/>
        <v>1557</v>
      </c>
      <c r="D51" s="965"/>
      <c r="E51" s="966"/>
      <c r="F51" s="790"/>
      <c r="G51" s="473">
        <f t="shared" si="57"/>
        <v>0</v>
      </c>
      <c r="H51" s="474">
        <f t="shared" si="58"/>
        <v>0</v>
      </c>
      <c r="I51" s="474">
        <f t="shared" si="59"/>
        <v>0</v>
      </c>
      <c r="J51" s="61">
        <f t="shared" si="60"/>
        <v>0</v>
      </c>
      <c r="K51" s="967">
        <f t="shared" si="61"/>
        <v>0</v>
      </c>
      <c r="L51" s="967">
        <f t="shared" si="62"/>
        <v>0</v>
      </c>
      <c r="M51" s="967">
        <f t="shared" si="63"/>
        <v>42.797152579639551</v>
      </c>
      <c r="N51" s="54">
        <f t="shared" si="64"/>
        <v>0</v>
      </c>
      <c r="O51" s="968">
        <f t="shared" si="65"/>
        <v>0</v>
      </c>
      <c r="P51" s="968">
        <f t="shared" si="66"/>
        <v>0</v>
      </c>
      <c r="Q51" s="969">
        <f t="shared" si="67"/>
        <v>19.317446815739537</v>
      </c>
      <c r="R51" s="247">
        <f t="shared" si="68"/>
        <v>0</v>
      </c>
      <c r="S51" s="24">
        <f t="shared" si="69"/>
        <v>0</v>
      </c>
      <c r="T51" s="970">
        <f t="shared" si="70"/>
        <v>0</v>
      </c>
      <c r="U51" s="971">
        <f t="shared" si="71"/>
        <v>205.6838343902898</v>
      </c>
    </row>
    <row r="52" spans="1:21" x14ac:dyDescent="0.2">
      <c r="A52" s="33">
        <f t="shared" si="38"/>
        <v>2039</v>
      </c>
      <c r="B52" s="1038">
        <f t="shared" si="72"/>
        <v>0</v>
      </c>
      <c r="C52" s="565">
        <f t="shared" si="56"/>
        <v>1557</v>
      </c>
      <c r="D52" s="965"/>
      <c r="E52" s="966"/>
      <c r="F52" s="790"/>
      <c r="G52" s="473">
        <f t="shared" si="57"/>
        <v>0</v>
      </c>
      <c r="H52" s="474">
        <f t="shared" si="58"/>
        <v>0</v>
      </c>
      <c r="I52" s="474">
        <f t="shared" si="59"/>
        <v>0</v>
      </c>
      <c r="J52" s="61">
        <f t="shared" si="60"/>
        <v>0</v>
      </c>
      <c r="K52" s="967">
        <f t="shared" si="61"/>
        <v>0</v>
      </c>
      <c r="L52" s="967">
        <f t="shared" si="62"/>
        <v>0</v>
      </c>
      <c r="M52" s="967">
        <f t="shared" si="63"/>
        <v>42.797152579639551</v>
      </c>
      <c r="N52" s="54">
        <f t="shared" si="64"/>
        <v>0</v>
      </c>
      <c r="O52" s="968">
        <f t="shared" si="65"/>
        <v>0</v>
      </c>
      <c r="P52" s="968">
        <f t="shared" si="66"/>
        <v>0</v>
      </c>
      <c r="Q52" s="969">
        <f t="shared" si="67"/>
        <v>19.317446815739537</v>
      </c>
      <c r="R52" s="247">
        <f t="shared" si="68"/>
        <v>0</v>
      </c>
      <c r="S52" s="24">
        <f t="shared" si="69"/>
        <v>0</v>
      </c>
      <c r="T52" s="970">
        <f t="shared" si="70"/>
        <v>0</v>
      </c>
      <c r="U52" s="971">
        <f t="shared" si="71"/>
        <v>205.6838343902898</v>
      </c>
    </row>
    <row r="53" spans="1:21" x14ac:dyDescent="0.2">
      <c r="A53" s="33">
        <f t="shared" si="38"/>
        <v>2040</v>
      </c>
      <c r="B53" s="1038">
        <f t="shared" si="72"/>
        <v>0</v>
      </c>
      <c r="C53" s="565">
        <f t="shared" si="56"/>
        <v>1557</v>
      </c>
      <c r="D53" s="965"/>
      <c r="E53" s="966"/>
      <c r="F53" s="790"/>
      <c r="G53" s="473">
        <f t="shared" si="57"/>
        <v>0</v>
      </c>
      <c r="H53" s="474">
        <f t="shared" si="58"/>
        <v>0</v>
      </c>
      <c r="I53" s="474">
        <f t="shared" si="59"/>
        <v>0</v>
      </c>
      <c r="J53" s="61">
        <f t="shared" si="60"/>
        <v>0</v>
      </c>
      <c r="K53" s="967">
        <f t="shared" si="61"/>
        <v>0</v>
      </c>
      <c r="L53" s="967">
        <f t="shared" si="62"/>
        <v>0</v>
      </c>
      <c r="M53" s="967">
        <f t="shared" si="63"/>
        <v>42.797152579639551</v>
      </c>
      <c r="N53" s="54">
        <f t="shared" si="64"/>
        <v>0</v>
      </c>
      <c r="O53" s="968">
        <f t="shared" si="65"/>
        <v>0</v>
      </c>
      <c r="P53" s="968">
        <f t="shared" si="66"/>
        <v>0</v>
      </c>
      <c r="Q53" s="969">
        <f t="shared" si="67"/>
        <v>19.317446815739537</v>
      </c>
      <c r="R53" s="247">
        <f t="shared" si="68"/>
        <v>0</v>
      </c>
      <c r="S53" s="24">
        <f t="shared" si="69"/>
        <v>0</v>
      </c>
      <c r="T53" s="970">
        <f t="shared" si="70"/>
        <v>0</v>
      </c>
      <c r="U53" s="971">
        <f t="shared" si="71"/>
        <v>205.6838343902898</v>
      </c>
    </row>
    <row r="54" spans="1:21" x14ac:dyDescent="0.2">
      <c r="A54" s="33">
        <f t="shared" si="38"/>
        <v>2041</v>
      </c>
      <c r="B54" s="1038">
        <f t="shared" si="72"/>
        <v>0</v>
      </c>
      <c r="C54" s="565">
        <f t="shared" si="56"/>
        <v>1557</v>
      </c>
      <c r="D54" s="965"/>
      <c r="E54" s="966"/>
      <c r="F54" s="790"/>
      <c r="G54" s="473">
        <f t="shared" si="57"/>
        <v>0</v>
      </c>
      <c r="H54" s="474">
        <f t="shared" si="58"/>
        <v>0</v>
      </c>
      <c r="I54" s="474">
        <f t="shared" si="59"/>
        <v>0</v>
      </c>
      <c r="J54" s="61">
        <f t="shared" si="60"/>
        <v>0</v>
      </c>
      <c r="K54" s="967">
        <f t="shared" si="61"/>
        <v>0</v>
      </c>
      <c r="L54" s="967">
        <f t="shared" si="62"/>
        <v>0</v>
      </c>
      <c r="M54" s="967">
        <f t="shared" si="63"/>
        <v>42.797152579639551</v>
      </c>
      <c r="N54" s="54">
        <f t="shared" si="64"/>
        <v>0</v>
      </c>
      <c r="O54" s="968">
        <f t="shared" si="65"/>
        <v>0</v>
      </c>
      <c r="P54" s="968">
        <f t="shared" si="66"/>
        <v>0</v>
      </c>
      <c r="Q54" s="969">
        <f t="shared" si="67"/>
        <v>19.317446815739537</v>
      </c>
      <c r="R54" s="247">
        <f t="shared" si="68"/>
        <v>0</v>
      </c>
      <c r="S54" s="24">
        <f t="shared" si="69"/>
        <v>0</v>
      </c>
      <c r="T54" s="970">
        <f t="shared" si="70"/>
        <v>0</v>
      </c>
      <c r="U54" s="971">
        <f t="shared" si="71"/>
        <v>205.6838343902898</v>
      </c>
    </row>
    <row r="55" spans="1:21" s="2" customFormat="1" x14ac:dyDescent="0.2">
      <c r="A55" s="491"/>
      <c r="B55" s="1065"/>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row r="61" spans="1:21" x14ac:dyDescent="0.2">
      <c r="A61" s="69" t="s">
        <v>119</v>
      </c>
    </row>
    <row r="62" spans="1:21" x14ac:dyDescent="0.2">
      <c r="A62" s="69" t="s">
        <v>120</v>
      </c>
    </row>
    <row r="63" spans="1:21" x14ac:dyDescent="0.2">
      <c r="A63" s="69" t="s">
        <v>121</v>
      </c>
    </row>
    <row r="65" spans="1:15" x14ac:dyDescent="0.2">
      <c r="A65" s="8"/>
      <c r="C65" s="453" t="s">
        <v>240</v>
      </c>
      <c r="D65" s="453"/>
      <c r="E65" s="453"/>
      <c r="F65" s="453"/>
      <c r="G65" s="453"/>
      <c r="H65" s="453"/>
      <c r="J65" s="8"/>
      <c r="K65" s="8"/>
      <c r="L65" s="8"/>
      <c r="M65" s="8"/>
      <c r="O65" s="8"/>
    </row>
    <row r="66" spans="1:15" x14ac:dyDescent="0.2">
      <c r="A66" s="8"/>
      <c r="E66" s="459" t="s">
        <v>223</v>
      </c>
      <c r="F66" s="459" t="s">
        <v>224</v>
      </c>
      <c r="G66" s="459" t="s">
        <v>52</v>
      </c>
      <c r="J66" s="559" t="s">
        <v>269</v>
      </c>
      <c r="K66" s="559" t="s">
        <v>270</v>
      </c>
      <c r="L66" s="8"/>
      <c r="M66" s="8"/>
      <c r="O66" s="306"/>
    </row>
    <row r="67" spans="1:15" x14ac:dyDescent="0.2">
      <c r="A67" s="8"/>
      <c r="C67" s="379" t="s">
        <v>241</v>
      </c>
      <c r="E67" s="698">
        <v>43.68</v>
      </c>
      <c r="F67" s="698">
        <v>34.01</v>
      </c>
      <c r="G67" s="698">
        <v>26632</v>
      </c>
      <c r="J67" s="560">
        <v>8.5399999999999991</v>
      </c>
      <c r="K67" s="560">
        <v>51.81</v>
      </c>
      <c r="L67" s="8"/>
      <c r="M67" s="8"/>
      <c r="O67" s="8"/>
    </row>
    <row r="68" spans="1:15" x14ac:dyDescent="0.2">
      <c r="A68" s="8"/>
      <c r="C68" s="379" t="s">
        <v>242</v>
      </c>
      <c r="E68" s="698">
        <v>46.93</v>
      </c>
      <c r="F68" s="698">
        <v>46.93</v>
      </c>
      <c r="G68" s="698">
        <v>350921</v>
      </c>
      <c r="J68" s="560">
        <v>2.96</v>
      </c>
      <c r="K68" s="560">
        <v>51.81</v>
      </c>
      <c r="L68" s="8"/>
      <c r="M68" s="8"/>
      <c r="O68" s="8"/>
    </row>
    <row r="69" spans="1:15" x14ac:dyDescent="0.2">
      <c r="A69" s="467"/>
      <c r="B69" s="466" t="s">
        <v>237</v>
      </c>
      <c r="C69" s="466" t="s">
        <v>243</v>
      </c>
      <c r="E69" s="698">
        <v>0.18</v>
      </c>
      <c r="F69" s="698">
        <v>0.14000000000000001</v>
      </c>
      <c r="G69" s="698">
        <v>906</v>
      </c>
      <c r="J69" s="561">
        <v>49311</v>
      </c>
      <c r="K69" s="561">
        <v>347627</v>
      </c>
      <c r="L69" s="8"/>
      <c r="M69" s="8"/>
      <c r="O69" s="8"/>
    </row>
    <row r="70" spans="1:15" x14ac:dyDescent="0.2">
      <c r="C70" s="471"/>
      <c r="D70" s="471"/>
      <c r="E70" s="454"/>
      <c r="F70" s="454"/>
      <c r="G70" s="454"/>
      <c r="J70" s="8"/>
      <c r="K70" s="8"/>
      <c r="L70" s="8"/>
      <c r="M70" s="8"/>
      <c r="O70" s="8"/>
    </row>
    <row r="71" spans="1:15" x14ac:dyDescent="0.2">
      <c r="A71" s="8"/>
      <c r="C71" s="379"/>
      <c r="E71" s="454"/>
      <c r="F71" s="454"/>
      <c r="G71" s="454"/>
      <c r="J71" s="8"/>
      <c r="K71" s="8"/>
      <c r="L71" s="8"/>
      <c r="M71" s="8"/>
      <c r="O71" s="8"/>
    </row>
    <row r="72" spans="1:15" ht="13.5" thickBot="1" x14ac:dyDescent="0.25">
      <c r="A72" s="8"/>
      <c r="C72" s="454" t="s">
        <v>46</v>
      </c>
      <c r="J72" s="453" t="s">
        <v>203</v>
      </c>
      <c r="K72" s="8"/>
      <c r="L72" s="453" t="s">
        <v>203</v>
      </c>
      <c r="N72" s="453" t="s">
        <v>203</v>
      </c>
      <c r="O72" s="299"/>
    </row>
    <row r="73" spans="1:15" x14ac:dyDescent="0.2">
      <c r="A73" s="8"/>
      <c r="C73" s="469" t="str">
        <f>C67</f>
        <v>Lighting Conditioned</v>
      </c>
      <c r="D73" s="469" t="str">
        <f>C68</f>
        <v>Lighting Unconditioned</v>
      </c>
      <c r="E73" s="469" t="str">
        <f>C69</f>
        <v>Exit Signs</v>
      </c>
      <c r="F73" s="469"/>
      <c r="G73" s="455" t="s">
        <v>228</v>
      </c>
      <c r="I73" s="461" t="s">
        <v>223</v>
      </c>
      <c r="J73" s="453" t="str">
        <f>I73</f>
        <v>Sum KW</v>
      </c>
      <c r="K73" s="458" t="s">
        <v>224</v>
      </c>
      <c r="L73" s="453" t="str">
        <f>K73</f>
        <v>Win KW</v>
      </c>
      <c r="M73" s="458" t="s">
        <v>52</v>
      </c>
      <c r="N73" s="453" t="str">
        <f>M73</f>
        <v>Energy</v>
      </c>
      <c r="O73" s="8"/>
    </row>
    <row r="74" spans="1:15" hidden="1" x14ac:dyDescent="0.2">
      <c r="A74" s="8"/>
      <c r="C74" s="454"/>
      <c r="D74" s="454"/>
      <c r="E74" s="454"/>
      <c r="F74" s="454"/>
      <c r="G74" s="456"/>
      <c r="I74" s="167"/>
      <c r="J74" s="462"/>
      <c r="K74" s="167"/>
      <c r="L74" s="462"/>
      <c r="M74" s="359"/>
      <c r="N74" s="472"/>
      <c r="O74" s="8"/>
    </row>
    <row r="75" spans="1:15" hidden="1" x14ac:dyDescent="0.2">
      <c r="A75" s="8"/>
      <c r="C75" s="454"/>
      <c r="D75" s="454"/>
      <c r="E75" s="454"/>
      <c r="F75" s="454"/>
      <c r="G75" s="456"/>
      <c r="I75" s="167"/>
      <c r="J75" s="462"/>
      <c r="K75" s="167"/>
      <c r="L75" s="462"/>
      <c r="M75" s="359"/>
      <c r="N75" s="472"/>
      <c r="O75" s="8"/>
    </row>
    <row r="76" spans="1:15" hidden="1" x14ac:dyDescent="0.2">
      <c r="A76" s="8"/>
      <c r="B76" s="690"/>
      <c r="C76" s="691"/>
      <c r="D76" s="691"/>
      <c r="E76" s="691"/>
      <c r="F76" s="691"/>
      <c r="G76" s="692"/>
      <c r="H76" s="690"/>
      <c r="I76" s="693"/>
      <c r="J76" s="694"/>
      <c r="K76" s="693"/>
      <c r="L76" s="694"/>
      <c r="M76" s="695"/>
      <c r="N76" s="696"/>
      <c r="O76" s="8"/>
    </row>
    <row r="77" spans="1:15" hidden="1" x14ac:dyDescent="0.2">
      <c r="A77" s="8"/>
      <c r="B77" s="555"/>
      <c r="C77" s="698"/>
      <c r="D77" s="698"/>
      <c r="E77" s="698"/>
      <c r="F77" s="689"/>
      <c r="G77" s="556"/>
      <c r="H77" s="555"/>
      <c r="I77" s="685"/>
      <c r="J77" s="557"/>
      <c r="K77" s="685"/>
      <c r="L77" s="557"/>
      <c r="M77" s="686"/>
      <c r="N77" s="697"/>
      <c r="O77" s="8"/>
    </row>
    <row r="78" spans="1:15" x14ac:dyDescent="0.2">
      <c r="A78" s="8"/>
      <c r="B78">
        <v>2014</v>
      </c>
      <c r="C78" s="454">
        <v>112</v>
      </c>
      <c r="D78" s="454">
        <v>21</v>
      </c>
      <c r="E78" s="454">
        <v>12</v>
      </c>
      <c r="F78" s="454"/>
      <c r="G78" s="456">
        <f t="shared" ref="G78:G83" si="73">SUM(C78:E78)</f>
        <v>145</v>
      </c>
      <c r="I78" s="167">
        <f t="shared" ref="I78:I83" si="74">($E$67*C78)+($E$68*D78)+($E$69*E78)</f>
        <v>5879.8499999999995</v>
      </c>
      <c r="J78" s="462">
        <f t="shared" ref="J78:J83" si="75">I78/$G78</f>
        <v>40.550689655172413</v>
      </c>
      <c r="K78" s="167">
        <f t="shared" ref="K78:K83" si="76">($F$67*C78)+($F$68*D78)+($F$69*E78)</f>
        <v>4796.33</v>
      </c>
      <c r="L78" s="462">
        <f t="shared" ref="L78:L83" si="77">K78/$G78</f>
        <v>33.078137931034483</v>
      </c>
      <c r="M78" s="837">
        <f t="shared" ref="M78:M83" si="78">($G$67*C78)+($G$68*D78)+($G$69*E78)</f>
        <v>10362997</v>
      </c>
      <c r="N78" s="472">
        <f t="shared" ref="N78:N83" si="79">M78/$G78</f>
        <v>71468.944827586209</v>
      </c>
      <c r="O78" s="8"/>
    </row>
    <row r="79" spans="1:15" x14ac:dyDescent="0.2">
      <c r="A79" s="8"/>
      <c r="B79">
        <v>2015</v>
      </c>
      <c r="C79" s="454">
        <v>45</v>
      </c>
      <c r="D79" s="454">
        <v>12</v>
      </c>
      <c r="E79" s="454">
        <v>500</v>
      </c>
      <c r="F79" s="454"/>
      <c r="G79" s="456">
        <f t="shared" si="73"/>
        <v>557</v>
      </c>
      <c r="I79" s="167">
        <f t="shared" si="74"/>
        <v>2618.7599999999998</v>
      </c>
      <c r="J79" s="462">
        <f t="shared" si="75"/>
        <v>4.7015439856373424</v>
      </c>
      <c r="K79" s="167">
        <f t="shared" si="76"/>
        <v>2163.6099999999997</v>
      </c>
      <c r="L79" s="462">
        <f t="shared" si="77"/>
        <v>3.8843985637342904</v>
      </c>
      <c r="M79" s="359">
        <f t="shared" si="78"/>
        <v>5862492</v>
      </c>
      <c r="N79" s="472">
        <f t="shared" si="79"/>
        <v>10525.120287253141</v>
      </c>
      <c r="O79" s="8"/>
    </row>
    <row r="80" spans="1:15" x14ac:dyDescent="0.2">
      <c r="A80" s="8"/>
      <c r="B80">
        <v>2016</v>
      </c>
      <c r="C80" s="454">
        <v>55</v>
      </c>
      <c r="D80" s="454">
        <v>12</v>
      </c>
      <c r="E80" s="454">
        <v>560</v>
      </c>
      <c r="F80" s="454"/>
      <c r="G80" s="456">
        <f t="shared" si="73"/>
        <v>627</v>
      </c>
      <c r="I80" s="167">
        <f t="shared" si="74"/>
        <v>3066.36</v>
      </c>
      <c r="J80" s="462">
        <f t="shared" si="75"/>
        <v>4.8905263157894741</v>
      </c>
      <c r="K80" s="167">
        <f t="shared" si="76"/>
        <v>2512.11</v>
      </c>
      <c r="L80" s="462">
        <f t="shared" si="77"/>
        <v>4.0065550239234451</v>
      </c>
      <c r="M80" s="359">
        <f t="shared" si="78"/>
        <v>6183172</v>
      </c>
      <c r="N80" s="472">
        <f t="shared" si="79"/>
        <v>9861.5183413078157</v>
      </c>
      <c r="O80" s="8"/>
    </row>
    <row r="81" spans="2:14" x14ac:dyDescent="0.2">
      <c r="B81">
        <v>2017</v>
      </c>
      <c r="C81" s="454">
        <v>50</v>
      </c>
      <c r="D81" s="454">
        <v>13</v>
      </c>
      <c r="E81" s="454">
        <v>500</v>
      </c>
      <c r="F81" s="454"/>
      <c r="G81" s="456">
        <f t="shared" si="73"/>
        <v>563</v>
      </c>
      <c r="I81" s="167">
        <f t="shared" si="74"/>
        <v>2884.09</v>
      </c>
      <c r="J81" s="462">
        <f t="shared" si="75"/>
        <v>5.1227175843694495</v>
      </c>
      <c r="K81" s="167">
        <f t="shared" si="76"/>
        <v>2380.59</v>
      </c>
      <c r="L81" s="462">
        <f t="shared" si="77"/>
        <v>4.2284014209591474</v>
      </c>
      <c r="M81" s="359">
        <f t="shared" si="78"/>
        <v>6346573</v>
      </c>
      <c r="N81" s="472">
        <f t="shared" si="79"/>
        <v>11272.77619893428</v>
      </c>
    </row>
    <row r="82" spans="2:14" x14ac:dyDescent="0.2">
      <c r="B82">
        <v>2018</v>
      </c>
      <c r="C82" s="454">
        <v>40</v>
      </c>
      <c r="D82" s="454">
        <v>14</v>
      </c>
      <c r="E82" s="454">
        <v>450</v>
      </c>
      <c r="F82" s="454"/>
      <c r="G82" s="456">
        <f t="shared" si="73"/>
        <v>504</v>
      </c>
      <c r="I82" s="167">
        <f t="shared" si="74"/>
        <v>2485.2200000000003</v>
      </c>
      <c r="J82" s="462">
        <f t="shared" si="75"/>
        <v>4.9309920634920639</v>
      </c>
      <c r="K82" s="167">
        <f t="shared" si="76"/>
        <v>2080.42</v>
      </c>
      <c r="L82" s="462">
        <f t="shared" si="77"/>
        <v>4.1278174603174609</v>
      </c>
      <c r="M82" s="359">
        <f t="shared" si="78"/>
        <v>6385874</v>
      </c>
      <c r="N82" s="472">
        <f t="shared" si="79"/>
        <v>12670.38492063492</v>
      </c>
    </row>
    <row r="83" spans="2:14" x14ac:dyDescent="0.2">
      <c r="B83">
        <v>2019</v>
      </c>
      <c r="C83" s="454">
        <v>40</v>
      </c>
      <c r="D83" s="454">
        <v>15</v>
      </c>
      <c r="E83" s="454">
        <v>400</v>
      </c>
      <c r="F83" s="454"/>
      <c r="G83" s="456">
        <f t="shared" si="73"/>
        <v>455</v>
      </c>
      <c r="I83" s="167">
        <f t="shared" si="74"/>
        <v>2523.15</v>
      </c>
      <c r="J83" s="462">
        <f t="shared" si="75"/>
        <v>5.5453846153846156</v>
      </c>
      <c r="K83" s="167">
        <f t="shared" si="76"/>
        <v>2120.35</v>
      </c>
      <c r="L83" s="462">
        <f t="shared" si="77"/>
        <v>4.6601098901098901</v>
      </c>
      <c r="M83" s="359">
        <f t="shared" si="78"/>
        <v>6691495</v>
      </c>
      <c r="N83" s="472">
        <f t="shared" si="79"/>
        <v>14706.582417582418</v>
      </c>
    </row>
    <row r="84" spans="2:14" x14ac:dyDescent="0.2">
      <c r="E84" s="454"/>
    </row>
  </sheetData>
  <mergeCells count="5">
    <mergeCell ref="R4:U4"/>
    <mergeCell ref="G3:I3"/>
    <mergeCell ref="B4:I4"/>
    <mergeCell ref="J4:M4"/>
    <mergeCell ref="N4:Q4"/>
  </mergeCells>
  <phoneticPr fontId="7" type="noConversion"/>
  <pageMargins left="0.75" right="0.75" top="1" bottom="1" header="0.5" footer="0.5"/>
  <pageSetup scale="53" orientation="landscape" cellComments="asDisplayed"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X59"/>
  <sheetViews>
    <sheetView topLeftCell="A8" zoomScale="87" zoomScaleNormal="87" workbookViewId="0">
      <selection activeCell="S58" sqref="S58"/>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958" t="s">
        <v>316</v>
      </c>
      <c r="F1" s="4"/>
      <c r="G1" s="249"/>
      <c r="H1" s="249"/>
      <c r="I1" s="249"/>
      <c r="J1" s="4"/>
      <c r="K1" s="4"/>
      <c r="L1" s="4"/>
      <c r="M1" s="4"/>
      <c r="N1" s="4"/>
    </row>
    <row r="2" spans="1:24" ht="16.5" thickBot="1" x14ac:dyDescent="0.3">
      <c r="A2" s="5" t="s">
        <v>1</v>
      </c>
      <c r="B2" s="27" t="s">
        <v>210</v>
      </c>
      <c r="C2" s="27" t="s">
        <v>260</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44"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32"/>
      <c r="D6" s="628"/>
      <c r="E6" s="15"/>
      <c r="F6" s="31"/>
      <c r="G6" s="208"/>
      <c r="H6" s="15"/>
      <c r="I6" s="31"/>
      <c r="J6" s="37"/>
      <c r="K6" s="59"/>
      <c r="L6" s="6"/>
      <c r="M6" s="988"/>
      <c r="N6" s="40"/>
      <c r="O6" s="55"/>
      <c r="P6" s="57"/>
      <c r="Q6" s="41"/>
      <c r="R6" s="43"/>
      <c r="S6" s="24"/>
      <c r="T6" s="21"/>
      <c r="U6" s="47"/>
      <c r="V6" s="3"/>
    </row>
    <row r="7" spans="1:24" s="1" customFormat="1" ht="15.75" customHeight="1" x14ac:dyDescent="0.2">
      <c r="A7" s="68" t="s">
        <v>63</v>
      </c>
      <c r="B7" s="30"/>
      <c r="C7" s="632"/>
      <c r="D7" s="628"/>
      <c r="E7" s="15"/>
      <c r="F7" s="31"/>
      <c r="G7" s="208"/>
      <c r="H7" s="15"/>
      <c r="I7" s="31"/>
      <c r="J7" s="37"/>
      <c r="K7" s="59"/>
      <c r="L7" s="6"/>
      <c r="M7" s="988"/>
      <c r="N7" s="40"/>
      <c r="O7" s="55"/>
      <c r="P7" s="57"/>
      <c r="Q7" s="41"/>
      <c r="R7" s="43"/>
      <c r="S7" s="24"/>
      <c r="T7" s="21"/>
      <c r="U7" s="47"/>
      <c r="V7" s="3"/>
    </row>
    <row r="8" spans="1:24" x14ac:dyDescent="0.2">
      <c r="A8" s="33">
        <v>1995</v>
      </c>
      <c r="B8" s="30"/>
      <c r="C8" s="565"/>
      <c r="D8" s="642"/>
      <c r="E8" s="63"/>
      <c r="F8" s="641"/>
      <c r="G8" s="643"/>
      <c r="H8" s="87"/>
      <c r="I8" s="88"/>
      <c r="J8" s="61"/>
      <c r="K8" s="59"/>
      <c r="L8" s="59"/>
      <c r="M8" s="989"/>
      <c r="N8" s="51"/>
      <c r="O8" s="55"/>
      <c r="P8" s="55"/>
      <c r="Q8" s="56"/>
      <c r="R8" s="247"/>
      <c r="S8" s="24"/>
      <c r="T8" s="25"/>
      <c r="U8" s="53"/>
      <c r="V8" s="248"/>
      <c r="X8" s="1"/>
    </row>
    <row r="9" spans="1:24" x14ac:dyDescent="0.2">
      <c r="A9" s="33">
        <v>1996</v>
      </c>
      <c r="B9" s="30"/>
      <c r="C9" s="565"/>
      <c r="D9" s="642"/>
      <c r="E9" s="63"/>
      <c r="F9" s="641"/>
      <c r="G9" s="616"/>
      <c r="H9" s="62"/>
      <c r="I9" s="67"/>
      <c r="J9" s="61"/>
      <c r="K9" s="59"/>
      <c r="L9" s="59"/>
      <c r="M9" s="989"/>
      <c r="N9" s="54"/>
      <c r="O9" s="55"/>
      <c r="P9" s="55"/>
      <c r="Q9" s="56"/>
      <c r="R9" s="247"/>
      <c r="S9" s="24"/>
      <c r="T9" s="25"/>
      <c r="U9" s="53"/>
      <c r="V9" s="10"/>
      <c r="X9" s="1"/>
    </row>
    <row r="10" spans="1:24" x14ac:dyDescent="0.2">
      <c r="A10" s="33">
        <v>1997</v>
      </c>
      <c r="B10" s="30"/>
      <c r="C10" s="565"/>
      <c r="D10" s="642"/>
      <c r="E10" s="63"/>
      <c r="F10" s="641"/>
      <c r="G10" s="616"/>
      <c r="H10" s="62"/>
      <c r="I10" s="67"/>
      <c r="J10" s="61"/>
      <c r="K10" s="59"/>
      <c r="L10" s="59"/>
      <c r="M10" s="989"/>
      <c r="N10" s="54"/>
      <c r="O10" s="55"/>
      <c r="P10" s="55"/>
      <c r="Q10" s="56"/>
      <c r="R10" s="247"/>
      <c r="S10" s="24"/>
      <c r="T10" s="25"/>
      <c r="U10" s="53"/>
      <c r="V10" s="10"/>
      <c r="X10" s="1"/>
    </row>
    <row r="11" spans="1:24" x14ac:dyDescent="0.2">
      <c r="A11" s="33">
        <v>1998</v>
      </c>
      <c r="B11" s="30"/>
      <c r="C11" s="565"/>
      <c r="D11" s="642"/>
      <c r="E11" s="63"/>
      <c r="F11" s="641"/>
      <c r="G11" s="616"/>
      <c r="H11" s="62"/>
      <c r="I11" s="67"/>
      <c r="J11" s="61"/>
      <c r="K11" s="59"/>
      <c r="L11" s="59"/>
      <c r="M11" s="989"/>
      <c r="N11" s="54"/>
      <c r="O11" s="55"/>
      <c r="P11" s="55"/>
      <c r="Q11" s="56"/>
      <c r="R11" s="247"/>
      <c r="S11" s="24"/>
      <c r="T11" s="25"/>
      <c r="U11" s="53"/>
      <c r="V11" s="10"/>
      <c r="X11" s="1"/>
    </row>
    <row r="12" spans="1:24" x14ac:dyDescent="0.2">
      <c r="A12" s="33">
        <v>1999</v>
      </c>
      <c r="B12" s="30"/>
      <c r="C12" s="565"/>
      <c r="D12" s="642"/>
      <c r="E12" s="63"/>
      <c r="F12" s="641"/>
      <c r="G12" s="616"/>
      <c r="H12" s="62"/>
      <c r="I12" s="67"/>
      <c r="J12" s="61"/>
      <c r="K12" s="59"/>
      <c r="L12" s="59"/>
      <c r="M12" s="989"/>
      <c r="N12" s="54"/>
      <c r="O12" s="55"/>
      <c r="P12" s="55"/>
      <c r="Q12" s="56"/>
      <c r="R12" s="247"/>
      <c r="S12" s="24"/>
      <c r="T12" s="25"/>
      <c r="U12" s="53"/>
      <c r="V12" s="10"/>
      <c r="X12" s="1"/>
    </row>
    <row r="13" spans="1:24" x14ac:dyDescent="0.2">
      <c r="A13" s="33">
        <v>2000</v>
      </c>
      <c r="B13" s="30"/>
      <c r="C13" s="565"/>
      <c r="D13" s="642"/>
      <c r="E13" s="63"/>
      <c r="F13" s="641"/>
      <c r="G13" s="616"/>
      <c r="H13" s="62"/>
      <c r="I13" s="67"/>
      <c r="J13" s="61"/>
      <c r="K13" s="59"/>
      <c r="L13" s="59"/>
      <c r="M13" s="989"/>
      <c r="N13" s="54"/>
      <c r="O13" s="55"/>
      <c r="P13" s="55"/>
      <c r="Q13" s="56"/>
      <c r="R13" s="247"/>
      <c r="S13" s="24"/>
      <c r="T13" s="25"/>
      <c r="U13" s="53"/>
      <c r="V13" s="248"/>
      <c r="X13" s="1"/>
    </row>
    <row r="14" spans="1:24" x14ac:dyDescent="0.2">
      <c r="A14" s="33">
        <v>2001</v>
      </c>
      <c r="B14" s="30"/>
      <c r="C14" s="565"/>
      <c r="D14" s="642"/>
      <c r="E14" s="63"/>
      <c r="F14" s="641"/>
      <c r="G14" s="616"/>
      <c r="H14" s="62"/>
      <c r="I14" s="67"/>
      <c r="J14" s="61"/>
      <c r="K14" s="59"/>
      <c r="L14" s="59"/>
      <c r="M14" s="989"/>
      <c r="N14" s="54"/>
      <c r="O14" s="55"/>
      <c r="P14" s="55"/>
      <c r="Q14" s="56"/>
      <c r="R14" s="247"/>
      <c r="S14" s="24"/>
      <c r="T14" s="25"/>
      <c r="U14" s="53"/>
      <c r="V14" s="248"/>
      <c r="X14" s="1"/>
    </row>
    <row r="15" spans="1:24" x14ac:dyDescent="0.2">
      <c r="A15" s="33">
        <v>2002</v>
      </c>
      <c r="B15" s="30"/>
      <c r="C15" s="565"/>
      <c r="D15" s="642"/>
      <c r="E15" s="63"/>
      <c r="F15" s="641"/>
      <c r="G15" s="616"/>
      <c r="H15" s="62"/>
      <c r="I15" s="67"/>
      <c r="J15" s="61"/>
      <c r="K15" s="59"/>
      <c r="L15" s="59"/>
      <c r="M15" s="989"/>
      <c r="N15" s="54"/>
      <c r="O15" s="55"/>
      <c r="P15" s="55"/>
      <c r="Q15" s="56"/>
      <c r="R15" s="247"/>
      <c r="S15" s="24"/>
      <c r="T15" s="25"/>
      <c r="U15" s="53"/>
      <c r="V15" s="248"/>
      <c r="X15" s="1"/>
    </row>
    <row r="16" spans="1:24" x14ac:dyDescent="0.2">
      <c r="A16" s="33">
        <v>2003</v>
      </c>
      <c r="B16" s="30"/>
      <c r="C16" s="565"/>
      <c r="D16" s="642"/>
      <c r="E16" s="63"/>
      <c r="F16" s="641"/>
      <c r="G16" s="616"/>
      <c r="H16" s="62"/>
      <c r="I16" s="67"/>
      <c r="J16" s="61"/>
      <c r="K16" s="59"/>
      <c r="L16" s="59"/>
      <c r="M16" s="989"/>
      <c r="N16" s="54"/>
      <c r="O16" s="55"/>
      <c r="P16" s="55"/>
      <c r="Q16" s="56"/>
      <c r="R16" s="247"/>
      <c r="S16" s="24"/>
      <c r="T16" s="25"/>
      <c r="U16" s="53"/>
      <c r="V16" s="248"/>
      <c r="X16" s="1"/>
    </row>
    <row r="17" spans="1:24" x14ac:dyDescent="0.2">
      <c r="A17" s="33">
        <f t="shared" ref="A17:A54" si="0">+A16+1</f>
        <v>2004</v>
      </c>
      <c r="B17" s="30"/>
      <c r="C17" s="565"/>
      <c r="D17" s="642"/>
      <c r="E17" s="63"/>
      <c r="F17" s="641"/>
      <c r="G17" s="616"/>
      <c r="H17" s="62"/>
      <c r="I17" s="67"/>
      <c r="J17" s="61"/>
      <c r="K17" s="59"/>
      <c r="L17" s="59"/>
      <c r="M17" s="989"/>
      <c r="N17" s="54"/>
      <c r="O17" s="55"/>
      <c r="P17" s="55"/>
      <c r="Q17" s="56"/>
      <c r="R17" s="247"/>
      <c r="S17" s="24"/>
      <c r="T17" s="25"/>
      <c r="U17" s="53"/>
      <c r="V17" s="248"/>
      <c r="X17" s="1"/>
    </row>
    <row r="18" spans="1:24" x14ac:dyDescent="0.2">
      <c r="A18" s="33">
        <f t="shared" si="0"/>
        <v>2005</v>
      </c>
      <c r="B18" s="30"/>
      <c r="C18" s="565"/>
      <c r="D18" s="642"/>
      <c r="E18" s="63"/>
      <c r="F18" s="641"/>
      <c r="G18" s="616"/>
      <c r="H18" s="62"/>
      <c r="I18" s="67"/>
      <c r="J18" s="61"/>
      <c r="K18" s="59"/>
      <c r="L18" s="59"/>
      <c r="M18" s="989"/>
      <c r="N18" s="54"/>
      <c r="O18" s="55"/>
      <c r="P18" s="55"/>
      <c r="Q18" s="56"/>
      <c r="R18" s="247"/>
      <c r="S18" s="24"/>
      <c r="T18" s="25"/>
      <c r="U18" s="53"/>
      <c r="V18" s="248"/>
      <c r="X18" s="1"/>
    </row>
    <row r="19" spans="1:24" x14ac:dyDescent="0.2">
      <c r="A19" s="33">
        <f t="shared" si="0"/>
        <v>2006</v>
      </c>
      <c r="B19" s="30"/>
      <c r="C19" s="565"/>
      <c r="D19" s="642"/>
      <c r="E19" s="63"/>
      <c r="F19" s="641"/>
      <c r="G19" s="616"/>
      <c r="H19" s="62"/>
      <c r="I19" s="67"/>
      <c r="J19" s="61"/>
      <c r="K19" s="59"/>
      <c r="L19" s="59"/>
      <c r="M19" s="989"/>
      <c r="N19" s="54"/>
      <c r="O19" s="55"/>
      <c r="P19" s="55"/>
      <c r="Q19" s="56"/>
      <c r="R19" s="247"/>
      <c r="S19" s="24"/>
      <c r="T19" s="25"/>
      <c r="U19" s="53"/>
      <c r="V19" s="8"/>
      <c r="X19" s="1"/>
    </row>
    <row r="20" spans="1:24" x14ac:dyDescent="0.2">
      <c r="A20" s="33">
        <f t="shared" si="0"/>
        <v>2007</v>
      </c>
      <c r="B20" s="30"/>
      <c r="C20" s="565"/>
      <c r="D20" s="642"/>
      <c r="E20" s="63"/>
      <c r="F20" s="641"/>
      <c r="G20" s="616"/>
      <c r="H20" s="62"/>
      <c r="I20" s="62"/>
      <c r="J20" s="61"/>
      <c r="K20" s="59"/>
      <c r="L20" s="59"/>
      <c r="M20" s="989"/>
      <c r="N20" s="54"/>
      <c r="O20" s="55"/>
      <c r="P20" s="55"/>
      <c r="Q20" s="56"/>
      <c r="R20" s="247"/>
      <c r="S20" s="24"/>
      <c r="T20" s="25"/>
      <c r="U20" s="53"/>
    </row>
    <row r="21" spans="1:24" x14ac:dyDescent="0.2">
      <c r="A21" s="33">
        <f t="shared" si="0"/>
        <v>2008</v>
      </c>
      <c r="B21" s="30"/>
      <c r="C21" s="647"/>
      <c r="D21" s="642"/>
      <c r="E21" s="63"/>
      <c r="F21" s="641"/>
      <c r="G21" s="616"/>
      <c r="H21" s="62"/>
      <c r="I21" s="67"/>
      <c r="J21" s="61"/>
      <c r="K21" s="59"/>
      <c r="L21" s="59"/>
      <c r="M21" s="989"/>
      <c r="N21" s="54"/>
      <c r="O21" s="55"/>
      <c r="P21" s="55"/>
      <c r="Q21" s="56"/>
      <c r="R21" s="247"/>
      <c r="S21" s="24"/>
      <c r="T21" s="25"/>
      <c r="U21" s="53"/>
    </row>
    <row r="22" spans="1:24" x14ac:dyDescent="0.2">
      <c r="A22" s="33">
        <f t="shared" si="0"/>
        <v>2009</v>
      </c>
      <c r="B22" s="30"/>
      <c r="C22" s="647"/>
      <c r="D22" s="642"/>
      <c r="E22" s="63"/>
      <c r="F22" s="641"/>
      <c r="G22" s="616"/>
      <c r="H22" s="62"/>
      <c r="I22" s="67"/>
      <c r="J22" s="61"/>
      <c r="K22" s="59"/>
      <c r="L22" s="59"/>
      <c r="M22" s="989"/>
      <c r="N22" s="54"/>
      <c r="O22" s="55"/>
      <c r="P22" s="55"/>
      <c r="Q22" s="56"/>
      <c r="R22" s="247"/>
      <c r="S22" s="24"/>
      <c r="T22" s="25"/>
      <c r="U22" s="53"/>
    </row>
    <row r="23" spans="1:24" x14ac:dyDescent="0.2">
      <c r="A23" s="33">
        <f t="shared" si="0"/>
        <v>2010</v>
      </c>
      <c r="B23" s="50">
        <v>0</v>
      </c>
      <c r="C23" s="647">
        <f t="shared" ref="C23:C39" si="1">+C22+B23</f>
        <v>0</v>
      </c>
      <c r="D23" s="30">
        <v>1.65</v>
      </c>
      <c r="E23" s="210">
        <v>0</v>
      </c>
      <c r="F23" s="617">
        <v>2042</v>
      </c>
      <c r="G23" s="452">
        <f t="shared" ref="G23:H39" si="2">+$B23*D23/1000</f>
        <v>0</v>
      </c>
      <c r="H23" s="72">
        <f t="shared" si="2"/>
        <v>0</v>
      </c>
      <c r="I23" s="72">
        <f t="shared" ref="I23:I39" si="3">+$B23*F23/1000000</f>
        <v>0</v>
      </c>
      <c r="J23" s="61">
        <f t="shared" ref="J23:J39" si="4">+(B23+B22)/2</f>
        <v>0</v>
      </c>
      <c r="K23" s="651">
        <f t="shared" ref="K23:K39" si="5">+D23</f>
        <v>1.65</v>
      </c>
      <c r="L23" s="651">
        <f t="shared" ref="L23:L39" si="6">+J23*K23/1000</f>
        <v>0</v>
      </c>
      <c r="M23" s="990">
        <f t="shared" ref="M23:M39" si="7">+M22+L23</f>
        <v>0</v>
      </c>
      <c r="N23" s="54">
        <f t="shared" ref="N23:N39" si="8">+B22</f>
        <v>0</v>
      </c>
      <c r="O23" s="597">
        <f t="shared" ref="O23:O39" si="9">+E23</f>
        <v>0</v>
      </c>
      <c r="P23" s="597">
        <f t="shared" ref="P23:P39" si="10">+N23*O23/1000</f>
        <v>0</v>
      </c>
      <c r="Q23" s="653">
        <f t="shared" ref="Q23:Q39" si="11">+Q22+P23</f>
        <v>0</v>
      </c>
      <c r="R23" s="247">
        <f t="shared" ref="R23:R38" si="12">+(B23+B22)/2</f>
        <v>0</v>
      </c>
      <c r="S23" s="24">
        <f t="shared" ref="S23:S38" si="13">+F23</f>
        <v>2042</v>
      </c>
      <c r="T23" s="25">
        <f t="shared" ref="T23:T38" si="14">+R23*S23/1000000</f>
        <v>0</v>
      </c>
      <c r="U23" s="654">
        <f t="shared" ref="U23:U39" si="15">+U22+T23</f>
        <v>0</v>
      </c>
    </row>
    <row r="24" spans="1:24" x14ac:dyDescent="0.2">
      <c r="A24" s="33">
        <f t="shared" si="0"/>
        <v>2011</v>
      </c>
      <c r="B24" s="50">
        <v>0</v>
      </c>
      <c r="C24" s="647">
        <f t="shared" si="1"/>
        <v>0</v>
      </c>
      <c r="D24" s="30">
        <v>1.65</v>
      </c>
      <c r="E24" s="210">
        <v>0</v>
      </c>
      <c r="F24" s="617">
        <v>2042</v>
      </c>
      <c r="G24" s="452">
        <f t="shared" si="2"/>
        <v>0</v>
      </c>
      <c r="H24" s="72">
        <f t="shared" si="2"/>
        <v>0</v>
      </c>
      <c r="I24" s="72">
        <f t="shared" si="3"/>
        <v>0</v>
      </c>
      <c r="J24" s="61">
        <f t="shared" si="4"/>
        <v>0</v>
      </c>
      <c r="K24" s="651">
        <f t="shared" si="5"/>
        <v>1.65</v>
      </c>
      <c r="L24" s="651">
        <f t="shared" si="6"/>
        <v>0</v>
      </c>
      <c r="M24" s="990">
        <f t="shared" si="7"/>
        <v>0</v>
      </c>
      <c r="N24" s="54">
        <f t="shared" si="8"/>
        <v>0</v>
      </c>
      <c r="O24" s="597">
        <f t="shared" si="9"/>
        <v>0</v>
      </c>
      <c r="P24" s="597">
        <f t="shared" si="10"/>
        <v>0</v>
      </c>
      <c r="Q24" s="653">
        <f t="shared" si="11"/>
        <v>0</v>
      </c>
      <c r="R24" s="247">
        <f t="shared" si="12"/>
        <v>0</v>
      </c>
      <c r="S24" s="24">
        <f t="shared" si="13"/>
        <v>2042</v>
      </c>
      <c r="T24" s="25">
        <f t="shared" si="14"/>
        <v>0</v>
      </c>
      <c r="U24" s="654">
        <f t="shared" si="15"/>
        <v>0</v>
      </c>
    </row>
    <row r="25" spans="1:24" x14ac:dyDescent="0.2">
      <c r="A25" s="33">
        <f t="shared" si="0"/>
        <v>2012</v>
      </c>
      <c r="B25" s="50">
        <v>87</v>
      </c>
      <c r="C25" s="647">
        <f t="shared" si="1"/>
        <v>87</v>
      </c>
      <c r="D25" s="30">
        <v>0.8</v>
      </c>
      <c r="E25" s="210">
        <v>0</v>
      </c>
      <c r="F25" s="617">
        <v>3095</v>
      </c>
      <c r="G25" s="452">
        <f t="shared" si="2"/>
        <v>6.9600000000000009E-2</v>
      </c>
      <c r="H25" s="72">
        <f t="shared" si="2"/>
        <v>0</v>
      </c>
      <c r="I25" s="72">
        <f t="shared" si="3"/>
        <v>0.26926499999999998</v>
      </c>
      <c r="J25" s="61">
        <f t="shared" si="4"/>
        <v>43.5</v>
      </c>
      <c r="K25" s="651">
        <f t="shared" si="5"/>
        <v>0.8</v>
      </c>
      <c r="L25" s="651">
        <f t="shared" si="6"/>
        <v>3.4800000000000005E-2</v>
      </c>
      <c r="M25" s="990">
        <f t="shared" si="7"/>
        <v>3.4800000000000005E-2</v>
      </c>
      <c r="N25" s="54">
        <f t="shared" si="8"/>
        <v>0</v>
      </c>
      <c r="O25" s="597">
        <f t="shared" si="9"/>
        <v>0</v>
      </c>
      <c r="P25" s="597">
        <f t="shared" si="10"/>
        <v>0</v>
      </c>
      <c r="Q25" s="653">
        <f t="shared" si="11"/>
        <v>0</v>
      </c>
      <c r="R25" s="247">
        <f t="shared" si="12"/>
        <v>43.5</v>
      </c>
      <c r="S25" s="24">
        <f t="shared" si="13"/>
        <v>3095</v>
      </c>
      <c r="T25" s="25">
        <f t="shared" si="14"/>
        <v>0.13463249999999999</v>
      </c>
      <c r="U25" s="654">
        <f t="shared" si="15"/>
        <v>0.13463249999999999</v>
      </c>
    </row>
    <row r="26" spans="1:24" s="831" customFormat="1" x14ac:dyDescent="0.2">
      <c r="A26" s="33">
        <f t="shared" si="0"/>
        <v>2013</v>
      </c>
      <c r="B26" s="30">
        <v>141</v>
      </c>
      <c r="C26" s="633">
        <f t="shared" si="1"/>
        <v>228</v>
      </c>
      <c r="D26" s="807">
        <v>0.9</v>
      </c>
      <c r="E26" s="210">
        <f t="shared" ref="E26:E27" si="16">+E25</f>
        <v>0</v>
      </c>
      <c r="F26" s="806">
        <v>2603</v>
      </c>
      <c r="G26" s="452">
        <f t="shared" si="2"/>
        <v>0.12690000000000001</v>
      </c>
      <c r="H26" s="72">
        <f t="shared" si="2"/>
        <v>0</v>
      </c>
      <c r="I26" s="72">
        <f t="shared" si="3"/>
        <v>0.36702299999999999</v>
      </c>
      <c r="J26" s="61">
        <f t="shared" si="4"/>
        <v>114</v>
      </c>
      <c r="K26" s="651">
        <f t="shared" si="5"/>
        <v>0.9</v>
      </c>
      <c r="L26" s="651">
        <f t="shared" si="6"/>
        <v>0.10260000000000001</v>
      </c>
      <c r="M26" s="990">
        <f t="shared" si="7"/>
        <v>0.13740000000000002</v>
      </c>
      <c r="N26" s="54">
        <f t="shared" si="8"/>
        <v>87</v>
      </c>
      <c r="O26" s="597">
        <f t="shared" si="9"/>
        <v>0</v>
      </c>
      <c r="P26" s="597">
        <f t="shared" si="10"/>
        <v>0</v>
      </c>
      <c r="Q26" s="653">
        <f t="shared" si="11"/>
        <v>0</v>
      </c>
      <c r="R26" s="247">
        <f t="shared" si="12"/>
        <v>114</v>
      </c>
      <c r="S26" s="24">
        <f t="shared" si="13"/>
        <v>2603</v>
      </c>
      <c r="T26" s="25">
        <f t="shared" si="14"/>
        <v>0.29674200000000001</v>
      </c>
      <c r="U26" s="654">
        <f t="shared" si="15"/>
        <v>0.43137449999999999</v>
      </c>
      <c r="V26" s="830"/>
    </row>
    <row r="27" spans="1:24" s="831" customFormat="1" x14ac:dyDescent="0.2">
      <c r="A27" s="33">
        <f t="shared" si="0"/>
        <v>2014</v>
      </c>
      <c r="B27" s="30">
        <v>68</v>
      </c>
      <c r="C27" s="633">
        <f t="shared" si="1"/>
        <v>296</v>
      </c>
      <c r="D27" s="807">
        <v>0.18</v>
      </c>
      <c r="E27" s="210">
        <f t="shared" si="16"/>
        <v>0</v>
      </c>
      <c r="F27" s="806">
        <v>1066</v>
      </c>
      <c r="G27" s="452">
        <f t="shared" si="2"/>
        <v>1.2240000000000001E-2</v>
      </c>
      <c r="H27" s="72">
        <f t="shared" si="2"/>
        <v>0</v>
      </c>
      <c r="I27" s="72">
        <f t="shared" si="3"/>
        <v>7.2487999999999997E-2</v>
      </c>
      <c r="J27" s="61">
        <f t="shared" si="4"/>
        <v>104.5</v>
      </c>
      <c r="K27" s="651">
        <f t="shared" si="5"/>
        <v>0.18</v>
      </c>
      <c r="L27" s="651">
        <f t="shared" si="6"/>
        <v>1.881E-2</v>
      </c>
      <c r="M27" s="990">
        <f t="shared" si="7"/>
        <v>0.15621000000000002</v>
      </c>
      <c r="N27" s="54">
        <f t="shared" si="8"/>
        <v>141</v>
      </c>
      <c r="O27" s="597">
        <f t="shared" si="9"/>
        <v>0</v>
      </c>
      <c r="P27" s="597">
        <f t="shared" si="10"/>
        <v>0</v>
      </c>
      <c r="Q27" s="653">
        <f t="shared" si="11"/>
        <v>0</v>
      </c>
      <c r="R27" s="247">
        <f t="shared" si="12"/>
        <v>104.5</v>
      </c>
      <c r="S27" s="24">
        <f t="shared" si="13"/>
        <v>1066</v>
      </c>
      <c r="T27" s="25">
        <f t="shared" si="14"/>
        <v>0.111397</v>
      </c>
      <c r="U27" s="654">
        <f t="shared" si="15"/>
        <v>0.54277149999999996</v>
      </c>
      <c r="V27" s="830"/>
    </row>
    <row r="28" spans="1:24" ht="13.5" thickBot="1" x14ac:dyDescent="0.25">
      <c r="A28" s="701">
        <f t="shared" si="0"/>
        <v>2015</v>
      </c>
      <c r="B28" s="702">
        <v>250</v>
      </c>
      <c r="C28" s="893">
        <f t="shared" si="1"/>
        <v>546</v>
      </c>
      <c r="D28" s="835">
        <v>2.09</v>
      </c>
      <c r="E28" s="704">
        <v>0</v>
      </c>
      <c r="F28" s="705">
        <v>3728</v>
      </c>
      <c r="G28" s="706">
        <f t="shared" si="2"/>
        <v>0.52249999999999996</v>
      </c>
      <c r="H28" s="707">
        <f t="shared" si="2"/>
        <v>0</v>
      </c>
      <c r="I28" s="707">
        <f t="shared" si="3"/>
        <v>0.93200000000000005</v>
      </c>
      <c r="J28" s="708">
        <f t="shared" si="4"/>
        <v>159</v>
      </c>
      <c r="K28" s="709">
        <f t="shared" si="5"/>
        <v>2.09</v>
      </c>
      <c r="L28" s="709">
        <f t="shared" si="6"/>
        <v>0.33230999999999999</v>
      </c>
      <c r="M28" s="991">
        <f t="shared" si="7"/>
        <v>0.48852000000000001</v>
      </c>
      <c r="N28" s="711">
        <f t="shared" si="8"/>
        <v>68</v>
      </c>
      <c r="O28" s="712">
        <f t="shared" si="9"/>
        <v>0</v>
      </c>
      <c r="P28" s="712">
        <f t="shared" si="10"/>
        <v>0</v>
      </c>
      <c r="Q28" s="713">
        <f t="shared" si="11"/>
        <v>0</v>
      </c>
      <c r="R28" s="714">
        <f t="shared" si="12"/>
        <v>159</v>
      </c>
      <c r="S28" s="715">
        <f t="shared" si="13"/>
        <v>3728</v>
      </c>
      <c r="T28" s="716">
        <f t="shared" si="14"/>
        <v>0.59275199999999995</v>
      </c>
      <c r="U28" s="717">
        <f t="shared" si="15"/>
        <v>1.1355234999999999</v>
      </c>
    </row>
    <row r="29" spans="1:24" x14ac:dyDescent="0.2">
      <c r="A29" s="33">
        <f t="shared" si="0"/>
        <v>2016</v>
      </c>
      <c r="B29" s="1036"/>
      <c r="C29" s="565">
        <f t="shared" si="1"/>
        <v>546</v>
      </c>
      <c r="D29" s="788"/>
      <c r="E29" s="789"/>
      <c r="F29" s="790"/>
      <c r="G29" s="452">
        <f t="shared" si="2"/>
        <v>0</v>
      </c>
      <c r="H29" s="72">
        <f t="shared" si="2"/>
        <v>0</v>
      </c>
      <c r="I29" s="72">
        <f t="shared" si="3"/>
        <v>0</v>
      </c>
      <c r="J29" s="61">
        <f t="shared" si="4"/>
        <v>125</v>
      </c>
      <c r="K29" s="651">
        <f t="shared" si="5"/>
        <v>0</v>
      </c>
      <c r="L29" s="651">
        <f t="shared" si="6"/>
        <v>0</v>
      </c>
      <c r="M29" s="990">
        <f t="shared" si="7"/>
        <v>0.48852000000000001</v>
      </c>
      <c r="N29" s="54">
        <f t="shared" si="8"/>
        <v>250</v>
      </c>
      <c r="O29" s="597">
        <f t="shared" si="9"/>
        <v>0</v>
      </c>
      <c r="P29" s="597">
        <f t="shared" si="10"/>
        <v>0</v>
      </c>
      <c r="Q29" s="653">
        <f t="shared" si="11"/>
        <v>0</v>
      </c>
      <c r="R29" s="247">
        <f t="shared" si="12"/>
        <v>125</v>
      </c>
      <c r="S29" s="24">
        <f t="shared" si="13"/>
        <v>0</v>
      </c>
      <c r="T29" s="25">
        <f t="shared" si="14"/>
        <v>0</v>
      </c>
      <c r="U29" s="654">
        <f t="shared" si="15"/>
        <v>1.1355234999999999</v>
      </c>
    </row>
    <row r="30" spans="1:24" x14ac:dyDescent="0.2">
      <c r="A30" s="33">
        <f t="shared" si="0"/>
        <v>2017</v>
      </c>
      <c r="B30" s="1036"/>
      <c r="C30" s="565">
        <f t="shared" si="1"/>
        <v>546</v>
      </c>
      <c r="D30" s="788"/>
      <c r="E30" s="789"/>
      <c r="F30" s="790"/>
      <c r="G30" s="452">
        <f t="shared" si="2"/>
        <v>0</v>
      </c>
      <c r="H30" s="72">
        <f t="shared" si="2"/>
        <v>0</v>
      </c>
      <c r="I30" s="72">
        <f t="shared" si="3"/>
        <v>0</v>
      </c>
      <c r="J30" s="61">
        <f t="shared" si="4"/>
        <v>0</v>
      </c>
      <c r="K30" s="651">
        <f t="shared" si="5"/>
        <v>0</v>
      </c>
      <c r="L30" s="651">
        <f t="shared" si="6"/>
        <v>0</v>
      </c>
      <c r="M30" s="990">
        <f t="shared" si="7"/>
        <v>0.48852000000000001</v>
      </c>
      <c r="N30" s="54">
        <f t="shared" si="8"/>
        <v>0</v>
      </c>
      <c r="O30" s="597">
        <f t="shared" si="9"/>
        <v>0</v>
      </c>
      <c r="P30" s="597">
        <f t="shared" si="10"/>
        <v>0</v>
      </c>
      <c r="Q30" s="653">
        <f t="shared" si="11"/>
        <v>0</v>
      </c>
      <c r="R30" s="247">
        <f t="shared" si="12"/>
        <v>0</v>
      </c>
      <c r="S30" s="24">
        <f t="shared" si="13"/>
        <v>0</v>
      </c>
      <c r="T30" s="25">
        <f t="shared" si="14"/>
        <v>0</v>
      </c>
      <c r="U30" s="654">
        <f t="shared" si="15"/>
        <v>1.1355234999999999</v>
      </c>
    </row>
    <row r="31" spans="1:24" x14ac:dyDescent="0.2">
      <c r="A31" s="33">
        <f t="shared" si="0"/>
        <v>2018</v>
      </c>
      <c r="B31" s="1036"/>
      <c r="C31" s="565">
        <f t="shared" si="1"/>
        <v>546</v>
      </c>
      <c r="D31" s="788"/>
      <c r="E31" s="789"/>
      <c r="F31" s="790"/>
      <c r="G31" s="452">
        <f t="shared" si="2"/>
        <v>0</v>
      </c>
      <c r="H31" s="72">
        <f t="shared" si="2"/>
        <v>0</v>
      </c>
      <c r="I31" s="72">
        <f t="shared" si="3"/>
        <v>0</v>
      </c>
      <c r="J31" s="61">
        <f t="shared" si="4"/>
        <v>0</v>
      </c>
      <c r="K31" s="651">
        <f t="shared" si="5"/>
        <v>0</v>
      </c>
      <c r="L31" s="651">
        <f t="shared" si="6"/>
        <v>0</v>
      </c>
      <c r="M31" s="990">
        <f t="shared" si="7"/>
        <v>0.48852000000000001</v>
      </c>
      <c r="N31" s="54">
        <f t="shared" si="8"/>
        <v>0</v>
      </c>
      <c r="O31" s="597">
        <f t="shared" si="9"/>
        <v>0</v>
      </c>
      <c r="P31" s="597">
        <f t="shared" si="10"/>
        <v>0</v>
      </c>
      <c r="Q31" s="653">
        <f t="shared" si="11"/>
        <v>0</v>
      </c>
      <c r="R31" s="247">
        <f t="shared" si="12"/>
        <v>0</v>
      </c>
      <c r="S31" s="24">
        <f t="shared" si="13"/>
        <v>0</v>
      </c>
      <c r="T31" s="25">
        <f t="shared" si="14"/>
        <v>0</v>
      </c>
      <c r="U31" s="654">
        <f t="shared" si="15"/>
        <v>1.1355234999999999</v>
      </c>
    </row>
    <row r="32" spans="1:24" x14ac:dyDescent="0.2">
      <c r="A32" s="33">
        <f t="shared" si="0"/>
        <v>2019</v>
      </c>
      <c r="B32" s="1036"/>
      <c r="C32" s="565">
        <f t="shared" si="1"/>
        <v>546</v>
      </c>
      <c r="D32" s="788"/>
      <c r="E32" s="789"/>
      <c r="F32" s="790"/>
      <c r="G32" s="452">
        <f t="shared" si="2"/>
        <v>0</v>
      </c>
      <c r="H32" s="72">
        <f t="shared" si="2"/>
        <v>0</v>
      </c>
      <c r="I32" s="72">
        <f t="shared" si="3"/>
        <v>0</v>
      </c>
      <c r="J32" s="61">
        <f t="shared" si="4"/>
        <v>0</v>
      </c>
      <c r="K32" s="651">
        <f t="shared" si="5"/>
        <v>0</v>
      </c>
      <c r="L32" s="651">
        <f t="shared" si="6"/>
        <v>0</v>
      </c>
      <c r="M32" s="990">
        <f t="shared" si="7"/>
        <v>0.48852000000000001</v>
      </c>
      <c r="N32" s="54">
        <f t="shared" si="8"/>
        <v>0</v>
      </c>
      <c r="O32" s="597">
        <f t="shared" si="9"/>
        <v>0</v>
      </c>
      <c r="P32" s="597">
        <f t="shared" si="10"/>
        <v>0</v>
      </c>
      <c r="Q32" s="653">
        <f t="shared" si="11"/>
        <v>0</v>
      </c>
      <c r="R32" s="247">
        <f t="shared" si="12"/>
        <v>0</v>
      </c>
      <c r="S32" s="24">
        <f t="shared" si="13"/>
        <v>0</v>
      </c>
      <c r="T32" s="25">
        <f t="shared" si="14"/>
        <v>0</v>
      </c>
      <c r="U32" s="654">
        <f t="shared" si="15"/>
        <v>1.1355234999999999</v>
      </c>
    </row>
    <row r="33" spans="1:21" x14ac:dyDescent="0.2">
      <c r="A33" s="33">
        <f t="shared" si="0"/>
        <v>2020</v>
      </c>
      <c r="B33" s="1036"/>
      <c r="C33" s="565">
        <f t="shared" si="1"/>
        <v>546</v>
      </c>
      <c r="D33" s="788"/>
      <c r="E33" s="789"/>
      <c r="F33" s="790"/>
      <c r="G33" s="452">
        <f t="shared" si="2"/>
        <v>0</v>
      </c>
      <c r="H33" s="72">
        <f t="shared" si="2"/>
        <v>0</v>
      </c>
      <c r="I33" s="72">
        <f t="shared" si="3"/>
        <v>0</v>
      </c>
      <c r="J33" s="61">
        <f t="shared" si="4"/>
        <v>0</v>
      </c>
      <c r="K33" s="651">
        <f t="shared" si="5"/>
        <v>0</v>
      </c>
      <c r="L33" s="651">
        <f t="shared" si="6"/>
        <v>0</v>
      </c>
      <c r="M33" s="990">
        <f t="shared" si="7"/>
        <v>0.48852000000000001</v>
      </c>
      <c r="N33" s="54">
        <f t="shared" si="8"/>
        <v>0</v>
      </c>
      <c r="O33" s="597">
        <f t="shared" si="9"/>
        <v>0</v>
      </c>
      <c r="P33" s="597">
        <f t="shared" si="10"/>
        <v>0</v>
      </c>
      <c r="Q33" s="653">
        <f t="shared" si="11"/>
        <v>0</v>
      </c>
      <c r="R33" s="247">
        <f t="shared" si="12"/>
        <v>0</v>
      </c>
      <c r="S33" s="24">
        <f t="shared" si="13"/>
        <v>0</v>
      </c>
      <c r="T33" s="25">
        <f t="shared" si="14"/>
        <v>0</v>
      </c>
      <c r="U33" s="654">
        <f t="shared" si="15"/>
        <v>1.1355234999999999</v>
      </c>
    </row>
    <row r="34" spans="1:21" x14ac:dyDescent="0.2">
      <c r="A34" s="33">
        <f t="shared" si="0"/>
        <v>2021</v>
      </c>
      <c r="B34" s="1036"/>
      <c r="C34" s="565">
        <f t="shared" si="1"/>
        <v>546</v>
      </c>
      <c r="D34" s="788"/>
      <c r="E34" s="789"/>
      <c r="F34" s="790"/>
      <c r="G34" s="452">
        <f t="shared" si="2"/>
        <v>0</v>
      </c>
      <c r="H34" s="72">
        <f t="shared" si="2"/>
        <v>0</v>
      </c>
      <c r="I34" s="72">
        <f t="shared" si="3"/>
        <v>0</v>
      </c>
      <c r="J34" s="61">
        <f t="shared" si="4"/>
        <v>0</v>
      </c>
      <c r="K34" s="651">
        <f t="shared" si="5"/>
        <v>0</v>
      </c>
      <c r="L34" s="651">
        <f t="shared" si="6"/>
        <v>0</v>
      </c>
      <c r="M34" s="990">
        <f t="shared" si="7"/>
        <v>0.48852000000000001</v>
      </c>
      <c r="N34" s="54">
        <f t="shared" si="8"/>
        <v>0</v>
      </c>
      <c r="O34" s="597">
        <f t="shared" si="9"/>
        <v>0</v>
      </c>
      <c r="P34" s="597">
        <f t="shared" si="10"/>
        <v>0</v>
      </c>
      <c r="Q34" s="653">
        <f t="shared" si="11"/>
        <v>0</v>
      </c>
      <c r="R34" s="247">
        <f t="shared" si="12"/>
        <v>0</v>
      </c>
      <c r="S34" s="24">
        <f t="shared" si="13"/>
        <v>0</v>
      </c>
      <c r="T34" s="25">
        <f t="shared" si="14"/>
        <v>0</v>
      </c>
      <c r="U34" s="654">
        <f t="shared" si="15"/>
        <v>1.1355234999999999</v>
      </c>
    </row>
    <row r="35" spans="1:21" x14ac:dyDescent="0.2">
      <c r="A35" s="33">
        <f t="shared" si="0"/>
        <v>2022</v>
      </c>
      <c r="B35" s="1036"/>
      <c r="C35" s="565">
        <f t="shared" si="1"/>
        <v>546</v>
      </c>
      <c r="D35" s="788"/>
      <c r="E35" s="789"/>
      <c r="F35" s="790"/>
      <c r="G35" s="452">
        <f t="shared" si="2"/>
        <v>0</v>
      </c>
      <c r="H35" s="72">
        <f t="shared" si="2"/>
        <v>0</v>
      </c>
      <c r="I35" s="72">
        <f t="shared" si="3"/>
        <v>0</v>
      </c>
      <c r="J35" s="61">
        <f t="shared" si="4"/>
        <v>0</v>
      </c>
      <c r="K35" s="651">
        <f t="shared" si="5"/>
        <v>0</v>
      </c>
      <c r="L35" s="651">
        <f t="shared" si="6"/>
        <v>0</v>
      </c>
      <c r="M35" s="990">
        <f t="shared" si="7"/>
        <v>0.48852000000000001</v>
      </c>
      <c r="N35" s="54">
        <f t="shared" si="8"/>
        <v>0</v>
      </c>
      <c r="O35" s="597">
        <f t="shared" si="9"/>
        <v>0</v>
      </c>
      <c r="P35" s="597">
        <f t="shared" si="10"/>
        <v>0</v>
      </c>
      <c r="Q35" s="653">
        <f t="shared" si="11"/>
        <v>0</v>
      </c>
      <c r="R35" s="247">
        <f t="shared" si="12"/>
        <v>0</v>
      </c>
      <c r="S35" s="24">
        <f t="shared" si="13"/>
        <v>0</v>
      </c>
      <c r="T35" s="25">
        <f t="shared" si="14"/>
        <v>0</v>
      </c>
      <c r="U35" s="654">
        <f t="shared" si="15"/>
        <v>1.1355234999999999</v>
      </c>
    </row>
    <row r="36" spans="1:21" x14ac:dyDescent="0.2">
      <c r="A36" s="33">
        <f t="shared" si="0"/>
        <v>2023</v>
      </c>
      <c r="B36" s="1036"/>
      <c r="C36" s="565">
        <f t="shared" si="1"/>
        <v>546</v>
      </c>
      <c r="D36" s="788"/>
      <c r="E36" s="789"/>
      <c r="F36" s="790"/>
      <c r="G36" s="452">
        <f t="shared" si="2"/>
        <v>0</v>
      </c>
      <c r="H36" s="72">
        <f t="shared" si="2"/>
        <v>0</v>
      </c>
      <c r="I36" s="72">
        <f t="shared" si="3"/>
        <v>0</v>
      </c>
      <c r="J36" s="61">
        <f t="shared" si="4"/>
        <v>0</v>
      </c>
      <c r="K36" s="651">
        <f t="shared" si="5"/>
        <v>0</v>
      </c>
      <c r="L36" s="651">
        <f t="shared" si="6"/>
        <v>0</v>
      </c>
      <c r="M36" s="990">
        <f t="shared" si="7"/>
        <v>0.48852000000000001</v>
      </c>
      <c r="N36" s="54">
        <f t="shared" si="8"/>
        <v>0</v>
      </c>
      <c r="O36" s="597">
        <f t="shared" si="9"/>
        <v>0</v>
      </c>
      <c r="P36" s="597">
        <f t="shared" si="10"/>
        <v>0</v>
      </c>
      <c r="Q36" s="653">
        <f t="shared" si="11"/>
        <v>0</v>
      </c>
      <c r="R36" s="247">
        <f t="shared" si="12"/>
        <v>0</v>
      </c>
      <c r="S36" s="24">
        <f t="shared" si="13"/>
        <v>0</v>
      </c>
      <c r="T36" s="25">
        <f t="shared" si="14"/>
        <v>0</v>
      </c>
      <c r="U36" s="654">
        <f t="shared" si="15"/>
        <v>1.1355234999999999</v>
      </c>
    </row>
    <row r="37" spans="1:21" x14ac:dyDescent="0.2">
      <c r="A37" s="33">
        <f t="shared" si="0"/>
        <v>2024</v>
      </c>
      <c r="B37" s="1036"/>
      <c r="C37" s="565">
        <f t="shared" si="1"/>
        <v>546</v>
      </c>
      <c r="D37" s="788"/>
      <c r="E37" s="789"/>
      <c r="F37" s="790"/>
      <c r="G37" s="452">
        <f t="shared" si="2"/>
        <v>0</v>
      </c>
      <c r="H37" s="72">
        <f t="shared" si="2"/>
        <v>0</v>
      </c>
      <c r="I37" s="72">
        <f t="shared" si="3"/>
        <v>0</v>
      </c>
      <c r="J37" s="61">
        <f t="shared" si="4"/>
        <v>0</v>
      </c>
      <c r="K37" s="651">
        <f t="shared" si="5"/>
        <v>0</v>
      </c>
      <c r="L37" s="651">
        <f t="shared" si="6"/>
        <v>0</v>
      </c>
      <c r="M37" s="990">
        <f t="shared" si="7"/>
        <v>0.48852000000000001</v>
      </c>
      <c r="N37" s="54">
        <f t="shared" si="8"/>
        <v>0</v>
      </c>
      <c r="O37" s="597">
        <f t="shared" si="9"/>
        <v>0</v>
      </c>
      <c r="P37" s="597">
        <f t="shared" si="10"/>
        <v>0</v>
      </c>
      <c r="Q37" s="653">
        <f t="shared" si="11"/>
        <v>0</v>
      </c>
      <c r="R37" s="247">
        <f t="shared" si="12"/>
        <v>0</v>
      </c>
      <c r="S37" s="24">
        <f t="shared" si="13"/>
        <v>0</v>
      </c>
      <c r="T37" s="25">
        <f t="shared" si="14"/>
        <v>0</v>
      </c>
      <c r="U37" s="654">
        <f t="shared" si="15"/>
        <v>1.1355234999999999</v>
      </c>
    </row>
    <row r="38" spans="1:21" x14ac:dyDescent="0.2">
      <c r="A38" s="33">
        <f t="shared" si="0"/>
        <v>2025</v>
      </c>
      <c r="B38" s="1036"/>
      <c r="C38" s="565">
        <f t="shared" si="1"/>
        <v>546</v>
      </c>
      <c r="D38" s="788"/>
      <c r="E38" s="789"/>
      <c r="F38" s="790"/>
      <c r="G38" s="452">
        <f t="shared" si="2"/>
        <v>0</v>
      </c>
      <c r="H38" s="72">
        <f t="shared" si="2"/>
        <v>0</v>
      </c>
      <c r="I38" s="72">
        <f t="shared" si="3"/>
        <v>0</v>
      </c>
      <c r="J38" s="61">
        <f t="shared" si="4"/>
        <v>0</v>
      </c>
      <c r="K38" s="651">
        <f t="shared" si="5"/>
        <v>0</v>
      </c>
      <c r="L38" s="651">
        <f t="shared" si="6"/>
        <v>0</v>
      </c>
      <c r="M38" s="990">
        <f t="shared" si="7"/>
        <v>0.48852000000000001</v>
      </c>
      <c r="N38" s="54">
        <f t="shared" si="8"/>
        <v>0</v>
      </c>
      <c r="O38" s="597">
        <f t="shared" si="9"/>
        <v>0</v>
      </c>
      <c r="P38" s="597">
        <f t="shared" si="10"/>
        <v>0</v>
      </c>
      <c r="Q38" s="653">
        <f t="shared" si="11"/>
        <v>0</v>
      </c>
      <c r="R38" s="247">
        <f t="shared" si="12"/>
        <v>0</v>
      </c>
      <c r="S38" s="24">
        <f t="shared" si="13"/>
        <v>0</v>
      </c>
      <c r="T38" s="25">
        <f t="shared" si="14"/>
        <v>0</v>
      </c>
      <c r="U38" s="654">
        <f t="shared" si="15"/>
        <v>1.1355234999999999</v>
      </c>
    </row>
    <row r="39" spans="1:21" x14ac:dyDescent="0.2">
      <c r="A39" s="33">
        <f t="shared" si="0"/>
        <v>2026</v>
      </c>
      <c r="B39" s="1036"/>
      <c r="C39" s="565">
        <f t="shared" si="1"/>
        <v>546</v>
      </c>
      <c r="D39" s="788"/>
      <c r="E39" s="789"/>
      <c r="F39" s="790"/>
      <c r="G39" s="452">
        <f t="shared" si="2"/>
        <v>0</v>
      </c>
      <c r="H39" s="72">
        <f t="shared" si="2"/>
        <v>0</v>
      </c>
      <c r="I39" s="72">
        <f t="shared" si="3"/>
        <v>0</v>
      </c>
      <c r="J39" s="61">
        <f t="shared" si="4"/>
        <v>0</v>
      </c>
      <c r="K39" s="651">
        <f t="shared" si="5"/>
        <v>0</v>
      </c>
      <c r="L39" s="651">
        <f t="shared" si="6"/>
        <v>0</v>
      </c>
      <c r="M39" s="990">
        <f t="shared" si="7"/>
        <v>0.48852000000000001</v>
      </c>
      <c r="N39" s="54">
        <f t="shared" si="8"/>
        <v>0</v>
      </c>
      <c r="O39" s="597">
        <f t="shared" si="9"/>
        <v>0</v>
      </c>
      <c r="P39" s="597">
        <f t="shared" si="10"/>
        <v>0</v>
      </c>
      <c r="Q39" s="653">
        <f t="shared" si="11"/>
        <v>0</v>
      </c>
      <c r="R39" s="247">
        <f>+(B39+B38)/2</f>
        <v>0</v>
      </c>
      <c r="S39" s="24">
        <f>+F39</f>
        <v>0</v>
      </c>
      <c r="T39" s="25">
        <f>+R39*S39/1000000</f>
        <v>0</v>
      </c>
      <c r="U39" s="654">
        <f t="shared" si="15"/>
        <v>1.1355234999999999</v>
      </c>
    </row>
    <row r="40" spans="1:21" x14ac:dyDescent="0.2">
      <c r="A40" s="33">
        <f>+A39+1</f>
        <v>2027</v>
      </c>
      <c r="B40" s="1036"/>
      <c r="C40" s="565">
        <f>+C39+B40</f>
        <v>546</v>
      </c>
      <c r="D40" s="788"/>
      <c r="E40" s="789"/>
      <c r="F40" s="790"/>
      <c r="G40" s="452">
        <f t="shared" ref="G40:H42" si="17">+$B40*D40/1000</f>
        <v>0</v>
      </c>
      <c r="H40" s="72">
        <f t="shared" si="17"/>
        <v>0</v>
      </c>
      <c r="I40" s="72">
        <f>+$B40*F40/1000000</f>
        <v>0</v>
      </c>
      <c r="J40" s="61">
        <f>+(B40+B39)/2</f>
        <v>0</v>
      </c>
      <c r="K40" s="651">
        <f>+D40</f>
        <v>0</v>
      </c>
      <c r="L40" s="651">
        <f>+J40*K40/1000</f>
        <v>0</v>
      </c>
      <c r="M40" s="990">
        <f>+M39+L40</f>
        <v>0.48852000000000001</v>
      </c>
      <c r="N40" s="54">
        <f>+B39</f>
        <v>0</v>
      </c>
      <c r="O40" s="597">
        <f>+E40</f>
        <v>0</v>
      </c>
      <c r="P40" s="597">
        <f>+N40*O40/1000</f>
        <v>0</v>
      </c>
      <c r="Q40" s="653">
        <f>+Q39+P40</f>
        <v>0</v>
      </c>
      <c r="R40" s="247">
        <f>+(B40+B39)/2</f>
        <v>0</v>
      </c>
      <c r="S40" s="24">
        <f>+F40</f>
        <v>0</v>
      </c>
      <c r="T40" s="25">
        <f>+R40*S40/1000000</f>
        <v>0</v>
      </c>
      <c r="U40" s="654">
        <f>+U39+T40</f>
        <v>1.1355234999999999</v>
      </c>
    </row>
    <row r="41" spans="1:21" x14ac:dyDescent="0.2">
      <c r="A41" s="33">
        <f t="shared" si="0"/>
        <v>2028</v>
      </c>
      <c r="B41" s="1036"/>
      <c r="C41" s="565">
        <f>+C40+B41</f>
        <v>546</v>
      </c>
      <c r="D41" s="788"/>
      <c r="E41" s="789"/>
      <c r="F41" s="790"/>
      <c r="G41" s="452">
        <f t="shared" si="17"/>
        <v>0</v>
      </c>
      <c r="H41" s="72">
        <f t="shared" si="17"/>
        <v>0</v>
      </c>
      <c r="I41" s="72">
        <f>+$B41*F41/1000000</f>
        <v>0</v>
      </c>
      <c r="J41" s="61">
        <f>+(B41+B40)/2</f>
        <v>0</v>
      </c>
      <c r="K41" s="651">
        <f>+D41</f>
        <v>0</v>
      </c>
      <c r="L41" s="651">
        <f>+J41*K41/1000</f>
        <v>0</v>
      </c>
      <c r="M41" s="990">
        <f>+M40+L41</f>
        <v>0.48852000000000001</v>
      </c>
      <c r="N41" s="54">
        <f>+B40</f>
        <v>0</v>
      </c>
      <c r="O41" s="597">
        <f>+E41</f>
        <v>0</v>
      </c>
      <c r="P41" s="597">
        <f>+N41*O41/1000</f>
        <v>0</v>
      </c>
      <c r="Q41" s="653">
        <f>+Q40+P41</f>
        <v>0</v>
      </c>
      <c r="R41" s="247">
        <f>+(B41+B40)/2</f>
        <v>0</v>
      </c>
      <c r="S41" s="24">
        <f>+F41</f>
        <v>0</v>
      </c>
      <c r="T41" s="25">
        <f>+R41*S41/1000000</f>
        <v>0</v>
      </c>
      <c r="U41" s="654">
        <f>+U40+T41</f>
        <v>1.1355234999999999</v>
      </c>
    </row>
    <row r="42" spans="1:21" x14ac:dyDescent="0.2">
      <c r="A42" s="33">
        <f t="shared" si="0"/>
        <v>2029</v>
      </c>
      <c r="B42" s="1036"/>
      <c r="C42" s="565">
        <f>+C41+B42</f>
        <v>546</v>
      </c>
      <c r="D42" s="788"/>
      <c r="E42" s="789"/>
      <c r="F42" s="790"/>
      <c r="G42" s="452">
        <f t="shared" si="17"/>
        <v>0</v>
      </c>
      <c r="H42" s="72">
        <f t="shared" si="17"/>
        <v>0</v>
      </c>
      <c r="I42" s="72">
        <f>+$B42*F42/1000000</f>
        <v>0</v>
      </c>
      <c r="J42" s="61">
        <f>+(B42+B41)/2</f>
        <v>0</v>
      </c>
      <c r="K42" s="651">
        <f>+D42</f>
        <v>0</v>
      </c>
      <c r="L42" s="651">
        <f>+J42*K42/1000</f>
        <v>0</v>
      </c>
      <c r="M42" s="990">
        <f>+M41+L42</f>
        <v>0.48852000000000001</v>
      </c>
      <c r="N42" s="54">
        <f>+B41</f>
        <v>0</v>
      </c>
      <c r="O42" s="597">
        <f>+E42</f>
        <v>0</v>
      </c>
      <c r="P42" s="597">
        <f>+N42*O42/1000</f>
        <v>0</v>
      </c>
      <c r="Q42" s="653">
        <f>+Q41+P42</f>
        <v>0</v>
      </c>
      <c r="R42" s="247">
        <f>+(B42+B41)/2</f>
        <v>0</v>
      </c>
      <c r="S42" s="24">
        <f>+F42</f>
        <v>0</v>
      </c>
      <c r="T42" s="25">
        <f>+R42*S42/1000000</f>
        <v>0</v>
      </c>
      <c r="U42" s="654">
        <f>+U41+T42</f>
        <v>1.1355234999999999</v>
      </c>
    </row>
    <row r="43" spans="1:21" x14ac:dyDescent="0.2">
      <c r="A43" s="33">
        <f t="shared" si="0"/>
        <v>2030</v>
      </c>
      <c r="B43" s="1036"/>
      <c r="C43" s="565">
        <f t="shared" ref="C43:C47" si="18">+C42+B43</f>
        <v>546</v>
      </c>
      <c r="D43" s="788"/>
      <c r="E43" s="789"/>
      <c r="F43" s="790"/>
      <c r="G43" s="452">
        <f t="shared" ref="G43:G47" si="19">+$B43*D43/1000</f>
        <v>0</v>
      </c>
      <c r="H43" s="72">
        <f t="shared" ref="H43:H47" si="20">+$B43*E43/1000</f>
        <v>0</v>
      </c>
      <c r="I43" s="72">
        <f t="shared" ref="I43:I47" si="21">+$B43*F43/1000000</f>
        <v>0</v>
      </c>
      <c r="J43" s="61">
        <f t="shared" ref="J43:J47" si="22">+(B43+B42)/2</f>
        <v>0</v>
      </c>
      <c r="K43" s="651">
        <f t="shared" ref="K43:K47" si="23">+D43</f>
        <v>0</v>
      </c>
      <c r="L43" s="651">
        <f t="shared" ref="L43:L47" si="24">+J43*K43/1000</f>
        <v>0</v>
      </c>
      <c r="M43" s="990">
        <f t="shared" ref="M43:M47" si="25">+M42+L43</f>
        <v>0.48852000000000001</v>
      </c>
      <c r="N43" s="54">
        <f t="shared" ref="N43:N47" si="26">+B42</f>
        <v>0</v>
      </c>
      <c r="O43" s="597">
        <f t="shared" ref="O43:O47" si="27">+E43</f>
        <v>0</v>
      </c>
      <c r="P43" s="597">
        <f t="shared" ref="P43:P47" si="28">+N43*O43/1000</f>
        <v>0</v>
      </c>
      <c r="Q43" s="653">
        <f t="shared" ref="Q43:Q47" si="29">+Q42+P43</f>
        <v>0</v>
      </c>
      <c r="R43" s="247">
        <f t="shared" ref="R43:R47" si="30">+(B43+B42)/2</f>
        <v>0</v>
      </c>
      <c r="S43" s="24">
        <f t="shared" ref="S43:S47" si="31">+F43</f>
        <v>0</v>
      </c>
      <c r="T43" s="25">
        <f t="shared" ref="T43:T47" si="32">+R43*S43/1000000</f>
        <v>0</v>
      </c>
      <c r="U43" s="654">
        <f t="shared" ref="U43:U47" si="33">+U42+T43</f>
        <v>1.1355234999999999</v>
      </c>
    </row>
    <row r="44" spans="1:21" x14ac:dyDescent="0.2">
      <c r="A44" s="33">
        <f t="shared" si="0"/>
        <v>2031</v>
      </c>
      <c r="B44" s="1036"/>
      <c r="C44" s="565">
        <f t="shared" si="18"/>
        <v>546</v>
      </c>
      <c r="D44" s="788"/>
      <c r="E44" s="789"/>
      <c r="F44" s="790"/>
      <c r="G44" s="452">
        <f t="shared" si="19"/>
        <v>0</v>
      </c>
      <c r="H44" s="72">
        <f t="shared" si="20"/>
        <v>0</v>
      </c>
      <c r="I44" s="72">
        <f t="shared" si="21"/>
        <v>0</v>
      </c>
      <c r="J44" s="61">
        <f t="shared" si="22"/>
        <v>0</v>
      </c>
      <c r="K44" s="651">
        <f t="shared" si="23"/>
        <v>0</v>
      </c>
      <c r="L44" s="651">
        <f t="shared" si="24"/>
        <v>0</v>
      </c>
      <c r="M44" s="990">
        <f t="shared" si="25"/>
        <v>0.48852000000000001</v>
      </c>
      <c r="N44" s="54">
        <f t="shared" si="26"/>
        <v>0</v>
      </c>
      <c r="O44" s="597">
        <f t="shared" si="27"/>
        <v>0</v>
      </c>
      <c r="P44" s="597">
        <f t="shared" si="28"/>
        <v>0</v>
      </c>
      <c r="Q44" s="653">
        <f t="shared" si="29"/>
        <v>0</v>
      </c>
      <c r="R44" s="247">
        <f t="shared" si="30"/>
        <v>0</v>
      </c>
      <c r="S44" s="24">
        <f t="shared" si="31"/>
        <v>0</v>
      </c>
      <c r="T44" s="25">
        <f t="shared" si="32"/>
        <v>0</v>
      </c>
      <c r="U44" s="654">
        <f t="shared" si="33"/>
        <v>1.1355234999999999</v>
      </c>
    </row>
    <row r="45" spans="1:21" x14ac:dyDescent="0.2">
      <c r="A45" s="33">
        <f t="shared" si="0"/>
        <v>2032</v>
      </c>
      <c r="B45" s="1036"/>
      <c r="C45" s="565">
        <f t="shared" si="18"/>
        <v>546</v>
      </c>
      <c r="D45" s="788"/>
      <c r="E45" s="789"/>
      <c r="F45" s="790"/>
      <c r="G45" s="452">
        <f t="shared" si="19"/>
        <v>0</v>
      </c>
      <c r="H45" s="72">
        <f t="shared" si="20"/>
        <v>0</v>
      </c>
      <c r="I45" s="72">
        <f t="shared" si="21"/>
        <v>0</v>
      </c>
      <c r="J45" s="61">
        <f t="shared" si="22"/>
        <v>0</v>
      </c>
      <c r="K45" s="651">
        <f t="shared" si="23"/>
        <v>0</v>
      </c>
      <c r="L45" s="651">
        <f t="shared" si="24"/>
        <v>0</v>
      </c>
      <c r="M45" s="990">
        <f t="shared" si="25"/>
        <v>0.48852000000000001</v>
      </c>
      <c r="N45" s="54">
        <f t="shared" si="26"/>
        <v>0</v>
      </c>
      <c r="O45" s="597">
        <f t="shared" si="27"/>
        <v>0</v>
      </c>
      <c r="P45" s="597">
        <f t="shared" si="28"/>
        <v>0</v>
      </c>
      <c r="Q45" s="653">
        <f t="shared" si="29"/>
        <v>0</v>
      </c>
      <c r="R45" s="247">
        <f t="shared" si="30"/>
        <v>0</v>
      </c>
      <c r="S45" s="24">
        <f t="shared" si="31"/>
        <v>0</v>
      </c>
      <c r="T45" s="25">
        <f t="shared" si="32"/>
        <v>0</v>
      </c>
      <c r="U45" s="654">
        <f t="shared" si="33"/>
        <v>1.1355234999999999</v>
      </c>
    </row>
    <row r="46" spans="1:21" x14ac:dyDescent="0.2">
      <c r="A46" s="33">
        <f t="shared" si="0"/>
        <v>2033</v>
      </c>
      <c r="B46" s="1036"/>
      <c r="C46" s="565">
        <f t="shared" si="18"/>
        <v>546</v>
      </c>
      <c r="D46" s="788"/>
      <c r="E46" s="789"/>
      <c r="F46" s="790"/>
      <c r="G46" s="452">
        <f t="shared" si="19"/>
        <v>0</v>
      </c>
      <c r="H46" s="72">
        <f t="shared" si="20"/>
        <v>0</v>
      </c>
      <c r="I46" s="72">
        <f t="shared" si="21"/>
        <v>0</v>
      </c>
      <c r="J46" s="61">
        <f t="shared" si="22"/>
        <v>0</v>
      </c>
      <c r="K46" s="651">
        <f t="shared" si="23"/>
        <v>0</v>
      </c>
      <c r="L46" s="651">
        <f t="shared" si="24"/>
        <v>0</v>
      </c>
      <c r="M46" s="990">
        <f t="shared" si="25"/>
        <v>0.48852000000000001</v>
      </c>
      <c r="N46" s="54">
        <f t="shared" si="26"/>
        <v>0</v>
      </c>
      <c r="O46" s="597">
        <f t="shared" si="27"/>
        <v>0</v>
      </c>
      <c r="P46" s="597">
        <f t="shared" si="28"/>
        <v>0</v>
      </c>
      <c r="Q46" s="653">
        <f t="shared" si="29"/>
        <v>0</v>
      </c>
      <c r="R46" s="247">
        <f t="shared" si="30"/>
        <v>0</v>
      </c>
      <c r="S46" s="24">
        <f t="shared" si="31"/>
        <v>0</v>
      </c>
      <c r="T46" s="25">
        <f t="shared" si="32"/>
        <v>0</v>
      </c>
      <c r="U46" s="654">
        <f t="shared" si="33"/>
        <v>1.1355234999999999</v>
      </c>
    </row>
    <row r="47" spans="1:21" x14ac:dyDescent="0.2">
      <c r="A47" s="33">
        <f t="shared" si="0"/>
        <v>2034</v>
      </c>
      <c r="B47" s="1036"/>
      <c r="C47" s="565">
        <f t="shared" si="18"/>
        <v>546</v>
      </c>
      <c r="D47" s="788"/>
      <c r="E47" s="789"/>
      <c r="F47" s="790"/>
      <c r="G47" s="452">
        <f t="shared" si="19"/>
        <v>0</v>
      </c>
      <c r="H47" s="72">
        <f t="shared" si="20"/>
        <v>0</v>
      </c>
      <c r="I47" s="72">
        <f t="shared" si="21"/>
        <v>0</v>
      </c>
      <c r="J47" s="61">
        <f t="shared" si="22"/>
        <v>0</v>
      </c>
      <c r="K47" s="651">
        <f t="shared" si="23"/>
        <v>0</v>
      </c>
      <c r="L47" s="651">
        <f t="shared" si="24"/>
        <v>0</v>
      </c>
      <c r="M47" s="990">
        <f t="shared" si="25"/>
        <v>0.48852000000000001</v>
      </c>
      <c r="N47" s="54">
        <f t="shared" si="26"/>
        <v>0</v>
      </c>
      <c r="O47" s="597">
        <f t="shared" si="27"/>
        <v>0</v>
      </c>
      <c r="P47" s="597">
        <f t="shared" si="28"/>
        <v>0</v>
      </c>
      <c r="Q47" s="653">
        <f t="shared" si="29"/>
        <v>0</v>
      </c>
      <c r="R47" s="247">
        <f t="shared" si="30"/>
        <v>0</v>
      </c>
      <c r="S47" s="24">
        <f t="shared" si="31"/>
        <v>0</v>
      </c>
      <c r="T47" s="25">
        <f t="shared" si="32"/>
        <v>0</v>
      </c>
      <c r="U47" s="654">
        <f t="shared" si="33"/>
        <v>1.1355234999999999</v>
      </c>
    </row>
    <row r="48" spans="1:21" x14ac:dyDescent="0.2">
      <c r="A48" s="33">
        <f t="shared" si="0"/>
        <v>2035</v>
      </c>
      <c r="B48" s="1036">
        <f>B47</f>
        <v>0</v>
      </c>
      <c r="C48" s="565">
        <f t="shared" ref="C48:C54" si="34">+C47+B48</f>
        <v>546</v>
      </c>
      <c r="D48" s="788"/>
      <c r="E48" s="789"/>
      <c r="F48" s="790"/>
      <c r="G48" s="452">
        <f t="shared" ref="G48:G54" si="35">+$B48*D48/1000</f>
        <v>0</v>
      </c>
      <c r="H48" s="72">
        <f t="shared" ref="H48:H54" si="36">+$B48*E48/1000</f>
        <v>0</v>
      </c>
      <c r="I48" s="72">
        <f t="shared" ref="I48:I54" si="37">+$B48*F48/1000000</f>
        <v>0</v>
      </c>
      <c r="J48" s="61">
        <f t="shared" ref="J48:J54" si="38">+(B48+B47)/2</f>
        <v>0</v>
      </c>
      <c r="K48" s="651">
        <f t="shared" ref="K48:K54" si="39">+D48</f>
        <v>0</v>
      </c>
      <c r="L48" s="651">
        <f t="shared" ref="L48:L54" si="40">+J48*K48/1000</f>
        <v>0</v>
      </c>
      <c r="M48" s="990">
        <f t="shared" ref="M48:M54" si="41">+M47+L48</f>
        <v>0.48852000000000001</v>
      </c>
      <c r="N48" s="54">
        <f t="shared" ref="N48:N54" si="42">+B47</f>
        <v>0</v>
      </c>
      <c r="O48" s="597">
        <f t="shared" ref="O48:O54" si="43">+E48</f>
        <v>0</v>
      </c>
      <c r="P48" s="597">
        <f t="shared" ref="P48:P54" si="44">+N48*O48/1000</f>
        <v>0</v>
      </c>
      <c r="Q48" s="653">
        <f t="shared" ref="Q48:Q54" si="45">+Q47+P48</f>
        <v>0</v>
      </c>
      <c r="R48" s="247">
        <f t="shared" ref="R48:R54" si="46">+(B48+B47)/2</f>
        <v>0</v>
      </c>
      <c r="S48" s="24">
        <f t="shared" ref="S48:S54" si="47">+F48</f>
        <v>0</v>
      </c>
      <c r="T48" s="25">
        <f t="shared" ref="T48:T54" si="48">+R48*S48/1000000</f>
        <v>0</v>
      </c>
      <c r="U48" s="654">
        <f t="shared" ref="U48:U54" si="49">+U47+T48</f>
        <v>1.1355234999999999</v>
      </c>
    </row>
    <row r="49" spans="1:21" x14ac:dyDescent="0.2">
      <c r="A49" s="33">
        <f t="shared" si="0"/>
        <v>2036</v>
      </c>
      <c r="B49" s="1036">
        <f t="shared" ref="B49:B54" si="50">B48</f>
        <v>0</v>
      </c>
      <c r="C49" s="565">
        <f t="shared" si="34"/>
        <v>546</v>
      </c>
      <c r="D49" s="788"/>
      <c r="E49" s="789"/>
      <c r="F49" s="790"/>
      <c r="G49" s="452">
        <f t="shared" si="35"/>
        <v>0</v>
      </c>
      <c r="H49" s="72">
        <f t="shared" si="36"/>
        <v>0</v>
      </c>
      <c r="I49" s="72">
        <f t="shared" si="37"/>
        <v>0</v>
      </c>
      <c r="J49" s="61">
        <f t="shared" si="38"/>
        <v>0</v>
      </c>
      <c r="K49" s="651">
        <f t="shared" si="39"/>
        <v>0</v>
      </c>
      <c r="L49" s="651">
        <f t="shared" si="40"/>
        <v>0</v>
      </c>
      <c r="M49" s="990">
        <f t="shared" si="41"/>
        <v>0.48852000000000001</v>
      </c>
      <c r="N49" s="54">
        <f t="shared" si="42"/>
        <v>0</v>
      </c>
      <c r="O49" s="597">
        <f t="shared" si="43"/>
        <v>0</v>
      </c>
      <c r="P49" s="597">
        <f t="shared" si="44"/>
        <v>0</v>
      </c>
      <c r="Q49" s="653">
        <f t="shared" si="45"/>
        <v>0</v>
      </c>
      <c r="R49" s="247">
        <f t="shared" si="46"/>
        <v>0</v>
      </c>
      <c r="S49" s="24">
        <f t="shared" si="47"/>
        <v>0</v>
      </c>
      <c r="T49" s="25">
        <f t="shared" si="48"/>
        <v>0</v>
      </c>
      <c r="U49" s="654">
        <f t="shared" si="49"/>
        <v>1.1355234999999999</v>
      </c>
    </row>
    <row r="50" spans="1:21" x14ac:dyDescent="0.2">
      <c r="A50" s="33">
        <f t="shared" si="0"/>
        <v>2037</v>
      </c>
      <c r="B50" s="1036">
        <f t="shared" si="50"/>
        <v>0</v>
      </c>
      <c r="C50" s="565">
        <f t="shared" si="34"/>
        <v>546</v>
      </c>
      <c r="D50" s="788"/>
      <c r="E50" s="789"/>
      <c r="F50" s="790"/>
      <c r="G50" s="452">
        <f t="shared" si="35"/>
        <v>0</v>
      </c>
      <c r="H50" s="72">
        <f t="shared" si="36"/>
        <v>0</v>
      </c>
      <c r="I50" s="72">
        <f t="shared" si="37"/>
        <v>0</v>
      </c>
      <c r="J50" s="61">
        <f t="shared" si="38"/>
        <v>0</v>
      </c>
      <c r="K50" s="651">
        <f t="shared" si="39"/>
        <v>0</v>
      </c>
      <c r="L50" s="651">
        <f t="shared" si="40"/>
        <v>0</v>
      </c>
      <c r="M50" s="990">
        <f t="shared" si="41"/>
        <v>0.48852000000000001</v>
      </c>
      <c r="N50" s="54">
        <f t="shared" si="42"/>
        <v>0</v>
      </c>
      <c r="O50" s="597">
        <f t="shared" si="43"/>
        <v>0</v>
      </c>
      <c r="P50" s="597">
        <f t="shared" si="44"/>
        <v>0</v>
      </c>
      <c r="Q50" s="653">
        <f t="shared" si="45"/>
        <v>0</v>
      </c>
      <c r="R50" s="247">
        <f t="shared" si="46"/>
        <v>0</v>
      </c>
      <c r="S50" s="24">
        <f t="shared" si="47"/>
        <v>0</v>
      </c>
      <c r="T50" s="25">
        <f t="shared" si="48"/>
        <v>0</v>
      </c>
      <c r="U50" s="654">
        <f t="shared" si="49"/>
        <v>1.1355234999999999</v>
      </c>
    </row>
    <row r="51" spans="1:21" x14ac:dyDescent="0.2">
      <c r="A51" s="33">
        <f t="shared" si="0"/>
        <v>2038</v>
      </c>
      <c r="B51" s="1036">
        <f t="shared" si="50"/>
        <v>0</v>
      </c>
      <c r="C51" s="565">
        <f t="shared" si="34"/>
        <v>546</v>
      </c>
      <c r="D51" s="788"/>
      <c r="E51" s="789"/>
      <c r="F51" s="790"/>
      <c r="G51" s="452">
        <f t="shared" si="35"/>
        <v>0</v>
      </c>
      <c r="H51" s="72">
        <f t="shared" si="36"/>
        <v>0</v>
      </c>
      <c r="I51" s="72">
        <f t="shared" si="37"/>
        <v>0</v>
      </c>
      <c r="J51" s="61">
        <f t="shared" si="38"/>
        <v>0</v>
      </c>
      <c r="K51" s="651">
        <f t="shared" si="39"/>
        <v>0</v>
      </c>
      <c r="L51" s="651">
        <f t="shared" si="40"/>
        <v>0</v>
      </c>
      <c r="M51" s="990">
        <f t="shared" si="41"/>
        <v>0.48852000000000001</v>
      </c>
      <c r="N51" s="54">
        <f t="shared" si="42"/>
        <v>0</v>
      </c>
      <c r="O51" s="597">
        <f t="shared" si="43"/>
        <v>0</v>
      </c>
      <c r="P51" s="597">
        <f t="shared" si="44"/>
        <v>0</v>
      </c>
      <c r="Q51" s="653">
        <f t="shared" si="45"/>
        <v>0</v>
      </c>
      <c r="R51" s="247">
        <f t="shared" si="46"/>
        <v>0</v>
      </c>
      <c r="S51" s="24">
        <f t="shared" si="47"/>
        <v>0</v>
      </c>
      <c r="T51" s="25">
        <f t="shared" si="48"/>
        <v>0</v>
      </c>
      <c r="U51" s="654">
        <f t="shared" si="49"/>
        <v>1.1355234999999999</v>
      </c>
    </row>
    <row r="52" spans="1:21" x14ac:dyDescent="0.2">
      <c r="A52" s="33">
        <f t="shared" si="0"/>
        <v>2039</v>
      </c>
      <c r="B52" s="1036">
        <f t="shared" si="50"/>
        <v>0</v>
      </c>
      <c r="C52" s="565">
        <f t="shared" si="34"/>
        <v>546</v>
      </c>
      <c r="D52" s="788"/>
      <c r="E52" s="789"/>
      <c r="F52" s="790"/>
      <c r="G52" s="452">
        <f t="shared" si="35"/>
        <v>0</v>
      </c>
      <c r="H52" s="72">
        <f t="shared" si="36"/>
        <v>0</v>
      </c>
      <c r="I52" s="72">
        <f t="shared" si="37"/>
        <v>0</v>
      </c>
      <c r="J52" s="61">
        <f t="shared" si="38"/>
        <v>0</v>
      </c>
      <c r="K52" s="651">
        <f t="shared" si="39"/>
        <v>0</v>
      </c>
      <c r="L52" s="651">
        <f t="shared" si="40"/>
        <v>0</v>
      </c>
      <c r="M52" s="990">
        <f t="shared" si="41"/>
        <v>0.48852000000000001</v>
      </c>
      <c r="N52" s="54">
        <f t="shared" si="42"/>
        <v>0</v>
      </c>
      <c r="O52" s="597">
        <f t="shared" si="43"/>
        <v>0</v>
      </c>
      <c r="P52" s="597">
        <f t="shared" si="44"/>
        <v>0</v>
      </c>
      <c r="Q52" s="653">
        <f t="shared" si="45"/>
        <v>0</v>
      </c>
      <c r="R52" s="247">
        <f t="shared" si="46"/>
        <v>0</v>
      </c>
      <c r="S52" s="24">
        <f t="shared" si="47"/>
        <v>0</v>
      </c>
      <c r="T52" s="25">
        <f t="shared" si="48"/>
        <v>0</v>
      </c>
      <c r="U52" s="654">
        <f t="shared" si="49"/>
        <v>1.1355234999999999</v>
      </c>
    </row>
    <row r="53" spans="1:21" x14ac:dyDescent="0.2">
      <c r="A53" s="33">
        <f t="shared" si="0"/>
        <v>2040</v>
      </c>
      <c r="B53" s="1036">
        <f t="shared" si="50"/>
        <v>0</v>
      </c>
      <c r="C53" s="565">
        <f t="shared" si="34"/>
        <v>546</v>
      </c>
      <c r="D53" s="788"/>
      <c r="E53" s="789"/>
      <c r="F53" s="790"/>
      <c r="G53" s="452">
        <f t="shared" si="35"/>
        <v>0</v>
      </c>
      <c r="H53" s="72">
        <f t="shared" si="36"/>
        <v>0</v>
      </c>
      <c r="I53" s="72">
        <f t="shared" si="37"/>
        <v>0</v>
      </c>
      <c r="J53" s="61">
        <f t="shared" si="38"/>
        <v>0</v>
      </c>
      <c r="K53" s="651">
        <f t="shared" si="39"/>
        <v>0</v>
      </c>
      <c r="L53" s="651">
        <f t="shared" si="40"/>
        <v>0</v>
      </c>
      <c r="M53" s="990">
        <f t="shared" si="41"/>
        <v>0.48852000000000001</v>
      </c>
      <c r="N53" s="54">
        <f t="shared" si="42"/>
        <v>0</v>
      </c>
      <c r="O53" s="597">
        <f t="shared" si="43"/>
        <v>0</v>
      </c>
      <c r="P53" s="597">
        <f t="shared" si="44"/>
        <v>0</v>
      </c>
      <c r="Q53" s="653">
        <f t="shared" si="45"/>
        <v>0</v>
      </c>
      <c r="R53" s="247">
        <f t="shared" si="46"/>
        <v>0</v>
      </c>
      <c r="S53" s="24">
        <f t="shared" si="47"/>
        <v>0</v>
      </c>
      <c r="T53" s="25">
        <f t="shared" si="48"/>
        <v>0</v>
      </c>
      <c r="U53" s="654">
        <f t="shared" si="49"/>
        <v>1.1355234999999999</v>
      </c>
    </row>
    <row r="54" spans="1:21" x14ac:dyDescent="0.2">
      <c r="A54" s="33">
        <f t="shared" si="0"/>
        <v>2041</v>
      </c>
      <c r="B54" s="1036">
        <f t="shared" si="50"/>
        <v>0</v>
      </c>
      <c r="C54" s="565">
        <f t="shared" si="34"/>
        <v>546</v>
      </c>
      <c r="D54" s="788"/>
      <c r="E54" s="789"/>
      <c r="F54" s="790"/>
      <c r="G54" s="452">
        <f t="shared" si="35"/>
        <v>0</v>
      </c>
      <c r="H54" s="72">
        <f t="shared" si="36"/>
        <v>0</v>
      </c>
      <c r="I54" s="72">
        <f t="shared" si="37"/>
        <v>0</v>
      </c>
      <c r="J54" s="61">
        <f t="shared" si="38"/>
        <v>0</v>
      </c>
      <c r="K54" s="651">
        <f t="shared" si="39"/>
        <v>0</v>
      </c>
      <c r="L54" s="651">
        <f t="shared" si="40"/>
        <v>0</v>
      </c>
      <c r="M54" s="990">
        <f t="shared" si="41"/>
        <v>0.48852000000000001</v>
      </c>
      <c r="N54" s="54">
        <f t="shared" si="42"/>
        <v>0</v>
      </c>
      <c r="O54" s="597">
        <f t="shared" si="43"/>
        <v>0</v>
      </c>
      <c r="P54" s="597">
        <f t="shared" si="44"/>
        <v>0</v>
      </c>
      <c r="Q54" s="653">
        <f t="shared" si="45"/>
        <v>0</v>
      </c>
      <c r="R54" s="247">
        <f t="shared" si="46"/>
        <v>0</v>
      </c>
      <c r="S54" s="24">
        <f t="shared" si="47"/>
        <v>0</v>
      </c>
      <c r="T54" s="25">
        <f t="shared" si="48"/>
        <v>0</v>
      </c>
      <c r="U54" s="654">
        <f t="shared" si="49"/>
        <v>1.1355234999999999</v>
      </c>
    </row>
    <row r="55" spans="1:21" s="2" customFormat="1" x14ac:dyDescent="0.2">
      <c r="A55" s="491"/>
      <c r="B55" s="498"/>
      <c r="C55" s="493"/>
      <c r="D55" s="495"/>
      <c r="E55" s="495"/>
      <c r="F55" s="498"/>
      <c r="G55" s="495"/>
      <c r="H55" s="495"/>
      <c r="I55" s="495"/>
      <c r="J55" s="498"/>
      <c r="K55" s="498"/>
      <c r="L55" s="498"/>
      <c r="M55" s="1073"/>
      <c r="N55" s="498"/>
      <c r="O55" s="498"/>
      <c r="P55" s="498"/>
      <c r="Q55" s="498"/>
      <c r="R55" s="248"/>
      <c r="S55" s="499"/>
      <c r="T55" s="500"/>
      <c r="U55" s="500"/>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EG59"/>
  <sheetViews>
    <sheetView topLeftCell="A8" zoomScale="87" zoomScaleNormal="87" workbookViewId="0">
      <selection activeCell="Y26" sqref="Y26"/>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958" t="s">
        <v>316</v>
      </c>
      <c r="G1" s="249"/>
      <c r="H1" s="249"/>
      <c r="I1" s="249"/>
      <c r="J1" s="4"/>
      <c r="K1" s="4"/>
      <c r="L1" s="4"/>
      <c r="M1" s="4"/>
      <c r="N1" s="4"/>
    </row>
    <row r="2" spans="1:24" ht="16.5" thickBot="1" x14ac:dyDescent="0.3">
      <c r="A2" s="5" t="s">
        <v>1</v>
      </c>
      <c r="B2" s="27" t="s">
        <v>210</v>
      </c>
      <c r="C2" s="27" t="s">
        <v>246</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44"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32"/>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32"/>
      <c r="D7" s="628"/>
      <c r="E7" s="15"/>
      <c r="F7" s="31"/>
      <c r="G7" s="208"/>
      <c r="H7" s="15"/>
      <c r="I7" s="31"/>
      <c r="J7" s="37"/>
      <c r="K7" s="59"/>
      <c r="L7" s="6"/>
      <c r="M7" s="46"/>
      <c r="N7" s="40"/>
      <c r="O7" s="55"/>
      <c r="P7" s="57"/>
      <c r="Q7" s="41"/>
      <c r="R7" s="43"/>
      <c r="S7" s="24"/>
      <c r="T7" s="21"/>
      <c r="U7" s="47"/>
      <c r="V7" s="3"/>
    </row>
    <row r="8" spans="1:24" x14ac:dyDescent="0.2">
      <c r="A8" s="33">
        <v>1995</v>
      </c>
      <c r="B8" s="30"/>
      <c r="C8" s="565"/>
      <c r="D8" s="642"/>
      <c r="E8" s="63"/>
      <c r="F8" s="641"/>
      <c r="G8" s="643"/>
      <c r="H8" s="87"/>
      <c r="I8" s="88"/>
      <c r="J8" s="61"/>
      <c r="K8" s="59"/>
      <c r="L8" s="59"/>
      <c r="M8" s="60"/>
      <c r="N8" s="51"/>
      <c r="O8" s="55"/>
      <c r="P8" s="55"/>
      <c r="Q8" s="56"/>
      <c r="R8" s="247"/>
      <c r="S8" s="24"/>
      <c r="T8" s="25"/>
      <c r="U8" s="53"/>
      <c r="V8" s="248"/>
      <c r="X8" s="1"/>
    </row>
    <row r="9" spans="1:24" x14ac:dyDescent="0.2">
      <c r="A9" s="33">
        <v>1996</v>
      </c>
      <c r="B9" s="30"/>
      <c r="C9" s="565"/>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565"/>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565"/>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565"/>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565"/>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565"/>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565"/>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565"/>
      <c r="D16" s="642"/>
      <c r="E16" s="63"/>
      <c r="F16" s="641"/>
      <c r="G16" s="616"/>
      <c r="H16" s="62"/>
      <c r="I16" s="67"/>
      <c r="J16" s="61"/>
      <c r="K16" s="59"/>
      <c r="L16" s="59"/>
      <c r="M16" s="60"/>
      <c r="N16" s="54"/>
      <c r="O16" s="55"/>
      <c r="P16" s="55"/>
      <c r="Q16" s="56"/>
      <c r="R16" s="247"/>
      <c r="S16" s="24"/>
      <c r="T16" s="25"/>
      <c r="U16" s="53"/>
      <c r="V16" s="248"/>
      <c r="X16" s="1"/>
    </row>
    <row r="17" spans="1:137" x14ac:dyDescent="0.2">
      <c r="A17" s="33">
        <f t="shared" ref="A17:A54" si="0">+A16+1</f>
        <v>2004</v>
      </c>
      <c r="B17" s="30"/>
      <c r="C17" s="565"/>
      <c r="D17" s="642"/>
      <c r="E17" s="63"/>
      <c r="F17" s="641"/>
      <c r="G17" s="616"/>
      <c r="H17" s="62"/>
      <c r="I17" s="67"/>
      <c r="J17" s="61"/>
      <c r="K17" s="59"/>
      <c r="L17" s="59"/>
      <c r="M17" s="60"/>
      <c r="N17" s="54"/>
      <c r="O17" s="55"/>
      <c r="P17" s="55"/>
      <c r="Q17" s="56"/>
      <c r="R17" s="247"/>
      <c r="S17" s="24"/>
      <c r="T17" s="25"/>
      <c r="U17" s="53"/>
      <c r="V17" s="248"/>
      <c r="X17" s="1"/>
    </row>
    <row r="18" spans="1:137" x14ac:dyDescent="0.2">
      <c r="A18" s="33">
        <f t="shared" si="0"/>
        <v>2005</v>
      </c>
      <c r="B18" s="30"/>
      <c r="C18" s="565"/>
      <c r="D18" s="642"/>
      <c r="E18" s="63"/>
      <c r="F18" s="641"/>
      <c r="G18" s="616"/>
      <c r="H18" s="62"/>
      <c r="I18" s="67"/>
      <c r="J18" s="61"/>
      <c r="K18" s="59"/>
      <c r="L18" s="59"/>
      <c r="M18" s="60"/>
      <c r="N18" s="54"/>
      <c r="O18" s="55"/>
      <c r="P18" s="55"/>
      <c r="Q18" s="56"/>
      <c r="R18" s="247"/>
      <c r="S18" s="24"/>
      <c r="T18" s="25"/>
      <c r="U18" s="53"/>
      <c r="V18" s="248"/>
      <c r="X18" s="1"/>
    </row>
    <row r="19" spans="1:137" x14ac:dyDescent="0.2">
      <c r="A19" s="33">
        <f t="shared" si="0"/>
        <v>2006</v>
      </c>
      <c r="B19" s="30"/>
      <c r="C19" s="565"/>
      <c r="D19" s="642"/>
      <c r="E19" s="63"/>
      <c r="F19" s="641"/>
      <c r="G19" s="616"/>
      <c r="H19" s="62"/>
      <c r="I19" s="67"/>
      <c r="J19" s="61"/>
      <c r="K19" s="59"/>
      <c r="L19" s="59"/>
      <c r="M19" s="60"/>
      <c r="N19" s="54"/>
      <c r="O19" s="55"/>
      <c r="P19" s="55"/>
      <c r="Q19" s="56"/>
      <c r="R19" s="247"/>
      <c r="S19" s="24"/>
      <c r="T19" s="25"/>
      <c r="U19" s="53"/>
      <c r="V19" s="8"/>
      <c r="X19" s="1"/>
    </row>
    <row r="20" spans="1:137" x14ac:dyDescent="0.2">
      <c r="A20" s="33">
        <f t="shared" si="0"/>
        <v>2007</v>
      </c>
      <c r="B20" s="30"/>
      <c r="C20" s="565"/>
      <c r="D20" s="642"/>
      <c r="E20" s="63"/>
      <c r="F20" s="641"/>
      <c r="G20" s="616"/>
      <c r="H20" s="62"/>
      <c r="I20" s="62"/>
      <c r="J20" s="61"/>
      <c r="K20" s="59"/>
      <c r="L20" s="59"/>
      <c r="M20" s="60"/>
      <c r="N20" s="54"/>
      <c r="O20" s="55"/>
      <c r="P20" s="55"/>
      <c r="Q20" s="56"/>
      <c r="R20" s="247"/>
      <c r="S20" s="24"/>
      <c r="T20" s="25"/>
      <c r="U20" s="53"/>
    </row>
    <row r="21" spans="1:137" x14ac:dyDescent="0.2">
      <c r="A21" s="33">
        <f t="shared" si="0"/>
        <v>2008</v>
      </c>
      <c r="B21" s="30"/>
      <c r="C21" s="565"/>
      <c r="D21" s="642"/>
      <c r="E21" s="63"/>
      <c r="F21" s="641"/>
      <c r="G21" s="616"/>
      <c r="H21" s="62"/>
      <c r="I21" s="67"/>
      <c r="J21" s="61"/>
      <c r="K21" s="59"/>
      <c r="L21" s="59"/>
      <c r="M21" s="60"/>
      <c r="N21" s="54"/>
      <c r="O21" s="55"/>
      <c r="P21" s="55"/>
      <c r="Q21" s="56"/>
      <c r="R21" s="247"/>
      <c r="S21" s="24"/>
      <c r="T21" s="25"/>
      <c r="U21" s="53"/>
    </row>
    <row r="22" spans="1:137" x14ac:dyDescent="0.2">
      <c r="A22" s="33">
        <f t="shared" si="0"/>
        <v>2009</v>
      </c>
      <c r="B22" s="30"/>
      <c r="C22" s="565"/>
      <c r="D22" s="642"/>
      <c r="E22" s="63"/>
      <c r="F22" s="641"/>
      <c r="G22" s="616"/>
      <c r="H22" s="62"/>
      <c r="I22" s="67"/>
      <c r="J22" s="61"/>
      <c r="K22" s="59"/>
      <c r="L22" s="59"/>
      <c r="M22" s="60"/>
      <c r="N22" s="54"/>
      <c r="O22" s="55"/>
      <c r="P22" s="55"/>
      <c r="Q22" s="56"/>
      <c r="R22" s="247"/>
      <c r="S22" s="24"/>
      <c r="T22" s="25"/>
      <c r="U22" s="53"/>
    </row>
    <row r="23" spans="1:137" x14ac:dyDescent="0.2">
      <c r="A23" s="33">
        <f t="shared" si="0"/>
        <v>2010</v>
      </c>
      <c r="B23" s="50">
        <v>0</v>
      </c>
      <c r="C23" s="565">
        <f t="shared" ref="C23:C39" si="1">+C22+B23</f>
        <v>0</v>
      </c>
      <c r="D23" s="662">
        <v>1.77</v>
      </c>
      <c r="E23" s="210">
        <v>0.59</v>
      </c>
      <c r="F23" s="617">
        <v>2830</v>
      </c>
      <c r="G23" s="452">
        <f t="shared" ref="G23:H39" si="2">+$B23*D23/1000</f>
        <v>0</v>
      </c>
      <c r="H23" s="72">
        <f t="shared" si="2"/>
        <v>0</v>
      </c>
      <c r="I23" s="630">
        <f t="shared" ref="I23:I39" si="3">+$B23*F23/1000000</f>
        <v>0</v>
      </c>
      <c r="J23" s="61">
        <f t="shared" ref="J23:J39" si="4">+(B23+B22)/2</f>
        <v>0</v>
      </c>
      <c r="K23" s="651">
        <f t="shared" ref="K23:K39" si="5">+D23</f>
        <v>1.77</v>
      </c>
      <c r="L23" s="651">
        <f t="shared" ref="L23:L39" si="6">+J23*K23/1000</f>
        <v>0</v>
      </c>
      <c r="M23" s="652">
        <f t="shared" ref="M23:M39" si="7">+M22+L23</f>
        <v>0</v>
      </c>
      <c r="N23" s="54">
        <f t="shared" ref="N23:N39" si="8">+B22</f>
        <v>0</v>
      </c>
      <c r="O23" s="597">
        <f t="shared" ref="O23:O39" si="9">+E23</f>
        <v>0.59</v>
      </c>
      <c r="P23" s="597">
        <f t="shared" ref="P23:P39" si="10">+N23*O23/1000</f>
        <v>0</v>
      </c>
      <c r="Q23" s="653">
        <f t="shared" ref="Q23:Q39" si="11">+Q22+P23</f>
        <v>0</v>
      </c>
      <c r="R23" s="247">
        <f t="shared" ref="R23:R38" si="12">+(B23+B22)/2</f>
        <v>0</v>
      </c>
      <c r="S23" s="24">
        <f t="shared" ref="S23:S38" si="13">+F23</f>
        <v>2830</v>
      </c>
      <c r="T23" s="25">
        <f t="shared" ref="T23:T38" si="14">+R23*S23/1000000</f>
        <v>0</v>
      </c>
      <c r="U23" s="53">
        <f t="shared" ref="U23:U39" si="15">+U22+T23</f>
        <v>0</v>
      </c>
    </row>
    <row r="24" spans="1:137" s="176" customFormat="1" x14ac:dyDescent="0.2">
      <c r="A24" s="33">
        <f t="shared" si="0"/>
        <v>2011</v>
      </c>
      <c r="B24" s="50">
        <v>0</v>
      </c>
      <c r="C24" s="565">
        <f t="shared" si="1"/>
        <v>0</v>
      </c>
      <c r="D24" s="662">
        <v>1.77</v>
      </c>
      <c r="E24" s="210">
        <v>0.59</v>
      </c>
      <c r="F24" s="617">
        <v>2830</v>
      </c>
      <c r="G24" s="452">
        <f t="shared" si="2"/>
        <v>0</v>
      </c>
      <c r="H24" s="72">
        <f t="shared" si="2"/>
        <v>0</v>
      </c>
      <c r="I24" s="630">
        <f t="shared" si="3"/>
        <v>0</v>
      </c>
      <c r="J24" s="61">
        <f t="shared" si="4"/>
        <v>0</v>
      </c>
      <c r="K24" s="651">
        <f t="shared" si="5"/>
        <v>1.77</v>
      </c>
      <c r="L24" s="651">
        <f t="shared" si="6"/>
        <v>0</v>
      </c>
      <c r="M24" s="652">
        <f t="shared" si="7"/>
        <v>0</v>
      </c>
      <c r="N24" s="54">
        <f t="shared" si="8"/>
        <v>0</v>
      </c>
      <c r="O24" s="597">
        <f t="shared" si="9"/>
        <v>0.59</v>
      </c>
      <c r="P24" s="597">
        <f t="shared" si="10"/>
        <v>0</v>
      </c>
      <c r="Q24" s="653">
        <f t="shared" si="11"/>
        <v>0</v>
      </c>
      <c r="R24" s="247">
        <f t="shared" si="12"/>
        <v>0</v>
      </c>
      <c r="S24" s="24">
        <f t="shared" si="13"/>
        <v>2830</v>
      </c>
      <c r="T24" s="25">
        <f t="shared" si="14"/>
        <v>0</v>
      </c>
      <c r="U24" s="53">
        <f t="shared" si="15"/>
        <v>0</v>
      </c>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c r="AT24" s="804"/>
      <c r="AU24" s="804"/>
      <c r="AV24" s="804"/>
      <c r="AW24" s="804"/>
      <c r="AX24" s="804"/>
      <c r="AY24" s="804"/>
      <c r="AZ24" s="804"/>
      <c r="BA24" s="804"/>
      <c r="BB24" s="804"/>
      <c r="BC24" s="804"/>
      <c r="BD24" s="804"/>
      <c r="BE24" s="804"/>
      <c r="BF24" s="804"/>
      <c r="BG24" s="804"/>
      <c r="BH24" s="804"/>
      <c r="BI24" s="804"/>
      <c r="BJ24" s="804"/>
      <c r="BK24" s="804"/>
      <c r="BL24" s="804"/>
      <c r="BM24" s="804"/>
      <c r="BN24" s="804"/>
      <c r="BO24" s="804"/>
      <c r="BP24" s="804"/>
      <c r="BQ24" s="804"/>
      <c r="BR24" s="804"/>
      <c r="BS24" s="804"/>
      <c r="BT24" s="804"/>
      <c r="BU24" s="804"/>
      <c r="BV24" s="804"/>
      <c r="BW24" s="804"/>
      <c r="BX24" s="804"/>
      <c r="BY24" s="804"/>
      <c r="BZ24" s="804"/>
      <c r="CA24" s="804"/>
      <c r="CB24" s="804"/>
      <c r="CC24" s="804"/>
      <c r="CD24" s="804"/>
      <c r="CE24" s="804"/>
      <c r="CF24" s="804"/>
      <c r="CG24" s="804"/>
      <c r="CH24" s="804"/>
      <c r="CI24" s="804"/>
      <c r="CJ24" s="804"/>
      <c r="CK24" s="804"/>
      <c r="CL24" s="804"/>
      <c r="CM24" s="804"/>
      <c r="CN24" s="804"/>
      <c r="CO24" s="804"/>
      <c r="CP24" s="804"/>
      <c r="CQ24" s="804"/>
      <c r="CR24" s="804"/>
      <c r="CS24" s="804"/>
      <c r="CT24" s="804"/>
      <c r="CU24" s="804"/>
      <c r="CV24" s="804"/>
      <c r="CW24" s="804"/>
      <c r="CX24" s="804"/>
      <c r="CY24" s="804"/>
      <c r="CZ24" s="804"/>
      <c r="DA24" s="804"/>
      <c r="DB24" s="804"/>
      <c r="DC24" s="804"/>
      <c r="DD24" s="804"/>
      <c r="DE24" s="804"/>
      <c r="DF24" s="804"/>
      <c r="DG24" s="804"/>
      <c r="DH24" s="804"/>
      <c r="DI24" s="804"/>
      <c r="DJ24" s="804"/>
      <c r="DK24" s="804"/>
      <c r="DL24" s="804"/>
      <c r="DM24" s="804"/>
      <c r="DN24" s="804"/>
      <c r="DO24" s="804"/>
      <c r="DP24" s="804"/>
      <c r="DQ24" s="804"/>
      <c r="DR24" s="804"/>
      <c r="DS24" s="804"/>
      <c r="DT24" s="804"/>
      <c r="DU24" s="804"/>
      <c r="DV24" s="804"/>
      <c r="DW24" s="804"/>
      <c r="DX24" s="804"/>
      <c r="DY24" s="804"/>
      <c r="DZ24" s="804"/>
      <c r="EA24" s="804"/>
      <c r="EB24" s="804"/>
      <c r="EC24" s="804"/>
      <c r="ED24" s="804"/>
      <c r="EE24" s="804"/>
      <c r="EF24" s="804"/>
      <c r="EG24" s="804"/>
    </row>
    <row r="25" spans="1:137" s="176" customFormat="1" x14ac:dyDescent="0.2">
      <c r="A25" s="33">
        <f t="shared" si="0"/>
        <v>2012</v>
      </c>
      <c r="B25" s="50">
        <v>0</v>
      </c>
      <c r="C25" s="565">
        <f t="shared" si="1"/>
        <v>0</v>
      </c>
      <c r="D25" s="662">
        <v>1.77</v>
      </c>
      <c r="E25" s="210">
        <v>0.59</v>
      </c>
      <c r="F25" s="617">
        <v>2830</v>
      </c>
      <c r="G25" s="452">
        <f t="shared" si="2"/>
        <v>0</v>
      </c>
      <c r="H25" s="72">
        <f t="shared" si="2"/>
        <v>0</v>
      </c>
      <c r="I25" s="630">
        <f t="shared" si="3"/>
        <v>0</v>
      </c>
      <c r="J25" s="61">
        <f t="shared" si="4"/>
        <v>0</v>
      </c>
      <c r="K25" s="651">
        <f t="shared" si="5"/>
        <v>1.77</v>
      </c>
      <c r="L25" s="651">
        <f t="shared" si="6"/>
        <v>0</v>
      </c>
      <c r="M25" s="652">
        <f t="shared" si="7"/>
        <v>0</v>
      </c>
      <c r="N25" s="54">
        <f t="shared" si="8"/>
        <v>0</v>
      </c>
      <c r="O25" s="597">
        <f t="shared" si="9"/>
        <v>0.59</v>
      </c>
      <c r="P25" s="597">
        <f t="shared" si="10"/>
        <v>0</v>
      </c>
      <c r="Q25" s="653">
        <f t="shared" si="11"/>
        <v>0</v>
      </c>
      <c r="R25" s="247">
        <f t="shared" si="12"/>
        <v>0</v>
      </c>
      <c r="S25" s="24">
        <f t="shared" si="13"/>
        <v>2830</v>
      </c>
      <c r="T25" s="25">
        <f t="shared" si="14"/>
        <v>0</v>
      </c>
      <c r="U25" s="53">
        <f t="shared" si="15"/>
        <v>0</v>
      </c>
      <c r="V25" s="804"/>
      <c r="W25" s="804"/>
      <c r="X25" s="804"/>
      <c r="Y25" s="804"/>
      <c r="Z25" s="804"/>
      <c r="AA25" s="804"/>
      <c r="AB25" s="804"/>
      <c r="AC25" s="804"/>
      <c r="AD25" s="804"/>
      <c r="AE25" s="804"/>
      <c r="AF25" s="804"/>
      <c r="AG25" s="804"/>
      <c r="AH25" s="804"/>
      <c r="AI25" s="804"/>
      <c r="AJ25" s="804"/>
      <c r="AK25" s="804"/>
      <c r="AL25" s="804"/>
      <c r="AM25" s="804"/>
      <c r="AN25" s="804"/>
      <c r="AO25" s="804"/>
      <c r="AP25" s="804"/>
      <c r="AQ25" s="804"/>
      <c r="AR25" s="804"/>
      <c r="AS25" s="804"/>
      <c r="AT25" s="804"/>
      <c r="AU25" s="804"/>
      <c r="AV25" s="804"/>
      <c r="AW25" s="804"/>
      <c r="AX25" s="804"/>
      <c r="AY25" s="804"/>
      <c r="AZ25" s="804"/>
      <c r="BA25" s="804"/>
      <c r="BB25" s="804"/>
      <c r="BC25" s="804"/>
      <c r="BD25" s="804"/>
      <c r="BE25" s="804"/>
      <c r="BF25" s="804"/>
      <c r="BG25" s="804"/>
      <c r="BH25" s="804"/>
      <c r="BI25" s="804"/>
      <c r="BJ25" s="804"/>
      <c r="BK25" s="804"/>
      <c r="BL25" s="804"/>
      <c r="BM25" s="804"/>
      <c r="BN25" s="804"/>
      <c r="BO25" s="804"/>
      <c r="BP25" s="804"/>
      <c r="BQ25" s="804"/>
      <c r="BR25" s="804"/>
      <c r="BS25" s="804"/>
      <c r="BT25" s="804"/>
      <c r="BU25" s="804"/>
      <c r="BV25" s="804"/>
      <c r="BW25" s="804"/>
      <c r="BX25" s="804"/>
      <c r="BY25" s="804"/>
      <c r="BZ25" s="804"/>
      <c r="CA25" s="804"/>
      <c r="CB25" s="804"/>
      <c r="CC25" s="804"/>
      <c r="CD25" s="804"/>
      <c r="CE25" s="804"/>
      <c r="CF25" s="804"/>
      <c r="CG25" s="804"/>
      <c r="CH25" s="804"/>
      <c r="CI25" s="804"/>
      <c r="CJ25" s="804"/>
      <c r="CK25" s="804"/>
      <c r="CL25" s="804"/>
      <c r="CM25" s="804"/>
      <c r="CN25" s="804"/>
      <c r="CO25" s="804"/>
      <c r="CP25" s="804"/>
      <c r="CQ25" s="804"/>
      <c r="CR25" s="804"/>
      <c r="CS25" s="804"/>
      <c r="CT25" s="804"/>
      <c r="CU25" s="804"/>
      <c r="CV25" s="804"/>
      <c r="CW25" s="804"/>
      <c r="CX25" s="804"/>
      <c r="CY25" s="804"/>
      <c r="CZ25" s="804"/>
      <c r="DA25" s="804"/>
      <c r="DB25" s="804"/>
      <c r="DC25" s="804"/>
      <c r="DD25" s="804"/>
      <c r="DE25" s="804"/>
      <c r="DF25" s="804"/>
      <c r="DG25" s="804"/>
      <c r="DH25" s="804"/>
      <c r="DI25" s="804"/>
      <c r="DJ25" s="804"/>
      <c r="DK25" s="804"/>
      <c r="DL25" s="804"/>
      <c r="DM25" s="804"/>
      <c r="DN25" s="804"/>
      <c r="DO25" s="804"/>
      <c r="DP25" s="804"/>
      <c r="DQ25" s="804"/>
      <c r="DR25" s="804"/>
      <c r="DS25" s="804"/>
      <c r="DT25" s="804"/>
      <c r="DU25" s="804"/>
      <c r="DV25" s="804"/>
      <c r="DW25" s="804"/>
      <c r="DX25" s="804"/>
      <c r="DY25" s="804"/>
      <c r="DZ25" s="804"/>
      <c r="EA25" s="804"/>
      <c r="EB25" s="804"/>
      <c r="EC25" s="804"/>
      <c r="ED25" s="804"/>
      <c r="EE25" s="804"/>
      <c r="EF25" s="804"/>
      <c r="EG25" s="804"/>
    </row>
    <row r="26" spans="1:137" s="176" customFormat="1" x14ac:dyDescent="0.2">
      <c r="A26" s="33">
        <f t="shared" si="0"/>
        <v>2013</v>
      </c>
      <c r="B26" s="30">
        <v>3</v>
      </c>
      <c r="C26" s="565">
        <f t="shared" si="1"/>
        <v>3</v>
      </c>
      <c r="D26" s="807">
        <v>6.67</v>
      </c>
      <c r="E26" s="808">
        <v>7.14</v>
      </c>
      <c r="F26" s="806">
        <v>10443</v>
      </c>
      <c r="G26" s="452">
        <f t="shared" si="2"/>
        <v>2.0009999999999997E-2</v>
      </c>
      <c r="H26" s="72">
        <f t="shared" si="2"/>
        <v>2.1419999999999998E-2</v>
      </c>
      <c r="I26" s="630">
        <f t="shared" si="3"/>
        <v>3.1329000000000003E-2</v>
      </c>
      <c r="J26" s="61">
        <f t="shared" si="4"/>
        <v>1.5</v>
      </c>
      <c r="K26" s="651">
        <f t="shared" si="5"/>
        <v>6.67</v>
      </c>
      <c r="L26" s="651">
        <f t="shared" si="6"/>
        <v>1.0004999999999998E-2</v>
      </c>
      <c r="M26" s="992">
        <f t="shared" si="7"/>
        <v>1.0004999999999998E-2</v>
      </c>
      <c r="N26" s="54">
        <f t="shared" si="8"/>
        <v>0</v>
      </c>
      <c r="O26" s="597">
        <f t="shared" si="9"/>
        <v>7.14</v>
      </c>
      <c r="P26" s="597">
        <f t="shared" si="10"/>
        <v>0</v>
      </c>
      <c r="Q26" s="653">
        <f t="shared" si="11"/>
        <v>0</v>
      </c>
      <c r="R26" s="247">
        <f t="shared" si="12"/>
        <v>1.5</v>
      </c>
      <c r="S26" s="24">
        <f t="shared" si="13"/>
        <v>10443</v>
      </c>
      <c r="T26" s="25">
        <f t="shared" si="14"/>
        <v>1.5664500000000001E-2</v>
      </c>
      <c r="U26" s="53">
        <f t="shared" si="15"/>
        <v>1.5664500000000001E-2</v>
      </c>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4"/>
      <c r="BI26" s="804"/>
      <c r="BJ26" s="804"/>
      <c r="BK26" s="804"/>
      <c r="BL26" s="804"/>
      <c r="BM26" s="804"/>
      <c r="BN26" s="804"/>
      <c r="BO26" s="804"/>
      <c r="BP26" s="804"/>
      <c r="BQ26" s="804"/>
      <c r="BR26" s="804"/>
      <c r="BS26" s="804"/>
      <c r="BT26" s="804"/>
      <c r="BU26" s="804"/>
      <c r="BV26" s="804"/>
      <c r="BW26" s="804"/>
      <c r="BX26" s="804"/>
      <c r="BY26" s="804"/>
      <c r="BZ26" s="804"/>
      <c r="CA26" s="804"/>
      <c r="CB26" s="804"/>
      <c r="CC26" s="804"/>
      <c r="CD26" s="804"/>
      <c r="CE26" s="804"/>
      <c r="CF26" s="804"/>
      <c r="CG26" s="804"/>
      <c r="CH26" s="804"/>
      <c r="CI26" s="804"/>
      <c r="CJ26" s="804"/>
      <c r="CK26" s="804"/>
      <c r="CL26" s="804"/>
      <c r="CM26" s="804"/>
      <c r="CN26" s="804"/>
      <c r="CO26" s="804"/>
      <c r="CP26" s="804"/>
      <c r="CQ26" s="804"/>
      <c r="CR26" s="804"/>
      <c r="CS26" s="804"/>
      <c r="CT26" s="804"/>
      <c r="CU26" s="804"/>
      <c r="CV26" s="804"/>
      <c r="CW26" s="804"/>
      <c r="CX26" s="804"/>
      <c r="CY26" s="804"/>
      <c r="CZ26" s="804"/>
      <c r="DA26" s="804"/>
      <c r="DB26" s="804"/>
      <c r="DC26" s="804"/>
      <c r="DD26" s="804"/>
      <c r="DE26" s="804"/>
      <c r="DF26" s="804"/>
      <c r="DG26" s="804"/>
      <c r="DH26" s="804"/>
      <c r="DI26" s="804"/>
      <c r="DJ26" s="804"/>
      <c r="DK26" s="804"/>
      <c r="DL26" s="804"/>
      <c r="DM26" s="804"/>
      <c r="DN26" s="804"/>
      <c r="DO26" s="804"/>
      <c r="DP26" s="804"/>
      <c r="DQ26" s="804"/>
      <c r="DR26" s="804"/>
      <c r="DS26" s="804"/>
      <c r="DT26" s="804"/>
      <c r="DU26" s="804"/>
      <c r="DV26" s="804"/>
      <c r="DW26" s="804"/>
      <c r="DX26" s="804"/>
      <c r="DY26" s="804"/>
      <c r="DZ26" s="804"/>
      <c r="EA26" s="804"/>
      <c r="EB26" s="804"/>
      <c r="EC26" s="804"/>
      <c r="ED26" s="804"/>
      <c r="EE26" s="804"/>
      <c r="EF26" s="804"/>
      <c r="EG26" s="804"/>
    </row>
    <row r="27" spans="1:137" s="176" customFormat="1" x14ac:dyDescent="0.2">
      <c r="A27" s="33">
        <f t="shared" si="0"/>
        <v>2014</v>
      </c>
      <c r="B27" s="30">
        <v>0</v>
      </c>
      <c r="C27" s="565">
        <f t="shared" si="1"/>
        <v>3</v>
      </c>
      <c r="D27" s="807">
        <f t="shared" ref="D27:F27" si="16">+D26</f>
        <v>6.67</v>
      </c>
      <c r="E27" s="808">
        <f t="shared" si="16"/>
        <v>7.14</v>
      </c>
      <c r="F27" s="806">
        <f t="shared" si="16"/>
        <v>10443</v>
      </c>
      <c r="G27" s="452">
        <f t="shared" si="2"/>
        <v>0</v>
      </c>
      <c r="H27" s="72">
        <f t="shared" si="2"/>
        <v>0</v>
      </c>
      <c r="I27" s="630">
        <f t="shared" si="3"/>
        <v>0</v>
      </c>
      <c r="J27" s="61">
        <f t="shared" si="4"/>
        <v>1.5</v>
      </c>
      <c r="K27" s="651">
        <f t="shared" si="5"/>
        <v>6.67</v>
      </c>
      <c r="L27" s="651">
        <f t="shared" si="6"/>
        <v>1.0004999999999998E-2</v>
      </c>
      <c r="M27" s="992">
        <f t="shared" si="7"/>
        <v>2.0009999999999997E-2</v>
      </c>
      <c r="N27" s="54">
        <f t="shared" si="8"/>
        <v>3</v>
      </c>
      <c r="O27" s="597">
        <f t="shared" si="9"/>
        <v>7.14</v>
      </c>
      <c r="P27" s="597">
        <f t="shared" si="10"/>
        <v>2.1419999999999998E-2</v>
      </c>
      <c r="Q27" s="653">
        <f t="shared" si="11"/>
        <v>2.1419999999999998E-2</v>
      </c>
      <c r="R27" s="247">
        <f t="shared" si="12"/>
        <v>1.5</v>
      </c>
      <c r="S27" s="24">
        <f t="shared" si="13"/>
        <v>10443</v>
      </c>
      <c r="T27" s="25">
        <f t="shared" si="14"/>
        <v>1.5664500000000001E-2</v>
      </c>
      <c r="U27" s="53">
        <f t="shared" si="15"/>
        <v>3.1329000000000003E-2</v>
      </c>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c r="BP27" s="804"/>
      <c r="BQ27" s="804"/>
      <c r="BR27" s="804"/>
      <c r="BS27" s="804"/>
      <c r="BT27" s="804"/>
      <c r="BU27" s="804"/>
      <c r="BV27" s="804"/>
      <c r="BW27" s="804"/>
      <c r="BX27" s="804"/>
      <c r="BY27" s="804"/>
      <c r="BZ27" s="804"/>
      <c r="CA27" s="804"/>
      <c r="CB27" s="804"/>
      <c r="CC27" s="804"/>
      <c r="CD27" s="804"/>
      <c r="CE27" s="804"/>
      <c r="CF27" s="804"/>
      <c r="CG27" s="804"/>
      <c r="CH27" s="804"/>
      <c r="CI27" s="804"/>
      <c r="CJ27" s="804"/>
      <c r="CK27" s="804"/>
      <c r="CL27" s="804"/>
      <c r="CM27" s="804"/>
      <c r="CN27" s="804"/>
      <c r="CO27" s="804"/>
      <c r="CP27" s="804"/>
      <c r="CQ27" s="804"/>
      <c r="CR27" s="804"/>
      <c r="CS27" s="804"/>
      <c r="CT27" s="804"/>
      <c r="CU27" s="804"/>
      <c r="CV27" s="804"/>
      <c r="CW27" s="804"/>
      <c r="CX27" s="804"/>
      <c r="CY27" s="804"/>
      <c r="CZ27" s="804"/>
      <c r="DA27" s="804"/>
      <c r="DB27" s="804"/>
      <c r="DC27" s="804"/>
      <c r="DD27" s="804"/>
      <c r="DE27" s="804"/>
      <c r="DF27" s="804"/>
      <c r="DG27" s="804"/>
      <c r="DH27" s="804"/>
      <c r="DI27" s="804"/>
      <c r="DJ27" s="804"/>
      <c r="DK27" s="804"/>
      <c r="DL27" s="804"/>
      <c r="DM27" s="804"/>
      <c r="DN27" s="804"/>
      <c r="DO27" s="804"/>
      <c r="DP27" s="804"/>
      <c r="DQ27" s="804"/>
      <c r="DR27" s="804"/>
      <c r="DS27" s="804"/>
      <c r="DT27" s="804"/>
      <c r="DU27" s="804"/>
      <c r="DV27" s="804"/>
      <c r="DW27" s="804"/>
      <c r="DX27" s="804"/>
      <c r="DY27" s="804"/>
      <c r="DZ27" s="804"/>
      <c r="EA27" s="804"/>
      <c r="EB27" s="804"/>
      <c r="EC27" s="804"/>
      <c r="ED27" s="804"/>
      <c r="EE27" s="804"/>
      <c r="EF27" s="804"/>
      <c r="EG27" s="804"/>
    </row>
    <row r="28" spans="1:137" s="176" customFormat="1" ht="13.5" thickBot="1" x14ac:dyDescent="0.25">
      <c r="A28" s="701">
        <f t="shared" si="0"/>
        <v>2015</v>
      </c>
      <c r="B28" s="702">
        <v>0</v>
      </c>
      <c r="C28" s="894">
        <f t="shared" si="1"/>
        <v>3</v>
      </c>
      <c r="D28" s="835">
        <v>0</v>
      </c>
      <c r="E28" s="836">
        <v>0</v>
      </c>
      <c r="F28" s="705">
        <v>0</v>
      </c>
      <c r="G28" s="706">
        <f t="shared" si="2"/>
        <v>0</v>
      </c>
      <c r="H28" s="707">
        <f t="shared" si="2"/>
        <v>0</v>
      </c>
      <c r="I28" s="824">
        <f t="shared" si="3"/>
        <v>0</v>
      </c>
      <c r="J28" s="708">
        <f t="shared" si="4"/>
        <v>0</v>
      </c>
      <c r="K28" s="709">
        <f t="shared" si="5"/>
        <v>0</v>
      </c>
      <c r="L28" s="709">
        <f t="shared" si="6"/>
        <v>0</v>
      </c>
      <c r="M28" s="993">
        <f t="shared" si="7"/>
        <v>2.0009999999999997E-2</v>
      </c>
      <c r="N28" s="711">
        <f t="shared" si="8"/>
        <v>0</v>
      </c>
      <c r="O28" s="712">
        <f t="shared" si="9"/>
        <v>0</v>
      </c>
      <c r="P28" s="712">
        <f t="shared" si="10"/>
        <v>0</v>
      </c>
      <c r="Q28" s="713">
        <f t="shared" si="11"/>
        <v>2.1419999999999998E-2</v>
      </c>
      <c r="R28" s="714">
        <f t="shared" si="12"/>
        <v>0</v>
      </c>
      <c r="S28" s="715">
        <f t="shared" si="13"/>
        <v>0</v>
      </c>
      <c r="T28" s="716">
        <f t="shared" si="14"/>
        <v>0</v>
      </c>
      <c r="U28" s="158">
        <f t="shared" si="15"/>
        <v>3.1329000000000003E-2</v>
      </c>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c r="BP28" s="804"/>
      <c r="BQ28" s="804"/>
      <c r="BR28" s="804"/>
      <c r="BS28" s="804"/>
      <c r="BT28" s="804"/>
      <c r="BU28" s="804"/>
      <c r="BV28" s="804"/>
      <c r="BW28" s="804"/>
      <c r="BX28" s="804"/>
      <c r="BY28" s="804"/>
      <c r="BZ28" s="804"/>
      <c r="CA28" s="804"/>
      <c r="CB28" s="804"/>
      <c r="CC28" s="804"/>
      <c r="CD28" s="804"/>
      <c r="CE28" s="804"/>
      <c r="CF28" s="804"/>
      <c r="CG28" s="804"/>
      <c r="CH28" s="804"/>
      <c r="CI28" s="804"/>
      <c r="CJ28" s="804"/>
      <c r="CK28" s="804"/>
      <c r="CL28" s="804"/>
      <c r="CM28" s="804"/>
      <c r="CN28" s="804"/>
      <c r="CO28" s="804"/>
      <c r="CP28" s="804"/>
      <c r="CQ28" s="804"/>
      <c r="CR28" s="804"/>
      <c r="CS28" s="804"/>
      <c r="CT28" s="804"/>
      <c r="CU28" s="804"/>
      <c r="CV28" s="804"/>
      <c r="CW28" s="804"/>
      <c r="CX28" s="804"/>
      <c r="CY28" s="804"/>
      <c r="CZ28" s="804"/>
      <c r="DA28" s="804"/>
      <c r="DB28" s="804"/>
      <c r="DC28" s="804"/>
      <c r="DD28" s="804"/>
      <c r="DE28" s="804"/>
      <c r="DF28" s="804"/>
      <c r="DG28" s="804"/>
      <c r="DH28" s="804"/>
      <c r="DI28" s="804"/>
      <c r="DJ28" s="804"/>
      <c r="DK28" s="804"/>
      <c r="DL28" s="804"/>
      <c r="DM28" s="804"/>
      <c r="DN28" s="804"/>
      <c r="DO28" s="804"/>
      <c r="DP28" s="804"/>
      <c r="DQ28" s="804"/>
      <c r="DR28" s="804"/>
      <c r="DS28" s="804"/>
      <c r="DT28" s="804"/>
      <c r="DU28" s="804"/>
      <c r="DV28" s="804"/>
      <c r="DW28" s="804"/>
      <c r="DX28" s="804"/>
      <c r="DY28" s="804"/>
      <c r="DZ28" s="804"/>
      <c r="EA28" s="804"/>
      <c r="EB28" s="804"/>
      <c r="EC28" s="804"/>
      <c r="ED28" s="804"/>
      <c r="EE28" s="804"/>
      <c r="EF28" s="804"/>
      <c r="EG28" s="804"/>
    </row>
    <row r="29" spans="1:137" x14ac:dyDescent="0.2">
      <c r="A29" s="33">
        <f t="shared" si="0"/>
        <v>2016</v>
      </c>
      <c r="B29" s="1039"/>
      <c r="C29" s="619">
        <f t="shared" si="1"/>
        <v>3</v>
      </c>
      <c r="D29" s="794"/>
      <c r="E29" s="789"/>
      <c r="F29" s="790"/>
      <c r="G29" s="452">
        <f t="shared" si="2"/>
        <v>0</v>
      </c>
      <c r="H29" s="72">
        <f t="shared" si="2"/>
        <v>0</v>
      </c>
      <c r="I29" s="72">
        <f t="shared" si="3"/>
        <v>0</v>
      </c>
      <c r="J29" s="61">
        <f t="shared" si="4"/>
        <v>0</v>
      </c>
      <c r="K29" s="651">
        <f t="shared" si="5"/>
        <v>0</v>
      </c>
      <c r="L29" s="651">
        <f t="shared" si="6"/>
        <v>0</v>
      </c>
      <c r="M29" s="992">
        <f t="shared" si="7"/>
        <v>2.0009999999999997E-2</v>
      </c>
      <c r="N29" s="54">
        <f t="shared" si="8"/>
        <v>0</v>
      </c>
      <c r="O29" s="597">
        <f t="shared" si="9"/>
        <v>0</v>
      </c>
      <c r="P29" s="597">
        <f t="shared" si="10"/>
        <v>0</v>
      </c>
      <c r="Q29" s="653">
        <f t="shared" si="11"/>
        <v>2.1419999999999998E-2</v>
      </c>
      <c r="R29" s="247">
        <f t="shared" si="12"/>
        <v>0</v>
      </c>
      <c r="S29" s="24">
        <f t="shared" si="13"/>
        <v>0</v>
      </c>
      <c r="T29" s="25">
        <f t="shared" si="14"/>
        <v>0</v>
      </c>
      <c r="U29" s="147">
        <f t="shared" si="15"/>
        <v>3.1329000000000003E-2</v>
      </c>
    </row>
    <row r="30" spans="1:137" x14ac:dyDescent="0.2">
      <c r="A30" s="33">
        <f t="shared" si="0"/>
        <v>2017</v>
      </c>
      <c r="B30" s="1039"/>
      <c r="C30" s="619">
        <f t="shared" si="1"/>
        <v>3</v>
      </c>
      <c r="D30" s="794"/>
      <c r="E30" s="789"/>
      <c r="F30" s="790"/>
      <c r="G30" s="452">
        <f t="shared" si="2"/>
        <v>0</v>
      </c>
      <c r="H30" s="72">
        <f t="shared" si="2"/>
        <v>0</v>
      </c>
      <c r="I30" s="72">
        <f t="shared" si="3"/>
        <v>0</v>
      </c>
      <c r="J30" s="61">
        <f t="shared" si="4"/>
        <v>0</v>
      </c>
      <c r="K30" s="651">
        <f t="shared" si="5"/>
        <v>0</v>
      </c>
      <c r="L30" s="651">
        <f t="shared" si="6"/>
        <v>0</v>
      </c>
      <c r="M30" s="992">
        <f t="shared" si="7"/>
        <v>2.0009999999999997E-2</v>
      </c>
      <c r="N30" s="54">
        <f t="shared" si="8"/>
        <v>0</v>
      </c>
      <c r="O30" s="597">
        <f t="shared" si="9"/>
        <v>0</v>
      </c>
      <c r="P30" s="597">
        <f t="shared" si="10"/>
        <v>0</v>
      </c>
      <c r="Q30" s="653">
        <f t="shared" si="11"/>
        <v>2.1419999999999998E-2</v>
      </c>
      <c r="R30" s="247">
        <f t="shared" si="12"/>
        <v>0</v>
      </c>
      <c r="S30" s="24">
        <f t="shared" si="13"/>
        <v>0</v>
      </c>
      <c r="T30" s="25">
        <f t="shared" si="14"/>
        <v>0</v>
      </c>
      <c r="U30" s="53">
        <f t="shared" si="15"/>
        <v>3.1329000000000003E-2</v>
      </c>
    </row>
    <row r="31" spans="1:137" x14ac:dyDescent="0.2">
      <c r="A31" s="33">
        <f t="shared" si="0"/>
        <v>2018</v>
      </c>
      <c r="B31" s="1039"/>
      <c r="C31" s="619">
        <f t="shared" si="1"/>
        <v>3</v>
      </c>
      <c r="D31" s="794"/>
      <c r="E31" s="789"/>
      <c r="F31" s="790"/>
      <c r="G31" s="452">
        <f t="shared" si="2"/>
        <v>0</v>
      </c>
      <c r="H31" s="72">
        <f t="shared" si="2"/>
        <v>0</v>
      </c>
      <c r="I31" s="72">
        <f t="shared" si="3"/>
        <v>0</v>
      </c>
      <c r="J31" s="61">
        <f t="shared" si="4"/>
        <v>0</v>
      </c>
      <c r="K31" s="651">
        <f t="shared" si="5"/>
        <v>0</v>
      </c>
      <c r="L31" s="651">
        <f t="shared" si="6"/>
        <v>0</v>
      </c>
      <c r="M31" s="992">
        <f t="shared" si="7"/>
        <v>2.0009999999999997E-2</v>
      </c>
      <c r="N31" s="54">
        <f t="shared" si="8"/>
        <v>0</v>
      </c>
      <c r="O31" s="597">
        <f t="shared" si="9"/>
        <v>0</v>
      </c>
      <c r="P31" s="597">
        <f t="shared" si="10"/>
        <v>0</v>
      </c>
      <c r="Q31" s="653">
        <f t="shared" si="11"/>
        <v>2.1419999999999998E-2</v>
      </c>
      <c r="R31" s="247">
        <f t="shared" si="12"/>
        <v>0</v>
      </c>
      <c r="S31" s="24">
        <f t="shared" si="13"/>
        <v>0</v>
      </c>
      <c r="T31" s="25">
        <f t="shared" si="14"/>
        <v>0</v>
      </c>
      <c r="U31" s="53">
        <f t="shared" si="15"/>
        <v>3.1329000000000003E-2</v>
      </c>
    </row>
    <row r="32" spans="1:137" x14ac:dyDescent="0.2">
      <c r="A32" s="33">
        <f t="shared" si="0"/>
        <v>2019</v>
      </c>
      <c r="B32" s="1039"/>
      <c r="C32" s="619">
        <f t="shared" si="1"/>
        <v>3</v>
      </c>
      <c r="D32" s="794"/>
      <c r="E32" s="789"/>
      <c r="F32" s="790"/>
      <c r="G32" s="452">
        <f t="shared" si="2"/>
        <v>0</v>
      </c>
      <c r="H32" s="72">
        <f t="shared" si="2"/>
        <v>0</v>
      </c>
      <c r="I32" s="72">
        <f t="shared" si="3"/>
        <v>0</v>
      </c>
      <c r="J32" s="61">
        <f t="shared" si="4"/>
        <v>0</v>
      </c>
      <c r="K32" s="651">
        <f t="shared" si="5"/>
        <v>0</v>
      </c>
      <c r="L32" s="651">
        <f t="shared" si="6"/>
        <v>0</v>
      </c>
      <c r="M32" s="992">
        <f t="shared" si="7"/>
        <v>2.0009999999999997E-2</v>
      </c>
      <c r="N32" s="54">
        <f t="shared" si="8"/>
        <v>0</v>
      </c>
      <c r="O32" s="597">
        <f t="shared" si="9"/>
        <v>0</v>
      </c>
      <c r="P32" s="597">
        <f t="shared" si="10"/>
        <v>0</v>
      </c>
      <c r="Q32" s="653">
        <f t="shared" si="11"/>
        <v>2.1419999999999998E-2</v>
      </c>
      <c r="R32" s="247">
        <f t="shared" si="12"/>
        <v>0</v>
      </c>
      <c r="S32" s="24">
        <f t="shared" si="13"/>
        <v>0</v>
      </c>
      <c r="T32" s="25">
        <f t="shared" si="14"/>
        <v>0</v>
      </c>
      <c r="U32" s="53">
        <f t="shared" si="15"/>
        <v>3.1329000000000003E-2</v>
      </c>
    </row>
    <row r="33" spans="1:21" x14ac:dyDescent="0.2">
      <c r="A33" s="33">
        <f t="shared" si="0"/>
        <v>2020</v>
      </c>
      <c r="B33" s="1039"/>
      <c r="C33" s="619">
        <f t="shared" si="1"/>
        <v>3</v>
      </c>
      <c r="D33" s="788"/>
      <c r="E33" s="789"/>
      <c r="F33" s="790"/>
      <c r="G33" s="452">
        <f t="shared" si="2"/>
        <v>0</v>
      </c>
      <c r="H33" s="72">
        <f t="shared" si="2"/>
        <v>0</v>
      </c>
      <c r="I33" s="72">
        <f t="shared" si="3"/>
        <v>0</v>
      </c>
      <c r="J33" s="61">
        <f t="shared" si="4"/>
        <v>0</v>
      </c>
      <c r="K33" s="651">
        <f t="shared" si="5"/>
        <v>0</v>
      </c>
      <c r="L33" s="651">
        <f t="shared" si="6"/>
        <v>0</v>
      </c>
      <c r="M33" s="992">
        <f t="shared" si="7"/>
        <v>2.0009999999999997E-2</v>
      </c>
      <c r="N33" s="54">
        <f t="shared" si="8"/>
        <v>0</v>
      </c>
      <c r="O33" s="597">
        <f t="shared" si="9"/>
        <v>0</v>
      </c>
      <c r="P33" s="597">
        <f t="shared" si="10"/>
        <v>0</v>
      </c>
      <c r="Q33" s="653">
        <f t="shared" si="11"/>
        <v>2.1419999999999998E-2</v>
      </c>
      <c r="R33" s="247">
        <f t="shared" si="12"/>
        <v>0</v>
      </c>
      <c r="S33" s="24">
        <f t="shared" si="13"/>
        <v>0</v>
      </c>
      <c r="T33" s="25">
        <f t="shared" si="14"/>
        <v>0</v>
      </c>
      <c r="U33" s="53">
        <f t="shared" si="15"/>
        <v>3.1329000000000003E-2</v>
      </c>
    </row>
    <row r="34" spans="1:21" x14ac:dyDescent="0.2">
      <c r="A34" s="33">
        <f t="shared" si="0"/>
        <v>2021</v>
      </c>
      <c r="B34" s="1036"/>
      <c r="C34" s="565">
        <f t="shared" si="1"/>
        <v>3</v>
      </c>
      <c r="D34" s="788"/>
      <c r="E34" s="789"/>
      <c r="F34" s="790"/>
      <c r="G34" s="452">
        <f t="shared" si="2"/>
        <v>0</v>
      </c>
      <c r="H34" s="72">
        <f t="shared" si="2"/>
        <v>0</v>
      </c>
      <c r="I34" s="72">
        <f t="shared" si="3"/>
        <v>0</v>
      </c>
      <c r="J34" s="61">
        <f t="shared" si="4"/>
        <v>0</v>
      </c>
      <c r="K34" s="651">
        <f t="shared" si="5"/>
        <v>0</v>
      </c>
      <c r="L34" s="651">
        <f t="shared" si="6"/>
        <v>0</v>
      </c>
      <c r="M34" s="992">
        <f t="shared" si="7"/>
        <v>2.0009999999999997E-2</v>
      </c>
      <c r="N34" s="54">
        <f t="shared" si="8"/>
        <v>0</v>
      </c>
      <c r="O34" s="597">
        <f t="shared" si="9"/>
        <v>0</v>
      </c>
      <c r="P34" s="597">
        <f t="shared" si="10"/>
        <v>0</v>
      </c>
      <c r="Q34" s="653">
        <f t="shared" si="11"/>
        <v>2.1419999999999998E-2</v>
      </c>
      <c r="R34" s="247">
        <f t="shared" si="12"/>
        <v>0</v>
      </c>
      <c r="S34" s="24">
        <f t="shared" si="13"/>
        <v>0</v>
      </c>
      <c r="T34" s="25">
        <f t="shared" si="14"/>
        <v>0</v>
      </c>
      <c r="U34" s="654">
        <f t="shared" si="15"/>
        <v>3.1329000000000003E-2</v>
      </c>
    </row>
    <row r="35" spans="1:21" x14ac:dyDescent="0.2">
      <c r="A35" s="33">
        <f t="shared" si="0"/>
        <v>2022</v>
      </c>
      <c r="B35" s="1040"/>
      <c r="C35" s="565">
        <f t="shared" si="1"/>
        <v>3</v>
      </c>
      <c r="D35" s="788"/>
      <c r="E35" s="789"/>
      <c r="F35" s="790"/>
      <c r="G35" s="452">
        <f t="shared" si="2"/>
        <v>0</v>
      </c>
      <c r="H35" s="72">
        <f t="shared" si="2"/>
        <v>0</v>
      </c>
      <c r="I35" s="72">
        <f t="shared" si="3"/>
        <v>0</v>
      </c>
      <c r="J35" s="61">
        <f t="shared" si="4"/>
        <v>0</v>
      </c>
      <c r="K35" s="651">
        <f t="shared" si="5"/>
        <v>0</v>
      </c>
      <c r="L35" s="651">
        <f t="shared" si="6"/>
        <v>0</v>
      </c>
      <c r="M35" s="992">
        <f t="shared" si="7"/>
        <v>2.0009999999999997E-2</v>
      </c>
      <c r="N35" s="54">
        <f t="shared" si="8"/>
        <v>0</v>
      </c>
      <c r="O35" s="597">
        <f t="shared" si="9"/>
        <v>0</v>
      </c>
      <c r="P35" s="597">
        <f t="shared" si="10"/>
        <v>0</v>
      </c>
      <c r="Q35" s="653">
        <f t="shared" si="11"/>
        <v>2.1419999999999998E-2</v>
      </c>
      <c r="R35" s="247">
        <f t="shared" si="12"/>
        <v>0</v>
      </c>
      <c r="S35" s="24">
        <f t="shared" si="13"/>
        <v>0</v>
      </c>
      <c r="T35" s="25">
        <f t="shared" si="14"/>
        <v>0</v>
      </c>
      <c r="U35" s="654">
        <f t="shared" si="15"/>
        <v>3.1329000000000003E-2</v>
      </c>
    </row>
    <row r="36" spans="1:21" x14ac:dyDescent="0.2">
      <c r="A36" s="33">
        <f t="shared" si="0"/>
        <v>2023</v>
      </c>
      <c r="B36" s="1040"/>
      <c r="C36" s="565">
        <f t="shared" si="1"/>
        <v>3</v>
      </c>
      <c r="D36" s="788"/>
      <c r="E36" s="789"/>
      <c r="F36" s="790"/>
      <c r="G36" s="452">
        <f t="shared" si="2"/>
        <v>0</v>
      </c>
      <c r="H36" s="72">
        <f t="shared" si="2"/>
        <v>0</v>
      </c>
      <c r="I36" s="72">
        <f t="shared" si="3"/>
        <v>0</v>
      </c>
      <c r="J36" s="61">
        <f t="shared" si="4"/>
        <v>0</v>
      </c>
      <c r="K36" s="651">
        <f t="shared" si="5"/>
        <v>0</v>
      </c>
      <c r="L36" s="651">
        <f t="shared" si="6"/>
        <v>0</v>
      </c>
      <c r="M36" s="992">
        <f t="shared" si="7"/>
        <v>2.0009999999999997E-2</v>
      </c>
      <c r="N36" s="54">
        <f t="shared" si="8"/>
        <v>0</v>
      </c>
      <c r="O36" s="597">
        <f t="shared" si="9"/>
        <v>0</v>
      </c>
      <c r="P36" s="597">
        <f t="shared" si="10"/>
        <v>0</v>
      </c>
      <c r="Q36" s="653">
        <f t="shared" si="11"/>
        <v>2.1419999999999998E-2</v>
      </c>
      <c r="R36" s="247">
        <f t="shared" si="12"/>
        <v>0</v>
      </c>
      <c r="S36" s="24">
        <f t="shared" si="13"/>
        <v>0</v>
      </c>
      <c r="T36" s="25">
        <f t="shared" si="14"/>
        <v>0</v>
      </c>
      <c r="U36" s="654">
        <f t="shared" si="15"/>
        <v>3.1329000000000003E-2</v>
      </c>
    </row>
    <row r="37" spans="1:21" x14ac:dyDescent="0.2">
      <c r="A37" s="33">
        <f t="shared" si="0"/>
        <v>2024</v>
      </c>
      <c r="B37" s="1040"/>
      <c r="C37" s="565">
        <f t="shared" si="1"/>
        <v>3</v>
      </c>
      <c r="D37" s="788"/>
      <c r="E37" s="789"/>
      <c r="F37" s="790"/>
      <c r="G37" s="452">
        <f t="shared" si="2"/>
        <v>0</v>
      </c>
      <c r="H37" s="72">
        <f t="shared" si="2"/>
        <v>0</v>
      </c>
      <c r="I37" s="72">
        <f t="shared" si="3"/>
        <v>0</v>
      </c>
      <c r="J37" s="61">
        <f t="shared" si="4"/>
        <v>0</v>
      </c>
      <c r="K37" s="651">
        <f t="shared" si="5"/>
        <v>0</v>
      </c>
      <c r="L37" s="651">
        <f t="shared" si="6"/>
        <v>0</v>
      </c>
      <c r="M37" s="992">
        <f t="shared" si="7"/>
        <v>2.0009999999999997E-2</v>
      </c>
      <c r="N37" s="54">
        <f t="shared" si="8"/>
        <v>0</v>
      </c>
      <c r="O37" s="597">
        <f t="shared" si="9"/>
        <v>0</v>
      </c>
      <c r="P37" s="597">
        <f t="shared" si="10"/>
        <v>0</v>
      </c>
      <c r="Q37" s="653">
        <f t="shared" si="11"/>
        <v>2.1419999999999998E-2</v>
      </c>
      <c r="R37" s="247">
        <f t="shared" si="12"/>
        <v>0</v>
      </c>
      <c r="S37" s="24">
        <f t="shared" si="13"/>
        <v>0</v>
      </c>
      <c r="T37" s="25">
        <f t="shared" si="14"/>
        <v>0</v>
      </c>
      <c r="U37" s="654">
        <f t="shared" si="15"/>
        <v>3.1329000000000003E-2</v>
      </c>
    </row>
    <row r="38" spans="1:21" x14ac:dyDescent="0.2">
      <c r="A38" s="33">
        <f t="shared" si="0"/>
        <v>2025</v>
      </c>
      <c r="B38" s="1040"/>
      <c r="C38" s="565">
        <f t="shared" si="1"/>
        <v>3</v>
      </c>
      <c r="D38" s="788"/>
      <c r="E38" s="789"/>
      <c r="F38" s="790"/>
      <c r="G38" s="452">
        <f t="shared" si="2"/>
        <v>0</v>
      </c>
      <c r="H38" s="72">
        <f t="shared" si="2"/>
        <v>0</v>
      </c>
      <c r="I38" s="72">
        <f t="shared" si="3"/>
        <v>0</v>
      </c>
      <c r="J38" s="61">
        <f t="shared" si="4"/>
        <v>0</v>
      </c>
      <c r="K38" s="651">
        <f t="shared" si="5"/>
        <v>0</v>
      </c>
      <c r="L38" s="651">
        <f t="shared" si="6"/>
        <v>0</v>
      </c>
      <c r="M38" s="992">
        <f t="shared" si="7"/>
        <v>2.0009999999999997E-2</v>
      </c>
      <c r="N38" s="54">
        <f t="shared" si="8"/>
        <v>0</v>
      </c>
      <c r="O38" s="597">
        <f t="shared" si="9"/>
        <v>0</v>
      </c>
      <c r="P38" s="597">
        <f t="shared" si="10"/>
        <v>0</v>
      </c>
      <c r="Q38" s="653">
        <f t="shared" si="11"/>
        <v>2.1419999999999998E-2</v>
      </c>
      <c r="R38" s="247">
        <f t="shared" si="12"/>
        <v>0</v>
      </c>
      <c r="S38" s="24">
        <f t="shared" si="13"/>
        <v>0</v>
      </c>
      <c r="T38" s="25">
        <f t="shared" si="14"/>
        <v>0</v>
      </c>
      <c r="U38" s="654">
        <f t="shared" si="15"/>
        <v>3.1329000000000003E-2</v>
      </c>
    </row>
    <row r="39" spans="1:21" x14ac:dyDescent="0.2">
      <c r="A39" s="33">
        <f t="shared" si="0"/>
        <v>2026</v>
      </c>
      <c r="B39" s="1040"/>
      <c r="C39" s="565">
        <f t="shared" si="1"/>
        <v>3</v>
      </c>
      <c r="D39" s="788"/>
      <c r="E39" s="789"/>
      <c r="F39" s="790"/>
      <c r="G39" s="452">
        <f t="shared" si="2"/>
        <v>0</v>
      </c>
      <c r="H39" s="72">
        <f t="shared" si="2"/>
        <v>0</v>
      </c>
      <c r="I39" s="72">
        <f t="shared" si="3"/>
        <v>0</v>
      </c>
      <c r="J39" s="61">
        <f t="shared" si="4"/>
        <v>0</v>
      </c>
      <c r="K39" s="651">
        <f t="shared" si="5"/>
        <v>0</v>
      </c>
      <c r="L39" s="651">
        <f t="shared" si="6"/>
        <v>0</v>
      </c>
      <c r="M39" s="992">
        <f t="shared" si="7"/>
        <v>2.0009999999999997E-2</v>
      </c>
      <c r="N39" s="54">
        <f t="shared" si="8"/>
        <v>0</v>
      </c>
      <c r="O39" s="597">
        <f t="shared" si="9"/>
        <v>0</v>
      </c>
      <c r="P39" s="597">
        <f t="shared" si="10"/>
        <v>0</v>
      </c>
      <c r="Q39" s="653">
        <f t="shared" si="11"/>
        <v>2.1419999999999998E-2</v>
      </c>
      <c r="R39" s="247">
        <f>+(B39+B38)/2</f>
        <v>0</v>
      </c>
      <c r="S39" s="24">
        <f>+F39</f>
        <v>0</v>
      </c>
      <c r="T39" s="25">
        <f>+R39*S39/1000000</f>
        <v>0</v>
      </c>
      <c r="U39" s="654">
        <f t="shared" si="15"/>
        <v>3.1329000000000003E-2</v>
      </c>
    </row>
    <row r="40" spans="1:21" x14ac:dyDescent="0.2">
      <c r="A40" s="33">
        <f>+A39+1</f>
        <v>2027</v>
      </c>
      <c r="B40" s="1040"/>
      <c r="C40" s="565">
        <f>+C39+B40</f>
        <v>3</v>
      </c>
      <c r="D40" s="788"/>
      <c r="E40" s="789"/>
      <c r="F40" s="790"/>
      <c r="G40" s="452">
        <f t="shared" ref="G40:H42" si="17">+$B40*D40/1000</f>
        <v>0</v>
      </c>
      <c r="H40" s="72">
        <f t="shared" si="17"/>
        <v>0</v>
      </c>
      <c r="I40" s="72">
        <f>+$B40*F40/1000000</f>
        <v>0</v>
      </c>
      <c r="J40" s="61">
        <f>+(B40+B39)/2</f>
        <v>0</v>
      </c>
      <c r="K40" s="651">
        <f>+D40</f>
        <v>0</v>
      </c>
      <c r="L40" s="651">
        <f>+J40*K40/1000</f>
        <v>0</v>
      </c>
      <c r="M40" s="992">
        <f>+M39+L40</f>
        <v>2.0009999999999997E-2</v>
      </c>
      <c r="N40" s="54">
        <f>+B39</f>
        <v>0</v>
      </c>
      <c r="O40" s="597">
        <f>+E40</f>
        <v>0</v>
      </c>
      <c r="P40" s="597">
        <f>+N40*O40/1000</f>
        <v>0</v>
      </c>
      <c r="Q40" s="653">
        <f>+Q39+P40</f>
        <v>2.1419999999999998E-2</v>
      </c>
      <c r="R40" s="247">
        <f>+(B40+B39)/2</f>
        <v>0</v>
      </c>
      <c r="S40" s="24">
        <f>+F40</f>
        <v>0</v>
      </c>
      <c r="T40" s="25">
        <f>+R40*S40/1000000</f>
        <v>0</v>
      </c>
      <c r="U40" s="654">
        <f>+U39+T40</f>
        <v>3.1329000000000003E-2</v>
      </c>
    </row>
    <row r="41" spans="1:21" x14ac:dyDescent="0.2">
      <c r="A41" s="33">
        <f t="shared" si="0"/>
        <v>2028</v>
      </c>
      <c r="B41" s="1040"/>
      <c r="C41" s="565">
        <f>+C40+B41</f>
        <v>3</v>
      </c>
      <c r="D41" s="788"/>
      <c r="E41" s="789"/>
      <c r="F41" s="790"/>
      <c r="G41" s="452">
        <f t="shared" si="17"/>
        <v>0</v>
      </c>
      <c r="H41" s="72">
        <f t="shared" si="17"/>
        <v>0</v>
      </c>
      <c r="I41" s="72">
        <f>+$B41*F41/1000000</f>
        <v>0</v>
      </c>
      <c r="J41" s="61">
        <f>+(B41+B40)/2</f>
        <v>0</v>
      </c>
      <c r="K41" s="651">
        <f>+D41</f>
        <v>0</v>
      </c>
      <c r="L41" s="651">
        <f>+J41*K41/1000</f>
        <v>0</v>
      </c>
      <c r="M41" s="992">
        <f>+M40+L41</f>
        <v>2.0009999999999997E-2</v>
      </c>
      <c r="N41" s="54">
        <f>+B40</f>
        <v>0</v>
      </c>
      <c r="O41" s="597">
        <f>+E41</f>
        <v>0</v>
      </c>
      <c r="P41" s="597">
        <f>+N41*O41/1000</f>
        <v>0</v>
      </c>
      <c r="Q41" s="653">
        <f>+Q40+P41</f>
        <v>2.1419999999999998E-2</v>
      </c>
      <c r="R41" s="247">
        <f>+(B41+B40)/2</f>
        <v>0</v>
      </c>
      <c r="S41" s="24">
        <f>+F41</f>
        <v>0</v>
      </c>
      <c r="T41" s="25">
        <f>+R41*S41/1000000</f>
        <v>0</v>
      </c>
      <c r="U41" s="654">
        <f>+U40+T41</f>
        <v>3.1329000000000003E-2</v>
      </c>
    </row>
    <row r="42" spans="1:21" x14ac:dyDescent="0.2">
      <c r="A42" s="33">
        <f t="shared" si="0"/>
        <v>2029</v>
      </c>
      <c r="B42" s="1040"/>
      <c r="C42" s="565">
        <f>+C41+B42</f>
        <v>3</v>
      </c>
      <c r="D42" s="788"/>
      <c r="E42" s="789"/>
      <c r="F42" s="790"/>
      <c r="G42" s="452">
        <f t="shared" si="17"/>
        <v>0</v>
      </c>
      <c r="H42" s="72">
        <f t="shared" si="17"/>
        <v>0</v>
      </c>
      <c r="I42" s="72">
        <f>+$B42*F42/1000000</f>
        <v>0</v>
      </c>
      <c r="J42" s="61">
        <f>+(B42+B41)/2</f>
        <v>0</v>
      </c>
      <c r="K42" s="651">
        <f>+D42</f>
        <v>0</v>
      </c>
      <c r="L42" s="651">
        <f>+J42*K42/1000</f>
        <v>0</v>
      </c>
      <c r="M42" s="992">
        <f>+M41+L42</f>
        <v>2.0009999999999997E-2</v>
      </c>
      <c r="N42" s="54">
        <f>+B41</f>
        <v>0</v>
      </c>
      <c r="O42" s="597">
        <f>+E42</f>
        <v>0</v>
      </c>
      <c r="P42" s="597">
        <f>+N42*O42/1000</f>
        <v>0</v>
      </c>
      <c r="Q42" s="653">
        <f>+Q41+P42</f>
        <v>2.1419999999999998E-2</v>
      </c>
      <c r="R42" s="247">
        <f>+(B42+B41)/2</f>
        <v>0</v>
      </c>
      <c r="S42" s="24">
        <f>+F42</f>
        <v>0</v>
      </c>
      <c r="T42" s="25">
        <f>+R42*S42/1000000</f>
        <v>0</v>
      </c>
      <c r="U42" s="654">
        <f>+U41+T42</f>
        <v>3.1329000000000003E-2</v>
      </c>
    </row>
    <row r="43" spans="1:21" x14ac:dyDescent="0.2">
      <c r="A43" s="33">
        <f t="shared" si="0"/>
        <v>2030</v>
      </c>
      <c r="B43" s="1040"/>
      <c r="C43" s="565">
        <f t="shared" ref="C43:C47" si="18">+C42+B43</f>
        <v>3</v>
      </c>
      <c r="D43" s="788"/>
      <c r="E43" s="789"/>
      <c r="F43" s="790"/>
      <c r="G43" s="452">
        <f t="shared" ref="G43:G47" si="19">+$B43*D43/1000</f>
        <v>0</v>
      </c>
      <c r="H43" s="72">
        <f t="shared" ref="H43:H47" si="20">+$B43*E43/1000</f>
        <v>0</v>
      </c>
      <c r="I43" s="72">
        <f t="shared" ref="I43:I47" si="21">+$B43*F43/1000000</f>
        <v>0</v>
      </c>
      <c r="J43" s="61">
        <f t="shared" ref="J43:J47" si="22">+(B43+B42)/2</f>
        <v>0</v>
      </c>
      <c r="K43" s="651">
        <f t="shared" ref="K43:K47" si="23">+D43</f>
        <v>0</v>
      </c>
      <c r="L43" s="651">
        <f t="shared" ref="L43:L47" si="24">+J43*K43/1000</f>
        <v>0</v>
      </c>
      <c r="M43" s="992">
        <f t="shared" ref="M43:M47" si="25">+M42+L43</f>
        <v>2.0009999999999997E-2</v>
      </c>
      <c r="N43" s="54">
        <f t="shared" ref="N43:N47" si="26">+B42</f>
        <v>0</v>
      </c>
      <c r="O43" s="597">
        <f t="shared" ref="O43:O47" si="27">+E43</f>
        <v>0</v>
      </c>
      <c r="P43" s="597">
        <f t="shared" ref="P43:P47" si="28">+N43*O43/1000</f>
        <v>0</v>
      </c>
      <c r="Q43" s="653">
        <f t="shared" ref="Q43:Q47" si="29">+Q42+P43</f>
        <v>2.1419999999999998E-2</v>
      </c>
      <c r="R43" s="247">
        <f t="shared" ref="R43:R47" si="30">+(B43+B42)/2</f>
        <v>0</v>
      </c>
      <c r="S43" s="24">
        <f t="shared" ref="S43:S47" si="31">+F43</f>
        <v>0</v>
      </c>
      <c r="T43" s="25">
        <f t="shared" ref="T43:T47" si="32">+R43*S43/1000000</f>
        <v>0</v>
      </c>
      <c r="U43" s="654">
        <f t="shared" ref="U43:U47" si="33">+U42+T43</f>
        <v>3.1329000000000003E-2</v>
      </c>
    </row>
    <row r="44" spans="1:21" x14ac:dyDescent="0.2">
      <c r="A44" s="33">
        <f t="shared" si="0"/>
        <v>2031</v>
      </c>
      <c r="B44" s="1040"/>
      <c r="C44" s="565">
        <f t="shared" si="18"/>
        <v>3</v>
      </c>
      <c r="D44" s="788"/>
      <c r="E44" s="789"/>
      <c r="F44" s="790"/>
      <c r="G44" s="452">
        <f t="shared" si="19"/>
        <v>0</v>
      </c>
      <c r="H44" s="72">
        <f t="shared" si="20"/>
        <v>0</v>
      </c>
      <c r="I44" s="72">
        <f t="shared" si="21"/>
        <v>0</v>
      </c>
      <c r="J44" s="61">
        <f t="shared" si="22"/>
        <v>0</v>
      </c>
      <c r="K44" s="651">
        <f t="shared" si="23"/>
        <v>0</v>
      </c>
      <c r="L44" s="651">
        <f t="shared" si="24"/>
        <v>0</v>
      </c>
      <c r="M44" s="992">
        <f t="shared" si="25"/>
        <v>2.0009999999999997E-2</v>
      </c>
      <c r="N44" s="54">
        <f t="shared" si="26"/>
        <v>0</v>
      </c>
      <c r="O44" s="597">
        <f t="shared" si="27"/>
        <v>0</v>
      </c>
      <c r="P44" s="597">
        <f t="shared" si="28"/>
        <v>0</v>
      </c>
      <c r="Q44" s="653">
        <f t="shared" si="29"/>
        <v>2.1419999999999998E-2</v>
      </c>
      <c r="R44" s="247">
        <f t="shared" si="30"/>
        <v>0</v>
      </c>
      <c r="S44" s="24">
        <f t="shared" si="31"/>
        <v>0</v>
      </c>
      <c r="T44" s="25">
        <f t="shared" si="32"/>
        <v>0</v>
      </c>
      <c r="U44" s="654">
        <f t="shared" si="33"/>
        <v>3.1329000000000003E-2</v>
      </c>
    </row>
    <row r="45" spans="1:21" x14ac:dyDescent="0.2">
      <c r="A45" s="33">
        <f t="shared" si="0"/>
        <v>2032</v>
      </c>
      <c r="B45" s="1040"/>
      <c r="C45" s="565">
        <f t="shared" si="18"/>
        <v>3</v>
      </c>
      <c r="D45" s="788"/>
      <c r="E45" s="789"/>
      <c r="F45" s="790"/>
      <c r="G45" s="452">
        <f t="shared" si="19"/>
        <v>0</v>
      </c>
      <c r="H45" s="72">
        <f t="shared" si="20"/>
        <v>0</v>
      </c>
      <c r="I45" s="72">
        <f t="shared" si="21"/>
        <v>0</v>
      </c>
      <c r="J45" s="61">
        <f t="shared" si="22"/>
        <v>0</v>
      </c>
      <c r="K45" s="651">
        <f t="shared" si="23"/>
        <v>0</v>
      </c>
      <c r="L45" s="651">
        <f t="shared" si="24"/>
        <v>0</v>
      </c>
      <c r="M45" s="992">
        <f t="shared" si="25"/>
        <v>2.0009999999999997E-2</v>
      </c>
      <c r="N45" s="54">
        <f t="shared" si="26"/>
        <v>0</v>
      </c>
      <c r="O45" s="597">
        <f t="shared" si="27"/>
        <v>0</v>
      </c>
      <c r="P45" s="597">
        <f t="shared" si="28"/>
        <v>0</v>
      </c>
      <c r="Q45" s="653">
        <f t="shared" si="29"/>
        <v>2.1419999999999998E-2</v>
      </c>
      <c r="R45" s="247">
        <f t="shared" si="30"/>
        <v>0</v>
      </c>
      <c r="S45" s="24">
        <f t="shared" si="31"/>
        <v>0</v>
      </c>
      <c r="T45" s="25">
        <f t="shared" si="32"/>
        <v>0</v>
      </c>
      <c r="U45" s="654">
        <f t="shared" si="33"/>
        <v>3.1329000000000003E-2</v>
      </c>
    </row>
    <row r="46" spans="1:21" x14ac:dyDescent="0.2">
      <c r="A46" s="33">
        <f t="shared" si="0"/>
        <v>2033</v>
      </c>
      <c r="B46" s="1040"/>
      <c r="C46" s="565">
        <f t="shared" si="18"/>
        <v>3</v>
      </c>
      <c r="D46" s="788"/>
      <c r="E46" s="789"/>
      <c r="F46" s="790"/>
      <c r="G46" s="452">
        <f t="shared" si="19"/>
        <v>0</v>
      </c>
      <c r="H46" s="72">
        <f t="shared" si="20"/>
        <v>0</v>
      </c>
      <c r="I46" s="72">
        <f t="shared" si="21"/>
        <v>0</v>
      </c>
      <c r="J46" s="61">
        <f t="shared" si="22"/>
        <v>0</v>
      </c>
      <c r="K46" s="651">
        <f t="shared" si="23"/>
        <v>0</v>
      </c>
      <c r="L46" s="651">
        <f t="shared" si="24"/>
        <v>0</v>
      </c>
      <c r="M46" s="992">
        <f t="shared" si="25"/>
        <v>2.0009999999999997E-2</v>
      </c>
      <c r="N46" s="54">
        <f t="shared" si="26"/>
        <v>0</v>
      </c>
      <c r="O46" s="597">
        <f t="shared" si="27"/>
        <v>0</v>
      </c>
      <c r="P46" s="597">
        <f t="shared" si="28"/>
        <v>0</v>
      </c>
      <c r="Q46" s="653">
        <f t="shared" si="29"/>
        <v>2.1419999999999998E-2</v>
      </c>
      <c r="R46" s="247">
        <f t="shared" si="30"/>
        <v>0</v>
      </c>
      <c r="S46" s="24">
        <f t="shared" si="31"/>
        <v>0</v>
      </c>
      <c r="T46" s="25">
        <f t="shared" si="32"/>
        <v>0</v>
      </c>
      <c r="U46" s="654">
        <f t="shared" si="33"/>
        <v>3.1329000000000003E-2</v>
      </c>
    </row>
    <row r="47" spans="1:21" x14ac:dyDescent="0.2">
      <c r="A47" s="33">
        <f t="shared" si="0"/>
        <v>2034</v>
      </c>
      <c r="B47" s="1040"/>
      <c r="C47" s="565">
        <f t="shared" si="18"/>
        <v>3</v>
      </c>
      <c r="D47" s="788"/>
      <c r="E47" s="789"/>
      <c r="F47" s="790"/>
      <c r="G47" s="452">
        <f t="shared" si="19"/>
        <v>0</v>
      </c>
      <c r="H47" s="72">
        <f t="shared" si="20"/>
        <v>0</v>
      </c>
      <c r="I47" s="72">
        <f t="shared" si="21"/>
        <v>0</v>
      </c>
      <c r="J47" s="61">
        <f t="shared" si="22"/>
        <v>0</v>
      </c>
      <c r="K47" s="651">
        <f t="shared" si="23"/>
        <v>0</v>
      </c>
      <c r="L47" s="651">
        <f t="shared" si="24"/>
        <v>0</v>
      </c>
      <c r="M47" s="992">
        <f t="shared" si="25"/>
        <v>2.0009999999999997E-2</v>
      </c>
      <c r="N47" s="54">
        <f t="shared" si="26"/>
        <v>0</v>
      </c>
      <c r="O47" s="597">
        <f t="shared" si="27"/>
        <v>0</v>
      </c>
      <c r="P47" s="597">
        <f t="shared" si="28"/>
        <v>0</v>
      </c>
      <c r="Q47" s="653">
        <f t="shared" si="29"/>
        <v>2.1419999999999998E-2</v>
      </c>
      <c r="R47" s="247">
        <f t="shared" si="30"/>
        <v>0</v>
      </c>
      <c r="S47" s="24">
        <f t="shared" si="31"/>
        <v>0</v>
      </c>
      <c r="T47" s="25">
        <f t="shared" si="32"/>
        <v>0</v>
      </c>
      <c r="U47" s="654">
        <f t="shared" si="33"/>
        <v>3.1329000000000003E-2</v>
      </c>
    </row>
    <row r="48" spans="1:21" x14ac:dyDescent="0.2">
      <c r="A48" s="33">
        <f t="shared" si="0"/>
        <v>2035</v>
      </c>
      <c r="B48" s="1040">
        <f>B47</f>
        <v>0</v>
      </c>
      <c r="C48" s="565">
        <f t="shared" ref="C48:C54" si="34">+C47+B48</f>
        <v>3</v>
      </c>
      <c r="D48" s="788"/>
      <c r="E48" s="789"/>
      <c r="F48" s="790"/>
      <c r="G48" s="452">
        <f t="shared" ref="G48:G54" si="35">+$B48*D48/1000</f>
        <v>0</v>
      </c>
      <c r="H48" s="72">
        <f t="shared" ref="H48:H54" si="36">+$B48*E48/1000</f>
        <v>0</v>
      </c>
      <c r="I48" s="72">
        <f t="shared" ref="I48:I54" si="37">+$B48*F48/1000000</f>
        <v>0</v>
      </c>
      <c r="J48" s="61">
        <f t="shared" ref="J48:J54" si="38">+(B48+B47)/2</f>
        <v>0</v>
      </c>
      <c r="K48" s="651">
        <f t="shared" ref="K48:K54" si="39">+D48</f>
        <v>0</v>
      </c>
      <c r="L48" s="651">
        <f t="shared" ref="L48:L54" si="40">+J48*K48/1000</f>
        <v>0</v>
      </c>
      <c r="M48" s="992">
        <f t="shared" ref="M48:M54" si="41">+M47+L48</f>
        <v>2.0009999999999997E-2</v>
      </c>
      <c r="N48" s="54">
        <f t="shared" ref="N48:N54" si="42">+B47</f>
        <v>0</v>
      </c>
      <c r="O48" s="597">
        <f t="shared" ref="O48:O54" si="43">+E48</f>
        <v>0</v>
      </c>
      <c r="P48" s="597">
        <f t="shared" ref="P48:P54" si="44">+N48*O48/1000</f>
        <v>0</v>
      </c>
      <c r="Q48" s="653">
        <f t="shared" ref="Q48:Q54" si="45">+Q47+P48</f>
        <v>2.1419999999999998E-2</v>
      </c>
      <c r="R48" s="247">
        <f t="shared" ref="R48:R54" si="46">+(B48+B47)/2</f>
        <v>0</v>
      </c>
      <c r="S48" s="24">
        <f t="shared" ref="S48:S54" si="47">+F48</f>
        <v>0</v>
      </c>
      <c r="T48" s="25">
        <f t="shared" ref="T48:T54" si="48">+R48*S48/1000000</f>
        <v>0</v>
      </c>
      <c r="U48" s="654">
        <f t="shared" ref="U48:U54" si="49">+U47+T48</f>
        <v>3.1329000000000003E-2</v>
      </c>
    </row>
    <row r="49" spans="1:21" x14ac:dyDescent="0.2">
      <c r="A49" s="33">
        <f t="shared" si="0"/>
        <v>2036</v>
      </c>
      <c r="B49" s="1040">
        <f t="shared" ref="B49:B54" si="50">B48</f>
        <v>0</v>
      </c>
      <c r="C49" s="565">
        <f t="shared" si="34"/>
        <v>3</v>
      </c>
      <c r="D49" s="788"/>
      <c r="E49" s="789"/>
      <c r="F49" s="790"/>
      <c r="G49" s="452">
        <f t="shared" si="35"/>
        <v>0</v>
      </c>
      <c r="H49" s="72">
        <f t="shared" si="36"/>
        <v>0</v>
      </c>
      <c r="I49" s="72">
        <f t="shared" si="37"/>
        <v>0</v>
      </c>
      <c r="J49" s="61">
        <f t="shared" si="38"/>
        <v>0</v>
      </c>
      <c r="K49" s="651">
        <f t="shared" si="39"/>
        <v>0</v>
      </c>
      <c r="L49" s="651">
        <f t="shared" si="40"/>
        <v>0</v>
      </c>
      <c r="M49" s="992">
        <f t="shared" si="41"/>
        <v>2.0009999999999997E-2</v>
      </c>
      <c r="N49" s="54">
        <f t="shared" si="42"/>
        <v>0</v>
      </c>
      <c r="O49" s="597">
        <f t="shared" si="43"/>
        <v>0</v>
      </c>
      <c r="P49" s="597">
        <f t="shared" si="44"/>
        <v>0</v>
      </c>
      <c r="Q49" s="653">
        <f t="shared" si="45"/>
        <v>2.1419999999999998E-2</v>
      </c>
      <c r="R49" s="247">
        <f t="shared" si="46"/>
        <v>0</v>
      </c>
      <c r="S49" s="24">
        <f t="shared" si="47"/>
        <v>0</v>
      </c>
      <c r="T49" s="25">
        <f t="shared" si="48"/>
        <v>0</v>
      </c>
      <c r="U49" s="654">
        <f t="shared" si="49"/>
        <v>3.1329000000000003E-2</v>
      </c>
    </row>
    <row r="50" spans="1:21" x14ac:dyDescent="0.2">
      <c r="A50" s="33">
        <f t="shared" si="0"/>
        <v>2037</v>
      </c>
      <c r="B50" s="1040">
        <f t="shared" si="50"/>
        <v>0</v>
      </c>
      <c r="C50" s="565">
        <f t="shared" si="34"/>
        <v>3</v>
      </c>
      <c r="D50" s="788"/>
      <c r="E50" s="789"/>
      <c r="F50" s="790"/>
      <c r="G50" s="452">
        <f t="shared" si="35"/>
        <v>0</v>
      </c>
      <c r="H50" s="72">
        <f t="shared" si="36"/>
        <v>0</v>
      </c>
      <c r="I50" s="72">
        <f t="shared" si="37"/>
        <v>0</v>
      </c>
      <c r="J50" s="61">
        <f t="shared" si="38"/>
        <v>0</v>
      </c>
      <c r="K50" s="651">
        <f t="shared" si="39"/>
        <v>0</v>
      </c>
      <c r="L50" s="651">
        <f t="shared" si="40"/>
        <v>0</v>
      </c>
      <c r="M50" s="992">
        <f t="shared" si="41"/>
        <v>2.0009999999999997E-2</v>
      </c>
      <c r="N50" s="54">
        <f t="shared" si="42"/>
        <v>0</v>
      </c>
      <c r="O50" s="597">
        <f t="shared" si="43"/>
        <v>0</v>
      </c>
      <c r="P50" s="597">
        <f t="shared" si="44"/>
        <v>0</v>
      </c>
      <c r="Q50" s="653">
        <f t="shared" si="45"/>
        <v>2.1419999999999998E-2</v>
      </c>
      <c r="R50" s="247">
        <f t="shared" si="46"/>
        <v>0</v>
      </c>
      <c r="S50" s="24">
        <f t="shared" si="47"/>
        <v>0</v>
      </c>
      <c r="T50" s="25">
        <f t="shared" si="48"/>
        <v>0</v>
      </c>
      <c r="U50" s="654">
        <f t="shared" si="49"/>
        <v>3.1329000000000003E-2</v>
      </c>
    </row>
    <row r="51" spans="1:21" x14ac:dyDescent="0.2">
      <c r="A51" s="33">
        <f t="shared" si="0"/>
        <v>2038</v>
      </c>
      <c r="B51" s="1040">
        <f t="shared" si="50"/>
        <v>0</v>
      </c>
      <c r="C51" s="565">
        <f t="shared" si="34"/>
        <v>3</v>
      </c>
      <c r="D51" s="788"/>
      <c r="E51" s="789"/>
      <c r="F51" s="790"/>
      <c r="G51" s="452">
        <f t="shared" si="35"/>
        <v>0</v>
      </c>
      <c r="H51" s="72">
        <f t="shared" si="36"/>
        <v>0</v>
      </c>
      <c r="I51" s="72">
        <f t="shared" si="37"/>
        <v>0</v>
      </c>
      <c r="J51" s="61">
        <f t="shared" si="38"/>
        <v>0</v>
      </c>
      <c r="K51" s="651">
        <f t="shared" si="39"/>
        <v>0</v>
      </c>
      <c r="L51" s="651">
        <f t="shared" si="40"/>
        <v>0</v>
      </c>
      <c r="M51" s="992">
        <f t="shared" si="41"/>
        <v>2.0009999999999997E-2</v>
      </c>
      <c r="N51" s="54">
        <f t="shared" si="42"/>
        <v>0</v>
      </c>
      <c r="O51" s="597">
        <f t="shared" si="43"/>
        <v>0</v>
      </c>
      <c r="P51" s="597">
        <f t="shared" si="44"/>
        <v>0</v>
      </c>
      <c r="Q51" s="653">
        <f t="shared" si="45"/>
        <v>2.1419999999999998E-2</v>
      </c>
      <c r="R51" s="247">
        <f t="shared" si="46"/>
        <v>0</v>
      </c>
      <c r="S51" s="24">
        <f t="shared" si="47"/>
        <v>0</v>
      </c>
      <c r="T51" s="25">
        <f t="shared" si="48"/>
        <v>0</v>
      </c>
      <c r="U51" s="654">
        <f t="shared" si="49"/>
        <v>3.1329000000000003E-2</v>
      </c>
    </row>
    <row r="52" spans="1:21" x14ac:dyDescent="0.2">
      <c r="A52" s="33">
        <f t="shared" si="0"/>
        <v>2039</v>
      </c>
      <c r="B52" s="1040">
        <f t="shared" si="50"/>
        <v>0</v>
      </c>
      <c r="C52" s="565">
        <f t="shared" si="34"/>
        <v>3</v>
      </c>
      <c r="D52" s="788"/>
      <c r="E52" s="789"/>
      <c r="F52" s="790"/>
      <c r="G52" s="452">
        <f t="shared" si="35"/>
        <v>0</v>
      </c>
      <c r="H52" s="72">
        <f t="shared" si="36"/>
        <v>0</v>
      </c>
      <c r="I52" s="72">
        <f t="shared" si="37"/>
        <v>0</v>
      </c>
      <c r="J52" s="61">
        <f t="shared" si="38"/>
        <v>0</v>
      </c>
      <c r="K52" s="651">
        <f t="shared" si="39"/>
        <v>0</v>
      </c>
      <c r="L52" s="651">
        <f t="shared" si="40"/>
        <v>0</v>
      </c>
      <c r="M52" s="992">
        <f t="shared" si="41"/>
        <v>2.0009999999999997E-2</v>
      </c>
      <c r="N52" s="54">
        <f t="shared" si="42"/>
        <v>0</v>
      </c>
      <c r="O52" s="597">
        <f t="shared" si="43"/>
        <v>0</v>
      </c>
      <c r="P52" s="597">
        <f t="shared" si="44"/>
        <v>0</v>
      </c>
      <c r="Q52" s="653">
        <f t="shared" si="45"/>
        <v>2.1419999999999998E-2</v>
      </c>
      <c r="R52" s="247">
        <f t="shared" si="46"/>
        <v>0</v>
      </c>
      <c r="S52" s="24">
        <f t="shared" si="47"/>
        <v>0</v>
      </c>
      <c r="T52" s="25">
        <f t="shared" si="48"/>
        <v>0</v>
      </c>
      <c r="U52" s="654">
        <f t="shared" si="49"/>
        <v>3.1329000000000003E-2</v>
      </c>
    </row>
    <row r="53" spans="1:21" x14ac:dyDescent="0.2">
      <c r="A53" s="33">
        <f t="shared" si="0"/>
        <v>2040</v>
      </c>
      <c r="B53" s="1040">
        <f t="shared" si="50"/>
        <v>0</v>
      </c>
      <c r="C53" s="565">
        <f t="shared" si="34"/>
        <v>3</v>
      </c>
      <c r="D53" s="788"/>
      <c r="E53" s="789"/>
      <c r="F53" s="790"/>
      <c r="G53" s="452">
        <f t="shared" si="35"/>
        <v>0</v>
      </c>
      <c r="H53" s="72">
        <f t="shared" si="36"/>
        <v>0</v>
      </c>
      <c r="I53" s="72">
        <f t="shared" si="37"/>
        <v>0</v>
      </c>
      <c r="J53" s="61">
        <f t="shared" si="38"/>
        <v>0</v>
      </c>
      <c r="K53" s="651">
        <f t="shared" si="39"/>
        <v>0</v>
      </c>
      <c r="L53" s="651">
        <f t="shared" si="40"/>
        <v>0</v>
      </c>
      <c r="M53" s="992">
        <f t="shared" si="41"/>
        <v>2.0009999999999997E-2</v>
      </c>
      <c r="N53" s="54">
        <f t="shared" si="42"/>
        <v>0</v>
      </c>
      <c r="O53" s="597">
        <f t="shared" si="43"/>
        <v>0</v>
      </c>
      <c r="P53" s="597">
        <f t="shared" si="44"/>
        <v>0</v>
      </c>
      <c r="Q53" s="653">
        <f t="shared" si="45"/>
        <v>2.1419999999999998E-2</v>
      </c>
      <c r="R53" s="247">
        <f t="shared" si="46"/>
        <v>0</v>
      </c>
      <c r="S53" s="24">
        <f t="shared" si="47"/>
        <v>0</v>
      </c>
      <c r="T53" s="25">
        <f t="shared" si="48"/>
        <v>0</v>
      </c>
      <c r="U53" s="654">
        <f t="shared" si="49"/>
        <v>3.1329000000000003E-2</v>
      </c>
    </row>
    <row r="54" spans="1:21" x14ac:dyDescent="0.2">
      <c r="A54" s="33">
        <f t="shared" si="0"/>
        <v>2041</v>
      </c>
      <c r="B54" s="1040">
        <f t="shared" si="50"/>
        <v>0</v>
      </c>
      <c r="C54" s="565">
        <f t="shared" si="34"/>
        <v>3</v>
      </c>
      <c r="D54" s="788"/>
      <c r="E54" s="789"/>
      <c r="F54" s="790"/>
      <c r="G54" s="452">
        <f t="shared" si="35"/>
        <v>0</v>
      </c>
      <c r="H54" s="72">
        <f t="shared" si="36"/>
        <v>0</v>
      </c>
      <c r="I54" s="72">
        <f t="shared" si="37"/>
        <v>0</v>
      </c>
      <c r="J54" s="61">
        <f t="shared" si="38"/>
        <v>0</v>
      </c>
      <c r="K54" s="651">
        <f t="shared" si="39"/>
        <v>0</v>
      </c>
      <c r="L54" s="651">
        <f t="shared" si="40"/>
        <v>0</v>
      </c>
      <c r="M54" s="992">
        <f t="shared" si="41"/>
        <v>2.0009999999999997E-2</v>
      </c>
      <c r="N54" s="54">
        <f t="shared" si="42"/>
        <v>0</v>
      </c>
      <c r="O54" s="597">
        <f t="shared" si="43"/>
        <v>0</v>
      </c>
      <c r="P54" s="597">
        <f t="shared" si="44"/>
        <v>0</v>
      </c>
      <c r="Q54" s="653">
        <f t="shared" si="45"/>
        <v>2.1419999999999998E-2</v>
      </c>
      <c r="R54" s="247">
        <f t="shared" si="46"/>
        <v>0</v>
      </c>
      <c r="S54" s="24">
        <f t="shared" si="47"/>
        <v>0</v>
      </c>
      <c r="T54" s="25">
        <f t="shared" si="48"/>
        <v>0</v>
      </c>
      <c r="U54" s="654">
        <f t="shared" si="49"/>
        <v>3.1329000000000003E-2</v>
      </c>
    </row>
    <row r="55" spans="1:21" s="2" customFormat="1" x14ac:dyDescent="0.2">
      <c r="A55" s="491"/>
      <c r="B55" s="498"/>
      <c r="C55" s="493"/>
      <c r="D55" s="495"/>
      <c r="E55" s="495"/>
      <c r="F55" s="498"/>
      <c r="G55" s="495"/>
      <c r="H55" s="495"/>
      <c r="I55" s="495"/>
      <c r="J55" s="498"/>
      <c r="K55" s="498"/>
      <c r="L55" s="498"/>
      <c r="M55" s="1066"/>
      <c r="N55" s="498"/>
      <c r="O55" s="498"/>
      <c r="P55" s="498"/>
      <c r="Q55" s="498"/>
      <c r="R55" s="248"/>
      <c r="S55" s="499"/>
      <c r="T55" s="500"/>
      <c r="U55" s="500"/>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X58"/>
  <sheetViews>
    <sheetView topLeftCell="A10" zoomScale="91" zoomScaleNormal="91" workbookViewId="0"/>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958" t="s">
        <v>332</v>
      </c>
      <c r="G1" s="249"/>
      <c r="H1" s="249"/>
      <c r="I1" s="249"/>
      <c r="J1" s="4"/>
      <c r="K1" s="4"/>
      <c r="L1" s="4"/>
      <c r="M1" s="4"/>
      <c r="N1" s="4"/>
    </row>
    <row r="2" spans="1:24" ht="18.75" thickBot="1" x14ac:dyDescent="0.3">
      <c r="A2" s="5" t="s">
        <v>1</v>
      </c>
      <c r="B2" s="27" t="s">
        <v>210</v>
      </c>
      <c r="C2" s="27" t="s">
        <v>244</v>
      </c>
      <c r="D2" s="27"/>
      <c r="E2" s="27"/>
      <c r="F2" s="23"/>
      <c r="G2" s="23"/>
      <c r="H2" s="23"/>
      <c r="I2" s="23"/>
      <c r="J2" s="23"/>
      <c r="K2" s="4"/>
      <c r="L2" s="4"/>
      <c r="M2" s="4"/>
      <c r="N2" s="4"/>
    </row>
    <row r="3" spans="1:24" ht="16.5" thickBot="1" x14ac:dyDescent="0.3">
      <c r="A3" s="4"/>
      <c r="B3" s="449"/>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59"/>
      <c r="D7" s="628"/>
      <c r="E7" s="15"/>
      <c r="F7" s="31"/>
      <c r="G7" s="208"/>
      <c r="H7" s="15"/>
      <c r="I7" s="31"/>
      <c r="J7" s="37"/>
      <c r="K7" s="59"/>
      <c r="L7" s="6"/>
      <c r="M7" s="46"/>
      <c r="N7" s="40"/>
      <c r="O7" s="55"/>
      <c r="P7" s="57"/>
      <c r="Q7" s="41"/>
      <c r="R7" s="43"/>
      <c r="S7" s="24"/>
      <c r="T7" s="21"/>
      <c r="U7" s="47"/>
      <c r="V7" s="3"/>
    </row>
    <row r="8" spans="1:24" x14ac:dyDescent="0.2">
      <c r="A8" s="33">
        <v>1995</v>
      </c>
      <c r="B8" s="30"/>
      <c r="C8" s="660"/>
      <c r="D8" s="642"/>
      <c r="E8" s="63"/>
      <c r="F8" s="641"/>
      <c r="G8" s="643"/>
      <c r="H8" s="87"/>
      <c r="I8" s="88"/>
      <c r="J8" s="61"/>
      <c r="K8" s="59"/>
      <c r="L8" s="59"/>
      <c r="M8" s="60"/>
      <c r="N8" s="51"/>
      <c r="O8" s="55"/>
      <c r="P8" s="55"/>
      <c r="Q8" s="56"/>
      <c r="R8" s="247"/>
      <c r="S8" s="24"/>
      <c r="T8" s="25"/>
      <c r="U8" s="53"/>
      <c r="V8" s="248"/>
      <c r="X8" s="1"/>
    </row>
    <row r="9" spans="1:24" x14ac:dyDescent="0.2">
      <c r="A9" s="33">
        <v>1996</v>
      </c>
      <c r="B9" s="30"/>
      <c r="C9" s="660"/>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660"/>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660"/>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660"/>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660"/>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660"/>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660"/>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660"/>
      <c r="D16" s="642"/>
      <c r="E16" s="63"/>
      <c r="F16" s="641"/>
      <c r="G16" s="616"/>
      <c r="H16" s="62"/>
      <c r="I16" s="67"/>
      <c r="J16" s="61"/>
      <c r="K16" s="59"/>
      <c r="L16" s="59"/>
      <c r="M16" s="60"/>
      <c r="N16" s="54"/>
      <c r="O16" s="55"/>
      <c r="P16" s="55"/>
      <c r="Q16" s="56"/>
      <c r="R16" s="247"/>
      <c r="S16" s="24"/>
      <c r="T16" s="25"/>
      <c r="U16" s="53"/>
      <c r="V16" s="248"/>
      <c r="X16" s="1"/>
    </row>
    <row r="17" spans="1:24" x14ac:dyDescent="0.2">
      <c r="A17" s="33">
        <f t="shared" ref="A17:A53" si="0">+A16+1</f>
        <v>2004</v>
      </c>
      <c r="B17" s="30"/>
      <c r="C17" s="660"/>
      <c r="D17" s="642"/>
      <c r="E17" s="63"/>
      <c r="F17" s="641"/>
      <c r="G17" s="616"/>
      <c r="H17" s="62"/>
      <c r="I17" s="67"/>
      <c r="J17" s="61"/>
      <c r="K17" s="59"/>
      <c r="L17" s="59"/>
      <c r="M17" s="60"/>
      <c r="N17" s="54"/>
      <c r="O17" s="55"/>
      <c r="P17" s="55"/>
      <c r="Q17" s="56"/>
      <c r="R17" s="247"/>
      <c r="S17" s="24"/>
      <c r="T17" s="25"/>
      <c r="U17" s="53"/>
      <c r="V17" s="248"/>
      <c r="X17" s="1"/>
    </row>
    <row r="18" spans="1:24" x14ac:dyDescent="0.2">
      <c r="A18" s="33">
        <f t="shared" si="0"/>
        <v>2005</v>
      </c>
      <c r="B18" s="30"/>
      <c r="C18" s="660"/>
      <c r="D18" s="642"/>
      <c r="E18" s="63"/>
      <c r="F18" s="641"/>
      <c r="G18" s="616"/>
      <c r="H18" s="62"/>
      <c r="I18" s="67"/>
      <c r="J18" s="61"/>
      <c r="K18" s="59"/>
      <c r="L18" s="59"/>
      <c r="M18" s="60"/>
      <c r="N18" s="54"/>
      <c r="O18" s="55"/>
      <c r="P18" s="55"/>
      <c r="Q18" s="56"/>
      <c r="R18" s="247"/>
      <c r="S18" s="24"/>
      <c r="T18" s="25"/>
      <c r="U18" s="53"/>
      <c r="V18" s="248"/>
      <c r="X18" s="1"/>
    </row>
    <row r="19" spans="1:24" x14ac:dyDescent="0.2">
      <c r="A19" s="33">
        <f t="shared" si="0"/>
        <v>2006</v>
      </c>
      <c r="B19" s="30"/>
      <c r="C19" s="660"/>
      <c r="D19" s="642"/>
      <c r="E19" s="63"/>
      <c r="F19" s="641"/>
      <c r="G19" s="616"/>
      <c r="H19" s="62"/>
      <c r="I19" s="67"/>
      <c r="J19" s="61"/>
      <c r="K19" s="59"/>
      <c r="L19" s="59"/>
      <c r="M19" s="60"/>
      <c r="N19" s="54"/>
      <c r="O19" s="55"/>
      <c r="P19" s="55"/>
      <c r="Q19" s="56"/>
      <c r="R19" s="247"/>
      <c r="S19" s="24"/>
      <c r="T19" s="25"/>
      <c r="U19" s="53"/>
      <c r="V19" s="8"/>
      <c r="X19" s="1"/>
    </row>
    <row r="20" spans="1:24" x14ac:dyDescent="0.2">
      <c r="A20" s="33">
        <f t="shared" si="0"/>
        <v>2007</v>
      </c>
      <c r="B20" s="30"/>
      <c r="C20" s="660"/>
      <c r="D20" s="642"/>
      <c r="E20" s="63"/>
      <c r="F20" s="641"/>
      <c r="G20" s="616"/>
      <c r="H20" s="62"/>
      <c r="I20" s="62"/>
      <c r="J20" s="61"/>
      <c r="K20" s="59"/>
      <c r="L20" s="59"/>
      <c r="M20" s="60"/>
      <c r="N20" s="54"/>
      <c r="O20" s="55"/>
      <c r="P20" s="55"/>
      <c r="Q20" s="56"/>
      <c r="R20" s="247"/>
      <c r="S20" s="24"/>
      <c r="T20" s="25"/>
      <c r="U20" s="53"/>
    </row>
    <row r="21" spans="1:24" x14ac:dyDescent="0.2">
      <c r="A21" s="33">
        <f t="shared" si="0"/>
        <v>2008</v>
      </c>
      <c r="B21" s="30"/>
      <c r="C21" s="660"/>
      <c r="D21" s="642"/>
      <c r="E21" s="63"/>
      <c r="F21" s="641"/>
      <c r="G21" s="616"/>
      <c r="H21" s="62"/>
      <c r="I21" s="67"/>
      <c r="J21" s="61"/>
      <c r="K21" s="59"/>
      <c r="L21" s="59"/>
      <c r="M21" s="60"/>
      <c r="N21" s="54"/>
      <c r="O21" s="55"/>
      <c r="P21" s="55"/>
      <c r="Q21" s="56"/>
      <c r="R21" s="247"/>
      <c r="S21" s="24"/>
      <c r="T21" s="25"/>
      <c r="U21" s="53"/>
    </row>
    <row r="22" spans="1:24" x14ac:dyDescent="0.2">
      <c r="A22" s="33">
        <f t="shared" si="0"/>
        <v>2009</v>
      </c>
      <c r="B22" s="30"/>
      <c r="C22" s="660"/>
      <c r="D22" s="642"/>
      <c r="E22" s="63"/>
      <c r="F22" s="641"/>
      <c r="G22" s="616"/>
      <c r="H22" s="62"/>
      <c r="I22" s="67"/>
      <c r="J22" s="61"/>
      <c r="K22" s="59"/>
      <c r="L22" s="59"/>
      <c r="M22" s="60"/>
      <c r="N22" s="54"/>
      <c r="O22" s="55"/>
      <c r="P22" s="55"/>
      <c r="Q22" s="56"/>
      <c r="R22" s="247"/>
      <c r="S22" s="24"/>
      <c r="T22" s="25"/>
      <c r="U22" s="53"/>
    </row>
    <row r="23" spans="1:24" x14ac:dyDescent="0.2">
      <c r="A23" s="33">
        <f t="shared" si="0"/>
        <v>2010</v>
      </c>
      <c r="B23" s="30">
        <v>0</v>
      </c>
      <c r="C23" s="661">
        <f t="shared" ref="C23:C39" si="1">+C22+B23</f>
        <v>0</v>
      </c>
      <c r="D23" s="662">
        <v>0.64</v>
      </c>
      <c r="E23" s="210">
        <v>0</v>
      </c>
      <c r="F23" s="617">
        <v>5742</v>
      </c>
      <c r="G23" s="452">
        <f t="shared" ref="G23:H39" si="2">+$B23*D23/1000</f>
        <v>0</v>
      </c>
      <c r="H23" s="72">
        <f t="shared" si="2"/>
        <v>0</v>
      </c>
      <c r="I23" s="72">
        <f t="shared" ref="I23:I39" si="3">+$B23*F23/1000000</f>
        <v>0</v>
      </c>
      <c r="J23" s="61">
        <f t="shared" ref="J23:J39" si="4">+(B23+B22)/2</f>
        <v>0</v>
      </c>
      <c r="K23" s="651">
        <f t="shared" ref="K23:K39" si="5">+D23</f>
        <v>0.64</v>
      </c>
      <c r="L23" s="651">
        <f t="shared" ref="L23:L39" si="6">+J23*K23/1000</f>
        <v>0</v>
      </c>
      <c r="M23" s="652">
        <f t="shared" ref="M23:M39" si="7">+M22+L23</f>
        <v>0</v>
      </c>
      <c r="N23" s="54">
        <f t="shared" ref="N23:N39" si="8">+B22</f>
        <v>0</v>
      </c>
      <c r="O23" s="597">
        <f t="shared" ref="O23:O39" si="9">+E23</f>
        <v>0</v>
      </c>
      <c r="P23" s="597">
        <f t="shared" ref="P23:P39" si="10">+N23*O23/1000</f>
        <v>0</v>
      </c>
      <c r="Q23" s="653">
        <f t="shared" ref="Q23:Q39" si="11">+Q22+P23</f>
        <v>0</v>
      </c>
      <c r="R23" s="247">
        <f t="shared" ref="R23:R38" si="12">+(B23+B22)/2</f>
        <v>0</v>
      </c>
      <c r="S23" s="24">
        <f t="shared" ref="S23:S38" si="13">+F23</f>
        <v>5742</v>
      </c>
      <c r="T23" s="25">
        <f t="shared" ref="T23:T38" si="14">+R23*S23/1000000</f>
        <v>0</v>
      </c>
      <c r="U23" s="654">
        <f t="shared" ref="U23:U39" si="15">+U22+T23</f>
        <v>0</v>
      </c>
    </row>
    <row r="24" spans="1:24" x14ac:dyDescent="0.2">
      <c r="A24" s="33">
        <f t="shared" si="0"/>
        <v>2011</v>
      </c>
      <c r="B24" s="30">
        <v>0</v>
      </c>
      <c r="C24" s="661">
        <f t="shared" si="1"/>
        <v>0</v>
      </c>
      <c r="D24" s="662">
        <v>0.64</v>
      </c>
      <c r="E24" s="210">
        <v>0</v>
      </c>
      <c r="F24" s="617">
        <v>5742</v>
      </c>
      <c r="G24" s="452">
        <f t="shared" si="2"/>
        <v>0</v>
      </c>
      <c r="H24" s="72">
        <f t="shared" si="2"/>
        <v>0</v>
      </c>
      <c r="I24" s="72">
        <f t="shared" si="3"/>
        <v>0</v>
      </c>
      <c r="J24" s="61">
        <f t="shared" si="4"/>
        <v>0</v>
      </c>
      <c r="K24" s="651">
        <f t="shared" si="5"/>
        <v>0.64</v>
      </c>
      <c r="L24" s="651">
        <f t="shared" si="6"/>
        <v>0</v>
      </c>
      <c r="M24" s="652">
        <f t="shared" si="7"/>
        <v>0</v>
      </c>
      <c r="N24" s="54">
        <f t="shared" si="8"/>
        <v>0</v>
      </c>
      <c r="O24" s="597">
        <f t="shared" si="9"/>
        <v>0</v>
      </c>
      <c r="P24" s="597">
        <f t="shared" si="10"/>
        <v>0</v>
      </c>
      <c r="Q24" s="653">
        <f t="shared" si="11"/>
        <v>0</v>
      </c>
      <c r="R24" s="247">
        <f t="shared" si="12"/>
        <v>0</v>
      </c>
      <c r="S24" s="24">
        <f t="shared" si="13"/>
        <v>5742</v>
      </c>
      <c r="T24" s="25">
        <f t="shared" si="14"/>
        <v>0</v>
      </c>
      <c r="U24" s="654">
        <f t="shared" si="15"/>
        <v>0</v>
      </c>
    </row>
    <row r="25" spans="1:24" x14ac:dyDescent="0.2">
      <c r="A25" s="33">
        <f t="shared" si="0"/>
        <v>2012</v>
      </c>
      <c r="B25" s="30">
        <v>0</v>
      </c>
      <c r="C25" s="661">
        <f t="shared" si="1"/>
        <v>0</v>
      </c>
      <c r="D25" s="662">
        <v>0.64</v>
      </c>
      <c r="E25" s="210">
        <v>0</v>
      </c>
      <c r="F25" s="617">
        <v>5742</v>
      </c>
      <c r="G25" s="452">
        <f t="shared" si="2"/>
        <v>0</v>
      </c>
      <c r="H25" s="72">
        <f t="shared" si="2"/>
        <v>0</v>
      </c>
      <c r="I25" s="72">
        <f t="shared" si="3"/>
        <v>0</v>
      </c>
      <c r="J25" s="61">
        <f t="shared" si="4"/>
        <v>0</v>
      </c>
      <c r="K25" s="651">
        <f t="shared" si="5"/>
        <v>0.64</v>
      </c>
      <c r="L25" s="651">
        <f t="shared" si="6"/>
        <v>0</v>
      </c>
      <c r="M25" s="652">
        <f t="shared" si="7"/>
        <v>0</v>
      </c>
      <c r="N25" s="54">
        <f t="shared" si="8"/>
        <v>0</v>
      </c>
      <c r="O25" s="597">
        <f t="shared" si="9"/>
        <v>0</v>
      </c>
      <c r="P25" s="597">
        <f t="shared" si="10"/>
        <v>0</v>
      </c>
      <c r="Q25" s="653">
        <f t="shared" si="11"/>
        <v>0</v>
      </c>
      <c r="R25" s="247">
        <f t="shared" si="12"/>
        <v>0</v>
      </c>
      <c r="S25" s="24">
        <f t="shared" si="13"/>
        <v>5742</v>
      </c>
      <c r="T25" s="25">
        <f t="shared" si="14"/>
        <v>0</v>
      </c>
      <c r="U25" s="654">
        <f t="shared" si="15"/>
        <v>0</v>
      </c>
    </row>
    <row r="26" spans="1:24" s="831" customFormat="1" x14ac:dyDescent="0.2">
      <c r="A26" s="33">
        <f t="shared" si="0"/>
        <v>2013</v>
      </c>
      <c r="B26" s="30">
        <v>0</v>
      </c>
      <c r="C26" s="619">
        <f t="shared" si="1"/>
        <v>0</v>
      </c>
      <c r="D26" s="807">
        <f t="shared" ref="D26:F27" si="16">+D25</f>
        <v>0.64</v>
      </c>
      <c r="E26" s="210">
        <f t="shared" si="16"/>
        <v>0</v>
      </c>
      <c r="F26" s="806">
        <f t="shared" si="16"/>
        <v>5742</v>
      </c>
      <c r="G26" s="452">
        <f t="shared" si="2"/>
        <v>0</v>
      </c>
      <c r="H26" s="72">
        <f t="shared" si="2"/>
        <v>0</v>
      </c>
      <c r="I26" s="72">
        <f t="shared" si="3"/>
        <v>0</v>
      </c>
      <c r="J26" s="61">
        <f t="shared" si="4"/>
        <v>0</v>
      </c>
      <c r="K26" s="651">
        <f t="shared" si="5"/>
        <v>0.64</v>
      </c>
      <c r="L26" s="651">
        <f t="shared" si="6"/>
        <v>0</v>
      </c>
      <c r="M26" s="652">
        <f t="shared" si="7"/>
        <v>0</v>
      </c>
      <c r="N26" s="54">
        <f t="shared" si="8"/>
        <v>0</v>
      </c>
      <c r="O26" s="597">
        <f t="shared" si="9"/>
        <v>0</v>
      </c>
      <c r="P26" s="597">
        <f t="shared" si="10"/>
        <v>0</v>
      </c>
      <c r="Q26" s="653">
        <f t="shared" si="11"/>
        <v>0</v>
      </c>
      <c r="R26" s="247">
        <f t="shared" si="12"/>
        <v>0</v>
      </c>
      <c r="S26" s="24">
        <f t="shared" si="13"/>
        <v>5742</v>
      </c>
      <c r="T26" s="25">
        <f t="shared" si="14"/>
        <v>0</v>
      </c>
      <c r="U26" s="654">
        <f t="shared" si="15"/>
        <v>0</v>
      </c>
      <c r="V26" s="830"/>
    </row>
    <row r="27" spans="1:24" ht="13.5" thickBot="1" x14ac:dyDescent="0.25">
      <c r="A27" s="701">
        <f t="shared" si="0"/>
        <v>2014</v>
      </c>
      <c r="B27" s="702">
        <v>0</v>
      </c>
      <c r="C27" s="703">
        <f t="shared" si="1"/>
        <v>0</v>
      </c>
      <c r="D27" s="835">
        <f t="shared" si="16"/>
        <v>0.64</v>
      </c>
      <c r="E27" s="704">
        <f t="shared" si="16"/>
        <v>0</v>
      </c>
      <c r="F27" s="705">
        <f t="shared" si="16"/>
        <v>5742</v>
      </c>
      <c r="G27" s="706">
        <f t="shared" si="2"/>
        <v>0</v>
      </c>
      <c r="H27" s="707">
        <f t="shared" si="2"/>
        <v>0</v>
      </c>
      <c r="I27" s="707">
        <f t="shared" si="3"/>
        <v>0</v>
      </c>
      <c r="J27" s="708">
        <f t="shared" si="4"/>
        <v>0</v>
      </c>
      <c r="K27" s="709">
        <f t="shared" si="5"/>
        <v>0.64</v>
      </c>
      <c r="L27" s="709">
        <f t="shared" si="6"/>
        <v>0</v>
      </c>
      <c r="M27" s="710">
        <f t="shared" si="7"/>
        <v>0</v>
      </c>
      <c r="N27" s="711">
        <f t="shared" si="8"/>
        <v>0</v>
      </c>
      <c r="O27" s="712">
        <f t="shared" si="9"/>
        <v>0</v>
      </c>
      <c r="P27" s="712">
        <f t="shared" si="10"/>
        <v>0</v>
      </c>
      <c r="Q27" s="713">
        <f t="shared" si="11"/>
        <v>0</v>
      </c>
      <c r="R27" s="714">
        <f t="shared" si="12"/>
        <v>0</v>
      </c>
      <c r="S27" s="715">
        <f t="shared" si="13"/>
        <v>5742</v>
      </c>
      <c r="T27" s="716">
        <f t="shared" si="14"/>
        <v>0</v>
      </c>
      <c r="U27" s="717">
        <f t="shared" si="15"/>
        <v>0</v>
      </c>
    </row>
    <row r="28" spans="1:24" x14ac:dyDescent="0.2">
      <c r="A28" s="33">
        <f t="shared" si="0"/>
        <v>2015</v>
      </c>
      <c r="B28" s="1036"/>
      <c r="C28" s="565">
        <f t="shared" si="1"/>
        <v>0</v>
      </c>
      <c r="D28" s="1041"/>
      <c r="E28" s="1042"/>
      <c r="F28" s="1043"/>
      <c r="G28" s="473">
        <f t="shared" si="2"/>
        <v>0</v>
      </c>
      <c r="H28" s="474">
        <f t="shared" si="2"/>
        <v>0</v>
      </c>
      <c r="I28" s="474">
        <f t="shared" si="3"/>
        <v>0</v>
      </c>
      <c r="J28" s="61">
        <f t="shared" si="4"/>
        <v>0</v>
      </c>
      <c r="K28" s="967">
        <f t="shared" si="5"/>
        <v>0</v>
      </c>
      <c r="L28" s="967">
        <f t="shared" si="6"/>
        <v>0</v>
      </c>
      <c r="M28" s="967">
        <f t="shared" si="7"/>
        <v>0</v>
      </c>
      <c r="N28" s="54">
        <f t="shared" si="8"/>
        <v>0</v>
      </c>
      <c r="O28" s="968">
        <f t="shared" si="9"/>
        <v>0</v>
      </c>
      <c r="P28" s="968">
        <f t="shared" si="10"/>
        <v>0</v>
      </c>
      <c r="Q28" s="969">
        <f t="shared" si="11"/>
        <v>0</v>
      </c>
      <c r="R28" s="247">
        <f t="shared" si="12"/>
        <v>0</v>
      </c>
      <c r="S28" s="24">
        <f t="shared" si="13"/>
        <v>0</v>
      </c>
      <c r="T28" s="970">
        <f t="shared" si="14"/>
        <v>0</v>
      </c>
      <c r="U28" s="971">
        <f t="shared" si="15"/>
        <v>0</v>
      </c>
    </row>
    <row r="29" spans="1:24" x14ac:dyDescent="0.2">
      <c r="A29" s="33">
        <f t="shared" si="0"/>
        <v>2016</v>
      </c>
      <c r="B29" s="1036"/>
      <c r="C29" s="565">
        <f t="shared" si="1"/>
        <v>0</v>
      </c>
      <c r="D29" s="1041"/>
      <c r="E29" s="1042"/>
      <c r="F29" s="1043"/>
      <c r="G29" s="473">
        <f t="shared" si="2"/>
        <v>0</v>
      </c>
      <c r="H29" s="474">
        <f t="shared" si="2"/>
        <v>0</v>
      </c>
      <c r="I29" s="474">
        <f t="shared" si="3"/>
        <v>0</v>
      </c>
      <c r="J29" s="61">
        <f t="shared" si="4"/>
        <v>0</v>
      </c>
      <c r="K29" s="967">
        <f t="shared" si="5"/>
        <v>0</v>
      </c>
      <c r="L29" s="967">
        <f t="shared" si="6"/>
        <v>0</v>
      </c>
      <c r="M29" s="967">
        <f t="shared" si="7"/>
        <v>0</v>
      </c>
      <c r="N29" s="54">
        <f t="shared" si="8"/>
        <v>0</v>
      </c>
      <c r="O29" s="968">
        <f t="shared" si="9"/>
        <v>0</v>
      </c>
      <c r="P29" s="968">
        <f t="shared" si="10"/>
        <v>0</v>
      </c>
      <c r="Q29" s="969">
        <f t="shared" si="11"/>
        <v>0</v>
      </c>
      <c r="R29" s="247">
        <f t="shared" si="12"/>
        <v>0</v>
      </c>
      <c r="S29" s="24">
        <f t="shared" si="13"/>
        <v>0</v>
      </c>
      <c r="T29" s="970">
        <f t="shared" si="14"/>
        <v>0</v>
      </c>
      <c r="U29" s="971">
        <f t="shared" si="15"/>
        <v>0</v>
      </c>
    </row>
    <row r="30" spans="1:24" x14ac:dyDescent="0.2">
      <c r="A30" s="33">
        <f t="shared" si="0"/>
        <v>2017</v>
      </c>
      <c r="B30" s="1036"/>
      <c r="C30" s="565">
        <f t="shared" si="1"/>
        <v>0</v>
      </c>
      <c r="D30" s="1041"/>
      <c r="E30" s="1042"/>
      <c r="F30" s="1043"/>
      <c r="G30" s="473">
        <f t="shared" si="2"/>
        <v>0</v>
      </c>
      <c r="H30" s="474">
        <f t="shared" si="2"/>
        <v>0</v>
      </c>
      <c r="I30" s="474">
        <f t="shared" si="3"/>
        <v>0</v>
      </c>
      <c r="J30" s="61">
        <f t="shared" si="4"/>
        <v>0</v>
      </c>
      <c r="K30" s="967">
        <f t="shared" si="5"/>
        <v>0</v>
      </c>
      <c r="L30" s="967">
        <f t="shared" si="6"/>
        <v>0</v>
      </c>
      <c r="M30" s="967">
        <f t="shared" si="7"/>
        <v>0</v>
      </c>
      <c r="N30" s="54">
        <f t="shared" si="8"/>
        <v>0</v>
      </c>
      <c r="O30" s="968">
        <f t="shared" si="9"/>
        <v>0</v>
      </c>
      <c r="P30" s="968">
        <f t="shared" si="10"/>
        <v>0</v>
      </c>
      <c r="Q30" s="969">
        <f t="shared" si="11"/>
        <v>0</v>
      </c>
      <c r="R30" s="247">
        <f t="shared" si="12"/>
        <v>0</v>
      </c>
      <c r="S30" s="24">
        <f t="shared" si="13"/>
        <v>0</v>
      </c>
      <c r="T30" s="970">
        <f t="shared" si="14"/>
        <v>0</v>
      </c>
      <c r="U30" s="971">
        <f t="shared" si="15"/>
        <v>0</v>
      </c>
    </row>
    <row r="31" spans="1:24" x14ac:dyDescent="0.2">
      <c r="A31" s="33">
        <f t="shared" si="0"/>
        <v>2018</v>
      </c>
      <c r="B31" s="1036"/>
      <c r="C31" s="565">
        <f t="shared" si="1"/>
        <v>0</v>
      </c>
      <c r="D31" s="1041"/>
      <c r="E31" s="1042"/>
      <c r="F31" s="1043"/>
      <c r="G31" s="473">
        <f t="shared" si="2"/>
        <v>0</v>
      </c>
      <c r="H31" s="474">
        <f t="shared" si="2"/>
        <v>0</v>
      </c>
      <c r="I31" s="474">
        <f t="shared" si="3"/>
        <v>0</v>
      </c>
      <c r="J31" s="61">
        <f t="shared" si="4"/>
        <v>0</v>
      </c>
      <c r="K31" s="967">
        <f t="shared" si="5"/>
        <v>0</v>
      </c>
      <c r="L31" s="967">
        <f t="shared" si="6"/>
        <v>0</v>
      </c>
      <c r="M31" s="967">
        <f t="shared" si="7"/>
        <v>0</v>
      </c>
      <c r="N31" s="54">
        <f t="shared" si="8"/>
        <v>0</v>
      </c>
      <c r="O31" s="968">
        <f t="shared" si="9"/>
        <v>0</v>
      </c>
      <c r="P31" s="968">
        <f t="shared" si="10"/>
        <v>0</v>
      </c>
      <c r="Q31" s="969">
        <f t="shared" si="11"/>
        <v>0</v>
      </c>
      <c r="R31" s="247">
        <f t="shared" si="12"/>
        <v>0</v>
      </c>
      <c r="S31" s="24">
        <f t="shared" si="13"/>
        <v>0</v>
      </c>
      <c r="T31" s="970">
        <f t="shared" si="14"/>
        <v>0</v>
      </c>
      <c r="U31" s="971">
        <f t="shared" si="15"/>
        <v>0</v>
      </c>
    </row>
    <row r="32" spans="1:24" x14ac:dyDescent="0.2">
      <c r="A32" s="33">
        <f t="shared" si="0"/>
        <v>2019</v>
      </c>
      <c r="B32" s="1036"/>
      <c r="C32" s="565">
        <f t="shared" si="1"/>
        <v>0</v>
      </c>
      <c r="D32" s="1041"/>
      <c r="E32" s="1042"/>
      <c r="F32" s="1043"/>
      <c r="G32" s="473">
        <f t="shared" si="2"/>
        <v>0</v>
      </c>
      <c r="H32" s="474">
        <f t="shared" si="2"/>
        <v>0</v>
      </c>
      <c r="I32" s="474">
        <f t="shared" si="3"/>
        <v>0</v>
      </c>
      <c r="J32" s="61">
        <f t="shared" si="4"/>
        <v>0</v>
      </c>
      <c r="K32" s="967">
        <f t="shared" si="5"/>
        <v>0</v>
      </c>
      <c r="L32" s="967">
        <f t="shared" si="6"/>
        <v>0</v>
      </c>
      <c r="M32" s="967">
        <f t="shared" si="7"/>
        <v>0</v>
      </c>
      <c r="N32" s="54">
        <f t="shared" si="8"/>
        <v>0</v>
      </c>
      <c r="O32" s="968">
        <f t="shared" si="9"/>
        <v>0</v>
      </c>
      <c r="P32" s="968">
        <f t="shared" si="10"/>
        <v>0</v>
      </c>
      <c r="Q32" s="969">
        <f t="shared" si="11"/>
        <v>0</v>
      </c>
      <c r="R32" s="247">
        <f t="shared" si="12"/>
        <v>0</v>
      </c>
      <c r="S32" s="24">
        <f t="shared" si="13"/>
        <v>0</v>
      </c>
      <c r="T32" s="970">
        <f t="shared" si="14"/>
        <v>0</v>
      </c>
      <c r="U32" s="971">
        <f t="shared" si="15"/>
        <v>0</v>
      </c>
    </row>
    <row r="33" spans="1:21" x14ac:dyDescent="0.2">
      <c r="A33" s="33">
        <f t="shared" si="0"/>
        <v>2020</v>
      </c>
      <c r="B33" s="1038"/>
      <c r="C33" s="565">
        <f t="shared" si="1"/>
        <v>0</v>
      </c>
      <c r="D33" s="1041"/>
      <c r="E33" s="1042"/>
      <c r="F33" s="1043"/>
      <c r="G33" s="473">
        <f t="shared" si="2"/>
        <v>0</v>
      </c>
      <c r="H33" s="474">
        <f t="shared" si="2"/>
        <v>0</v>
      </c>
      <c r="I33" s="474">
        <f t="shared" si="3"/>
        <v>0</v>
      </c>
      <c r="J33" s="61">
        <f t="shared" si="4"/>
        <v>0</v>
      </c>
      <c r="K33" s="967">
        <f t="shared" si="5"/>
        <v>0</v>
      </c>
      <c r="L33" s="967">
        <f t="shared" si="6"/>
        <v>0</v>
      </c>
      <c r="M33" s="967">
        <f t="shared" si="7"/>
        <v>0</v>
      </c>
      <c r="N33" s="54">
        <f t="shared" si="8"/>
        <v>0</v>
      </c>
      <c r="O33" s="968">
        <f t="shared" si="9"/>
        <v>0</v>
      </c>
      <c r="P33" s="968">
        <f t="shared" si="10"/>
        <v>0</v>
      </c>
      <c r="Q33" s="969">
        <f t="shared" si="11"/>
        <v>0</v>
      </c>
      <c r="R33" s="247">
        <f t="shared" si="12"/>
        <v>0</v>
      </c>
      <c r="S33" s="24">
        <f t="shared" si="13"/>
        <v>0</v>
      </c>
      <c r="T33" s="970">
        <f t="shared" si="14"/>
        <v>0</v>
      </c>
      <c r="U33" s="971">
        <f t="shared" si="15"/>
        <v>0</v>
      </c>
    </row>
    <row r="34" spans="1:21" x14ac:dyDescent="0.2">
      <c r="A34" s="33">
        <f t="shared" si="0"/>
        <v>2021</v>
      </c>
      <c r="B34" s="1038"/>
      <c r="C34" s="565">
        <f t="shared" si="1"/>
        <v>0</v>
      </c>
      <c r="D34" s="1041"/>
      <c r="E34" s="1042"/>
      <c r="F34" s="1043"/>
      <c r="G34" s="473">
        <f t="shared" si="2"/>
        <v>0</v>
      </c>
      <c r="H34" s="474">
        <f t="shared" si="2"/>
        <v>0</v>
      </c>
      <c r="I34" s="474">
        <f t="shared" si="3"/>
        <v>0</v>
      </c>
      <c r="J34" s="61">
        <f t="shared" si="4"/>
        <v>0</v>
      </c>
      <c r="K34" s="967">
        <f t="shared" si="5"/>
        <v>0</v>
      </c>
      <c r="L34" s="967">
        <f t="shared" si="6"/>
        <v>0</v>
      </c>
      <c r="M34" s="967">
        <f t="shared" si="7"/>
        <v>0</v>
      </c>
      <c r="N34" s="54">
        <f t="shared" si="8"/>
        <v>0</v>
      </c>
      <c r="O34" s="968">
        <f t="shared" si="9"/>
        <v>0</v>
      </c>
      <c r="P34" s="968">
        <f t="shared" si="10"/>
        <v>0</v>
      </c>
      <c r="Q34" s="969">
        <f t="shared" si="11"/>
        <v>0</v>
      </c>
      <c r="R34" s="247">
        <f t="shared" si="12"/>
        <v>0</v>
      </c>
      <c r="S34" s="24">
        <f t="shared" si="13"/>
        <v>0</v>
      </c>
      <c r="T34" s="970">
        <f t="shared" si="14"/>
        <v>0</v>
      </c>
      <c r="U34" s="971">
        <f t="shared" si="15"/>
        <v>0</v>
      </c>
    </row>
    <row r="35" spans="1:21" x14ac:dyDescent="0.2">
      <c r="A35" s="33">
        <f t="shared" si="0"/>
        <v>2022</v>
      </c>
      <c r="B35" s="1038"/>
      <c r="C35" s="565">
        <f t="shared" si="1"/>
        <v>0</v>
      </c>
      <c r="D35" s="1041"/>
      <c r="E35" s="1042"/>
      <c r="F35" s="1043"/>
      <c r="G35" s="473">
        <f t="shared" si="2"/>
        <v>0</v>
      </c>
      <c r="H35" s="474">
        <f t="shared" si="2"/>
        <v>0</v>
      </c>
      <c r="I35" s="474">
        <f t="shared" si="3"/>
        <v>0</v>
      </c>
      <c r="J35" s="61">
        <f t="shared" si="4"/>
        <v>0</v>
      </c>
      <c r="K35" s="967">
        <f t="shared" si="5"/>
        <v>0</v>
      </c>
      <c r="L35" s="967">
        <f t="shared" si="6"/>
        <v>0</v>
      </c>
      <c r="M35" s="967">
        <f t="shared" si="7"/>
        <v>0</v>
      </c>
      <c r="N35" s="54">
        <f t="shared" si="8"/>
        <v>0</v>
      </c>
      <c r="O35" s="968">
        <f t="shared" si="9"/>
        <v>0</v>
      </c>
      <c r="P35" s="968">
        <f t="shared" si="10"/>
        <v>0</v>
      </c>
      <c r="Q35" s="969">
        <f t="shared" si="11"/>
        <v>0</v>
      </c>
      <c r="R35" s="247">
        <f t="shared" si="12"/>
        <v>0</v>
      </c>
      <c r="S35" s="24">
        <f t="shared" si="13"/>
        <v>0</v>
      </c>
      <c r="T35" s="970">
        <f t="shared" si="14"/>
        <v>0</v>
      </c>
      <c r="U35" s="971">
        <f t="shared" si="15"/>
        <v>0</v>
      </c>
    </row>
    <row r="36" spans="1:21" x14ac:dyDescent="0.2">
      <c r="A36" s="33">
        <f t="shared" si="0"/>
        <v>2023</v>
      </c>
      <c r="B36" s="1038"/>
      <c r="C36" s="565">
        <f t="shared" si="1"/>
        <v>0</v>
      </c>
      <c r="D36" s="1041"/>
      <c r="E36" s="1042"/>
      <c r="F36" s="1043"/>
      <c r="G36" s="473">
        <f t="shared" si="2"/>
        <v>0</v>
      </c>
      <c r="H36" s="474">
        <f t="shared" si="2"/>
        <v>0</v>
      </c>
      <c r="I36" s="474">
        <f t="shared" si="3"/>
        <v>0</v>
      </c>
      <c r="J36" s="61">
        <f t="shared" si="4"/>
        <v>0</v>
      </c>
      <c r="K36" s="967">
        <f t="shared" si="5"/>
        <v>0</v>
      </c>
      <c r="L36" s="967">
        <f t="shared" si="6"/>
        <v>0</v>
      </c>
      <c r="M36" s="967">
        <f t="shared" si="7"/>
        <v>0</v>
      </c>
      <c r="N36" s="54">
        <f t="shared" si="8"/>
        <v>0</v>
      </c>
      <c r="O36" s="968">
        <f t="shared" si="9"/>
        <v>0</v>
      </c>
      <c r="P36" s="968">
        <f t="shared" si="10"/>
        <v>0</v>
      </c>
      <c r="Q36" s="969">
        <f t="shared" si="11"/>
        <v>0</v>
      </c>
      <c r="R36" s="247">
        <f t="shared" si="12"/>
        <v>0</v>
      </c>
      <c r="S36" s="24">
        <f t="shared" si="13"/>
        <v>0</v>
      </c>
      <c r="T36" s="970">
        <f t="shared" si="14"/>
        <v>0</v>
      </c>
      <c r="U36" s="971">
        <f t="shared" si="15"/>
        <v>0</v>
      </c>
    </row>
    <row r="37" spans="1:21" x14ac:dyDescent="0.2">
      <c r="A37" s="33">
        <f t="shared" si="0"/>
        <v>2024</v>
      </c>
      <c r="B37" s="1038"/>
      <c r="C37" s="565">
        <f t="shared" si="1"/>
        <v>0</v>
      </c>
      <c r="D37" s="1041"/>
      <c r="E37" s="1042"/>
      <c r="F37" s="1043"/>
      <c r="G37" s="473">
        <f t="shared" si="2"/>
        <v>0</v>
      </c>
      <c r="H37" s="474">
        <f t="shared" si="2"/>
        <v>0</v>
      </c>
      <c r="I37" s="474">
        <f t="shared" si="3"/>
        <v>0</v>
      </c>
      <c r="J37" s="61">
        <f t="shared" si="4"/>
        <v>0</v>
      </c>
      <c r="K37" s="967">
        <f t="shared" si="5"/>
        <v>0</v>
      </c>
      <c r="L37" s="967">
        <f t="shared" si="6"/>
        <v>0</v>
      </c>
      <c r="M37" s="967">
        <f t="shared" si="7"/>
        <v>0</v>
      </c>
      <c r="N37" s="54">
        <f t="shared" si="8"/>
        <v>0</v>
      </c>
      <c r="O37" s="968">
        <f t="shared" si="9"/>
        <v>0</v>
      </c>
      <c r="P37" s="968">
        <f t="shared" si="10"/>
        <v>0</v>
      </c>
      <c r="Q37" s="969">
        <f t="shared" si="11"/>
        <v>0</v>
      </c>
      <c r="R37" s="247">
        <f t="shared" si="12"/>
        <v>0</v>
      </c>
      <c r="S37" s="24">
        <f t="shared" si="13"/>
        <v>0</v>
      </c>
      <c r="T37" s="970">
        <f t="shared" si="14"/>
        <v>0</v>
      </c>
      <c r="U37" s="971">
        <f t="shared" si="15"/>
        <v>0</v>
      </c>
    </row>
    <row r="38" spans="1:21" x14ac:dyDescent="0.2">
      <c r="A38" s="33">
        <f t="shared" si="0"/>
        <v>2025</v>
      </c>
      <c r="B38" s="1038"/>
      <c r="C38" s="565">
        <f t="shared" si="1"/>
        <v>0</v>
      </c>
      <c r="D38" s="1041"/>
      <c r="E38" s="1042"/>
      <c r="F38" s="1043"/>
      <c r="G38" s="473">
        <f t="shared" si="2"/>
        <v>0</v>
      </c>
      <c r="H38" s="474">
        <f t="shared" si="2"/>
        <v>0</v>
      </c>
      <c r="I38" s="474">
        <f t="shared" si="3"/>
        <v>0</v>
      </c>
      <c r="J38" s="61">
        <f t="shared" si="4"/>
        <v>0</v>
      </c>
      <c r="K38" s="967">
        <f t="shared" si="5"/>
        <v>0</v>
      </c>
      <c r="L38" s="967">
        <f t="shared" si="6"/>
        <v>0</v>
      </c>
      <c r="M38" s="967">
        <f t="shared" si="7"/>
        <v>0</v>
      </c>
      <c r="N38" s="54">
        <f t="shared" si="8"/>
        <v>0</v>
      </c>
      <c r="O38" s="968">
        <f t="shared" si="9"/>
        <v>0</v>
      </c>
      <c r="P38" s="968">
        <f t="shared" si="10"/>
        <v>0</v>
      </c>
      <c r="Q38" s="969">
        <f t="shared" si="11"/>
        <v>0</v>
      </c>
      <c r="R38" s="247">
        <f t="shared" si="12"/>
        <v>0</v>
      </c>
      <c r="S38" s="24">
        <f t="shared" si="13"/>
        <v>0</v>
      </c>
      <c r="T38" s="970">
        <f t="shared" si="14"/>
        <v>0</v>
      </c>
      <c r="U38" s="971">
        <f t="shared" si="15"/>
        <v>0</v>
      </c>
    </row>
    <row r="39" spans="1:21" x14ac:dyDescent="0.2">
      <c r="A39" s="33">
        <f t="shared" si="0"/>
        <v>2026</v>
      </c>
      <c r="B39" s="1038"/>
      <c r="C39" s="565">
        <f t="shared" si="1"/>
        <v>0</v>
      </c>
      <c r="D39" s="1041"/>
      <c r="E39" s="1042"/>
      <c r="F39" s="1043"/>
      <c r="G39" s="473">
        <f t="shared" si="2"/>
        <v>0</v>
      </c>
      <c r="H39" s="474">
        <f t="shared" si="2"/>
        <v>0</v>
      </c>
      <c r="I39" s="474">
        <f t="shared" si="3"/>
        <v>0</v>
      </c>
      <c r="J39" s="61">
        <f t="shared" si="4"/>
        <v>0</v>
      </c>
      <c r="K39" s="967">
        <f t="shared" si="5"/>
        <v>0</v>
      </c>
      <c r="L39" s="967">
        <f t="shared" si="6"/>
        <v>0</v>
      </c>
      <c r="M39" s="967">
        <f t="shared" si="7"/>
        <v>0</v>
      </c>
      <c r="N39" s="54">
        <f t="shared" si="8"/>
        <v>0</v>
      </c>
      <c r="O39" s="968">
        <f t="shared" si="9"/>
        <v>0</v>
      </c>
      <c r="P39" s="968">
        <f t="shared" si="10"/>
        <v>0</v>
      </c>
      <c r="Q39" s="969">
        <f t="shared" si="11"/>
        <v>0</v>
      </c>
      <c r="R39" s="247">
        <f>+(B39+B38)/2</f>
        <v>0</v>
      </c>
      <c r="S39" s="24">
        <f>+F39</f>
        <v>0</v>
      </c>
      <c r="T39" s="970">
        <f>+R39*S39/1000000</f>
        <v>0</v>
      </c>
      <c r="U39" s="971">
        <f t="shared" si="15"/>
        <v>0</v>
      </c>
    </row>
    <row r="40" spans="1:21" x14ac:dyDescent="0.2">
      <c r="A40" s="33">
        <f t="shared" si="0"/>
        <v>2027</v>
      </c>
      <c r="B40" s="1038"/>
      <c r="C40" s="565">
        <f>+C39+B40</f>
        <v>0</v>
      </c>
      <c r="D40" s="1041"/>
      <c r="E40" s="1042"/>
      <c r="F40" s="1043"/>
      <c r="G40" s="473">
        <f t="shared" ref="G40:H42" si="17">+$B40*D40/1000</f>
        <v>0</v>
      </c>
      <c r="H40" s="474">
        <f t="shared" si="17"/>
        <v>0</v>
      </c>
      <c r="I40" s="474">
        <f>+$B40*F40/1000000</f>
        <v>0</v>
      </c>
      <c r="J40" s="61">
        <f>+(B40+B39)/2</f>
        <v>0</v>
      </c>
      <c r="K40" s="967">
        <f>+D40</f>
        <v>0</v>
      </c>
      <c r="L40" s="967">
        <f>+J40*K40/1000</f>
        <v>0</v>
      </c>
      <c r="M40" s="967">
        <f>+M39+L40</f>
        <v>0</v>
      </c>
      <c r="N40" s="54">
        <f>+B39</f>
        <v>0</v>
      </c>
      <c r="O40" s="968">
        <f>+E40</f>
        <v>0</v>
      </c>
      <c r="P40" s="968">
        <f>+N40*O40/1000</f>
        <v>0</v>
      </c>
      <c r="Q40" s="969">
        <f>+Q39+P40</f>
        <v>0</v>
      </c>
      <c r="R40" s="247">
        <f>+(B40+B39)/2</f>
        <v>0</v>
      </c>
      <c r="S40" s="24">
        <f>+F40</f>
        <v>0</v>
      </c>
      <c r="T40" s="970">
        <f>+R40*S40/1000000</f>
        <v>0</v>
      </c>
      <c r="U40" s="971">
        <f>+U39+T40</f>
        <v>0</v>
      </c>
    </row>
    <row r="41" spans="1:21" x14ac:dyDescent="0.2">
      <c r="A41" s="33">
        <f t="shared" si="0"/>
        <v>2028</v>
      </c>
      <c r="B41" s="1038"/>
      <c r="C41" s="565">
        <f>+C40+B41</f>
        <v>0</v>
      </c>
      <c r="D41" s="1041"/>
      <c r="E41" s="1042"/>
      <c r="F41" s="1043"/>
      <c r="G41" s="473">
        <f t="shared" si="17"/>
        <v>0</v>
      </c>
      <c r="H41" s="474">
        <f t="shared" si="17"/>
        <v>0</v>
      </c>
      <c r="I41" s="474">
        <f>+$B41*F41/1000000</f>
        <v>0</v>
      </c>
      <c r="J41" s="61">
        <f>+(B41+B40)/2</f>
        <v>0</v>
      </c>
      <c r="K41" s="967">
        <f>+D41</f>
        <v>0</v>
      </c>
      <c r="L41" s="967">
        <f>+J41*K41/1000</f>
        <v>0</v>
      </c>
      <c r="M41" s="967">
        <f>+M40+L41</f>
        <v>0</v>
      </c>
      <c r="N41" s="54">
        <f>+B40</f>
        <v>0</v>
      </c>
      <c r="O41" s="968">
        <f>+E41</f>
        <v>0</v>
      </c>
      <c r="P41" s="968">
        <f>+N41*O41/1000</f>
        <v>0</v>
      </c>
      <c r="Q41" s="969">
        <f>+Q40+P41</f>
        <v>0</v>
      </c>
      <c r="R41" s="247">
        <f>+(B41+B40)/2</f>
        <v>0</v>
      </c>
      <c r="S41" s="24">
        <f>+F41</f>
        <v>0</v>
      </c>
      <c r="T41" s="970">
        <f>+R41*S41/1000000</f>
        <v>0</v>
      </c>
      <c r="U41" s="971">
        <f>+U40+T41</f>
        <v>0</v>
      </c>
    </row>
    <row r="42" spans="1:21" x14ac:dyDescent="0.2">
      <c r="A42" s="33">
        <f t="shared" si="0"/>
        <v>2029</v>
      </c>
      <c r="B42" s="1038"/>
      <c r="C42" s="565">
        <f>+C41+B42</f>
        <v>0</v>
      </c>
      <c r="D42" s="1041"/>
      <c r="E42" s="1042"/>
      <c r="F42" s="1043"/>
      <c r="G42" s="473">
        <f t="shared" si="17"/>
        <v>0</v>
      </c>
      <c r="H42" s="474">
        <f t="shared" si="17"/>
        <v>0</v>
      </c>
      <c r="I42" s="474">
        <f>+$B42*F42/1000000</f>
        <v>0</v>
      </c>
      <c r="J42" s="61">
        <f>+(B42+B41)/2</f>
        <v>0</v>
      </c>
      <c r="K42" s="967">
        <f>+D42</f>
        <v>0</v>
      </c>
      <c r="L42" s="967">
        <f>+J42*K42/1000</f>
        <v>0</v>
      </c>
      <c r="M42" s="967">
        <f>+M41+L42</f>
        <v>0</v>
      </c>
      <c r="N42" s="54">
        <f>+B41</f>
        <v>0</v>
      </c>
      <c r="O42" s="968">
        <f>+E42</f>
        <v>0</v>
      </c>
      <c r="P42" s="968">
        <f>+N42*O42/1000</f>
        <v>0</v>
      </c>
      <c r="Q42" s="969">
        <f>+Q41+P42</f>
        <v>0</v>
      </c>
      <c r="R42" s="247">
        <f>+(B42+B41)/2</f>
        <v>0</v>
      </c>
      <c r="S42" s="24">
        <f>+F42</f>
        <v>0</v>
      </c>
      <c r="T42" s="970">
        <f>+R42*S42/1000000</f>
        <v>0</v>
      </c>
      <c r="U42" s="971">
        <f>+U41+T42</f>
        <v>0</v>
      </c>
    </row>
    <row r="43" spans="1:21" x14ac:dyDescent="0.2">
      <c r="A43" s="33">
        <f t="shared" si="0"/>
        <v>2030</v>
      </c>
      <c r="B43" s="1038"/>
      <c r="C43" s="565">
        <f t="shared" ref="C43:C47" si="18">+C42+B43</f>
        <v>0</v>
      </c>
      <c r="D43" s="1041"/>
      <c r="E43" s="1042"/>
      <c r="F43" s="1043"/>
      <c r="G43" s="473">
        <f t="shared" ref="G43:G47" si="19">+$B43*D43/1000</f>
        <v>0</v>
      </c>
      <c r="H43" s="474">
        <f t="shared" ref="H43:H47" si="20">+$B43*E43/1000</f>
        <v>0</v>
      </c>
      <c r="I43" s="474">
        <f t="shared" ref="I43:I47" si="21">+$B43*F43/1000000</f>
        <v>0</v>
      </c>
      <c r="J43" s="61">
        <f t="shared" ref="J43:J47" si="22">+(B43+B42)/2</f>
        <v>0</v>
      </c>
      <c r="K43" s="967">
        <f t="shared" ref="K43:K47" si="23">+D43</f>
        <v>0</v>
      </c>
      <c r="L43" s="967">
        <f t="shared" ref="L43:L47" si="24">+J43*K43/1000</f>
        <v>0</v>
      </c>
      <c r="M43" s="967">
        <f t="shared" ref="M43:M47" si="25">+M42+L43</f>
        <v>0</v>
      </c>
      <c r="N43" s="54">
        <f t="shared" ref="N43:N47" si="26">+B42</f>
        <v>0</v>
      </c>
      <c r="O43" s="968">
        <f t="shared" ref="O43:O47" si="27">+E43</f>
        <v>0</v>
      </c>
      <c r="P43" s="968">
        <f t="shared" ref="P43:P47" si="28">+N43*O43/1000</f>
        <v>0</v>
      </c>
      <c r="Q43" s="969">
        <f t="shared" ref="Q43:Q47" si="29">+Q42+P43</f>
        <v>0</v>
      </c>
      <c r="R43" s="247">
        <f t="shared" ref="R43:R47" si="30">+(B43+B42)/2</f>
        <v>0</v>
      </c>
      <c r="S43" s="24">
        <f t="shared" ref="S43:S47" si="31">+F43</f>
        <v>0</v>
      </c>
      <c r="T43" s="970">
        <f t="shared" ref="T43:T47" si="32">+R43*S43/1000000</f>
        <v>0</v>
      </c>
      <c r="U43" s="971">
        <f t="shared" ref="U43:U47" si="33">+U42+T43</f>
        <v>0</v>
      </c>
    </row>
    <row r="44" spans="1:21" x14ac:dyDescent="0.2">
      <c r="A44" s="33">
        <f t="shared" si="0"/>
        <v>2031</v>
      </c>
      <c r="B44" s="1038"/>
      <c r="C44" s="565">
        <f t="shared" si="18"/>
        <v>0</v>
      </c>
      <c r="D44" s="1041"/>
      <c r="E44" s="1042"/>
      <c r="F44" s="1043"/>
      <c r="G44" s="473">
        <f t="shared" si="19"/>
        <v>0</v>
      </c>
      <c r="H44" s="474">
        <f t="shared" si="20"/>
        <v>0</v>
      </c>
      <c r="I44" s="474">
        <f t="shared" si="21"/>
        <v>0</v>
      </c>
      <c r="J44" s="61">
        <f t="shared" si="22"/>
        <v>0</v>
      </c>
      <c r="K44" s="967">
        <f t="shared" si="23"/>
        <v>0</v>
      </c>
      <c r="L44" s="967">
        <f t="shared" si="24"/>
        <v>0</v>
      </c>
      <c r="M44" s="967">
        <f t="shared" si="25"/>
        <v>0</v>
      </c>
      <c r="N44" s="54">
        <f t="shared" si="26"/>
        <v>0</v>
      </c>
      <c r="O44" s="968">
        <f t="shared" si="27"/>
        <v>0</v>
      </c>
      <c r="P44" s="968">
        <f t="shared" si="28"/>
        <v>0</v>
      </c>
      <c r="Q44" s="969">
        <f t="shared" si="29"/>
        <v>0</v>
      </c>
      <c r="R44" s="247">
        <f t="shared" si="30"/>
        <v>0</v>
      </c>
      <c r="S44" s="24">
        <f t="shared" si="31"/>
        <v>0</v>
      </c>
      <c r="T44" s="970">
        <f t="shared" si="32"/>
        <v>0</v>
      </c>
      <c r="U44" s="971">
        <f t="shared" si="33"/>
        <v>0</v>
      </c>
    </row>
    <row r="45" spans="1:21" x14ac:dyDescent="0.2">
      <c r="A45" s="33">
        <f t="shared" si="0"/>
        <v>2032</v>
      </c>
      <c r="B45" s="1038"/>
      <c r="C45" s="565">
        <f t="shared" si="18"/>
        <v>0</v>
      </c>
      <c r="D45" s="1041"/>
      <c r="E45" s="1042"/>
      <c r="F45" s="1043"/>
      <c r="G45" s="473">
        <f t="shared" si="19"/>
        <v>0</v>
      </c>
      <c r="H45" s="474">
        <f t="shared" si="20"/>
        <v>0</v>
      </c>
      <c r="I45" s="474">
        <f t="shared" si="21"/>
        <v>0</v>
      </c>
      <c r="J45" s="61">
        <f t="shared" si="22"/>
        <v>0</v>
      </c>
      <c r="K45" s="967">
        <f t="shared" si="23"/>
        <v>0</v>
      </c>
      <c r="L45" s="967">
        <f t="shared" si="24"/>
        <v>0</v>
      </c>
      <c r="M45" s="967">
        <f t="shared" si="25"/>
        <v>0</v>
      </c>
      <c r="N45" s="54">
        <f t="shared" si="26"/>
        <v>0</v>
      </c>
      <c r="O45" s="968">
        <f t="shared" si="27"/>
        <v>0</v>
      </c>
      <c r="P45" s="968">
        <f t="shared" si="28"/>
        <v>0</v>
      </c>
      <c r="Q45" s="969">
        <f t="shared" si="29"/>
        <v>0</v>
      </c>
      <c r="R45" s="247">
        <f t="shared" si="30"/>
        <v>0</v>
      </c>
      <c r="S45" s="24">
        <f t="shared" si="31"/>
        <v>0</v>
      </c>
      <c r="T45" s="970">
        <f t="shared" si="32"/>
        <v>0</v>
      </c>
      <c r="U45" s="971">
        <f t="shared" si="33"/>
        <v>0</v>
      </c>
    </row>
    <row r="46" spans="1:21" x14ac:dyDescent="0.2">
      <c r="A46" s="33">
        <f t="shared" si="0"/>
        <v>2033</v>
      </c>
      <c r="B46" s="1038"/>
      <c r="C46" s="565">
        <f t="shared" si="18"/>
        <v>0</v>
      </c>
      <c r="D46" s="1041"/>
      <c r="E46" s="1042"/>
      <c r="F46" s="1043"/>
      <c r="G46" s="473">
        <f t="shared" si="19"/>
        <v>0</v>
      </c>
      <c r="H46" s="474">
        <f t="shared" si="20"/>
        <v>0</v>
      </c>
      <c r="I46" s="474">
        <f t="shared" si="21"/>
        <v>0</v>
      </c>
      <c r="J46" s="61">
        <f t="shared" si="22"/>
        <v>0</v>
      </c>
      <c r="K46" s="967">
        <f t="shared" si="23"/>
        <v>0</v>
      </c>
      <c r="L46" s="967">
        <f t="shared" si="24"/>
        <v>0</v>
      </c>
      <c r="M46" s="967">
        <f t="shared" si="25"/>
        <v>0</v>
      </c>
      <c r="N46" s="54">
        <f t="shared" si="26"/>
        <v>0</v>
      </c>
      <c r="O46" s="968">
        <f t="shared" si="27"/>
        <v>0</v>
      </c>
      <c r="P46" s="968">
        <f t="shared" si="28"/>
        <v>0</v>
      </c>
      <c r="Q46" s="969">
        <f t="shared" si="29"/>
        <v>0</v>
      </c>
      <c r="R46" s="247">
        <f t="shared" si="30"/>
        <v>0</v>
      </c>
      <c r="S46" s="24">
        <f t="shared" si="31"/>
        <v>0</v>
      </c>
      <c r="T46" s="970">
        <f t="shared" si="32"/>
        <v>0</v>
      </c>
      <c r="U46" s="971">
        <f t="shared" si="33"/>
        <v>0</v>
      </c>
    </row>
    <row r="47" spans="1:21" x14ac:dyDescent="0.2">
      <c r="A47" s="33">
        <f t="shared" si="0"/>
        <v>2034</v>
      </c>
      <c r="B47" s="1038"/>
      <c r="C47" s="565">
        <f t="shared" si="18"/>
        <v>0</v>
      </c>
      <c r="D47" s="1041"/>
      <c r="E47" s="1042"/>
      <c r="F47" s="1043"/>
      <c r="G47" s="473">
        <f t="shared" si="19"/>
        <v>0</v>
      </c>
      <c r="H47" s="474">
        <f t="shared" si="20"/>
        <v>0</v>
      </c>
      <c r="I47" s="474">
        <f t="shared" si="21"/>
        <v>0</v>
      </c>
      <c r="J47" s="61">
        <f t="shared" si="22"/>
        <v>0</v>
      </c>
      <c r="K47" s="967">
        <f t="shared" si="23"/>
        <v>0</v>
      </c>
      <c r="L47" s="967">
        <f t="shared" si="24"/>
        <v>0</v>
      </c>
      <c r="M47" s="967">
        <f t="shared" si="25"/>
        <v>0</v>
      </c>
      <c r="N47" s="54">
        <f t="shared" si="26"/>
        <v>0</v>
      </c>
      <c r="O47" s="968">
        <f t="shared" si="27"/>
        <v>0</v>
      </c>
      <c r="P47" s="968">
        <f t="shared" si="28"/>
        <v>0</v>
      </c>
      <c r="Q47" s="969">
        <f t="shared" si="29"/>
        <v>0</v>
      </c>
      <c r="R47" s="247">
        <f t="shared" si="30"/>
        <v>0</v>
      </c>
      <c r="S47" s="24">
        <f t="shared" si="31"/>
        <v>0</v>
      </c>
      <c r="T47" s="970">
        <f t="shared" si="32"/>
        <v>0</v>
      </c>
      <c r="U47" s="971">
        <f t="shared" si="33"/>
        <v>0</v>
      </c>
    </row>
    <row r="48" spans="1:21" x14ac:dyDescent="0.2">
      <c r="B48" s="1038">
        <f>B47</f>
        <v>0</v>
      </c>
      <c r="C48" s="565">
        <f t="shared" ref="C48:C54" si="34">+C47+B48</f>
        <v>0</v>
      </c>
      <c r="D48" s="1041"/>
      <c r="E48" s="1042"/>
      <c r="F48" s="1043"/>
      <c r="G48" s="473">
        <f t="shared" ref="G48:G54" si="35">+$B48*D48/1000</f>
        <v>0</v>
      </c>
      <c r="H48" s="474">
        <f t="shared" ref="H48:H54" si="36">+$B48*E48/1000</f>
        <v>0</v>
      </c>
      <c r="I48" s="474">
        <f t="shared" ref="I48:I54" si="37">+$B48*F48/1000000</f>
        <v>0</v>
      </c>
      <c r="J48" s="61">
        <f t="shared" ref="J48:J54" si="38">+(B48+B47)/2</f>
        <v>0</v>
      </c>
      <c r="K48" s="967">
        <f t="shared" ref="K48:K54" si="39">+D48</f>
        <v>0</v>
      </c>
      <c r="L48" s="967">
        <f t="shared" ref="L48:L54" si="40">+J48*K48/1000</f>
        <v>0</v>
      </c>
      <c r="M48" s="967">
        <f t="shared" ref="M48:M54" si="41">+M47+L48</f>
        <v>0</v>
      </c>
      <c r="N48" s="54">
        <f t="shared" ref="N48:N54" si="42">+B47</f>
        <v>0</v>
      </c>
      <c r="O48" s="968">
        <f t="shared" ref="O48:O54" si="43">+E48</f>
        <v>0</v>
      </c>
      <c r="P48" s="968">
        <f t="shared" ref="P48:P54" si="44">+N48*O48/1000</f>
        <v>0</v>
      </c>
      <c r="Q48" s="969">
        <f t="shared" ref="Q48:Q54" si="45">+Q47+P48</f>
        <v>0</v>
      </c>
      <c r="R48" s="247">
        <f t="shared" ref="R48:R54" si="46">+(B48+B47)/2</f>
        <v>0</v>
      </c>
      <c r="S48" s="24">
        <f t="shared" ref="S48:S54" si="47">+F48</f>
        <v>0</v>
      </c>
      <c r="T48" s="970">
        <f t="shared" ref="T48:T54" si="48">+R48*S48/1000000</f>
        <v>0</v>
      </c>
      <c r="U48" s="971">
        <f t="shared" ref="U48:U54" si="49">+U47+T48</f>
        <v>0</v>
      </c>
    </row>
    <row r="49" spans="1:21" x14ac:dyDescent="0.2">
      <c r="A49" s="33">
        <f t="shared" si="0"/>
        <v>1</v>
      </c>
      <c r="B49" s="1038">
        <f t="shared" ref="B49:B54" si="50">B48</f>
        <v>0</v>
      </c>
      <c r="C49" s="565">
        <f t="shared" si="34"/>
        <v>0</v>
      </c>
      <c r="D49" s="1041"/>
      <c r="E49" s="1042"/>
      <c r="F49" s="1043"/>
      <c r="G49" s="473">
        <f t="shared" si="35"/>
        <v>0</v>
      </c>
      <c r="H49" s="474">
        <f t="shared" si="36"/>
        <v>0</v>
      </c>
      <c r="I49" s="474">
        <f t="shared" si="37"/>
        <v>0</v>
      </c>
      <c r="J49" s="61">
        <f t="shared" si="38"/>
        <v>0</v>
      </c>
      <c r="K49" s="967">
        <f t="shared" si="39"/>
        <v>0</v>
      </c>
      <c r="L49" s="967">
        <f t="shared" si="40"/>
        <v>0</v>
      </c>
      <c r="M49" s="967">
        <f t="shared" si="41"/>
        <v>0</v>
      </c>
      <c r="N49" s="54">
        <f t="shared" si="42"/>
        <v>0</v>
      </c>
      <c r="O49" s="968">
        <f t="shared" si="43"/>
        <v>0</v>
      </c>
      <c r="P49" s="968">
        <f t="shared" si="44"/>
        <v>0</v>
      </c>
      <c r="Q49" s="969">
        <f t="shared" si="45"/>
        <v>0</v>
      </c>
      <c r="R49" s="247">
        <f t="shared" si="46"/>
        <v>0</v>
      </c>
      <c r="S49" s="24">
        <f t="shared" si="47"/>
        <v>0</v>
      </c>
      <c r="T49" s="970">
        <f t="shared" si="48"/>
        <v>0</v>
      </c>
      <c r="U49" s="971">
        <f t="shared" si="49"/>
        <v>0</v>
      </c>
    </row>
    <row r="50" spans="1:21" x14ac:dyDescent="0.2">
      <c r="A50" s="33">
        <f t="shared" si="0"/>
        <v>2</v>
      </c>
      <c r="B50" s="1038">
        <f t="shared" si="50"/>
        <v>0</v>
      </c>
      <c r="C50" s="565">
        <f t="shared" si="34"/>
        <v>0</v>
      </c>
      <c r="D50" s="1041"/>
      <c r="E50" s="1042"/>
      <c r="F50" s="1043"/>
      <c r="G50" s="473">
        <f t="shared" si="35"/>
        <v>0</v>
      </c>
      <c r="H50" s="474">
        <f t="shared" si="36"/>
        <v>0</v>
      </c>
      <c r="I50" s="474">
        <f t="shared" si="37"/>
        <v>0</v>
      </c>
      <c r="J50" s="61">
        <f t="shared" si="38"/>
        <v>0</v>
      </c>
      <c r="K50" s="967">
        <f t="shared" si="39"/>
        <v>0</v>
      </c>
      <c r="L50" s="967">
        <f t="shared" si="40"/>
        <v>0</v>
      </c>
      <c r="M50" s="967">
        <f t="shared" si="41"/>
        <v>0</v>
      </c>
      <c r="N50" s="54">
        <f t="shared" si="42"/>
        <v>0</v>
      </c>
      <c r="O50" s="968">
        <f t="shared" si="43"/>
        <v>0</v>
      </c>
      <c r="P50" s="968">
        <f t="shared" si="44"/>
        <v>0</v>
      </c>
      <c r="Q50" s="969">
        <f t="shared" si="45"/>
        <v>0</v>
      </c>
      <c r="R50" s="247">
        <f t="shared" si="46"/>
        <v>0</v>
      </c>
      <c r="S50" s="24">
        <f t="shared" si="47"/>
        <v>0</v>
      </c>
      <c r="T50" s="970">
        <f t="shared" si="48"/>
        <v>0</v>
      </c>
      <c r="U50" s="971">
        <f t="shared" si="49"/>
        <v>0</v>
      </c>
    </row>
    <row r="51" spans="1:21" x14ac:dyDescent="0.2">
      <c r="B51" s="1038">
        <f t="shared" si="50"/>
        <v>0</v>
      </c>
      <c r="C51" s="565">
        <f t="shared" si="34"/>
        <v>0</v>
      </c>
      <c r="D51" s="1041"/>
      <c r="E51" s="1042"/>
      <c r="F51" s="1043"/>
      <c r="G51" s="473">
        <f t="shared" si="35"/>
        <v>0</v>
      </c>
      <c r="H51" s="474">
        <f t="shared" si="36"/>
        <v>0</v>
      </c>
      <c r="I51" s="474">
        <f t="shared" si="37"/>
        <v>0</v>
      </c>
      <c r="J51" s="61">
        <f t="shared" si="38"/>
        <v>0</v>
      </c>
      <c r="K51" s="967">
        <f t="shared" si="39"/>
        <v>0</v>
      </c>
      <c r="L51" s="967">
        <f t="shared" si="40"/>
        <v>0</v>
      </c>
      <c r="M51" s="967">
        <f t="shared" si="41"/>
        <v>0</v>
      </c>
      <c r="N51" s="54">
        <f t="shared" si="42"/>
        <v>0</v>
      </c>
      <c r="O51" s="968">
        <f t="shared" si="43"/>
        <v>0</v>
      </c>
      <c r="P51" s="968">
        <f t="shared" si="44"/>
        <v>0</v>
      </c>
      <c r="Q51" s="969">
        <f t="shared" si="45"/>
        <v>0</v>
      </c>
      <c r="R51" s="247">
        <f t="shared" si="46"/>
        <v>0</v>
      </c>
      <c r="S51" s="24">
        <f t="shared" si="47"/>
        <v>0</v>
      </c>
      <c r="T51" s="970">
        <f t="shared" si="48"/>
        <v>0</v>
      </c>
      <c r="U51" s="971">
        <f t="shared" si="49"/>
        <v>0</v>
      </c>
    </row>
    <row r="52" spans="1:21" x14ac:dyDescent="0.2">
      <c r="A52" s="33">
        <f t="shared" si="0"/>
        <v>1</v>
      </c>
      <c r="B52" s="1038">
        <f t="shared" si="50"/>
        <v>0</v>
      </c>
      <c r="C52" s="565">
        <f t="shared" si="34"/>
        <v>0</v>
      </c>
      <c r="D52" s="1041"/>
      <c r="E52" s="1042"/>
      <c r="F52" s="1043"/>
      <c r="G52" s="473">
        <f t="shared" si="35"/>
        <v>0</v>
      </c>
      <c r="H52" s="474">
        <f t="shared" si="36"/>
        <v>0</v>
      </c>
      <c r="I52" s="474">
        <f t="shared" si="37"/>
        <v>0</v>
      </c>
      <c r="J52" s="61">
        <f t="shared" si="38"/>
        <v>0</v>
      </c>
      <c r="K52" s="967">
        <f t="shared" si="39"/>
        <v>0</v>
      </c>
      <c r="L52" s="967">
        <f t="shared" si="40"/>
        <v>0</v>
      </c>
      <c r="M52" s="967">
        <f t="shared" si="41"/>
        <v>0</v>
      </c>
      <c r="N52" s="54">
        <f t="shared" si="42"/>
        <v>0</v>
      </c>
      <c r="O52" s="968">
        <f t="shared" si="43"/>
        <v>0</v>
      </c>
      <c r="P52" s="968">
        <f t="shared" si="44"/>
        <v>0</v>
      </c>
      <c r="Q52" s="969">
        <f t="shared" si="45"/>
        <v>0</v>
      </c>
      <c r="R52" s="247">
        <f t="shared" si="46"/>
        <v>0</v>
      </c>
      <c r="S52" s="24">
        <f t="shared" si="47"/>
        <v>0</v>
      </c>
      <c r="T52" s="970">
        <f t="shared" si="48"/>
        <v>0</v>
      </c>
      <c r="U52" s="971">
        <f t="shared" si="49"/>
        <v>0</v>
      </c>
    </row>
    <row r="53" spans="1:21" x14ac:dyDescent="0.2">
      <c r="A53" s="33">
        <f t="shared" si="0"/>
        <v>2</v>
      </c>
      <c r="B53" s="1038">
        <f t="shared" si="50"/>
        <v>0</v>
      </c>
      <c r="C53" s="565">
        <f t="shared" si="34"/>
        <v>0</v>
      </c>
      <c r="D53" s="1041"/>
      <c r="E53" s="1042"/>
      <c r="F53" s="1043"/>
      <c r="G53" s="473">
        <f t="shared" si="35"/>
        <v>0</v>
      </c>
      <c r="H53" s="474">
        <f t="shared" si="36"/>
        <v>0</v>
      </c>
      <c r="I53" s="474">
        <f t="shared" si="37"/>
        <v>0</v>
      </c>
      <c r="J53" s="61">
        <f t="shared" si="38"/>
        <v>0</v>
      </c>
      <c r="K53" s="967">
        <f t="shared" si="39"/>
        <v>0</v>
      </c>
      <c r="L53" s="967">
        <f t="shared" si="40"/>
        <v>0</v>
      </c>
      <c r="M53" s="967">
        <f t="shared" si="41"/>
        <v>0</v>
      </c>
      <c r="N53" s="54">
        <f t="shared" si="42"/>
        <v>0</v>
      </c>
      <c r="O53" s="968">
        <f t="shared" si="43"/>
        <v>0</v>
      </c>
      <c r="P53" s="968">
        <f t="shared" si="44"/>
        <v>0</v>
      </c>
      <c r="Q53" s="969">
        <f t="shared" si="45"/>
        <v>0</v>
      </c>
      <c r="R53" s="247">
        <f t="shared" si="46"/>
        <v>0</v>
      </c>
      <c r="S53" s="24">
        <f t="shared" si="47"/>
        <v>0</v>
      </c>
      <c r="T53" s="970">
        <f t="shared" si="48"/>
        <v>0</v>
      </c>
      <c r="U53" s="971">
        <f t="shared" si="49"/>
        <v>0</v>
      </c>
    </row>
    <row r="54" spans="1:21" x14ac:dyDescent="0.2">
      <c r="B54" s="1038">
        <f t="shared" si="50"/>
        <v>0</v>
      </c>
      <c r="C54" s="565">
        <f t="shared" si="34"/>
        <v>0</v>
      </c>
      <c r="D54" s="1041"/>
      <c r="E54" s="1042"/>
      <c r="F54" s="1043"/>
      <c r="G54" s="473">
        <f t="shared" si="35"/>
        <v>0</v>
      </c>
      <c r="H54" s="474">
        <f t="shared" si="36"/>
        <v>0</v>
      </c>
      <c r="I54" s="474">
        <f t="shared" si="37"/>
        <v>0</v>
      </c>
      <c r="J54" s="61">
        <f t="shared" si="38"/>
        <v>0</v>
      </c>
      <c r="K54" s="967">
        <f t="shared" si="39"/>
        <v>0</v>
      </c>
      <c r="L54" s="967">
        <f t="shared" si="40"/>
        <v>0</v>
      </c>
      <c r="M54" s="967">
        <f t="shared" si="41"/>
        <v>0</v>
      </c>
      <c r="N54" s="54">
        <f t="shared" si="42"/>
        <v>0</v>
      </c>
      <c r="O54" s="968">
        <f t="shared" si="43"/>
        <v>0</v>
      </c>
      <c r="P54" s="968">
        <f t="shared" si="44"/>
        <v>0</v>
      </c>
      <c r="Q54" s="969">
        <f t="shared" si="45"/>
        <v>0</v>
      </c>
      <c r="R54" s="247">
        <f t="shared" si="46"/>
        <v>0</v>
      </c>
      <c r="S54" s="24">
        <f t="shared" si="47"/>
        <v>0</v>
      </c>
      <c r="T54" s="970">
        <f t="shared" si="48"/>
        <v>0</v>
      </c>
      <c r="U54" s="971">
        <f t="shared" si="49"/>
        <v>0</v>
      </c>
    </row>
    <row r="55" spans="1:21" x14ac:dyDescent="0.2">
      <c r="A55" s="69" t="s">
        <v>38</v>
      </c>
    </row>
    <row r="56" spans="1:21" x14ac:dyDescent="0.2">
      <c r="A56" s="69" t="s">
        <v>39</v>
      </c>
    </row>
    <row r="57" spans="1:21" x14ac:dyDescent="0.2">
      <c r="A57" s="86" t="s">
        <v>57</v>
      </c>
    </row>
    <row r="58" spans="1:21" x14ac:dyDescent="0.2">
      <c r="A58" s="86" t="s">
        <v>58</v>
      </c>
    </row>
  </sheetData>
  <mergeCells count="5">
    <mergeCell ref="G3:I3"/>
    <mergeCell ref="B4:I4"/>
    <mergeCell ref="J4:M4"/>
    <mergeCell ref="N4:Q4"/>
    <mergeCell ref="R4:U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X59"/>
  <sheetViews>
    <sheetView topLeftCell="A14" workbookViewId="0">
      <selection activeCell="M37" sqref="M37"/>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333</v>
      </c>
      <c r="D2" s="27"/>
      <c r="E2" s="27"/>
      <c r="F2" s="23"/>
      <c r="G2" s="23"/>
      <c r="H2" s="23"/>
      <c r="I2" s="23"/>
      <c r="J2" s="23"/>
      <c r="K2" s="4"/>
      <c r="L2" s="4"/>
      <c r="M2" s="4"/>
      <c r="N2" s="4"/>
    </row>
    <row r="3" spans="1:24" ht="16.5" thickBot="1" x14ac:dyDescent="0.3">
      <c r="A3" s="476" t="s">
        <v>247</v>
      </c>
      <c r="C3" s="249"/>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644"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32"/>
      <c r="D6" s="628"/>
      <c r="E6" s="15"/>
      <c r="F6" s="31"/>
      <c r="G6" s="208"/>
      <c r="H6" s="15"/>
      <c r="I6" s="31"/>
      <c r="J6" s="37"/>
      <c r="K6" s="59"/>
      <c r="L6" s="6"/>
      <c r="M6" s="46"/>
      <c r="N6" s="40"/>
      <c r="O6" s="55"/>
      <c r="P6" s="57"/>
      <c r="Q6" s="41"/>
      <c r="R6" s="43"/>
      <c r="S6" s="24"/>
      <c r="T6" s="21"/>
      <c r="U6" s="47"/>
      <c r="V6" s="3"/>
    </row>
    <row r="7" spans="1:24" s="1" customFormat="1" ht="15.75" customHeight="1" x14ac:dyDescent="0.2">
      <c r="A7" s="68" t="s">
        <v>63</v>
      </c>
      <c r="B7" s="30"/>
      <c r="C7" s="632"/>
      <c r="D7" s="628"/>
      <c r="E7" s="15"/>
      <c r="F7" s="31"/>
      <c r="G7" s="208"/>
      <c r="H7" s="15"/>
      <c r="I7" s="31"/>
      <c r="J7" s="37"/>
      <c r="K7" s="59"/>
      <c r="L7" s="6"/>
      <c r="M7" s="46"/>
      <c r="N7" s="40"/>
      <c r="O7" s="55"/>
      <c r="P7" s="57"/>
      <c r="Q7" s="41"/>
      <c r="R7" s="43"/>
      <c r="S7" s="24"/>
      <c r="T7" s="21"/>
      <c r="U7" s="47"/>
      <c r="V7" s="3"/>
    </row>
    <row r="8" spans="1:24" x14ac:dyDescent="0.2">
      <c r="A8" s="33">
        <v>1995</v>
      </c>
      <c r="B8" s="30"/>
      <c r="C8" s="565"/>
      <c r="D8" s="642"/>
      <c r="E8" s="63"/>
      <c r="F8" s="641"/>
      <c r="G8" s="643"/>
      <c r="H8" s="87"/>
      <c r="I8" s="88"/>
      <c r="J8" s="61"/>
      <c r="K8" s="59"/>
      <c r="L8" s="59"/>
      <c r="M8" s="60"/>
      <c r="N8" s="51"/>
      <c r="O8" s="55"/>
      <c r="P8" s="55"/>
      <c r="Q8" s="56"/>
      <c r="R8" s="247"/>
      <c r="S8" s="24"/>
      <c r="T8" s="25"/>
      <c r="U8" s="53"/>
      <c r="V8" s="248"/>
      <c r="X8" s="1"/>
    </row>
    <row r="9" spans="1:24" x14ac:dyDescent="0.2">
      <c r="A9" s="33">
        <v>1996</v>
      </c>
      <c r="B9" s="30"/>
      <c r="C9" s="565"/>
      <c r="D9" s="642"/>
      <c r="E9" s="63"/>
      <c r="F9" s="641"/>
      <c r="G9" s="616"/>
      <c r="H9" s="62"/>
      <c r="I9" s="67"/>
      <c r="J9" s="61"/>
      <c r="K9" s="59"/>
      <c r="L9" s="59"/>
      <c r="M9" s="60"/>
      <c r="N9" s="54"/>
      <c r="O9" s="55"/>
      <c r="P9" s="55"/>
      <c r="Q9" s="56"/>
      <c r="R9" s="247"/>
      <c r="S9" s="24"/>
      <c r="T9" s="25"/>
      <c r="U9" s="53"/>
      <c r="V9" s="10"/>
      <c r="X9" s="1"/>
    </row>
    <row r="10" spans="1:24" x14ac:dyDescent="0.2">
      <c r="A10" s="33">
        <v>1997</v>
      </c>
      <c r="B10" s="30"/>
      <c r="C10" s="565"/>
      <c r="D10" s="642"/>
      <c r="E10" s="63"/>
      <c r="F10" s="641"/>
      <c r="G10" s="616"/>
      <c r="H10" s="62"/>
      <c r="I10" s="67"/>
      <c r="J10" s="61"/>
      <c r="K10" s="59"/>
      <c r="L10" s="59"/>
      <c r="M10" s="60"/>
      <c r="N10" s="54"/>
      <c r="O10" s="55"/>
      <c r="P10" s="55"/>
      <c r="Q10" s="56"/>
      <c r="R10" s="247"/>
      <c r="S10" s="24"/>
      <c r="T10" s="25"/>
      <c r="U10" s="53"/>
      <c r="V10" s="10"/>
      <c r="X10" s="1"/>
    </row>
    <row r="11" spans="1:24" x14ac:dyDescent="0.2">
      <c r="A11" s="33">
        <v>1998</v>
      </c>
      <c r="B11" s="30"/>
      <c r="C11" s="565"/>
      <c r="D11" s="642"/>
      <c r="E11" s="63"/>
      <c r="F11" s="641"/>
      <c r="G11" s="616"/>
      <c r="H11" s="62"/>
      <c r="I11" s="67"/>
      <c r="J11" s="61"/>
      <c r="K11" s="59"/>
      <c r="L11" s="59"/>
      <c r="M11" s="60"/>
      <c r="N11" s="54"/>
      <c r="O11" s="55"/>
      <c r="P11" s="55"/>
      <c r="Q11" s="56"/>
      <c r="R11" s="247"/>
      <c r="S11" s="24"/>
      <c r="T11" s="25"/>
      <c r="U11" s="53"/>
      <c r="V11" s="10"/>
      <c r="X11" s="1"/>
    </row>
    <row r="12" spans="1:24" x14ac:dyDescent="0.2">
      <c r="A12" s="33">
        <v>1999</v>
      </c>
      <c r="B12" s="30"/>
      <c r="C12" s="565"/>
      <c r="D12" s="642"/>
      <c r="E12" s="63"/>
      <c r="F12" s="641"/>
      <c r="G12" s="616"/>
      <c r="H12" s="62"/>
      <c r="I12" s="67"/>
      <c r="J12" s="61"/>
      <c r="K12" s="59"/>
      <c r="L12" s="59"/>
      <c r="M12" s="60"/>
      <c r="N12" s="54"/>
      <c r="O12" s="55"/>
      <c r="P12" s="55"/>
      <c r="Q12" s="56"/>
      <c r="R12" s="247"/>
      <c r="S12" s="24"/>
      <c r="T12" s="25"/>
      <c r="U12" s="53"/>
      <c r="V12" s="10"/>
      <c r="X12" s="1"/>
    </row>
    <row r="13" spans="1:24" x14ac:dyDescent="0.2">
      <c r="A13" s="33">
        <v>2000</v>
      </c>
      <c r="B13" s="30"/>
      <c r="C13" s="565"/>
      <c r="D13" s="642"/>
      <c r="E13" s="63"/>
      <c r="F13" s="641"/>
      <c r="G13" s="616"/>
      <c r="H13" s="62"/>
      <c r="I13" s="67"/>
      <c r="J13" s="61"/>
      <c r="K13" s="59"/>
      <c r="L13" s="59"/>
      <c r="M13" s="60"/>
      <c r="N13" s="54"/>
      <c r="O13" s="55"/>
      <c r="P13" s="55"/>
      <c r="Q13" s="56"/>
      <c r="R13" s="247"/>
      <c r="S13" s="24"/>
      <c r="T13" s="25"/>
      <c r="U13" s="53"/>
      <c r="V13" s="248"/>
      <c r="X13" s="1"/>
    </row>
    <row r="14" spans="1:24" x14ac:dyDescent="0.2">
      <c r="A14" s="33">
        <v>2001</v>
      </c>
      <c r="B14" s="30"/>
      <c r="C14" s="565"/>
      <c r="D14" s="642"/>
      <c r="E14" s="63"/>
      <c r="F14" s="641"/>
      <c r="G14" s="616"/>
      <c r="H14" s="62"/>
      <c r="I14" s="67"/>
      <c r="J14" s="61"/>
      <c r="K14" s="59"/>
      <c r="L14" s="59"/>
      <c r="M14" s="60"/>
      <c r="N14" s="54"/>
      <c r="O14" s="55"/>
      <c r="P14" s="55"/>
      <c r="Q14" s="56"/>
      <c r="R14" s="247"/>
      <c r="S14" s="24"/>
      <c r="T14" s="25"/>
      <c r="U14" s="53"/>
      <c r="V14" s="248"/>
      <c r="X14" s="1"/>
    </row>
    <row r="15" spans="1:24" x14ac:dyDescent="0.2">
      <c r="A15" s="33">
        <v>2002</v>
      </c>
      <c r="B15" s="30"/>
      <c r="C15" s="565"/>
      <c r="D15" s="642"/>
      <c r="E15" s="63"/>
      <c r="F15" s="641"/>
      <c r="G15" s="616"/>
      <c r="H15" s="62"/>
      <c r="I15" s="67"/>
      <c r="J15" s="61"/>
      <c r="K15" s="59"/>
      <c r="L15" s="59"/>
      <c r="M15" s="60"/>
      <c r="N15" s="54"/>
      <c r="O15" s="55"/>
      <c r="P15" s="55"/>
      <c r="Q15" s="56"/>
      <c r="R15" s="247"/>
      <c r="S15" s="24"/>
      <c r="T15" s="25"/>
      <c r="U15" s="53"/>
      <c r="V15" s="248"/>
      <c r="X15" s="1"/>
    </row>
    <row r="16" spans="1:24" x14ac:dyDescent="0.2">
      <c r="A16" s="33">
        <v>2003</v>
      </c>
      <c r="B16" s="30"/>
      <c r="C16" s="565"/>
      <c r="D16" s="642"/>
      <c r="E16" s="63"/>
      <c r="F16" s="641"/>
      <c r="G16" s="616"/>
      <c r="H16" s="62"/>
      <c r="I16" s="67"/>
      <c r="J16" s="61"/>
      <c r="K16" s="59"/>
      <c r="L16" s="59"/>
      <c r="M16" s="60"/>
      <c r="N16" s="54"/>
      <c r="O16" s="55"/>
      <c r="P16" s="55"/>
      <c r="Q16" s="56"/>
      <c r="R16" s="247"/>
      <c r="S16" s="24"/>
      <c r="T16" s="25"/>
      <c r="U16" s="53"/>
      <c r="V16" s="248"/>
      <c r="X16" s="1"/>
    </row>
    <row r="17" spans="1:24" x14ac:dyDescent="0.2">
      <c r="A17" s="33">
        <f t="shared" ref="A17:A54" si="0">+A16+1</f>
        <v>2004</v>
      </c>
      <c r="B17" s="30"/>
      <c r="C17" s="565"/>
      <c r="D17" s="642"/>
      <c r="E17" s="63"/>
      <c r="F17" s="641"/>
      <c r="G17" s="616"/>
      <c r="H17" s="62"/>
      <c r="I17" s="67"/>
      <c r="J17" s="61"/>
      <c r="K17" s="59"/>
      <c r="L17" s="59"/>
      <c r="M17" s="60"/>
      <c r="N17" s="54"/>
      <c r="O17" s="55"/>
      <c r="P17" s="55"/>
      <c r="Q17" s="56"/>
      <c r="R17" s="247"/>
      <c r="S17" s="24"/>
      <c r="T17" s="25"/>
      <c r="U17" s="53"/>
      <c r="V17" s="248"/>
      <c r="X17" s="1"/>
    </row>
    <row r="18" spans="1:24" x14ac:dyDescent="0.2">
      <c r="A18" s="33">
        <f t="shared" si="0"/>
        <v>2005</v>
      </c>
      <c r="B18" s="30"/>
      <c r="C18" s="565"/>
      <c r="D18" s="642"/>
      <c r="E18" s="63"/>
      <c r="F18" s="641"/>
      <c r="G18" s="616"/>
      <c r="H18" s="62"/>
      <c r="I18" s="67"/>
      <c r="J18" s="61"/>
      <c r="K18" s="59"/>
      <c r="L18" s="59"/>
      <c r="M18" s="60"/>
      <c r="N18" s="54"/>
      <c r="O18" s="55"/>
      <c r="P18" s="55"/>
      <c r="Q18" s="56"/>
      <c r="R18" s="247"/>
      <c r="S18" s="24"/>
      <c r="T18" s="25"/>
      <c r="U18" s="53"/>
      <c r="V18" s="248"/>
      <c r="X18" s="1"/>
    </row>
    <row r="19" spans="1:24" x14ac:dyDescent="0.2">
      <c r="A19" s="33">
        <f t="shared" si="0"/>
        <v>2006</v>
      </c>
      <c r="B19" s="30"/>
      <c r="C19" s="565"/>
      <c r="D19" s="642"/>
      <c r="E19" s="63"/>
      <c r="F19" s="641"/>
      <c r="G19" s="616"/>
      <c r="H19" s="62"/>
      <c r="I19" s="67"/>
      <c r="J19" s="61"/>
      <c r="K19" s="59"/>
      <c r="L19" s="59"/>
      <c r="M19" s="60"/>
      <c r="N19" s="54"/>
      <c r="O19" s="55"/>
      <c r="P19" s="55"/>
      <c r="Q19" s="56"/>
      <c r="R19" s="247"/>
      <c r="S19" s="24"/>
      <c r="T19" s="25"/>
      <c r="U19" s="53"/>
      <c r="V19" s="8"/>
      <c r="X19" s="1"/>
    </row>
    <row r="20" spans="1:24" x14ac:dyDescent="0.2">
      <c r="A20" s="33">
        <f t="shared" si="0"/>
        <v>2007</v>
      </c>
      <c r="B20" s="30"/>
      <c r="C20" s="565"/>
      <c r="D20" s="642"/>
      <c r="E20" s="63"/>
      <c r="F20" s="641"/>
      <c r="G20" s="616"/>
      <c r="H20" s="62"/>
      <c r="I20" s="62"/>
      <c r="J20" s="61"/>
      <c r="K20" s="59"/>
      <c r="L20" s="59"/>
      <c r="M20" s="60"/>
      <c r="N20" s="54"/>
      <c r="O20" s="55"/>
      <c r="P20" s="55"/>
      <c r="Q20" s="56"/>
      <c r="R20" s="247"/>
      <c r="S20" s="24"/>
      <c r="T20" s="25"/>
      <c r="U20" s="53"/>
    </row>
    <row r="21" spans="1:24" x14ac:dyDescent="0.2">
      <c r="A21" s="33">
        <f t="shared" si="0"/>
        <v>2008</v>
      </c>
      <c r="B21" s="30"/>
      <c r="C21" s="565"/>
      <c r="D21" s="642"/>
      <c r="E21" s="63"/>
      <c r="F21" s="641"/>
      <c r="G21" s="616"/>
      <c r="H21" s="62"/>
      <c r="I21" s="67"/>
      <c r="J21" s="61"/>
      <c r="K21" s="59"/>
      <c r="L21" s="59"/>
      <c r="M21" s="60"/>
      <c r="N21" s="54"/>
      <c r="O21" s="55"/>
      <c r="P21" s="55"/>
      <c r="Q21" s="56"/>
      <c r="R21" s="247"/>
      <c r="S21" s="24"/>
      <c r="T21" s="25"/>
      <c r="U21" s="53"/>
    </row>
    <row r="22" spans="1:24" x14ac:dyDescent="0.2">
      <c r="A22" s="33">
        <f t="shared" si="0"/>
        <v>2009</v>
      </c>
      <c r="B22" s="30"/>
      <c r="C22" s="565"/>
      <c r="D22" s="642"/>
      <c r="E22" s="63"/>
      <c r="F22" s="641"/>
      <c r="G22" s="616"/>
      <c r="H22" s="62"/>
      <c r="I22" s="67"/>
      <c r="J22" s="61"/>
      <c r="K22" s="59"/>
      <c r="L22" s="59"/>
      <c r="M22" s="60"/>
      <c r="N22" s="54"/>
      <c r="O22" s="55"/>
      <c r="P22" s="55"/>
      <c r="Q22" s="56"/>
      <c r="R22" s="247"/>
      <c r="S22" s="24"/>
      <c r="T22" s="25"/>
      <c r="U22" s="53"/>
    </row>
    <row r="23" spans="1:24" x14ac:dyDescent="0.2">
      <c r="A23" s="33">
        <f t="shared" si="0"/>
        <v>2010</v>
      </c>
      <c r="B23" s="50">
        <v>0</v>
      </c>
      <c r="C23" s="633">
        <f t="shared" ref="C23:C39" si="1">+C22+B23</f>
        <v>0</v>
      </c>
      <c r="D23" s="807">
        <v>5.6</v>
      </c>
      <c r="E23" s="210">
        <v>0</v>
      </c>
      <c r="F23" s="617">
        <v>15768</v>
      </c>
      <c r="G23" s="626">
        <f t="shared" ref="G23:H39" si="2">+$B23*D23/1000</f>
        <v>0</v>
      </c>
      <c r="H23" s="72">
        <f t="shared" si="2"/>
        <v>0</v>
      </c>
      <c r="I23" s="72">
        <f t="shared" ref="I23:I39" si="3">+$B23*F23/1000000</f>
        <v>0</v>
      </c>
      <c r="J23" s="61">
        <f t="shared" ref="J23:J39" si="4">+(B23+B22)/2</f>
        <v>0</v>
      </c>
      <c r="K23" s="651">
        <f t="shared" ref="K23:K39" si="5">+D23</f>
        <v>5.6</v>
      </c>
      <c r="L23" s="651">
        <f t="shared" ref="L23:L39" si="6">+J23*K23/1000</f>
        <v>0</v>
      </c>
      <c r="M23" s="652">
        <f t="shared" ref="M23:M39" si="7">+M22+L23</f>
        <v>0</v>
      </c>
      <c r="N23" s="54">
        <f t="shared" ref="N23:N39" si="8">+B22</f>
        <v>0</v>
      </c>
      <c r="O23" s="597">
        <f t="shared" ref="O23:O39" si="9">+E23</f>
        <v>0</v>
      </c>
      <c r="P23" s="597">
        <f t="shared" ref="P23:P39" si="10">+N23*O23/1000</f>
        <v>0</v>
      </c>
      <c r="Q23" s="653">
        <f t="shared" ref="Q23:Q39" si="11">+Q22+P23</f>
        <v>0</v>
      </c>
      <c r="R23" s="247">
        <f t="shared" ref="R23:R38" si="12">+(B23+B22)/2</f>
        <v>0</v>
      </c>
      <c r="S23" s="24">
        <f t="shared" ref="S23:S38" si="13">+F23</f>
        <v>15768</v>
      </c>
      <c r="T23" s="25">
        <f t="shared" ref="T23:T38" si="14">+R23*S23/1000000</f>
        <v>0</v>
      </c>
      <c r="U23" s="654">
        <f t="shared" ref="U23:U39" si="15">+U22+T23</f>
        <v>0</v>
      </c>
    </row>
    <row r="24" spans="1:24" x14ac:dyDescent="0.2">
      <c r="A24" s="33">
        <f t="shared" si="0"/>
        <v>2011</v>
      </c>
      <c r="B24" s="30">
        <v>8</v>
      </c>
      <c r="C24" s="633">
        <f t="shared" si="1"/>
        <v>8</v>
      </c>
      <c r="D24" s="807">
        <v>5.19</v>
      </c>
      <c r="E24" s="210">
        <f t="shared" ref="E24:E27" si="16">+E23</f>
        <v>0</v>
      </c>
      <c r="F24" s="617">
        <v>14617</v>
      </c>
      <c r="G24" s="626">
        <f t="shared" si="2"/>
        <v>4.1520000000000001E-2</v>
      </c>
      <c r="H24" s="72">
        <f t="shared" si="2"/>
        <v>0</v>
      </c>
      <c r="I24" s="72">
        <f t="shared" si="3"/>
        <v>0.116936</v>
      </c>
      <c r="J24" s="61">
        <f t="shared" si="4"/>
        <v>4</v>
      </c>
      <c r="K24" s="651">
        <f t="shared" si="5"/>
        <v>5.19</v>
      </c>
      <c r="L24" s="651">
        <f t="shared" si="6"/>
        <v>2.0760000000000001E-2</v>
      </c>
      <c r="M24" s="652">
        <f t="shared" si="7"/>
        <v>2.0760000000000001E-2</v>
      </c>
      <c r="N24" s="54">
        <f t="shared" si="8"/>
        <v>0</v>
      </c>
      <c r="O24" s="597">
        <f t="shared" si="9"/>
        <v>0</v>
      </c>
      <c r="P24" s="597">
        <f t="shared" si="10"/>
        <v>0</v>
      </c>
      <c r="Q24" s="653">
        <f t="shared" si="11"/>
        <v>0</v>
      </c>
      <c r="R24" s="247">
        <f t="shared" si="12"/>
        <v>4</v>
      </c>
      <c r="S24" s="24">
        <f t="shared" si="13"/>
        <v>14617</v>
      </c>
      <c r="T24" s="25">
        <f t="shared" si="14"/>
        <v>5.8467999999999999E-2</v>
      </c>
      <c r="U24" s="654">
        <f t="shared" si="15"/>
        <v>5.8467999999999999E-2</v>
      </c>
    </row>
    <row r="25" spans="1:24" x14ac:dyDescent="0.2">
      <c r="A25" s="33">
        <f t="shared" si="0"/>
        <v>2012</v>
      </c>
      <c r="B25" s="30">
        <v>7</v>
      </c>
      <c r="C25" s="633">
        <f t="shared" si="1"/>
        <v>15</v>
      </c>
      <c r="D25" s="807">
        <v>4.88</v>
      </c>
      <c r="E25" s="210">
        <f t="shared" si="16"/>
        <v>0</v>
      </c>
      <c r="F25" s="617">
        <v>13741</v>
      </c>
      <c r="G25" s="626">
        <f t="shared" si="2"/>
        <v>3.4159999999999996E-2</v>
      </c>
      <c r="H25" s="72">
        <f t="shared" si="2"/>
        <v>0</v>
      </c>
      <c r="I25" s="72">
        <f t="shared" si="3"/>
        <v>9.6186999999999995E-2</v>
      </c>
      <c r="J25" s="61">
        <f t="shared" si="4"/>
        <v>7.5</v>
      </c>
      <c r="K25" s="651">
        <f t="shared" si="5"/>
        <v>4.88</v>
      </c>
      <c r="L25" s="651">
        <f t="shared" si="6"/>
        <v>3.6600000000000001E-2</v>
      </c>
      <c r="M25" s="652">
        <f t="shared" si="7"/>
        <v>5.7360000000000001E-2</v>
      </c>
      <c r="N25" s="54">
        <f t="shared" si="8"/>
        <v>8</v>
      </c>
      <c r="O25" s="597">
        <f t="shared" si="9"/>
        <v>0</v>
      </c>
      <c r="P25" s="597">
        <f t="shared" si="10"/>
        <v>0</v>
      </c>
      <c r="Q25" s="653">
        <f t="shared" si="11"/>
        <v>0</v>
      </c>
      <c r="R25" s="247">
        <f t="shared" si="12"/>
        <v>7.5</v>
      </c>
      <c r="S25" s="24">
        <f t="shared" si="13"/>
        <v>13741</v>
      </c>
      <c r="T25" s="25">
        <f t="shared" si="14"/>
        <v>0.1030575</v>
      </c>
      <c r="U25" s="654">
        <f t="shared" si="15"/>
        <v>0.16152549999999999</v>
      </c>
    </row>
    <row r="26" spans="1:24" s="831" customFormat="1" x14ac:dyDescent="0.2">
      <c r="A26" s="33">
        <f t="shared" si="0"/>
        <v>2013</v>
      </c>
      <c r="B26" s="30">
        <v>9</v>
      </c>
      <c r="C26" s="633">
        <f t="shared" si="1"/>
        <v>24</v>
      </c>
      <c r="D26" s="807">
        <v>7.66</v>
      </c>
      <c r="E26" s="210">
        <f t="shared" si="16"/>
        <v>0</v>
      </c>
      <c r="F26" s="806">
        <v>21570</v>
      </c>
      <c r="G26" s="626">
        <f t="shared" si="2"/>
        <v>6.8940000000000001E-2</v>
      </c>
      <c r="H26" s="72">
        <f t="shared" si="2"/>
        <v>0</v>
      </c>
      <c r="I26" s="72">
        <f t="shared" si="3"/>
        <v>0.19413</v>
      </c>
      <c r="J26" s="61">
        <f t="shared" si="4"/>
        <v>8</v>
      </c>
      <c r="K26" s="651">
        <f t="shared" si="5"/>
        <v>7.66</v>
      </c>
      <c r="L26" s="651">
        <f t="shared" si="6"/>
        <v>6.1280000000000001E-2</v>
      </c>
      <c r="M26" s="652">
        <f t="shared" si="7"/>
        <v>0.11864</v>
      </c>
      <c r="N26" s="54">
        <f t="shared" si="8"/>
        <v>7</v>
      </c>
      <c r="O26" s="597">
        <f t="shared" si="9"/>
        <v>0</v>
      </c>
      <c r="P26" s="597">
        <f t="shared" si="10"/>
        <v>0</v>
      </c>
      <c r="Q26" s="653">
        <f t="shared" si="11"/>
        <v>0</v>
      </c>
      <c r="R26" s="247">
        <f t="shared" si="12"/>
        <v>8</v>
      </c>
      <c r="S26" s="24">
        <f t="shared" si="13"/>
        <v>21570</v>
      </c>
      <c r="T26" s="25">
        <f t="shared" si="14"/>
        <v>0.17255999999999999</v>
      </c>
      <c r="U26" s="654">
        <f t="shared" si="15"/>
        <v>0.33408549999999998</v>
      </c>
      <c r="V26" s="830"/>
    </row>
    <row r="27" spans="1:24" s="831" customFormat="1" x14ac:dyDescent="0.2">
      <c r="A27" s="33">
        <f t="shared" si="0"/>
        <v>2014</v>
      </c>
      <c r="B27" s="30">
        <v>1</v>
      </c>
      <c r="C27" s="633">
        <f t="shared" si="1"/>
        <v>25</v>
      </c>
      <c r="D27" s="807">
        <v>9.89</v>
      </c>
      <c r="E27" s="210">
        <f t="shared" si="16"/>
        <v>0</v>
      </c>
      <c r="F27" s="806">
        <v>15681</v>
      </c>
      <c r="G27" s="626">
        <f t="shared" si="2"/>
        <v>9.8900000000000012E-3</v>
      </c>
      <c r="H27" s="72">
        <f t="shared" si="2"/>
        <v>0</v>
      </c>
      <c r="I27" s="72">
        <f t="shared" si="3"/>
        <v>1.5681E-2</v>
      </c>
      <c r="J27" s="61">
        <f t="shared" si="4"/>
        <v>5</v>
      </c>
      <c r="K27" s="651">
        <f t="shared" si="5"/>
        <v>9.89</v>
      </c>
      <c r="L27" s="651">
        <f t="shared" si="6"/>
        <v>4.9450000000000001E-2</v>
      </c>
      <c r="M27" s="652">
        <f t="shared" si="7"/>
        <v>0.16808999999999999</v>
      </c>
      <c r="N27" s="54">
        <f t="shared" si="8"/>
        <v>9</v>
      </c>
      <c r="O27" s="597">
        <f t="shared" si="9"/>
        <v>0</v>
      </c>
      <c r="P27" s="597">
        <f t="shared" si="10"/>
        <v>0</v>
      </c>
      <c r="Q27" s="653">
        <f t="shared" si="11"/>
        <v>0</v>
      </c>
      <c r="R27" s="247">
        <f t="shared" si="12"/>
        <v>5</v>
      </c>
      <c r="S27" s="24">
        <f t="shared" si="13"/>
        <v>15681</v>
      </c>
      <c r="T27" s="25">
        <f t="shared" si="14"/>
        <v>7.8405000000000002E-2</v>
      </c>
      <c r="U27" s="654">
        <f t="shared" si="15"/>
        <v>0.41249049999999998</v>
      </c>
      <c r="V27" s="830"/>
    </row>
    <row r="28" spans="1:24" ht="13.5" thickBot="1" x14ac:dyDescent="0.25">
      <c r="A28" s="701">
        <f t="shared" si="0"/>
        <v>2015</v>
      </c>
      <c r="B28" s="702">
        <v>1</v>
      </c>
      <c r="C28" s="893">
        <f t="shared" si="1"/>
        <v>26</v>
      </c>
      <c r="D28" s="835">
        <v>5.6</v>
      </c>
      <c r="E28" s="704">
        <v>0</v>
      </c>
      <c r="F28" s="705">
        <v>15768</v>
      </c>
      <c r="G28" s="823">
        <f t="shared" si="2"/>
        <v>5.5999999999999999E-3</v>
      </c>
      <c r="H28" s="707">
        <f t="shared" si="2"/>
        <v>0</v>
      </c>
      <c r="I28" s="707">
        <f t="shared" si="3"/>
        <v>1.5768000000000001E-2</v>
      </c>
      <c r="J28" s="708">
        <f t="shared" si="4"/>
        <v>1</v>
      </c>
      <c r="K28" s="709">
        <f t="shared" si="5"/>
        <v>5.6</v>
      </c>
      <c r="L28" s="709">
        <f t="shared" si="6"/>
        <v>5.5999999999999999E-3</v>
      </c>
      <c r="M28" s="710">
        <f t="shared" si="7"/>
        <v>0.17368999999999998</v>
      </c>
      <c r="N28" s="711">
        <f t="shared" si="8"/>
        <v>1</v>
      </c>
      <c r="O28" s="712">
        <f t="shared" si="9"/>
        <v>0</v>
      </c>
      <c r="P28" s="712">
        <f t="shared" si="10"/>
        <v>0</v>
      </c>
      <c r="Q28" s="713">
        <f t="shared" si="11"/>
        <v>0</v>
      </c>
      <c r="R28" s="714">
        <f t="shared" si="12"/>
        <v>1</v>
      </c>
      <c r="S28" s="715">
        <f t="shared" si="13"/>
        <v>15768</v>
      </c>
      <c r="T28" s="716">
        <f t="shared" si="14"/>
        <v>1.5768000000000001E-2</v>
      </c>
      <c r="U28" s="717">
        <f t="shared" si="15"/>
        <v>0.42825849999999999</v>
      </c>
    </row>
    <row r="29" spans="1:24" x14ac:dyDescent="0.2">
      <c r="A29" s="33">
        <f t="shared" si="0"/>
        <v>2016</v>
      </c>
      <c r="B29" s="1039">
        <v>0</v>
      </c>
      <c r="C29" s="565">
        <f t="shared" si="1"/>
        <v>26</v>
      </c>
      <c r="D29" s="1041"/>
      <c r="E29" s="1042"/>
      <c r="F29" s="1043"/>
      <c r="G29" s="473">
        <f t="shared" si="2"/>
        <v>0</v>
      </c>
      <c r="H29" s="474">
        <f t="shared" si="2"/>
        <v>0</v>
      </c>
      <c r="I29" s="474">
        <f t="shared" si="3"/>
        <v>0</v>
      </c>
      <c r="J29" s="61">
        <f t="shared" si="4"/>
        <v>0.5</v>
      </c>
      <c r="K29" s="967">
        <f t="shared" si="5"/>
        <v>0</v>
      </c>
      <c r="L29" s="967">
        <f t="shared" si="6"/>
        <v>0</v>
      </c>
      <c r="M29" s="967">
        <f t="shared" si="7"/>
        <v>0.17368999999999998</v>
      </c>
      <c r="N29" s="54">
        <f t="shared" si="8"/>
        <v>1</v>
      </c>
      <c r="O29" s="968">
        <f t="shared" si="9"/>
        <v>0</v>
      </c>
      <c r="P29" s="968">
        <f t="shared" si="10"/>
        <v>0</v>
      </c>
      <c r="Q29" s="969">
        <f t="shared" si="11"/>
        <v>0</v>
      </c>
      <c r="R29" s="247">
        <f t="shared" si="12"/>
        <v>0.5</v>
      </c>
      <c r="S29" s="24">
        <f t="shared" si="13"/>
        <v>0</v>
      </c>
      <c r="T29" s="970">
        <f t="shared" si="14"/>
        <v>0</v>
      </c>
      <c r="U29" s="971">
        <f t="shared" si="15"/>
        <v>0.42825849999999999</v>
      </c>
    </row>
    <row r="30" spans="1:24" x14ac:dyDescent="0.2">
      <c r="A30" s="33">
        <f t="shared" si="0"/>
        <v>2017</v>
      </c>
      <c r="B30" s="1039">
        <v>0</v>
      </c>
      <c r="C30" s="565">
        <f t="shared" si="1"/>
        <v>26</v>
      </c>
      <c r="D30" s="1041"/>
      <c r="E30" s="1042"/>
      <c r="F30" s="1043"/>
      <c r="G30" s="473">
        <f t="shared" si="2"/>
        <v>0</v>
      </c>
      <c r="H30" s="474">
        <f t="shared" si="2"/>
        <v>0</v>
      </c>
      <c r="I30" s="474">
        <f t="shared" si="3"/>
        <v>0</v>
      </c>
      <c r="J30" s="61">
        <f t="shared" si="4"/>
        <v>0</v>
      </c>
      <c r="K30" s="967">
        <f t="shared" si="5"/>
        <v>0</v>
      </c>
      <c r="L30" s="967">
        <f t="shared" si="6"/>
        <v>0</v>
      </c>
      <c r="M30" s="967">
        <f t="shared" si="7"/>
        <v>0.17368999999999998</v>
      </c>
      <c r="N30" s="54">
        <f t="shared" si="8"/>
        <v>0</v>
      </c>
      <c r="O30" s="968">
        <f t="shared" si="9"/>
        <v>0</v>
      </c>
      <c r="P30" s="968">
        <f t="shared" si="10"/>
        <v>0</v>
      </c>
      <c r="Q30" s="969">
        <f t="shared" si="11"/>
        <v>0</v>
      </c>
      <c r="R30" s="247">
        <f t="shared" si="12"/>
        <v>0</v>
      </c>
      <c r="S30" s="24">
        <f t="shared" si="13"/>
        <v>0</v>
      </c>
      <c r="T30" s="970">
        <f t="shared" si="14"/>
        <v>0</v>
      </c>
      <c r="U30" s="971">
        <f t="shared" si="15"/>
        <v>0.42825849999999999</v>
      </c>
    </row>
    <row r="31" spans="1:24" x14ac:dyDescent="0.2">
      <c r="A31" s="33">
        <f t="shared" si="0"/>
        <v>2018</v>
      </c>
      <c r="B31" s="1039">
        <v>0</v>
      </c>
      <c r="C31" s="565">
        <f t="shared" si="1"/>
        <v>26</v>
      </c>
      <c r="D31" s="1041"/>
      <c r="E31" s="1042"/>
      <c r="F31" s="1043"/>
      <c r="G31" s="473">
        <f t="shared" si="2"/>
        <v>0</v>
      </c>
      <c r="H31" s="474">
        <f t="shared" si="2"/>
        <v>0</v>
      </c>
      <c r="I31" s="474">
        <f t="shared" si="3"/>
        <v>0</v>
      </c>
      <c r="J31" s="61">
        <f t="shared" si="4"/>
        <v>0</v>
      </c>
      <c r="K31" s="967">
        <f t="shared" si="5"/>
        <v>0</v>
      </c>
      <c r="L31" s="967">
        <f t="shared" si="6"/>
        <v>0</v>
      </c>
      <c r="M31" s="967">
        <f t="shared" si="7"/>
        <v>0.17368999999999998</v>
      </c>
      <c r="N31" s="54">
        <f t="shared" si="8"/>
        <v>0</v>
      </c>
      <c r="O31" s="968">
        <f t="shared" si="9"/>
        <v>0</v>
      </c>
      <c r="P31" s="968">
        <f t="shared" si="10"/>
        <v>0</v>
      </c>
      <c r="Q31" s="969">
        <f t="shared" si="11"/>
        <v>0</v>
      </c>
      <c r="R31" s="247">
        <f t="shared" si="12"/>
        <v>0</v>
      </c>
      <c r="S31" s="24">
        <f t="shared" si="13"/>
        <v>0</v>
      </c>
      <c r="T31" s="970">
        <f t="shared" si="14"/>
        <v>0</v>
      </c>
      <c r="U31" s="971">
        <f t="shared" si="15"/>
        <v>0.42825849999999999</v>
      </c>
    </row>
    <row r="32" spans="1:24" x14ac:dyDescent="0.2">
      <c r="A32" s="33">
        <f t="shared" si="0"/>
        <v>2019</v>
      </c>
      <c r="B32" s="1039">
        <v>0</v>
      </c>
      <c r="C32" s="565">
        <f t="shared" si="1"/>
        <v>26</v>
      </c>
      <c r="D32" s="1041"/>
      <c r="E32" s="1042"/>
      <c r="F32" s="1043"/>
      <c r="G32" s="473">
        <f t="shared" si="2"/>
        <v>0</v>
      </c>
      <c r="H32" s="474">
        <f t="shared" si="2"/>
        <v>0</v>
      </c>
      <c r="I32" s="474">
        <f t="shared" si="3"/>
        <v>0</v>
      </c>
      <c r="J32" s="61">
        <f t="shared" si="4"/>
        <v>0</v>
      </c>
      <c r="K32" s="967">
        <f t="shared" si="5"/>
        <v>0</v>
      </c>
      <c r="L32" s="967">
        <f t="shared" si="6"/>
        <v>0</v>
      </c>
      <c r="M32" s="967">
        <f t="shared" si="7"/>
        <v>0.17368999999999998</v>
      </c>
      <c r="N32" s="54">
        <f t="shared" si="8"/>
        <v>0</v>
      </c>
      <c r="O32" s="968">
        <f t="shared" si="9"/>
        <v>0</v>
      </c>
      <c r="P32" s="968">
        <f t="shared" si="10"/>
        <v>0</v>
      </c>
      <c r="Q32" s="969">
        <f t="shared" si="11"/>
        <v>0</v>
      </c>
      <c r="R32" s="247">
        <f t="shared" si="12"/>
        <v>0</v>
      </c>
      <c r="S32" s="24">
        <f t="shared" si="13"/>
        <v>0</v>
      </c>
      <c r="T32" s="970">
        <f t="shared" si="14"/>
        <v>0</v>
      </c>
      <c r="U32" s="971">
        <f t="shared" si="15"/>
        <v>0.42825849999999999</v>
      </c>
    </row>
    <row r="33" spans="1:21" x14ac:dyDescent="0.2">
      <c r="A33" s="33">
        <f t="shared" si="0"/>
        <v>2020</v>
      </c>
      <c r="B33" s="1044">
        <f>B32</f>
        <v>0</v>
      </c>
      <c r="C33" s="565">
        <f t="shared" si="1"/>
        <v>26</v>
      </c>
      <c r="D33" s="1041"/>
      <c r="E33" s="1042"/>
      <c r="F33" s="1043"/>
      <c r="G33" s="473">
        <f t="shared" si="2"/>
        <v>0</v>
      </c>
      <c r="H33" s="474">
        <f t="shared" si="2"/>
        <v>0</v>
      </c>
      <c r="I33" s="474">
        <f t="shared" si="3"/>
        <v>0</v>
      </c>
      <c r="J33" s="61">
        <f t="shared" si="4"/>
        <v>0</v>
      </c>
      <c r="K33" s="967">
        <f t="shared" si="5"/>
        <v>0</v>
      </c>
      <c r="L33" s="967">
        <f t="shared" si="6"/>
        <v>0</v>
      </c>
      <c r="M33" s="967">
        <f t="shared" si="7"/>
        <v>0.17368999999999998</v>
      </c>
      <c r="N33" s="54">
        <f t="shared" si="8"/>
        <v>0</v>
      </c>
      <c r="O33" s="968">
        <f t="shared" si="9"/>
        <v>0</v>
      </c>
      <c r="P33" s="968">
        <f t="shared" si="10"/>
        <v>0</v>
      </c>
      <c r="Q33" s="969">
        <f t="shared" si="11"/>
        <v>0</v>
      </c>
      <c r="R33" s="247">
        <f t="shared" si="12"/>
        <v>0</v>
      </c>
      <c r="S33" s="24">
        <f t="shared" si="13"/>
        <v>0</v>
      </c>
      <c r="T33" s="970">
        <f t="shared" si="14"/>
        <v>0</v>
      </c>
      <c r="U33" s="971">
        <f t="shared" si="15"/>
        <v>0.42825849999999999</v>
      </c>
    </row>
    <row r="34" spans="1:21" x14ac:dyDescent="0.2">
      <c r="A34" s="33">
        <f t="shared" si="0"/>
        <v>2021</v>
      </c>
      <c r="B34" s="1044">
        <f>B33</f>
        <v>0</v>
      </c>
      <c r="C34" s="565">
        <f t="shared" si="1"/>
        <v>26</v>
      </c>
      <c r="D34" s="1041"/>
      <c r="E34" s="1042"/>
      <c r="F34" s="1043"/>
      <c r="G34" s="473">
        <f t="shared" si="2"/>
        <v>0</v>
      </c>
      <c r="H34" s="474">
        <f t="shared" si="2"/>
        <v>0</v>
      </c>
      <c r="I34" s="474">
        <f t="shared" si="3"/>
        <v>0</v>
      </c>
      <c r="J34" s="61">
        <f t="shared" si="4"/>
        <v>0</v>
      </c>
      <c r="K34" s="967">
        <f t="shared" si="5"/>
        <v>0</v>
      </c>
      <c r="L34" s="967">
        <f t="shared" si="6"/>
        <v>0</v>
      </c>
      <c r="M34" s="967">
        <f t="shared" si="7"/>
        <v>0.17368999999999998</v>
      </c>
      <c r="N34" s="54">
        <f t="shared" si="8"/>
        <v>0</v>
      </c>
      <c r="O34" s="968">
        <f t="shared" si="9"/>
        <v>0</v>
      </c>
      <c r="P34" s="968">
        <f t="shared" si="10"/>
        <v>0</v>
      </c>
      <c r="Q34" s="969">
        <f t="shared" si="11"/>
        <v>0</v>
      </c>
      <c r="R34" s="247">
        <f t="shared" si="12"/>
        <v>0</v>
      </c>
      <c r="S34" s="24">
        <f t="shared" si="13"/>
        <v>0</v>
      </c>
      <c r="T34" s="970">
        <f t="shared" si="14"/>
        <v>0</v>
      </c>
      <c r="U34" s="971">
        <f t="shared" si="15"/>
        <v>0.42825849999999999</v>
      </c>
    </row>
    <row r="35" spans="1:21" x14ac:dyDescent="0.2">
      <c r="A35" s="33">
        <f t="shared" si="0"/>
        <v>2022</v>
      </c>
      <c r="B35" s="1036">
        <f t="shared" ref="B35:B47" si="17">B34</f>
        <v>0</v>
      </c>
      <c r="C35" s="565">
        <f t="shared" si="1"/>
        <v>26</v>
      </c>
      <c r="D35" s="1041"/>
      <c r="E35" s="1042"/>
      <c r="F35" s="1043"/>
      <c r="G35" s="473">
        <f t="shared" si="2"/>
        <v>0</v>
      </c>
      <c r="H35" s="474">
        <f t="shared" si="2"/>
        <v>0</v>
      </c>
      <c r="I35" s="474">
        <f t="shared" si="3"/>
        <v>0</v>
      </c>
      <c r="J35" s="61">
        <f t="shared" si="4"/>
        <v>0</v>
      </c>
      <c r="K35" s="967">
        <f t="shared" si="5"/>
        <v>0</v>
      </c>
      <c r="L35" s="967">
        <f t="shared" si="6"/>
        <v>0</v>
      </c>
      <c r="M35" s="967">
        <f t="shared" si="7"/>
        <v>0.17368999999999998</v>
      </c>
      <c r="N35" s="54">
        <f t="shared" si="8"/>
        <v>0</v>
      </c>
      <c r="O35" s="968">
        <f t="shared" si="9"/>
        <v>0</v>
      </c>
      <c r="P35" s="968">
        <f t="shared" si="10"/>
        <v>0</v>
      </c>
      <c r="Q35" s="969">
        <f t="shared" si="11"/>
        <v>0</v>
      </c>
      <c r="R35" s="247">
        <f t="shared" si="12"/>
        <v>0</v>
      </c>
      <c r="S35" s="24">
        <f t="shared" si="13"/>
        <v>0</v>
      </c>
      <c r="T35" s="970">
        <f t="shared" si="14"/>
        <v>0</v>
      </c>
      <c r="U35" s="971">
        <f t="shared" si="15"/>
        <v>0.42825849999999999</v>
      </c>
    </row>
    <row r="36" spans="1:21" x14ac:dyDescent="0.2">
      <c r="A36" s="33">
        <f t="shared" si="0"/>
        <v>2023</v>
      </c>
      <c r="B36" s="1036">
        <f t="shared" si="17"/>
        <v>0</v>
      </c>
      <c r="C36" s="565">
        <f t="shared" si="1"/>
        <v>26</v>
      </c>
      <c r="D36" s="1041"/>
      <c r="E36" s="1042"/>
      <c r="F36" s="1043"/>
      <c r="G36" s="473">
        <f t="shared" si="2"/>
        <v>0</v>
      </c>
      <c r="H36" s="474">
        <f t="shared" si="2"/>
        <v>0</v>
      </c>
      <c r="I36" s="474">
        <f t="shared" si="3"/>
        <v>0</v>
      </c>
      <c r="J36" s="61">
        <f t="shared" si="4"/>
        <v>0</v>
      </c>
      <c r="K36" s="967">
        <f t="shared" si="5"/>
        <v>0</v>
      </c>
      <c r="L36" s="967">
        <f t="shared" si="6"/>
        <v>0</v>
      </c>
      <c r="M36" s="967">
        <f t="shared" si="7"/>
        <v>0.17368999999999998</v>
      </c>
      <c r="N36" s="54">
        <f t="shared" si="8"/>
        <v>0</v>
      </c>
      <c r="O36" s="968">
        <f t="shared" si="9"/>
        <v>0</v>
      </c>
      <c r="P36" s="968">
        <f t="shared" si="10"/>
        <v>0</v>
      </c>
      <c r="Q36" s="969">
        <f t="shared" si="11"/>
        <v>0</v>
      </c>
      <c r="R36" s="247">
        <f t="shared" si="12"/>
        <v>0</v>
      </c>
      <c r="S36" s="24">
        <f t="shared" si="13"/>
        <v>0</v>
      </c>
      <c r="T36" s="970">
        <f t="shared" si="14"/>
        <v>0</v>
      </c>
      <c r="U36" s="971">
        <f t="shared" si="15"/>
        <v>0.42825849999999999</v>
      </c>
    </row>
    <row r="37" spans="1:21" x14ac:dyDescent="0.2">
      <c r="A37" s="33">
        <f t="shared" si="0"/>
        <v>2024</v>
      </c>
      <c r="B37" s="1037">
        <f t="shared" si="17"/>
        <v>0</v>
      </c>
      <c r="C37" s="565">
        <f t="shared" si="1"/>
        <v>26</v>
      </c>
      <c r="D37" s="1041"/>
      <c r="E37" s="1042"/>
      <c r="F37" s="1043"/>
      <c r="G37" s="473">
        <f t="shared" si="2"/>
        <v>0</v>
      </c>
      <c r="H37" s="474">
        <f t="shared" si="2"/>
        <v>0</v>
      </c>
      <c r="I37" s="474">
        <f t="shared" si="3"/>
        <v>0</v>
      </c>
      <c r="J37" s="61">
        <f t="shared" si="4"/>
        <v>0</v>
      </c>
      <c r="K37" s="967">
        <f t="shared" si="5"/>
        <v>0</v>
      </c>
      <c r="L37" s="967">
        <f t="shared" si="6"/>
        <v>0</v>
      </c>
      <c r="M37" s="967">
        <f t="shared" si="7"/>
        <v>0.17368999999999998</v>
      </c>
      <c r="N37" s="54">
        <f t="shared" si="8"/>
        <v>0</v>
      </c>
      <c r="O37" s="968">
        <f t="shared" si="9"/>
        <v>0</v>
      </c>
      <c r="P37" s="968">
        <f t="shared" si="10"/>
        <v>0</v>
      </c>
      <c r="Q37" s="969">
        <f t="shared" si="11"/>
        <v>0</v>
      </c>
      <c r="R37" s="247">
        <f t="shared" si="12"/>
        <v>0</v>
      </c>
      <c r="S37" s="24">
        <f t="shared" si="13"/>
        <v>0</v>
      </c>
      <c r="T37" s="970">
        <f t="shared" si="14"/>
        <v>0</v>
      </c>
      <c r="U37" s="971">
        <f t="shared" si="15"/>
        <v>0.42825849999999999</v>
      </c>
    </row>
    <row r="38" spans="1:21" x14ac:dyDescent="0.2">
      <c r="A38" s="33">
        <f t="shared" si="0"/>
        <v>2025</v>
      </c>
      <c r="B38" s="1037">
        <f t="shared" si="17"/>
        <v>0</v>
      </c>
      <c r="C38" s="565">
        <f t="shared" si="1"/>
        <v>26</v>
      </c>
      <c r="D38" s="1041"/>
      <c r="E38" s="1042"/>
      <c r="F38" s="1043"/>
      <c r="G38" s="473">
        <f t="shared" si="2"/>
        <v>0</v>
      </c>
      <c r="H38" s="474">
        <f t="shared" si="2"/>
        <v>0</v>
      </c>
      <c r="I38" s="474">
        <f t="shared" si="3"/>
        <v>0</v>
      </c>
      <c r="J38" s="61">
        <f t="shared" si="4"/>
        <v>0</v>
      </c>
      <c r="K38" s="967">
        <f t="shared" si="5"/>
        <v>0</v>
      </c>
      <c r="L38" s="967">
        <f t="shared" si="6"/>
        <v>0</v>
      </c>
      <c r="M38" s="967">
        <f t="shared" si="7"/>
        <v>0.17368999999999998</v>
      </c>
      <c r="N38" s="54">
        <f t="shared" si="8"/>
        <v>0</v>
      </c>
      <c r="O38" s="968">
        <f t="shared" si="9"/>
        <v>0</v>
      </c>
      <c r="P38" s="968">
        <f t="shared" si="10"/>
        <v>0</v>
      </c>
      <c r="Q38" s="969">
        <f t="shared" si="11"/>
        <v>0</v>
      </c>
      <c r="R38" s="247">
        <f t="shared" si="12"/>
        <v>0</v>
      </c>
      <c r="S38" s="24">
        <f t="shared" si="13"/>
        <v>0</v>
      </c>
      <c r="T38" s="970">
        <f t="shared" si="14"/>
        <v>0</v>
      </c>
      <c r="U38" s="971">
        <f t="shared" si="15"/>
        <v>0.42825849999999999</v>
      </c>
    </row>
    <row r="39" spans="1:21" x14ac:dyDescent="0.2">
      <c r="A39" s="33">
        <f t="shared" si="0"/>
        <v>2026</v>
      </c>
      <c r="B39" s="1037">
        <f t="shared" si="17"/>
        <v>0</v>
      </c>
      <c r="C39" s="565">
        <f t="shared" si="1"/>
        <v>26</v>
      </c>
      <c r="D39" s="1041"/>
      <c r="E39" s="1042"/>
      <c r="F39" s="1043"/>
      <c r="G39" s="473">
        <f t="shared" si="2"/>
        <v>0</v>
      </c>
      <c r="H39" s="474">
        <f t="shared" si="2"/>
        <v>0</v>
      </c>
      <c r="I39" s="474">
        <f t="shared" si="3"/>
        <v>0</v>
      </c>
      <c r="J39" s="61">
        <f t="shared" si="4"/>
        <v>0</v>
      </c>
      <c r="K39" s="967">
        <f t="shared" si="5"/>
        <v>0</v>
      </c>
      <c r="L39" s="967">
        <f t="shared" si="6"/>
        <v>0</v>
      </c>
      <c r="M39" s="967">
        <f t="shared" si="7"/>
        <v>0.17368999999999998</v>
      </c>
      <c r="N39" s="54">
        <f t="shared" si="8"/>
        <v>0</v>
      </c>
      <c r="O39" s="968">
        <f t="shared" si="9"/>
        <v>0</v>
      </c>
      <c r="P39" s="968">
        <f t="shared" si="10"/>
        <v>0</v>
      </c>
      <c r="Q39" s="969">
        <f t="shared" si="11"/>
        <v>0</v>
      </c>
      <c r="R39" s="247">
        <f>+(B39+B38)/2</f>
        <v>0</v>
      </c>
      <c r="S39" s="24">
        <f>+F39</f>
        <v>0</v>
      </c>
      <c r="T39" s="970">
        <f>+R39*S39/1000000</f>
        <v>0</v>
      </c>
      <c r="U39" s="971">
        <f t="shared" si="15"/>
        <v>0.42825849999999999</v>
      </c>
    </row>
    <row r="40" spans="1:21" x14ac:dyDescent="0.2">
      <c r="A40" s="33">
        <f t="shared" si="0"/>
        <v>2027</v>
      </c>
      <c r="B40" s="1037">
        <f t="shared" si="17"/>
        <v>0</v>
      </c>
      <c r="C40" s="565">
        <f>+C39+B40</f>
        <v>26</v>
      </c>
      <c r="D40" s="1041"/>
      <c r="E40" s="1042"/>
      <c r="F40" s="1043"/>
      <c r="G40" s="473">
        <f t="shared" ref="G40:H42" si="18">+$B40*D40/1000</f>
        <v>0</v>
      </c>
      <c r="H40" s="474">
        <f t="shared" si="18"/>
        <v>0</v>
      </c>
      <c r="I40" s="474">
        <f>+$B40*F40/1000000</f>
        <v>0</v>
      </c>
      <c r="J40" s="61">
        <f>+(B40+B39)/2</f>
        <v>0</v>
      </c>
      <c r="K40" s="967">
        <f>+D40</f>
        <v>0</v>
      </c>
      <c r="L40" s="967">
        <f>+J40*K40/1000</f>
        <v>0</v>
      </c>
      <c r="M40" s="967">
        <f>+M39+L40</f>
        <v>0.17368999999999998</v>
      </c>
      <c r="N40" s="54">
        <f>+B39</f>
        <v>0</v>
      </c>
      <c r="O40" s="968">
        <f>+E40</f>
        <v>0</v>
      </c>
      <c r="P40" s="968">
        <f>+N40*O40/1000</f>
        <v>0</v>
      </c>
      <c r="Q40" s="969">
        <f>+Q39+P40</f>
        <v>0</v>
      </c>
      <c r="R40" s="247">
        <f>+(B40+B39)/2</f>
        <v>0</v>
      </c>
      <c r="S40" s="24">
        <f>+F40</f>
        <v>0</v>
      </c>
      <c r="T40" s="970">
        <f>+R40*S40/1000000</f>
        <v>0</v>
      </c>
      <c r="U40" s="971">
        <f>+U39+T40</f>
        <v>0.42825849999999999</v>
      </c>
    </row>
    <row r="41" spans="1:21" x14ac:dyDescent="0.2">
      <c r="A41" s="33">
        <f t="shared" si="0"/>
        <v>2028</v>
      </c>
      <c r="B41" s="1037">
        <f t="shared" si="17"/>
        <v>0</v>
      </c>
      <c r="C41" s="565">
        <f>+C40+B41</f>
        <v>26</v>
      </c>
      <c r="D41" s="1041"/>
      <c r="E41" s="1042"/>
      <c r="F41" s="1043"/>
      <c r="G41" s="473">
        <f t="shared" si="18"/>
        <v>0</v>
      </c>
      <c r="H41" s="474">
        <f t="shared" si="18"/>
        <v>0</v>
      </c>
      <c r="I41" s="474">
        <f>+$B41*F41/1000000</f>
        <v>0</v>
      </c>
      <c r="J41" s="61">
        <f>+(B41+B40)/2</f>
        <v>0</v>
      </c>
      <c r="K41" s="967">
        <f>+D41</f>
        <v>0</v>
      </c>
      <c r="L41" s="967">
        <f>+J41*K41/1000</f>
        <v>0</v>
      </c>
      <c r="M41" s="967">
        <f>+M40+L41</f>
        <v>0.17368999999999998</v>
      </c>
      <c r="N41" s="54">
        <f>+B40</f>
        <v>0</v>
      </c>
      <c r="O41" s="968">
        <f>+E41</f>
        <v>0</v>
      </c>
      <c r="P41" s="968">
        <f>+N41*O41/1000</f>
        <v>0</v>
      </c>
      <c r="Q41" s="969">
        <f>+Q40+P41</f>
        <v>0</v>
      </c>
      <c r="R41" s="247">
        <f>+(B41+B40)/2</f>
        <v>0</v>
      </c>
      <c r="S41" s="24">
        <f>+F41</f>
        <v>0</v>
      </c>
      <c r="T41" s="970">
        <f>+R41*S41/1000000</f>
        <v>0</v>
      </c>
      <c r="U41" s="971">
        <f>+U40+T41</f>
        <v>0.42825849999999999</v>
      </c>
    </row>
    <row r="42" spans="1:21" x14ac:dyDescent="0.2">
      <c r="A42" s="33">
        <f t="shared" si="0"/>
        <v>2029</v>
      </c>
      <c r="B42" s="1037">
        <f t="shared" si="17"/>
        <v>0</v>
      </c>
      <c r="C42" s="565">
        <f>+C41+B42</f>
        <v>26</v>
      </c>
      <c r="D42" s="1041"/>
      <c r="E42" s="1042"/>
      <c r="F42" s="1043"/>
      <c r="G42" s="473">
        <f t="shared" si="18"/>
        <v>0</v>
      </c>
      <c r="H42" s="474">
        <f t="shared" si="18"/>
        <v>0</v>
      </c>
      <c r="I42" s="474">
        <f>+$B42*F42/1000000</f>
        <v>0</v>
      </c>
      <c r="J42" s="61">
        <f>+(B42+B41)/2</f>
        <v>0</v>
      </c>
      <c r="K42" s="967">
        <f>+D42</f>
        <v>0</v>
      </c>
      <c r="L42" s="967">
        <f>+J42*K42/1000</f>
        <v>0</v>
      </c>
      <c r="M42" s="967">
        <f>+M41+L42</f>
        <v>0.17368999999999998</v>
      </c>
      <c r="N42" s="54">
        <f>+B41</f>
        <v>0</v>
      </c>
      <c r="O42" s="968">
        <f>+E42</f>
        <v>0</v>
      </c>
      <c r="P42" s="968">
        <f>+N42*O42/1000</f>
        <v>0</v>
      </c>
      <c r="Q42" s="969">
        <f>+Q41+P42</f>
        <v>0</v>
      </c>
      <c r="R42" s="247">
        <f>+(B42+B41)/2</f>
        <v>0</v>
      </c>
      <c r="S42" s="24">
        <f>+F42</f>
        <v>0</v>
      </c>
      <c r="T42" s="970">
        <f>+R42*S42/1000000</f>
        <v>0</v>
      </c>
      <c r="U42" s="971">
        <f>+U41+T42</f>
        <v>0.42825849999999999</v>
      </c>
    </row>
    <row r="43" spans="1:21" x14ac:dyDescent="0.2">
      <c r="A43" s="33">
        <f t="shared" si="0"/>
        <v>2030</v>
      </c>
      <c r="B43" s="1037">
        <f t="shared" si="17"/>
        <v>0</v>
      </c>
      <c r="C43" s="565">
        <f t="shared" ref="C43:C47" si="19">+C42+B43</f>
        <v>26</v>
      </c>
      <c r="D43" s="1041"/>
      <c r="E43" s="1042"/>
      <c r="F43" s="1043"/>
      <c r="G43" s="473">
        <f t="shared" ref="G43:G47" si="20">+$B43*D43/1000</f>
        <v>0</v>
      </c>
      <c r="H43" s="474">
        <f t="shared" ref="H43:H47" si="21">+$B43*E43/1000</f>
        <v>0</v>
      </c>
      <c r="I43" s="474">
        <f t="shared" ref="I43:I47" si="22">+$B43*F43/1000000</f>
        <v>0</v>
      </c>
      <c r="J43" s="61">
        <f t="shared" ref="J43:J47" si="23">+(B43+B42)/2</f>
        <v>0</v>
      </c>
      <c r="K43" s="967">
        <f t="shared" ref="K43:K47" si="24">+D43</f>
        <v>0</v>
      </c>
      <c r="L43" s="967">
        <f t="shared" ref="L43:L47" si="25">+J43*K43/1000</f>
        <v>0</v>
      </c>
      <c r="M43" s="967">
        <f t="shared" ref="M43:M47" si="26">+M42+L43</f>
        <v>0.17368999999999998</v>
      </c>
      <c r="N43" s="54">
        <f t="shared" ref="N43:N47" si="27">+B42</f>
        <v>0</v>
      </c>
      <c r="O43" s="968">
        <f t="shared" ref="O43:O47" si="28">+E43</f>
        <v>0</v>
      </c>
      <c r="P43" s="968">
        <f t="shared" ref="P43:P47" si="29">+N43*O43/1000</f>
        <v>0</v>
      </c>
      <c r="Q43" s="969">
        <f t="shared" ref="Q43:Q47" si="30">+Q42+P43</f>
        <v>0</v>
      </c>
      <c r="R43" s="247">
        <f t="shared" ref="R43:R47" si="31">+(B43+B42)/2</f>
        <v>0</v>
      </c>
      <c r="S43" s="24">
        <f t="shared" ref="S43:S47" si="32">+F43</f>
        <v>0</v>
      </c>
      <c r="T43" s="970">
        <f t="shared" ref="T43:T47" si="33">+R43*S43/1000000</f>
        <v>0</v>
      </c>
      <c r="U43" s="971">
        <f t="shared" ref="U43:U47" si="34">+U42+T43</f>
        <v>0.42825849999999999</v>
      </c>
    </row>
    <row r="44" spans="1:21" x14ac:dyDescent="0.2">
      <c r="A44" s="33">
        <f t="shared" si="0"/>
        <v>2031</v>
      </c>
      <c r="B44" s="1037">
        <f t="shared" si="17"/>
        <v>0</v>
      </c>
      <c r="C44" s="565">
        <f t="shared" si="19"/>
        <v>26</v>
      </c>
      <c r="D44" s="1041"/>
      <c r="E44" s="1042"/>
      <c r="F44" s="1043"/>
      <c r="G44" s="473">
        <f t="shared" si="20"/>
        <v>0</v>
      </c>
      <c r="H44" s="474">
        <f t="shared" si="21"/>
        <v>0</v>
      </c>
      <c r="I44" s="474">
        <f t="shared" si="22"/>
        <v>0</v>
      </c>
      <c r="J44" s="61">
        <f t="shared" si="23"/>
        <v>0</v>
      </c>
      <c r="K44" s="967">
        <f t="shared" si="24"/>
        <v>0</v>
      </c>
      <c r="L44" s="967">
        <f t="shared" si="25"/>
        <v>0</v>
      </c>
      <c r="M44" s="967">
        <f t="shared" si="26"/>
        <v>0.17368999999999998</v>
      </c>
      <c r="N44" s="54">
        <f t="shared" si="27"/>
        <v>0</v>
      </c>
      <c r="O44" s="968">
        <f t="shared" si="28"/>
        <v>0</v>
      </c>
      <c r="P44" s="968">
        <f t="shared" si="29"/>
        <v>0</v>
      </c>
      <c r="Q44" s="969">
        <f t="shared" si="30"/>
        <v>0</v>
      </c>
      <c r="R44" s="247">
        <f t="shared" si="31"/>
        <v>0</v>
      </c>
      <c r="S44" s="24">
        <f t="shared" si="32"/>
        <v>0</v>
      </c>
      <c r="T44" s="970">
        <f t="shared" si="33"/>
        <v>0</v>
      </c>
      <c r="U44" s="971">
        <f t="shared" si="34"/>
        <v>0.42825849999999999</v>
      </c>
    </row>
    <row r="45" spans="1:21" x14ac:dyDescent="0.2">
      <c r="A45" s="33">
        <f t="shared" si="0"/>
        <v>2032</v>
      </c>
      <c r="B45" s="1037">
        <f t="shared" si="17"/>
        <v>0</v>
      </c>
      <c r="C45" s="565">
        <f t="shared" si="19"/>
        <v>26</v>
      </c>
      <c r="D45" s="1041"/>
      <c r="E45" s="1042"/>
      <c r="F45" s="1043"/>
      <c r="G45" s="473">
        <f t="shared" si="20"/>
        <v>0</v>
      </c>
      <c r="H45" s="474">
        <f t="shared" si="21"/>
        <v>0</v>
      </c>
      <c r="I45" s="474">
        <f t="shared" si="22"/>
        <v>0</v>
      </c>
      <c r="J45" s="61">
        <f t="shared" si="23"/>
        <v>0</v>
      </c>
      <c r="K45" s="967">
        <f t="shared" si="24"/>
        <v>0</v>
      </c>
      <c r="L45" s="967">
        <f t="shared" si="25"/>
        <v>0</v>
      </c>
      <c r="M45" s="967">
        <f t="shared" si="26"/>
        <v>0.17368999999999998</v>
      </c>
      <c r="N45" s="54">
        <f t="shared" si="27"/>
        <v>0</v>
      </c>
      <c r="O45" s="968">
        <f t="shared" si="28"/>
        <v>0</v>
      </c>
      <c r="P45" s="968">
        <f t="shared" si="29"/>
        <v>0</v>
      </c>
      <c r="Q45" s="969">
        <f t="shared" si="30"/>
        <v>0</v>
      </c>
      <c r="R45" s="247">
        <f t="shared" si="31"/>
        <v>0</v>
      </c>
      <c r="S45" s="24">
        <f t="shared" si="32"/>
        <v>0</v>
      </c>
      <c r="T45" s="970">
        <f t="shared" si="33"/>
        <v>0</v>
      </c>
      <c r="U45" s="971">
        <f t="shared" si="34"/>
        <v>0.42825849999999999</v>
      </c>
    </row>
    <row r="46" spans="1:21" x14ac:dyDescent="0.2">
      <c r="A46" s="33">
        <f t="shared" si="0"/>
        <v>2033</v>
      </c>
      <c r="B46" s="1037">
        <f t="shared" si="17"/>
        <v>0</v>
      </c>
      <c r="C46" s="565">
        <f t="shared" si="19"/>
        <v>26</v>
      </c>
      <c r="D46" s="1041"/>
      <c r="E46" s="1042"/>
      <c r="F46" s="1043"/>
      <c r="G46" s="473">
        <f t="shared" si="20"/>
        <v>0</v>
      </c>
      <c r="H46" s="474">
        <f t="shared" si="21"/>
        <v>0</v>
      </c>
      <c r="I46" s="474">
        <f t="shared" si="22"/>
        <v>0</v>
      </c>
      <c r="J46" s="61">
        <f t="shared" si="23"/>
        <v>0</v>
      </c>
      <c r="K46" s="967">
        <f t="shared" si="24"/>
        <v>0</v>
      </c>
      <c r="L46" s="967">
        <f t="shared" si="25"/>
        <v>0</v>
      </c>
      <c r="M46" s="967">
        <f t="shared" si="26"/>
        <v>0.17368999999999998</v>
      </c>
      <c r="N46" s="54">
        <f t="shared" si="27"/>
        <v>0</v>
      </c>
      <c r="O46" s="968">
        <f t="shared" si="28"/>
        <v>0</v>
      </c>
      <c r="P46" s="968">
        <f t="shared" si="29"/>
        <v>0</v>
      </c>
      <c r="Q46" s="969">
        <f t="shared" si="30"/>
        <v>0</v>
      </c>
      <c r="R46" s="247">
        <f t="shared" si="31"/>
        <v>0</v>
      </c>
      <c r="S46" s="24">
        <f t="shared" si="32"/>
        <v>0</v>
      </c>
      <c r="T46" s="970">
        <f t="shared" si="33"/>
        <v>0</v>
      </c>
      <c r="U46" s="971">
        <f t="shared" si="34"/>
        <v>0.42825849999999999</v>
      </c>
    </row>
    <row r="47" spans="1:21" x14ac:dyDescent="0.2">
      <c r="A47" s="33">
        <f t="shared" si="0"/>
        <v>2034</v>
      </c>
      <c r="B47" s="1037">
        <f t="shared" si="17"/>
        <v>0</v>
      </c>
      <c r="C47" s="565">
        <f t="shared" si="19"/>
        <v>26</v>
      </c>
      <c r="D47" s="1041"/>
      <c r="E47" s="1042"/>
      <c r="F47" s="1043"/>
      <c r="G47" s="473">
        <f t="shared" si="20"/>
        <v>0</v>
      </c>
      <c r="H47" s="474">
        <f t="shared" si="21"/>
        <v>0</v>
      </c>
      <c r="I47" s="474">
        <f t="shared" si="22"/>
        <v>0</v>
      </c>
      <c r="J47" s="61">
        <f t="shared" si="23"/>
        <v>0</v>
      </c>
      <c r="K47" s="967">
        <f t="shared" si="24"/>
        <v>0</v>
      </c>
      <c r="L47" s="967">
        <f t="shared" si="25"/>
        <v>0</v>
      </c>
      <c r="M47" s="967">
        <f t="shared" si="26"/>
        <v>0.17368999999999998</v>
      </c>
      <c r="N47" s="54">
        <f t="shared" si="27"/>
        <v>0</v>
      </c>
      <c r="O47" s="968">
        <f t="shared" si="28"/>
        <v>0</v>
      </c>
      <c r="P47" s="968">
        <f t="shared" si="29"/>
        <v>0</v>
      </c>
      <c r="Q47" s="969">
        <f t="shared" si="30"/>
        <v>0</v>
      </c>
      <c r="R47" s="247">
        <f t="shared" si="31"/>
        <v>0</v>
      </c>
      <c r="S47" s="24">
        <f t="shared" si="32"/>
        <v>0</v>
      </c>
      <c r="T47" s="970">
        <f t="shared" si="33"/>
        <v>0</v>
      </c>
      <c r="U47" s="971">
        <f t="shared" si="34"/>
        <v>0.42825849999999999</v>
      </c>
    </row>
    <row r="48" spans="1:21" x14ac:dyDescent="0.2">
      <c r="A48" s="33">
        <f t="shared" si="0"/>
        <v>2035</v>
      </c>
      <c r="B48" s="1037">
        <f>B47</f>
        <v>0</v>
      </c>
      <c r="C48" s="565">
        <f t="shared" ref="C48:C54" si="35">+C47+B48</f>
        <v>26</v>
      </c>
      <c r="D48" s="1041"/>
      <c r="E48" s="1042"/>
      <c r="F48" s="1043"/>
      <c r="G48" s="473">
        <f t="shared" ref="G48:G54" si="36">+$B48*D48/1000</f>
        <v>0</v>
      </c>
      <c r="H48" s="474">
        <f t="shared" ref="H48:H54" si="37">+$B48*E48/1000</f>
        <v>0</v>
      </c>
      <c r="I48" s="474">
        <f t="shared" ref="I48:I54" si="38">+$B48*F48/1000000</f>
        <v>0</v>
      </c>
      <c r="J48" s="61">
        <f t="shared" ref="J48:J54" si="39">+(B48+B47)/2</f>
        <v>0</v>
      </c>
      <c r="K48" s="967">
        <f t="shared" ref="K48:K54" si="40">+D48</f>
        <v>0</v>
      </c>
      <c r="L48" s="967">
        <f t="shared" ref="L48:L54" si="41">+J48*K48/1000</f>
        <v>0</v>
      </c>
      <c r="M48" s="967">
        <f t="shared" ref="M48:M54" si="42">+M47+L48</f>
        <v>0.17368999999999998</v>
      </c>
      <c r="N48" s="54">
        <f t="shared" ref="N48:N54" si="43">+B47</f>
        <v>0</v>
      </c>
      <c r="O48" s="968">
        <f t="shared" ref="O48:O54" si="44">+E48</f>
        <v>0</v>
      </c>
      <c r="P48" s="968">
        <f t="shared" ref="P48:P54" si="45">+N48*O48/1000</f>
        <v>0</v>
      </c>
      <c r="Q48" s="969">
        <f t="shared" ref="Q48:Q54" si="46">+Q47+P48</f>
        <v>0</v>
      </c>
      <c r="R48" s="247">
        <f t="shared" ref="R48:R54" si="47">+(B48+B47)/2</f>
        <v>0</v>
      </c>
      <c r="S48" s="24">
        <f t="shared" ref="S48:S54" si="48">+F48</f>
        <v>0</v>
      </c>
      <c r="T48" s="970">
        <f t="shared" ref="T48:T54" si="49">+R48*S48/1000000</f>
        <v>0</v>
      </c>
      <c r="U48" s="971">
        <f t="shared" ref="U48:U54" si="50">+U47+T48</f>
        <v>0.42825849999999999</v>
      </c>
    </row>
    <row r="49" spans="1:21" x14ac:dyDescent="0.2">
      <c r="A49" s="33">
        <f t="shared" si="0"/>
        <v>2036</v>
      </c>
      <c r="B49" s="1037">
        <f t="shared" ref="B49:B54" si="51">B48</f>
        <v>0</v>
      </c>
      <c r="C49" s="565">
        <f t="shared" si="35"/>
        <v>26</v>
      </c>
      <c r="D49" s="1041"/>
      <c r="E49" s="1042"/>
      <c r="F49" s="1043"/>
      <c r="G49" s="473">
        <f t="shared" si="36"/>
        <v>0</v>
      </c>
      <c r="H49" s="474">
        <f t="shared" si="37"/>
        <v>0</v>
      </c>
      <c r="I49" s="474">
        <f t="shared" si="38"/>
        <v>0</v>
      </c>
      <c r="J49" s="61">
        <f t="shared" si="39"/>
        <v>0</v>
      </c>
      <c r="K49" s="967">
        <f t="shared" si="40"/>
        <v>0</v>
      </c>
      <c r="L49" s="967">
        <f t="shared" si="41"/>
        <v>0</v>
      </c>
      <c r="M49" s="967">
        <f t="shared" si="42"/>
        <v>0.17368999999999998</v>
      </c>
      <c r="N49" s="54">
        <f t="shared" si="43"/>
        <v>0</v>
      </c>
      <c r="O49" s="968">
        <f t="shared" si="44"/>
        <v>0</v>
      </c>
      <c r="P49" s="968">
        <f t="shared" si="45"/>
        <v>0</v>
      </c>
      <c r="Q49" s="969">
        <f t="shared" si="46"/>
        <v>0</v>
      </c>
      <c r="R49" s="247">
        <f t="shared" si="47"/>
        <v>0</v>
      </c>
      <c r="S49" s="24">
        <f t="shared" si="48"/>
        <v>0</v>
      </c>
      <c r="T49" s="970">
        <f t="shared" si="49"/>
        <v>0</v>
      </c>
      <c r="U49" s="971">
        <f t="shared" si="50"/>
        <v>0.42825849999999999</v>
      </c>
    </row>
    <row r="50" spans="1:21" x14ac:dyDescent="0.2">
      <c r="A50" s="33">
        <f t="shared" si="0"/>
        <v>2037</v>
      </c>
      <c r="B50" s="1037">
        <f t="shared" si="51"/>
        <v>0</v>
      </c>
      <c r="C50" s="565">
        <f t="shared" si="35"/>
        <v>26</v>
      </c>
      <c r="D50" s="1041"/>
      <c r="E50" s="1042"/>
      <c r="F50" s="1043"/>
      <c r="G50" s="473">
        <f t="shared" si="36"/>
        <v>0</v>
      </c>
      <c r="H50" s="474">
        <f t="shared" si="37"/>
        <v>0</v>
      </c>
      <c r="I50" s="474">
        <f t="shared" si="38"/>
        <v>0</v>
      </c>
      <c r="J50" s="61">
        <f t="shared" si="39"/>
        <v>0</v>
      </c>
      <c r="K50" s="967">
        <f t="shared" si="40"/>
        <v>0</v>
      </c>
      <c r="L50" s="967">
        <f t="shared" si="41"/>
        <v>0</v>
      </c>
      <c r="M50" s="967">
        <f t="shared" si="42"/>
        <v>0.17368999999999998</v>
      </c>
      <c r="N50" s="54">
        <f t="shared" si="43"/>
        <v>0</v>
      </c>
      <c r="O50" s="968">
        <f t="shared" si="44"/>
        <v>0</v>
      </c>
      <c r="P50" s="968">
        <f t="shared" si="45"/>
        <v>0</v>
      </c>
      <c r="Q50" s="969">
        <f t="shared" si="46"/>
        <v>0</v>
      </c>
      <c r="R50" s="247">
        <f t="shared" si="47"/>
        <v>0</v>
      </c>
      <c r="S50" s="24">
        <f t="shared" si="48"/>
        <v>0</v>
      </c>
      <c r="T50" s="970">
        <f t="shared" si="49"/>
        <v>0</v>
      </c>
      <c r="U50" s="971">
        <f t="shared" si="50"/>
        <v>0.42825849999999999</v>
      </c>
    </row>
    <row r="51" spans="1:21" x14ac:dyDescent="0.2">
      <c r="A51" s="33">
        <f t="shared" si="0"/>
        <v>2038</v>
      </c>
      <c r="B51" s="1037">
        <f t="shared" si="51"/>
        <v>0</v>
      </c>
      <c r="C51" s="565">
        <f t="shared" si="35"/>
        <v>26</v>
      </c>
      <c r="D51" s="1041"/>
      <c r="E51" s="1042"/>
      <c r="F51" s="1043"/>
      <c r="G51" s="473">
        <f t="shared" si="36"/>
        <v>0</v>
      </c>
      <c r="H51" s="474">
        <f t="shared" si="37"/>
        <v>0</v>
      </c>
      <c r="I51" s="474">
        <f t="shared" si="38"/>
        <v>0</v>
      </c>
      <c r="J51" s="61">
        <f t="shared" si="39"/>
        <v>0</v>
      </c>
      <c r="K51" s="967">
        <f t="shared" si="40"/>
        <v>0</v>
      </c>
      <c r="L51" s="967">
        <f t="shared" si="41"/>
        <v>0</v>
      </c>
      <c r="M51" s="967">
        <f t="shared" si="42"/>
        <v>0.17368999999999998</v>
      </c>
      <c r="N51" s="54">
        <f t="shared" si="43"/>
        <v>0</v>
      </c>
      <c r="O51" s="968">
        <f t="shared" si="44"/>
        <v>0</v>
      </c>
      <c r="P51" s="968">
        <f t="shared" si="45"/>
        <v>0</v>
      </c>
      <c r="Q51" s="969">
        <f t="shared" si="46"/>
        <v>0</v>
      </c>
      <c r="R51" s="247">
        <f t="shared" si="47"/>
        <v>0</v>
      </c>
      <c r="S51" s="24">
        <f t="shared" si="48"/>
        <v>0</v>
      </c>
      <c r="T51" s="970">
        <f t="shared" si="49"/>
        <v>0</v>
      </c>
      <c r="U51" s="971">
        <f t="shared" si="50"/>
        <v>0.42825849999999999</v>
      </c>
    </row>
    <row r="52" spans="1:21" x14ac:dyDescent="0.2">
      <c r="A52" s="33">
        <f t="shared" si="0"/>
        <v>2039</v>
      </c>
      <c r="B52" s="1037">
        <f t="shared" si="51"/>
        <v>0</v>
      </c>
      <c r="C52" s="565">
        <f t="shared" si="35"/>
        <v>26</v>
      </c>
      <c r="D52" s="1041"/>
      <c r="E52" s="1042"/>
      <c r="F52" s="1043"/>
      <c r="G52" s="473">
        <f t="shared" si="36"/>
        <v>0</v>
      </c>
      <c r="H52" s="474">
        <f t="shared" si="37"/>
        <v>0</v>
      </c>
      <c r="I52" s="474">
        <f t="shared" si="38"/>
        <v>0</v>
      </c>
      <c r="J52" s="61">
        <f t="shared" si="39"/>
        <v>0</v>
      </c>
      <c r="K52" s="967">
        <f t="shared" si="40"/>
        <v>0</v>
      </c>
      <c r="L52" s="967">
        <f t="shared" si="41"/>
        <v>0</v>
      </c>
      <c r="M52" s="967">
        <f t="shared" si="42"/>
        <v>0.17368999999999998</v>
      </c>
      <c r="N52" s="54">
        <f t="shared" si="43"/>
        <v>0</v>
      </c>
      <c r="O52" s="968">
        <f t="shared" si="44"/>
        <v>0</v>
      </c>
      <c r="P52" s="968">
        <f t="shared" si="45"/>
        <v>0</v>
      </c>
      <c r="Q52" s="969">
        <f t="shared" si="46"/>
        <v>0</v>
      </c>
      <c r="R52" s="247">
        <f t="shared" si="47"/>
        <v>0</v>
      </c>
      <c r="S52" s="24">
        <f t="shared" si="48"/>
        <v>0</v>
      </c>
      <c r="T52" s="970">
        <f t="shared" si="49"/>
        <v>0</v>
      </c>
      <c r="U52" s="971">
        <f t="shared" si="50"/>
        <v>0.42825849999999999</v>
      </c>
    </row>
    <row r="53" spans="1:21" x14ac:dyDescent="0.2">
      <c r="A53" s="33">
        <f t="shared" si="0"/>
        <v>2040</v>
      </c>
      <c r="B53" s="1037">
        <f t="shared" si="51"/>
        <v>0</v>
      </c>
      <c r="C53" s="565">
        <f t="shared" si="35"/>
        <v>26</v>
      </c>
      <c r="D53" s="1041"/>
      <c r="E53" s="1042"/>
      <c r="F53" s="1043"/>
      <c r="G53" s="473">
        <f t="shared" si="36"/>
        <v>0</v>
      </c>
      <c r="H53" s="474">
        <f t="shared" si="37"/>
        <v>0</v>
      </c>
      <c r="I53" s="474">
        <f t="shared" si="38"/>
        <v>0</v>
      </c>
      <c r="J53" s="61">
        <f t="shared" si="39"/>
        <v>0</v>
      </c>
      <c r="K53" s="967">
        <f t="shared" si="40"/>
        <v>0</v>
      </c>
      <c r="L53" s="967">
        <f t="shared" si="41"/>
        <v>0</v>
      </c>
      <c r="M53" s="967">
        <f t="shared" si="42"/>
        <v>0.17368999999999998</v>
      </c>
      <c r="N53" s="54">
        <f t="shared" si="43"/>
        <v>0</v>
      </c>
      <c r="O53" s="968">
        <f t="shared" si="44"/>
        <v>0</v>
      </c>
      <c r="P53" s="968">
        <f t="shared" si="45"/>
        <v>0</v>
      </c>
      <c r="Q53" s="969">
        <f t="shared" si="46"/>
        <v>0</v>
      </c>
      <c r="R53" s="247">
        <f t="shared" si="47"/>
        <v>0</v>
      </c>
      <c r="S53" s="24">
        <f t="shared" si="48"/>
        <v>0</v>
      </c>
      <c r="T53" s="970">
        <f t="shared" si="49"/>
        <v>0</v>
      </c>
      <c r="U53" s="971">
        <f t="shared" si="50"/>
        <v>0.42825849999999999</v>
      </c>
    </row>
    <row r="54" spans="1:21" x14ac:dyDescent="0.2">
      <c r="A54" s="33">
        <f t="shared" si="0"/>
        <v>2041</v>
      </c>
      <c r="B54" s="1037">
        <f t="shared" si="51"/>
        <v>0</v>
      </c>
      <c r="C54" s="565">
        <f t="shared" si="35"/>
        <v>26</v>
      </c>
      <c r="D54" s="1041"/>
      <c r="E54" s="1042"/>
      <c r="F54" s="1043"/>
      <c r="G54" s="473">
        <f t="shared" si="36"/>
        <v>0</v>
      </c>
      <c r="H54" s="474">
        <f t="shared" si="37"/>
        <v>0</v>
      </c>
      <c r="I54" s="474">
        <f t="shared" si="38"/>
        <v>0</v>
      </c>
      <c r="J54" s="61">
        <f t="shared" si="39"/>
        <v>0</v>
      </c>
      <c r="K54" s="967">
        <f t="shared" si="40"/>
        <v>0</v>
      </c>
      <c r="L54" s="967">
        <f t="shared" si="41"/>
        <v>0</v>
      </c>
      <c r="M54" s="967">
        <f t="shared" si="42"/>
        <v>0.17368999999999998</v>
      </c>
      <c r="N54" s="54">
        <f t="shared" si="43"/>
        <v>0</v>
      </c>
      <c r="O54" s="968">
        <f t="shared" si="44"/>
        <v>0</v>
      </c>
      <c r="P54" s="968">
        <f t="shared" si="45"/>
        <v>0</v>
      </c>
      <c r="Q54" s="969">
        <f t="shared" si="46"/>
        <v>0</v>
      </c>
      <c r="R54" s="247">
        <f t="shared" si="47"/>
        <v>0</v>
      </c>
      <c r="S54" s="24">
        <f t="shared" si="48"/>
        <v>0</v>
      </c>
      <c r="T54" s="970">
        <f t="shared" si="49"/>
        <v>0</v>
      </c>
      <c r="U54" s="971">
        <f t="shared" si="50"/>
        <v>0.42825849999999999</v>
      </c>
    </row>
    <row r="55" spans="1:21" s="2" customFormat="1" x14ac:dyDescent="0.2">
      <c r="A55" s="491"/>
      <c r="B55" s="498"/>
      <c r="C55" s="493"/>
      <c r="D55" s="1066"/>
      <c r="E55" s="1066"/>
      <c r="F55" s="498"/>
      <c r="G55" s="1066"/>
      <c r="H55" s="1066"/>
      <c r="I55" s="1066"/>
      <c r="J55" s="498"/>
      <c r="K55" s="1066"/>
      <c r="L55" s="1066"/>
      <c r="M55" s="1066"/>
      <c r="N55" s="498"/>
      <c r="O55" s="1066"/>
      <c r="P55" s="1066"/>
      <c r="Q55" s="1066"/>
      <c r="R55" s="248"/>
      <c r="S55" s="499"/>
      <c r="T55" s="1067"/>
      <c r="U55" s="1067"/>
    </row>
    <row r="56" spans="1:21" x14ac:dyDescent="0.2">
      <c r="A56" s="69" t="s">
        <v>38</v>
      </c>
    </row>
    <row r="57" spans="1:21" x14ac:dyDescent="0.2">
      <c r="A57" s="69" t="s">
        <v>39</v>
      </c>
    </row>
    <row r="58" spans="1:21" x14ac:dyDescent="0.2">
      <c r="A58" s="86" t="s">
        <v>57</v>
      </c>
    </row>
    <row r="59" spans="1:21" x14ac:dyDescent="0.2">
      <c r="A59" s="86" t="s">
        <v>58</v>
      </c>
    </row>
  </sheetData>
  <mergeCells count="5">
    <mergeCell ref="G3:I3"/>
    <mergeCell ref="B4:I4"/>
    <mergeCell ref="J4:M4"/>
    <mergeCell ref="N4:Q4"/>
    <mergeCell ref="R4:U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5">
    <tabColor rgb="FFFF0000"/>
  </sheetPr>
  <dimension ref="A1:X60"/>
  <sheetViews>
    <sheetView workbookViewId="0">
      <pane xSplit="1" ySplit="5" topLeftCell="B17" activePane="bottomRight" state="frozen"/>
      <selection activeCell="A3" sqref="A3:M4"/>
      <selection pane="topRight" activeCell="A3" sqref="A3:M4"/>
      <selection pane="bottomLeft" activeCell="A3" sqref="A3:M4"/>
      <selection pane="bottomRight" activeCell="A40" sqref="A40:A54"/>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178" t="s">
        <v>88</v>
      </c>
      <c r="F1" s="4"/>
      <c r="G1" s="4"/>
      <c r="H1" s="4"/>
      <c r="I1" s="4" t="s">
        <v>208</v>
      </c>
      <c r="J1" s="249"/>
      <c r="K1" s="4"/>
      <c r="L1" s="4"/>
      <c r="M1" s="4"/>
      <c r="N1" s="4"/>
    </row>
    <row r="2" spans="1:24" ht="19.5" thickBot="1" x14ac:dyDescent="0.3">
      <c r="A2" s="5" t="s">
        <v>1</v>
      </c>
      <c r="B2" s="27" t="s">
        <v>61</v>
      </c>
      <c r="C2" s="27"/>
      <c r="D2" s="27"/>
      <c r="E2" s="27"/>
      <c r="F2" s="23"/>
      <c r="J2" s="4"/>
      <c r="K2" s="4"/>
      <c r="L2" s="4"/>
      <c r="M2" s="4"/>
      <c r="N2" s="4"/>
    </row>
    <row r="3" spans="1:24" ht="16.5" thickBot="1" x14ac:dyDescent="0.3">
      <c r="A3" s="1479" t="s">
        <v>90</v>
      </c>
      <c r="B3" s="1479"/>
      <c r="C3" s="1479"/>
      <c r="D3" s="1479"/>
      <c r="E3" s="1479"/>
      <c r="F3" s="1480"/>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v>63067</v>
      </c>
      <c r="D6" s="15"/>
      <c r="E6" s="15"/>
      <c r="F6" s="15"/>
      <c r="G6" s="15"/>
      <c r="H6" s="15"/>
      <c r="I6" s="31"/>
      <c r="J6" s="37"/>
      <c r="K6" s="59">
        <f>+M6/C6*1000</f>
        <v>0</v>
      </c>
      <c r="L6" s="6"/>
      <c r="M6" s="46">
        <v>0</v>
      </c>
      <c r="N6" s="40"/>
      <c r="O6" s="55">
        <f>+Q6/C6*1000</f>
        <v>0</v>
      </c>
      <c r="P6" s="57"/>
      <c r="Q6" s="41">
        <v>0</v>
      </c>
      <c r="R6" s="43"/>
      <c r="S6" s="24">
        <f>+U6/C6*1000000</f>
        <v>253.69844768262325</v>
      </c>
      <c r="T6" s="21"/>
      <c r="U6" s="47">
        <v>16</v>
      </c>
      <c r="V6" s="3"/>
    </row>
    <row r="7" spans="1:24" s="1" customFormat="1" ht="15.75" customHeight="1" x14ac:dyDescent="0.2">
      <c r="A7" s="68" t="s">
        <v>63</v>
      </c>
      <c r="B7" s="30"/>
      <c r="C7" s="50">
        <f>0+C6</f>
        <v>63067</v>
      </c>
      <c r="D7" s="15"/>
      <c r="E7" s="15"/>
      <c r="F7" s="15"/>
      <c r="G7" s="15"/>
      <c r="H7" s="15"/>
      <c r="I7" s="31"/>
      <c r="J7" s="37"/>
      <c r="K7" s="59">
        <f>+D7</f>
        <v>0</v>
      </c>
      <c r="L7" s="6"/>
      <c r="M7" s="46">
        <f>+M6+0</f>
        <v>0</v>
      </c>
      <c r="N7" s="40"/>
      <c r="O7" s="55">
        <f>+Q7/C7*1000</f>
        <v>0</v>
      </c>
      <c r="P7" s="57"/>
      <c r="Q7" s="41">
        <f>+Q6+0</f>
        <v>0</v>
      </c>
      <c r="R7" s="43"/>
      <c r="S7" s="24">
        <v>0</v>
      </c>
      <c r="T7" s="21"/>
      <c r="U7" s="47">
        <f>+U6+0</f>
        <v>16</v>
      </c>
      <c r="V7" s="3"/>
    </row>
    <row r="8" spans="1:24" x14ac:dyDescent="0.2">
      <c r="A8" s="33">
        <v>1995</v>
      </c>
      <c r="B8" s="90"/>
      <c r="C8" s="64">
        <f>+C7+B8</f>
        <v>63067</v>
      </c>
      <c r="D8" s="63">
        <f t="shared" ref="D8:E10" si="0">IF($B8=0,0,(G8*1000)/$B8)</f>
        <v>0</v>
      </c>
      <c r="E8" s="63">
        <f t="shared" si="0"/>
        <v>0</v>
      </c>
      <c r="F8" s="63">
        <v>0</v>
      </c>
      <c r="G8" s="72">
        <f>+$B8*D8/1000</f>
        <v>0</v>
      </c>
      <c r="H8" s="72">
        <f>+$B8*E8/1000</f>
        <v>0</v>
      </c>
      <c r="I8" s="72">
        <f>+$B8*F8/1000000</f>
        <v>0</v>
      </c>
      <c r="J8" s="61">
        <f>+(B8+N8)/2</f>
        <v>0</v>
      </c>
      <c r="K8" s="59">
        <f>+D8</f>
        <v>0</v>
      </c>
      <c r="L8" s="59">
        <f>+J8*K8/1000</f>
        <v>0</v>
      </c>
      <c r="M8" s="60">
        <f>+M7+L8</f>
        <v>0</v>
      </c>
      <c r="N8" s="51">
        <v>0</v>
      </c>
      <c r="O8" s="58">
        <f>+E8</f>
        <v>0</v>
      </c>
      <c r="P8" s="58">
        <f>+N8*O8/1000</f>
        <v>0</v>
      </c>
      <c r="Q8" s="56">
        <f>+Q7+P8</f>
        <v>0</v>
      </c>
      <c r="R8" s="44">
        <f>J8</f>
        <v>0</v>
      </c>
      <c r="S8" s="24">
        <f>+F8</f>
        <v>0</v>
      </c>
      <c r="T8" s="25">
        <f>+R8*S8/1000000</f>
        <v>0</v>
      </c>
      <c r="U8" s="53">
        <f>+U7+T8</f>
        <v>16</v>
      </c>
      <c r="V8" s="9"/>
      <c r="X8" s="1"/>
    </row>
    <row r="9" spans="1:24" x14ac:dyDescent="0.2">
      <c r="A9" s="33">
        <v>1996</v>
      </c>
      <c r="B9" s="90"/>
      <c r="C9" s="64">
        <f t="shared" ref="C9:C38" si="1">+C8+B9</f>
        <v>63067</v>
      </c>
      <c r="D9" s="63">
        <f t="shared" si="0"/>
        <v>0</v>
      </c>
      <c r="E9" s="63">
        <f t="shared" si="0"/>
        <v>0</v>
      </c>
      <c r="F9" s="63">
        <f>IF($B9=0,0,(I9*1000000)/$B9)</f>
        <v>0</v>
      </c>
      <c r="G9" s="72">
        <f>+$B9*D9/1000</f>
        <v>0</v>
      </c>
      <c r="H9" s="72">
        <f>+$B9*E9/1000</f>
        <v>0</v>
      </c>
      <c r="I9" s="72">
        <f>+$B9*F9/1000000</f>
        <v>0</v>
      </c>
      <c r="J9" s="61">
        <f t="shared" ref="J9:J37" si="2">+(B9+B8)/2</f>
        <v>0</v>
      </c>
      <c r="K9" s="59">
        <f t="shared" ref="K9:K37" si="3">+D9</f>
        <v>0</v>
      </c>
      <c r="L9" s="59">
        <f t="shared" ref="L9:L37" si="4">+J9*K9/1000</f>
        <v>0</v>
      </c>
      <c r="M9" s="60">
        <f t="shared" ref="M9:M37" si="5">+M8+L9</f>
        <v>0</v>
      </c>
      <c r="N9" s="54">
        <f>+B8</f>
        <v>0</v>
      </c>
      <c r="O9" s="55">
        <f t="shared" ref="O9:O37" si="6">+E9</f>
        <v>0</v>
      </c>
      <c r="P9" s="55">
        <f t="shared" ref="P9:P37" si="7">+N9*O9/1000</f>
        <v>0</v>
      </c>
      <c r="Q9" s="56">
        <f t="shared" ref="Q9:Q37" si="8">+Q8+P9</f>
        <v>0</v>
      </c>
      <c r="R9" s="44">
        <f t="shared" ref="R9:R37" si="9">+(B9+B8)/2</f>
        <v>0</v>
      </c>
      <c r="S9" s="24">
        <f t="shared" ref="S9:S37" si="10">+F9</f>
        <v>0</v>
      </c>
      <c r="T9" s="25">
        <f t="shared" ref="T9:T37" si="11">+R9*S9/1000000</f>
        <v>0</v>
      </c>
      <c r="U9" s="53">
        <f t="shared" ref="U9:U37" si="12">+U8+T9</f>
        <v>16</v>
      </c>
      <c r="V9" s="10"/>
      <c r="X9" s="1"/>
    </row>
    <row r="10" spans="1:24" x14ac:dyDescent="0.2">
      <c r="A10" s="33">
        <v>1997</v>
      </c>
      <c r="B10" s="90"/>
      <c r="C10" s="64">
        <f t="shared" si="1"/>
        <v>63067</v>
      </c>
      <c r="D10" s="63">
        <f t="shared" si="0"/>
        <v>0</v>
      </c>
      <c r="E10" s="63">
        <f t="shared" si="0"/>
        <v>0</v>
      </c>
      <c r="F10" s="63">
        <f>IF($B10=0,0,(I10*1000000)/$B10)</f>
        <v>0</v>
      </c>
      <c r="G10" s="72">
        <f t="shared" ref="G10:G16" si="13">+$B10*D10/1000</f>
        <v>0</v>
      </c>
      <c r="H10" s="72">
        <f t="shared" ref="H10:H16" si="14">+$B10*E10/1000</f>
        <v>0</v>
      </c>
      <c r="I10" s="72">
        <f t="shared" ref="I10:I16" si="15">+$B10*F10/1000000</f>
        <v>0</v>
      </c>
      <c r="J10" s="61">
        <f t="shared" si="2"/>
        <v>0</v>
      </c>
      <c r="K10" s="59">
        <f t="shared" si="3"/>
        <v>0</v>
      </c>
      <c r="L10" s="59">
        <f t="shared" si="4"/>
        <v>0</v>
      </c>
      <c r="M10" s="60">
        <f t="shared" si="5"/>
        <v>0</v>
      </c>
      <c r="N10" s="54">
        <f t="shared" ref="N10:N37" si="16">+B9</f>
        <v>0</v>
      </c>
      <c r="O10" s="55">
        <f t="shared" si="6"/>
        <v>0</v>
      </c>
      <c r="P10" s="55">
        <f t="shared" si="7"/>
        <v>0</v>
      </c>
      <c r="Q10" s="56">
        <f t="shared" si="8"/>
        <v>0</v>
      </c>
      <c r="R10" s="44">
        <f t="shared" si="9"/>
        <v>0</v>
      </c>
      <c r="S10" s="24">
        <f t="shared" si="10"/>
        <v>0</v>
      </c>
      <c r="T10" s="25">
        <f t="shared" si="11"/>
        <v>0</v>
      </c>
      <c r="U10" s="53">
        <f t="shared" si="12"/>
        <v>16</v>
      </c>
      <c r="V10" s="10"/>
      <c r="X10" s="1"/>
    </row>
    <row r="11" spans="1:24" x14ac:dyDescent="0.2">
      <c r="A11" s="33">
        <v>1998</v>
      </c>
      <c r="B11" s="90"/>
      <c r="C11" s="64">
        <f t="shared" si="1"/>
        <v>63067</v>
      </c>
      <c r="D11" s="63">
        <f t="shared" ref="D11:E16" si="17">IF($B11=0,0,(G11*1000)/$B11)</f>
        <v>0</v>
      </c>
      <c r="E11" s="63">
        <f t="shared" si="17"/>
        <v>0</v>
      </c>
      <c r="F11" s="63">
        <f t="shared" ref="F11:F16" si="18">IF($B11=0,0,(I11*1000000)/$B11)</f>
        <v>0</v>
      </c>
      <c r="G11" s="72">
        <f t="shared" si="13"/>
        <v>0</v>
      </c>
      <c r="H11" s="72">
        <f t="shared" si="14"/>
        <v>0</v>
      </c>
      <c r="I11" s="72">
        <f t="shared" si="15"/>
        <v>0</v>
      </c>
      <c r="J11" s="61">
        <f t="shared" si="2"/>
        <v>0</v>
      </c>
      <c r="K11" s="59">
        <f t="shared" si="3"/>
        <v>0</v>
      </c>
      <c r="L11" s="59">
        <f t="shared" si="4"/>
        <v>0</v>
      </c>
      <c r="M11" s="60">
        <f t="shared" si="5"/>
        <v>0</v>
      </c>
      <c r="N11" s="54">
        <f t="shared" si="16"/>
        <v>0</v>
      </c>
      <c r="O11" s="55">
        <f t="shared" si="6"/>
        <v>0</v>
      </c>
      <c r="P11" s="55">
        <f t="shared" si="7"/>
        <v>0</v>
      </c>
      <c r="Q11" s="56">
        <f t="shared" si="8"/>
        <v>0</v>
      </c>
      <c r="R11" s="44">
        <f t="shared" si="9"/>
        <v>0</v>
      </c>
      <c r="S11" s="24">
        <f t="shared" si="10"/>
        <v>0</v>
      </c>
      <c r="T11" s="25">
        <f t="shared" si="11"/>
        <v>0</v>
      </c>
      <c r="U11" s="53">
        <f t="shared" si="12"/>
        <v>16</v>
      </c>
      <c r="V11" s="10"/>
      <c r="X11" s="1"/>
    </row>
    <row r="12" spans="1:24" x14ac:dyDescent="0.2">
      <c r="A12" s="33">
        <v>1999</v>
      </c>
      <c r="B12" s="90"/>
      <c r="C12" s="64">
        <f t="shared" si="1"/>
        <v>63067</v>
      </c>
      <c r="D12" s="63">
        <f t="shared" si="17"/>
        <v>0</v>
      </c>
      <c r="E12" s="63">
        <f t="shared" si="17"/>
        <v>0</v>
      </c>
      <c r="F12" s="63">
        <f t="shared" si="18"/>
        <v>0</v>
      </c>
      <c r="G12" s="72">
        <f t="shared" si="13"/>
        <v>0</v>
      </c>
      <c r="H12" s="72">
        <f t="shared" si="14"/>
        <v>0</v>
      </c>
      <c r="I12" s="72">
        <f t="shared" si="15"/>
        <v>0</v>
      </c>
      <c r="J12" s="61">
        <f t="shared" si="2"/>
        <v>0</v>
      </c>
      <c r="K12" s="59">
        <f t="shared" si="3"/>
        <v>0</v>
      </c>
      <c r="L12" s="59">
        <f t="shared" si="4"/>
        <v>0</v>
      </c>
      <c r="M12" s="60">
        <f t="shared" si="5"/>
        <v>0</v>
      </c>
      <c r="N12" s="54">
        <f t="shared" si="16"/>
        <v>0</v>
      </c>
      <c r="O12" s="55">
        <f t="shared" si="6"/>
        <v>0</v>
      </c>
      <c r="P12" s="55">
        <f t="shared" si="7"/>
        <v>0</v>
      </c>
      <c r="Q12" s="56">
        <f t="shared" si="8"/>
        <v>0</v>
      </c>
      <c r="R12" s="44">
        <f t="shared" si="9"/>
        <v>0</v>
      </c>
      <c r="S12" s="24">
        <f t="shared" si="10"/>
        <v>0</v>
      </c>
      <c r="T12" s="25">
        <f t="shared" si="11"/>
        <v>0</v>
      </c>
      <c r="U12" s="53">
        <f t="shared" si="12"/>
        <v>16</v>
      </c>
      <c r="V12" s="10"/>
      <c r="X12" s="1"/>
    </row>
    <row r="13" spans="1:24" x14ac:dyDescent="0.2">
      <c r="A13" s="33">
        <v>2000</v>
      </c>
      <c r="B13" s="90"/>
      <c r="C13" s="64">
        <f t="shared" si="1"/>
        <v>63067</v>
      </c>
      <c r="D13" s="63">
        <f t="shared" si="17"/>
        <v>0</v>
      </c>
      <c r="E13" s="63">
        <f t="shared" si="17"/>
        <v>0</v>
      </c>
      <c r="F13" s="63">
        <f t="shared" si="18"/>
        <v>0</v>
      </c>
      <c r="G13" s="72">
        <f t="shared" si="13"/>
        <v>0</v>
      </c>
      <c r="H13" s="72">
        <f t="shared" si="14"/>
        <v>0</v>
      </c>
      <c r="I13" s="72">
        <f t="shared" si="15"/>
        <v>0</v>
      </c>
      <c r="J13" s="61">
        <f t="shared" si="2"/>
        <v>0</v>
      </c>
      <c r="K13" s="59">
        <f t="shared" si="3"/>
        <v>0</v>
      </c>
      <c r="L13" s="59">
        <f t="shared" si="4"/>
        <v>0</v>
      </c>
      <c r="M13" s="60">
        <f t="shared" si="5"/>
        <v>0</v>
      </c>
      <c r="N13" s="54">
        <f t="shared" si="16"/>
        <v>0</v>
      </c>
      <c r="O13" s="55">
        <f t="shared" si="6"/>
        <v>0</v>
      </c>
      <c r="P13" s="55">
        <f t="shared" si="7"/>
        <v>0</v>
      </c>
      <c r="Q13" s="56">
        <f t="shared" si="8"/>
        <v>0</v>
      </c>
      <c r="R13" s="44">
        <f t="shared" si="9"/>
        <v>0</v>
      </c>
      <c r="S13" s="24">
        <f t="shared" si="10"/>
        <v>0</v>
      </c>
      <c r="T13" s="25">
        <f t="shared" si="11"/>
        <v>0</v>
      </c>
      <c r="U13" s="53">
        <f t="shared" si="12"/>
        <v>16</v>
      </c>
      <c r="V13" s="9"/>
      <c r="X13" s="1"/>
    </row>
    <row r="14" spans="1:24" x14ac:dyDescent="0.2">
      <c r="A14" s="33">
        <v>2001</v>
      </c>
      <c r="B14" s="90"/>
      <c r="C14" s="64">
        <f t="shared" si="1"/>
        <v>63067</v>
      </c>
      <c r="D14" s="63">
        <f>IF($B14=0,0,(G14*1000)/$B14)</f>
        <v>0</v>
      </c>
      <c r="E14" s="63">
        <f>IF($B14=0,0,(H14*1000)/$B14)</f>
        <v>0</v>
      </c>
      <c r="F14" s="63">
        <f>IF($B14=0,0,(I14*1000000)/$B14)</f>
        <v>0</v>
      </c>
      <c r="G14" s="72">
        <f t="shared" si="13"/>
        <v>0</v>
      </c>
      <c r="H14" s="72">
        <f t="shared" si="14"/>
        <v>0</v>
      </c>
      <c r="I14" s="72">
        <f t="shared" si="15"/>
        <v>0</v>
      </c>
      <c r="J14" s="61">
        <f t="shared" si="2"/>
        <v>0</v>
      </c>
      <c r="K14" s="59">
        <f t="shared" si="3"/>
        <v>0</v>
      </c>
      <c r="L14" s="59">
        <f t="shared" si="4"/>
        <v>0</v>
      </c>
      <c r="M14" s="60">
        <f t="shared" si="5"/>
        <v>0</v>
      </c>
      <c r="N14" s="54">
        <f t="shared" si="16"/>
        <v>0</v>
      </c>
      <c r="O14" s="55">
        <f t="shared" si="6"/>
        <v>0</v>
      </c>
      <c r="P14" s="55">
        <f t="shared" si="7"/>
        <v>0</v>
      </c>
      <c r="Q14" s="56">
        <f t="shared" si="8"/>
        <v>0</v>
      </c>
      <c r="R14" s="44">
        <f t="shared" si="9"/>
        <v>0</v>
      </c>
      <c r="S14" s="24">
        <f t="shared" si="10"/>
        <v>0</v>
      </c>
      <c r="T14" s="25">
        <f t="shared" si="11"/>
        <v>0</v>
      </c>
      <c r="U14" s="53">
        <f t="shared" si="12"/>
        <v>16</v>
      </c>
      <c r="V14" s="9"/>
      <c r="X14" s="1"/>
    </row>
    <row r="15" spans="1:24" x14ac:dyDescent="0.2">
      <c r="A15" s="33">
        <v>2002</v>
      </c>
      <c r="B15" s="90"/>
      <c r="C15" s="64">
        <f t="shared" si="1"/>
        <v>63067</v>
      </c>
      <c r="D15" s="63">
        <f>IF($B15=0,0,(G15*1000)/$B15)</f>
        <v>0</v>
      </c>
      <c r="E15" s="63">
        <f t="shared" si="17"/>
        <v>0</v>
      </c>
      <c r="F15" s="63">
        <f>IF($B15=0,0,(I15*1000000)/$B15)</f>
        <v>0</v>
      </c>
      <c r="G15" s="72">
        <f t="shared" si="13"/>
        <v>0</v>
      </c>
      <c r="H15" s="72">
        <f t="shared" si="14"/>
        <v>0</v>
      </c>
      <c r="I15" s="72">
        <f t="shared" si="15"/>
        <v>0</v>
      </c>
      <c r="J15" s="61">
        <f t="shared" si="2"/>
        <v>0</v>
      </c>
      <c r="K15" s="59">
        <f t="shared" si="3"/>
        <v>0</v>
      </c>
      <c r="L15" s="59">
        <f t="shared" si="4"/>
        <v>0</v>
      </c>
      <c r="M15" s="60">
        <f t="shared" si="5"/>
        <v>0</v>
      </c>
      <c r="N15" s="54">
        <f t="shared" si="16"/>
        <v>0</v>
      </c>
      <c r="O15" s="55">
        <f t="shared" si="6"/>
        <v>0</v>
      </c>
      <c r="P15" s="55">
        <f t="shared" si="7"/>
        <v>0</v>
      </c>
      <c r="Q15" s="56">
        <f t="shared" si="8"/>
        <v>0</v>
      </c>
      <c r="R15" s="44">
        <f t="shared" si="9"/>
        <v>0</v>
      </c>
      <c r="S15" s="24">
        <f t="shared" si="10"/>
        <v>0</v>
      </c>
      <c r="T15" s="25">
        <f t="shared" si="11"/>
        <v>0</v>
      </c>
      <c r="U15" s="53">
        <f t="shared" si="12"/>
        <v>16</v>
      </c>
      <c r="V15" s="9"/>
      <c r="X15" s="1"/>
    </row>
    <row r="16" spans="1:24" x14ac:dyDescent="0.2">
      <c r="A16" s="33">
        <v>2003</v>
      </c>
      <c r="B16" s="90"/>
      <c r="C16" s="64">
        <f t="shared" si="1"/>
        <v>63067</v>
      </c>
      <c r="D16" s="63">
        <f>IF($B16=0,0,(G16*1000)/$B16)</f>
        <v>0</v>
      </c>
      <c r="E16" s="63">
        <f t="shared" si="17"/>
        <v>0</v>
      </c>
      <c r="F16" s="63">
        <f t="shared" si="18"/>
        <v>0</v>
      </c>
      <c r="G16" s="72">
        <f t="shared" si="13"/>
        <v>0</v>
      </c>
      <c r="H16" s="72">
        <f t="shared" si="14"/>
        <v>0</v>
      </c>
      <c r="I16" s="72">
        <f t="shared" si="15"/>
        <v>0</v>
      </c>
      <c r="J16" s="61">
        <f t="shared" si="2"/>
        <v>0</v>
      </c>
      <c r="K16" s="59">
        <f t="shared" si="3"/>
        <v>0</v>
      </c>
      <c r="L16" s="59">
        <f t="shared" si="4"/>
        <v>0</v>
      </c>
      <c r="M16" s="60">
        <f t="shared" si="5"/>
        <v>0</v>
      </c>
      <c r="N16" s="54">
        <f t="shared" si="16"/>
        <v>0</v>
      </c>
      <c r="O16" s="55">
        <f t="shared" si="6"/>
        <v>0</v>
      </c>
      <c r="P16" s="55">
        <f t="shared" si="7"/>
        <v>0</v>
      </c>
      <c r="Q16" s="56">
        <f t="shared" si="8"/>
        <v>0</v>
      </c>
      <c r="R16" s="44">
        <f t="shared" si="9"/>
        <v>0</v>
      </c>
      <c r="S16" s="24">
        <f t="shared" si="10"/>
        <v>0</v>
      </c>
      <c r="T16" s="25">
        <f t="shared" si="11"/>
        <v>0</v>
      </c>
      <c r="U16" s="53">
        <f t="shared" si="12"/>
        <v>16</v>
      </c>
      <c r="V16" s="8"/>
      <c r="X16" s="1"/>
    </row>
    <row r="17" spans="1:24" x14ac:dyDescent="0.2">
      <c r="A17" s="33">
        <f>+A16+1</f>
        <v>2004</v>
      </c>
      <c r="B17" s="90"/>
      <c r="C17" s="64">
        <f t="shared" si="1"/>
        <v>63067</v>
      </c>
      <c r="D17" s="63">
        <f t="shared" ref="D17:D38" si="19">IF($B17=0,0,(G17*1000)/$B17)</f>
        <v>0</v>
      </c>
      <c r="E17" s="63">
        <f t="shared" ref="E17:E38" si="20">IF($B17=0,0,(H17*1000)/$B17)</f>
        <v>0</v>
      </c>
      <c r="F17" s="63">
        <f t="shared" ref="F17:F38" si="21">IF($B17=0,0,(I17*1000000)/$B17)</f>
        <v>0</v>
      </c>
      <c r="G17" s="72">
        <f>+$B17*D17/1000</f>
        <v>0</v>
      </c>
      <c r="H17" s="72">
        <f>+$B17*E17/1000</f>
        <v>0</v>
      </c>
      <c r="I17" s="72">
        <f>+$B17*F17/1000000</f>
        <v>0</v>
      </c>
      <c r="J17" s="61">
        <f t="shared" si="2"/>
        <v>0</v>
      </c>
      <c r="K17" s="59">
        <f t="shared" si="3"/>
        <v>0</v>
      </c>
      <c r="L17" s="59">
        <f t="shared" si="4"/>
        <v>0</v>
      </c>
      <c r="M17" s="60">
        <f t="shared" si="5"/>
        <v>0</v>
      </c>
      <c r="N17" s="54">
        <f t="shared" si="16"/>
        <v>0</v>
      </c>
      <c r="O17" s="55">
        <f t="shared" si="6"/>
        <v>0</v>
      </c>
      <c r="P17" s="55">
        <f t="shared" si="7"/>
        <v>0</v>
      </c>
      <c r="Q17" s="56">
        <f t="shared" si="8"/>
        <v>0</v>
      </c>
      <c r="R17" s="44">
        <f t="shared" si="9"/>
        <v>0</v>
      </c>
      <c r="S17" s="24">
        <f t="shared" si="10"/>
        <v>0</v>
      </c>
      <c r="T17" s="25">
        <f t="shared" si="11"/>
        <v>0</v>
      </c>
      <c r="U17" s="53">
        <f t="shared" si="12"/>
        <v>16</v>
      </c>
      <c r="V17" s="8"/>
      <c r="X17" s="1"/>
    </row>
    <row r="18" spans="1:24" x14ac:dyDescent="0.2">
      <c r="A18" s="33">
        <f t="shared" ref="A18:A38" si="22">+A17+1</f>
        <v>2005</v>
      </c>
      <c r="B18" s="90"/>
      <c r="C18" s="64">
        <f t="shared" si="1"/>
        <v>63067</v>
      </c>
      <c r="D18" s="63">
        <f t="shared" si="19"/>
        <v>0</v>
      </c>
      <c r="E18" s="63">
        <f t="shared" si="20"/>
        <v>0</v>
      </c>
      <c r="F18" s="63">
        <f t="shared" si="21"/>
        <v>0</v>
      </c>
      <c r="G18" s="72">
        <f t="shared" ref="G18:H37" si="23">+$B18*D18/1000</f>
        <v>0</v>
      </c>
      <c r="H18" s="72">
        <f t="shared" si="23"/>
        <v>0</v>
      </c>
      <c r="I18" s="72">
        <f t="shared" ref="I18:I37" si="24">+$B18*F18/1000000</f>
        <v>0</v>
      </c>
      <c r="J18" s="61">
        <f t="shared" si="2"/>
        <v>0</v>
      </c>
      <c r="K18" s="59">
        <f t="shared" si="3"/>
        <v>0</v>
      </c>
      <c r="L18" s="59">
        <f t="shared" si="4"/>
        <v>0</v>
      </c>
      <c r="M18" s="60">
        <f t="shared" si="5"/>
        <v>0</v>
      </c>
      <c r="N18" s="54">
        <f t="shared" si="16"/>
        <v>0</v>
      </c>
      <c r="O18" s="55">
        <f t="shared" si="6"/>
        <v>0</v>
      </c>
      <c r="P18" s="55">
        <f t="shared" si="7"/>
        <v>0</v>
      </c>
      <c r="Q18" s="56">
        <f t="shared" si="8"/>
        <v>0</v>
      </c>
      <c r="R18" s="44">
        <f t="shared" si="9"/>
        <v>0</v>
      </c>
      <c r="S18" s="24">
        <f t="shared" si="10"/>
        <v>0</v>
      </c>
      <c r="T18" s="25">
        <f t="shared" si="11"/>
        <v>0</v>
      </c>
      <c r="U18" s="53">
        <f t="shared" si="12"/>
        <v>16</v>
      </c>
      <c r="V18" s="8"/>
      <c r="X18" s="1"/>
    </row>
    <row r="19" spans="1:24" x14ac:dyDescent="0.2">
      <c r="A19" s="33">
        <f t="shared" si="22"/>
        <v>2006</v>
      </c>
      <c r="B19" s="90"/>
      <c r="C19" s="64">
        <f t="shared" si="1"/>
        <v>63067</v>
      </c>
      <c r="D19" s="63">
        <f t="shared" si="19"/>
        <v>0</v>
      </c>
      <c r="E19" s="63">
        <f t="shared" si="20"/>
        <v>0</v>
      </c>
      <c r="F19" s="63">
        <f t="shared" si="21"/>
        <v>0</v>
      </c>
      <c r="G19" s="72">
        <f t="shared" si="23"/>
        <v>0</v>
      </c>
      <c r="H19" s="72">
        <f t="shared" si="23"/>
        <v>0</v>
      </c>
      <c r="I19" s="72">
        <f t="shared" si="24"/>
        <v>0</v>
      </c>
      <c r="J19" s="61">
        <f t="shared" si="2"/>
        <v>0</v>
      </c>
      <c r="K19" s="59">
        <f t="shared" si="3"/>
        <v>0</v>
      </c>
      <c r="L19" s="59">
        <f t="shared" si="4"/>
        <v>0</v>
      </c>
      <c r="M19" s="60">
        <f t="shared" si="5"/>
        <v>0</v>
      </c>
      <c r="N19" s="54">
        <f t="shared" si="16"/>
        <v>0</v>
      </c>
      <c r="O19" s="55">
        <f t="shared" si="6"/>
        <v>0</v>
      </c>
      <c r="P19" s="55">
        <f t="shared" si="7"/>
        <v>0</v>
      </c>
      <c r="Q19" s="56">
        <f t="shared" si="8"/>
        <v>0</v>
      </c>
      <c r="R19" s="44">
        <f t="shared" si="9"/>
        <v>0</v>
      </c>
      <c r="S19" s="24">
        <f t="shared" si="10"/>
        <v>0</v>
      </c>
      <c r="T19" s="25">
        <f t="shared" si="11"/>
        <v>0</v>
      </c>
      <c r="U19" s="53">
        <f t="shared" si="12"/>
        <v>16</v>
      </c>
    </row>
    <row r="20" spans="1:24" x14ac:dyDescent="0.2">
      <c r="A20" s="33">
        <f t="shared" si="22"/>
        <v>2007</v>
      </c>
      <c r="B20" s="90"/>
      <c r="C20" s="64">
        <f t="shared" si="1"/>
        <v>63067</v>
      </c>
      <c r="D20" s="63">
        <f t="shared" si="19"/>
        <v>0</v>
      </c>
      <c r="E20" s="63">
        <f t="shared" si="20"/>
        <v>0</v>
      </c>
      <c r="F20" s="63">
        <f t="shared" si="21"/>
        <v>0</v>
      </c>
      <c r="G20" s="72">
        <f t="shared" si="23"/>
        <v>0</v>
      </c>
      <c r="H20" s="72">
        <f t="shared" si="23"/>
        <v>0</v>
      </c>
      <c r="I20" s="72">
        <f t="shared" si="24"/>
        <v>0</v>
      </c>
      <c r="J20" s="61">
        <f t="shared" si="2"/>
        <v>0</v>
      </c>
      <c r="K20" s="59">
        <f t="shared" si="3"/>
        <v>0</v>
      </c>
      <c r="L20" s="59">
        <f t="shared" si="4"/>
        <v>0</v>
      </c>
      <c r="M20" s="60">
        <f t="shared" si="5"/>
        <v>0</v>
      </c>
      <c r="N20" s="54">
        <f t="shared" si="16"/>
        <v>0</v>
      </c>
      <c r="O20" s="55">
        <f t="shared" si="6"/>
        <v>0</v>
      </c>
      <c r="P20" s="55">
        <f t="shared" si="7"/>
        <v>0</v>
      </c>
      <c r="Q20" s="56">
        <f t="shared" si="8"/>
        <v>0</v>
      </c>
      <c r="R20" s="44">
        <f t="shared" si="9"/>
        <v>0</v>
      </c>
      <c r="S20" s="24">
        <f t="shared" si="10"/>
        <v>0</v>
      </c>
      <c r="T20" s="25">
        <f t="shared" si="11"/>
        <v>0</v>
      </c>
      <c r="U20" s="53">
        <f t="shared" si="12"/>
        <v>16</v>
      </c>
    </row>
    <row r="21" spans="1:24" x14ac:dyDescent="0.2">
      <c r="A21" s="33">
        <f t="shared" si="22"/>
        <v>2008</v>
      </c>
      <c r="B21" s="90"/>
      <c r="C21" s="64">
        <f t="shared" si="1"/>
        <v>63067</v>
      </c>
      <c r="D21" s="63">
        <f t="shared" si="19"/>
        <v>0</v>
      </c>
      <c r="E21" s="63">
        <f t="shared" si="20"/>
        <v>0</v>
      </c>
      <c r="F21" s="63">
        <f t="shared" si="21"/>
        <v>0</v>
      </c>
      <c r="G21" s="72">
        <f t="shared" si="23"/>
        <v>0</v>
      </c>
      <c r="H21" s="72">
        <f t="shared" si="23"/>
        <v>0</v>
      </c>
      <c r="I21" s="72">
        <f t="shared" si="24"/>
        <v>0</v>
      </c>
      <c r="J21" s="61">
        <f t="shared" si="2"/>
        <v>0</v>
      </c>
      <c r="K21" s="59">
        <f t="shared" si="3"/>
        <v>0</v>
      </c>
      <c r="L21" s="59">
        <f t="shared" si="4"/>
        <v>0</v>
      </c>
      <c r="M21" s="60">
        <f t="shared" si="5"/>
        <v>0</v>
      </c>
      <c r="N21" s="54">
        <f t="shared" si="16"/>
        <v>0</v>
      </c>
      <c r="O21" s="55">
        <f t="shared" si="6"/>
        <v>0</v>
      </c>
      <c r="P21" s="55">
        <f t="shared" si="7"/>
        <v>0</v>
      </c>
      <c r="Q21" s="56">
        <f t="shared" si="8"/>
        <v>0</v>
      </c>
      <c r="R21" s="44">
        <f t="shared" si="9"/>
        <v>0</v>
      </c>
      <c r="S21" s="24">
        <f t="shared" si="10"/>
        <v>0</v>
      </c>
      <c r="T21" s="25">
        <f t="shared" si="11"/>
        <v>0</v>
      </c>
      <c r="U21" s="53">
        <f t="shared" si="12"/>
        <v>16</v>
      </c>
    </row>
    <row r="22" spans="1:24" x14ac:dyDescent="0.2">
      <c r="A22" s="33">
        <f t="shared" si="22"/>
        <v>2009</v>
      </c>
      <c r="B22" s="91"/>
      <c r="C22" s="64">
        <f t="shared" si="1"/>
        <v>63067</v>
      </c>
      <c r="D22" s="63">
        <f t="shared" si="19"/>
        <v>0</v>
      </c>
      <c r="E22" s="63">
        <f t="shared" si="20"/>
        <v>0</v>
      </c>
      <c r="F22" s="63">
        <f t="shared" si="21"/>
        <v>0</v>
      </c>
      <c r="G22" s="72">
        <f t="shared" si="23"/>
        <v>0</v>
      </c>
      <c r="H22" s="72">
        <f t="shared" si="23"/>
        <v>0</v>
      </c>
      <c r="I22" s="72">
        <f t="shared" si="24"/>
        <v>0</v>
      </c>
      <c r="J22" s="61">
        <f t="shared" si="2"/>
        <v>0</v>
      </c>
      <c r="K22" s="59">
        <f t="shared" si="3"/>
        <v>0</v>
      </c>
      <c r="L22" s="59">
        <f t="shared" si="4"/>
        <v>0</v>
      </c>
      <c r="M22" s="60">
        <f t="shared" si="5"/>
        <v>0</v>
      </c>
      <c r="N22" s="54">
        <f t="shared" si="16"/>
        <v>0</v>
      </c>
      <c r="O22" s="55">
        <f t="shared" si="6"/>
        <v>0</v>
      </c>
      <c r="P22" s="55">
        <f t="shared" si="7"/>
        <v>0</v>
      </c>
      <c r="Q22" s="56">
        <f t="shared" si="8"/>
        <v>0</v>
      </c>
      <c r="R22" s="44">
        <f t="shared" si="9"/>
        <v>0</v>
      </c>
      <c r="S22" s="24">
        <f t="shared" si="10"/>
        <v>0</v>
      </c>
      <c r="T22" s="25">
        <f t="shared" si="11"/>
        <v>0</v>
      </c>
      <c r="U22" s="53">
        <f t="shared" si="12"/>
        <v>16</v>
      </c>
    </row>
    <row r="23" spans="1:24" x14ac:dyDescent="0.2">
      <c r="A23" s="33">
        <f t="shared" si="22"/>
        <v>2010</v>
      </c>
      <c r="B23" s="91"/>
      <c r="C23" s="64">
        <f t="shared" si="1"/>
        <v>63067</v>
      </c>
      <c r="D23" s="63">
        <f t="shared" si="19"/>
        <v>0</v>
      </c>
      <c r="E23" s="63">
        <f t="shared" si="20"/>
        <v>0</v>
      </c>
      <c r="F23" s="63">
        <f t="shared" si="21"/>
        <v>0</v>
      </c>
      <c r="G23" s="72">
        <f t="shared" si="23"/>
        <v>0</v>
      </c>
      <c r="H23" s="72">
        <f t="shared" si="23"/>
        <v>0</v>
      </c>
      <c r="I23" s="72">
        <f t="shared" si="24"/>
        <v>0</v>
      </c>
      <c r="J23" s="61">
        <f t="shared" si="2"/>
        <v>0</v>
      </c>
      <c r="K23" s="59">
        <f t="shared" si="3"/>
        <v>0</v>
      </c>
      <c r="L23" s="59">
        <f t="shared" si="4"/>
        <v>0</v>
      </c>
      <c r="M23" s="60">
        <f t="shared" si="5"/>
        <v>0</v>
      </c>
      <c r="N23" s="54">
        <f t="shared" si="16"/>
        <v>0</v>
      </c>
      <c r="O23" s="55">
        <f t="shared" si="6"/>
        <v>0</v>
      </c>
      <c r="P23" s="55">
        <f t="shared" si="7"/>
        <v>0</v>
      </c>
      <c r="Q23" s="56">
        <f t="shared" si="8"/>
        <v>0</v>
      </c>
      <c r="R23" s="44">
        <f t="shared" si="9"/>
        <v>0</v>
      </c>
      <c r="S23" s="24">
        <f t="shared" si="10"/>
        <v>0</v>
      </c>
      <c r="T23" s="25">
        <f t="shared" si="11"/>
        <v>0</v>
      </c>
      <c r="U23" s="53">
        <f t="shared" si="12"/>
        <v>16</v>
      </c>
    </row>
    <row r="24" spans="1:24" x14ac:dyDescent="0.2">
      <c r="A24" s="33">
        <f t="shared" si="22"/>
        <v>2011</v>
      </c>
      <c r="B24" s="91"/>
      <c r="C24" s="64">
        <f t="shared" si="1"/>
        <v>63067</v>
      </c>
      <c r="D24" s="63">
        <f t="shared" si="19"/>
        <v>0</v>
      </c>
      <c r="E24" s="63">
        <f t="shared" si="20"/>
        <v>0</v>
      </c>
      <c r="F24" s="63">
        <f t="shared" si="21"/>
        <v>0</v>
      </c>
      <c r="G24" s="72">
        <f t="shared" si="23"/>
        <v>0</v>
      </c>
      <c r="H24" s="72">
        <f t="shared" si="23"/>
        <v>0</v>
      </c>
      <c r="I24" s="72">
        <f t="shared" si="24"/>
        <v>0</v>
      </c>
      <c r="J24" s="61">
        <f t="shared" si="2"/>
        <v>0</v>
      </c>
      <c r="K24" s="59">
        <f t="shared" si="3"/>
        <v>0</v>
      </c>
      <c r="L24" s="59">
        <f t="shared" si="4"/>
        <v>0</v>
      </c>
      <c r="M24" s="60">
        <f t="shared" si="5"/>
        <v>0</v>
      </c>
      <c r="N24" s="54">
        <f t="shared" si="16"/>
        <v>0</v>
      </c>
      <c r="O24" s="55">
        <f t="shared" si="6"/>
        <v>0</v>
      </c>
      <c r="P24" s="55">
        <f t="shared" si="7"/>
        <v>0</v>
      </c>
      <c r="Q24" s="56">
        <f t="shared" si="8"/>
        <v>0</v>
      </c>
      <c r="R24" s="44">
        <f t="shared" si="9"/>
        <v>0</v>
      </c>
      <c r="S24" s="24">
        <f t="shared" si="10"/>
        <v>0</v>
      </c>
      <c r="T24" s="25">
        <f t="shared" si="11"/>
        <v>0</v>
      </c>
      <c r="U24" s="53">
        <f t="shared" si="12"/>
        <v>16</v>
      </c>
    </row>
    <row r="25" spans="1:24" x14ac:dyDescent="0.2">
      <c r="A25" s="33">
        <f t="shared" si="22"/>
        <v>2012</v>
      </c>
      <c r="B25" s="91"/>
      <c r="C25" s="64">
        <f t="shared" si="1"/>
        <v>63067</v>
      </c>
      <c r="D25" s="63">
        <f t="shared" si="19"/>
        <v>0</v>
      </c>
      <c r="E25" s="63">
        <f t="shared" si="20"/>
        <v>0</v>
      </c>
      <c r="F25" s="63">
        <f t="shared" si="21"/>
        <v>0</v>
      </c>
      <c r="G25" s="72">
        <f t="shared" si="23"/>
        <v>0</v>
      </c>
      <c r="H25" s="72">
        <f t="shared" si="23"/>
        <v>0</v>
      </c>
      <c r="I25" s="72">
        <f t="shared" si="24"/>
        <v>0</v>
      </c>
      <c r="J25" s="61">
        <f t="shared" si="2"/>
        <v>0</v>
      </c>
      <c r="K25" s="59">
        <f t="shared" si="3"/>
        <v>0</v>
      </c>
      <c r="L25" s="59">
        <f t="shared" si="4"/>
        <v>0</v>
      </c>
      <c r="M25" s="60">
        <f t="shared" si="5"/>
        <v>0</v>
      </c>
      <c r="N25" s="54">
        <f t="shared" si="16"/>
        <v>0</v>
      </c>
      <c r="O25" s="55">
        <f t="shared" si="6"/>
        <v>0</v>
      </c>
      <c r="P25" s="55">
        <f t="shared" si="7"/>
        <v>0</v>
      </c>
      <c r="Q25" s="56">
        <f t="shared" si="8"/>
        <v>0</v>
      </c>
      <c r="R25" s="44">
        <f t="shared" si="9"/>
        <v>0</v>
      </c>
      <c r="S25" s="24">
        <f t="shared" si="10"/>
        <v>0</v>
      </c>
      <c r="T25" s="25">
        <f t="shared" si="11"/>
        <v>0</v>
      </c>
      <c r="U25" s="53">
        <f t="shared" si="12"/>
        <v>16</v>
      </c>
    </row>
    <row r="26" spans="1:24" x14ac:dyDescent="0.2">
      <c r="A26" s="33">
        <f t="shared" si="22"/>
        <v>2013</v>
      </c>
      <c r="B26" s="91"/>
      <c r="C26" s="64">
        <f t="shared" si="1"/>
        <v>63067</v>
      </c>
      <c r="D26" s="63">
        <f t="shared" si="19"/>
        <v>0</v>
      </c>
      <c r="E26" s="63">
        <f t="shared" si="20"/>
        <v>0</v>
      </c>
      <c r="F26" s="63">
        <f t="shared" si="21"/>
        <v>0</v>
      </c>
      <c r="G26" s="72">
        <f t="shared" si="23"/>
        <v>0</v>
      </c>
      <c r="H26" s="72">
        <f t="shared" si="23"/>
        <v>0</v>
      </c>
      <c r="I26" s="72">
        <f t="shared" si="24"/>
        <v>0</v>
      </c>
      <c r="J26" s="61">
        <f t="shared" si="2"/>
        <v>0</v>
      </c>
      <c r="K26" s="59">
        <f t="shared" si="3"/>
        <v>0</v>
      </c>
      <c r="L26" s="59">
        <f t="shared" si="4"/>
        <v>0</v>
      </c>
      <c r="M26" s="60">
        <f t="shared" si="5"/>
        <v>0</v>
      </c>
      <c r="N26" s="54">
        <f t="shared" si="16"/>
        <v>0</v>
      </c>
      <c r="O26" s="55">
        <f t="shared" si="6"/>
        <v>0</v>
      </c>
      <c r="P26" s="55">
        <f t="shared" si="7"/>
        <v>0</v>
      </c>
      <c r="Q26" s="56">
        <f t="shared" si="8"/>
        <v>0</v>
      </c>
      <c r="R26" s="44">
        <f t="shared" si="9"/>
        <v>0</v>
      </c>
      <c r="S26" s="24">
        <f t="shared" si="10"/>
        <v>0</v>
      </c>
      <c r="T26" s="25">
        <f t="shared" si="11"/>
        <v>0</v>
      </c>
      <c r="U26" s="53">
        <f t="shared" si="12"/>
        <v>16</v>
      </c>
    </row>
    <row r="27" spans="1:24" x14ac:dyDescent="0.2">
      <c r="A27" s="33">
        <f t="shared" si="22"/>
        <v>2014</v>
      </c>
      <c r="B27" s="91"/>
      <c r="C27" s="64">
        <f t="shared" si="1"/>
        <v>63067</v>
      </c>
      <c r="D27" s="63">
        <f t="shared" si="19"/>
        <v>0</v>
      </c>
      <c r="E27" s="63">
        <f t="shared" si="20"/>
        <v>0</v>
      </c>
      <c r="F27" s="63">
        <f t="shared" si="21"/>
        <v>0</v>
      </c>
      <c r="G27" s="72">
        <f t="shared" si="23"/>
        <v>0</v>
      </c>
      <c r="H27" s="72">
        <f t="shared" si="23"/>
        <v>0</v>
      </c>
      <c r="I27" s="72">
        <f t="shared" si="24"/>
        <v>0</v>
      </c>
      <c r="J27" s="61">
        <f t="shared" si="2"/>
        <v>0</v>
      </c>
      <c r="K27" s="59">
        <f t="shared" si="3"/>
        <v>0</v>
      </c>
      <c r="L27" s="59">
        <f t="shared" si="4"/>
        <v>0</v>
      </c>
      <c r="M27" s="60">
        <f t="shared" si="5"/>
        <v>0</v>
      </c>
      <c r="N27" s="54">
        <f t="shared" si="16"/>
        <v>0</v>
      </c>
      <c r="O27" s="55">
        <f t="shared" si="6"/>
        <v>0</v>
      </c>
      <c r="P27" s="55">
        <f t="shared" si="7"/>
        <v>0</v>
      </c>
      <c r="Q27" s="56">
        <f t="shared" si="8"/>
        <v>0</v>
      </c>
      <c r="R27" s="44">
        <f t="shared" si="9"/>
        <v>0</v>
      </c>
      <c r="S27" s="24">
        <f t="shared" si="10"/>
        <v>0</v>
      </c>
      <c r="T27" s="25">
        <f t="shared" si="11"/>
        <v>0</v>
      </c>
      <c r="U27" s="53">
        <f t="shared" si="12"/>
        <v>16</v>
      </c>
    </row>
    <row r="28" spans="1:24" x14ac:dyDescent="0.2">
      <c r="A28" s="33">
        <f t="shared" si="22"/>
        <v>2015</v>
      </c>
      <c r="B28" s="91"/>
      <c r="C28" s="64">
        <f t="shared" si="1"/>
        <v>63067</v>
      </c>
      <c r="D28" s="63">
        <f t="shared" si="19"/>
        <v>0</v>
      </c>
      <c r="E28" s="63">
        <f t="shared" si="20"/>
        <v>0</v>
      </c>
      <c r="F28" s="63">
        <f t="shared" si="21"/>
        <v>0</v>
      </c>
      <c r="G28" s="72">
        <f t="shared" si="23"/>
        <v>0</v>
      </c>
      <c r="H28" s="72">
        <f t="shared" si="23"/>
        <v>0</v>
      </c>
      <c r="I28" s="72">
        <f t="shared" si="24"/>
        <v>0</v>
      </c>
      <c r="J28" s="61">
        <f t="shared" si="2"/>
        <v>0</v>
      </c>
      <c r="K28" s="59">
        <f t="shared" si="3"/>
        <v>0</v>
      </c>
      <c r="L28" s="59">
        <f t="shared" si="4"/>
        <v>0</v>
      </c>
      <c r="M28" s="60">
        <f t="shared" si="5"/>
        <v>0</v>
      </c>
      <c r="N28" s="54">
        <f t="shared" si="16"/>
        <v>0</v>
      </c>
      <c r="O28" s="55">
        <f t="shared" si="6"/>
        <v>0</v>
      </c>
      <c r="P28" s="55">
        <f t="shared" si="7"/>
        <v>0</v>
      </c>
      <c r="Q28" s="56">
        <f t="shared" si="8"/>
        <v>0</v>
      </c>
      <c r="R28" s="44">
        <f t="shared" si="9"/>
        <v>0</v>
      </c>
      <c r="S28" s="24">
        <f t="shared" si="10"/>
        <v>0</v>
      </c>
      <c r="T28" s="25">
        <f t="shared" si="11"/>
        <v>0</v>
      </c>
      <c r="U28" s="53">
        <f t="shared" si="12"/>
        <v>16</v>
      </c>
    </row>
    <row r="29" spans="1:24" x14ac:dyDescent="0.2">
      <c r="A29" s="33">
        <f t="shared" si="22"/>
        <v>2016</v>
      </c>
      <c r="B29" s="91"/>
      <c r="C29" s="64">
        <f t="shared" si="1"/>
        <v>63067</v>
      </c>
      <c r="D29" s="63">
        <f t="shared" si="19"/>
        <v>0</v>
      </c>
      <c r="E29" s="63">
        <f t="shared" si="20"/>
        <v>0</v>
      </c>
      <c r="F29" s="63">
        <f t="shared" si="21"/>
        <v>0</v>
      </c>
      <c r="G29" s="72">
        <f t="shared" si="23"/>
        <v>0</v>
      </c>
      <c r="H29" s="72">
        <f t="shared" si="23"/>
        <v>0</v>
      </c>
      <c r="I29" s="72">
        <f t="shared" si="24"/>
        <v>0</v>
      </c>
      <c r="J29" s="61">
        <f t="shared" si="2"/>
        <v>0</v>
      </c>
      <c r="K29" s="59">
        <f t="shared" si="3"/>
        <v>0</v>
      </c>
      <c r="L29" s="59">
        <f t="shared" si="4"/>
        <v>0</v>
      </c>
      <c r="M29" s="60">
        <f t="shared" si="5"/>
        <v>0</v>
      </c>
      <c r="N29" s="54">
        <f t="shared" si="16"/>
        <v>0</v>
      </c>
      <c r="O29" s="55">
        <f t="shared" si="6"/>
        <v>0</v>
      </c>
      <c r="P29" s="55">
        <f t="shared" si="7"/>
        <v>0</v>
      </c>
      <c r="Q29" s="56">
        <f t="shared" si="8"/>
        <v>0</v>
      </c>
      <c r="R29" s="44">
        <f t="shared" si="9"/>
        <v>0</v>
      </c>
      <c r="S29" s="24">
        <f t="shared" si="10"/>
        <v>0</v>
      </c>
      <c r="T29" s="25">
        <f t="shared" si="11"/>
        <v>0</v>
      </c>
      <c r="U29" s="53">
        <f t="shared" si="12"/>
        <v>16</v>
      </c>
    </row>
    <row r="30" spans="1:24" x14ac:dyDescent="0.2">
      <c r="A30" s="33">
        <f t="shared" si="22"/>
        <v>2017</v>
      </c>
      <c r="B30" s="91"/>
      <c r="C30" s="64">
        <f t="shared" si="1"/>
        <v>63067</v>
      </c>
      <c r="D30" s="63">
        <f t="shared" si="19"/>
        <v>0</v>
      </c>
      <c r="E30" s="63">
        <f t="shared" si="20"/>
        <v>0</v>
      </c>
      <c r="F30" s="63">
        <f t="shared" si="21"/>
        <v>0</v>
      </c>
      <c r="G30" s="72">
        <f t="shared" si="23"/>
        <v>0</v>
      </c>
      <c r="H30" s="72">
        <f t="shared" si="23"/>
        <v>0</v>
      </c>
      <c r="I30" s="72">
        <f t="shared" si="24"/>
        <v>0</v>
      </c>
      <c r="J30" s="61">
        <f t="shared" si="2"/>
        <v>0</v>
      </c>
      <c r="K30" s="59">
        <f t="shared" si="3"/>
        <v>0</v>
      </c>
      <c r="L30" s="59">
        <f t="shared" si="4"/>
        <v>0</v>
      </c>
      <c r="M30" s="60">
        <f t="shared" si="5"/>
        <v>0</v>
      </c>
      <c r="N30" s="54">
        <f t="shared" si="16"/>
        <v>0</v>
      </c>
      <c r="O30" s="55">
        <f t="shared" si="6"/>
        <v>0</v>
      </c>
      <c r="P30" s="55">
        <f t="shared" si="7"/>
        <v>0</v>
      </c>
      <c r="Q30" s="56">
        <f t="shared" si="8"/>
        <v>0</v>
      </c>
      <c r="R30" s="44">
        <f t="shared" si="9"/>
        <v>0</v>
      </c>
      <c r="S30" s="24">
        <f t="shared" si="10"/>
        <v>0</v>
      </c>
      <c r="T30" s="25">
        <f t="shared" si="11"/>
        <v>0</v>
      </c>
      <c r="U30" s="53">
        <f t="shared" si="12"/>
        <v>16</v>
      </c>
    </row>
    <row r="31" spans="1:24" x14ac:dyDescent="0.2">
      <c r="A31" s="33">
        <f t="shared" si="22"/>
        <v>2018</v>
      </c>
      <c r="B31" s="91"/>
      <c r="C31" s="64">
        <f t="shared" si="1"/>
        <v>63067</v>
      </c>
      <c r="D31" s="63">
        <f t="shared" si="19"/>
        <v>0</v>
      </c>
      <c r="E31" s="63">
        <f t="shared" si="20"/>
        <v>0</v>
      </c>
      <c r="F31" s="63">
        <f t="shared" si="21"/>
        <v>0</v>
      </c>
      <c r="G31" s="72">
        <f t="shared" si="23"/>
        <v>0</v>
      </c>
      <c r="H31" s="72">
        <f t="shared" si="23"/>
        <v>0</v>
      </c>
      <c r="I31" s="72">
        <f t="shared" si="24"/>
        <v>0</v>
      </c>
      <c r="J31" s="61">
        <f t="shared" si="2"/>
        <v>0</v>
      </c>
      <c r="K31" s="59">
        <f t="shared" si="3"/>
        <v>0</v>
      </c>
      <c r="L31" s="59">
        <f t="shared" si="4"/>
        <v>0</v>
      </c>
      <c r="M31" s="60">
        <f t="shared" si="5"/>
        <v>0</v>
      </c>
      <c r="N31" s="54">
        <f t="shared" si="16"/>
        <v>0</v>
      </c>
      <c r="O31" s="55">
        <f t="shared" si="6"/>
        <v>0</v>
      </c>
      <c r="P31" s="55">
        <f t="shared" si="7"/>
        <v>0</v>
      </c>
      <c r="Q31" s="56">
        <f t="shared" si="8"/>
        <v>0</v>
      </c>
      <c r="R31" s="44">
        <f t="shared" si="9"/>
        <v>0</v>
      </c>
      <c r="S31" s="24">
        <f t="shared" si="10"/>
        <v>0</v>
      </c>
      <c r="T31" s="25">
        <f t="shared" si="11"/>
        <v>0</v>
      </c>
      <c r="U31" s="53">
        <f t="shared" si="12"/>
        <v>16</v>
      </c>
    </row>
    <row r="32" spans="1:24" x14ac:dyDescent="0.2">
      <c r="A32" s="33">
        <f t="shared" si="22"/>
        <v>2019</v>
      </c>
      <c r="B32" s="91"/>
      <c r="C32" s="64">
        <f t="shared" si="1"/>
        <v>63067</v>
      </c>
      <c r="D32" s="63">
        <f t="shared" si="19"/>
        <v>0</v>
      </c>
      <c r="E32" s="63">
        <f t="shared" si="20"/>
        <v>0</v>
      </c>
      <c r="F32" s="63">
        <f t="shared" si="21"/>
        <v>0</v>
      </c>
      <c r="G32" s="72">
        <f t="shared" si="23"/>
        <v>0</v>
      </c>
      <c r="H32" s="72">
        <f t="shared" si="23"/>
        <v>0</v>
      </c>
      <c r="I32" s="72">
        <f t="shared" si="24"/>
        <v>0</v>
      </c>
      <c r="J32" s="61">
        <f t="shared" si="2"/>
        <v>0</v>
      </c>
      <c r="K32" s="59">
        <f t="shared" si="3"/>
        <v>0</v>
      </c>
      <c r="L32" s="59">
        <f t="shared" si="4"/>
        <v>0</v>
      </c>
      <c r="M32" s="60">
        <f t="shared" si="5"/>
        <v>0</v>
      </c>
      <c r="N32" s="54">
        <f t="shared" si="16"/>
        <v>0</v>
      </c>
      <c r="O32" s="55">
        <f t="shared" si="6"/>
        <v>0</v>
      </c>
      <c r="P32" s="55">
        <f t="shared" si="7"/>
        <v>0</v>
      </c>
      <c r="Q32" s="56">
        <f t="shared" si="8"/>
        <v>0</v>
      </c>
      <c r="R32" s="44">
        <f t="shared" si="9"/>
        <v>0</v>
      </c>
      <c r="S32" s="24">
        <f t="shared" si="10"/>
        <v>0</v>
      </c>
      <c r="T32" s="25">
        <f t="shared" si="11"/>
        <v>0</v>
      </c>
      <c r="U32" s="53">
        <f t="shared" si="12"/>
        <v>16</v>
      </c>
    </row>
    <row r="33" spans="1:21" x14ac:dyDescent="0.2">
      <c r="A33" s="33">
        <f t="shared" si="22"/>
        <v>2020</v>
      </c>
      <c r="B33" s="91"/>
      <c r="C33" s="64">
        <f t="shared" si="1"/>
        <v>63067</v>
      </c>
      <c r="D33" s="63">
        <f t="shared" si="19"/>
        <v>0</v>
      </c>
      <c r="E33" s="63">
        <f t="shared" si="20"/>
        <v>0</v>
      </c>
      <c r="F33" s="63">
        <f t="shared" si="21"/>
        <v>0</v>
      </c>
      <c r="G33" s="72">
        <f t="shared" si="23"/>
        <v>0</v>
      </c>
      <c r="H33" s="72">
        <f t="shared" si="23"/>
        <v>0</v>
      </c>
      <c r="I33" s="72">
        <f t="shared" si="24"/>
        <v>0</v>
      </c>
      <c r="J33" s="61">
        <f t="shared" si="2"/>
        <v>0</v>
      </c>
      <c r="K33" s="59">
        <f t="shared" si="3"/>
        <v>0</v>
      </c>
      <c r="L33" s="59">
        <f t="shared" si="4"/>
        <v>0</v>
      </c>
      <c r="M33" s="60">
        <f t="shared" si="5"/>
        <v>0</v>
      </c>
      <c r="N33" s="54">
        <f t="shared" si="16"/>
        <v>0</v>
      </c>
      <c r="O33" s="55">
        <f t="shared" si="6"/>
        <v>0</v>
      </c>
      <c r="P33" s="55">
        <f t="shared" si="7"/>
        <v>0</v>
      </c>
      <c r="Q33" s="56">
        <f t="shared" si="8"/>
        <v>0</v>
      </c>
      <c r="R33" s="44">
        <f t="shared" si="9"/>
        <v>0</v>
      </c>
      <c r="S33" s="24">
        <f t="shared" si="10"/>
        <v>0</v>
      </c>
      <c r="T33" s="25">
        <f t="shared" si="11"/>
        <v>0</v>
      </c>
      <c r="U33" s="53">
        <f t="shared" si="12"/>
        <v>16</v>
      </c>
    </row>
    <row r="34" spans="1:21" x14ac:dyDescent="0.2">
      <c r="A34" s="33">
        <f t="shared" si="22"/>
        <v>2021</v>
      </c>
      <c r="B34" s="91"/>
      <c r="C34" s="64">
        <f t="shared" si="1"/>
        <v>63067</v>
      </c>
      <c r="D34" s="63">
        <f t="shared" si="19"/>
        <v>0</v>
      </c>
      <c r="E34" s="63">
        <f t="shared" si="20"/>
        <v>0</v>
      </c>
      <c r="F34" s="63">
        <f t="shared" si="21"/>
        <v>0</v>
      </c>
      <c r="G34" s="72">
        <f t="shared" si="23"/>
        <v>0</v>
      </c>
      <c r="H34" s="72">
        <f t="shared" si="23"/>
        <v>0</v>
      </c>
      <c r="I34" s="72">
        <f t="shared" si="24"/>
        <v>0</v>
      </c>
      <c r="J34" s="61">
        <f t="shared" si="2"/>
        <v>0</v>
      </c>
      <c r="K34" s="59">
        <f t="shared" si="3"/>
        <v>0</v>
      </c>
      <c r="L34" s="59">
        <f t="shared" si="4"/>
        <v>0</v>
      </c>
      <c r="M34" s="60">
        <f t="shared" si="5"/>
        <v>0</v>
      </c>
      <c r="N34" s="54">
        <f t="shared" si="16"/>
        <v>0</v>
      </c>
      <c r="O34" s="55">
        <f t="shared" si="6"/>
        <v>0</v>
      </c>
      <c r="P34" s="55">
        <f t="shared" si="7"/>
        <v>0</v>
      </c>
      <c r="Q34" s="56">
        <f t="shared" si="8"/>
        <v>0</v>
      </c>
      <c r="R34" s="44">
        <f t="shared" si="9"/>
        <v>0</v>
      </c>
      <c r="S34" s="24">
        <f t="shared" si="10"/>
        <v>0</v>
      </c>
      <c r="T34" s="25">
        <f t="shared" si="11"/>
        <v>0</v>
      </c>
      <c r="U34" s="53">
        <f t="shared" si="12"/>
        <v>16</v>
      </c>
    </row>
    <row r="35" spans="1:21" x14ac:dyDescent="0.2">
      <c r="A35" s="33">
        <f t="shared" si="22"/>
        <v>2022</v>
      </c>
      <c r="B35" s="91"/>
      <c r="C35" s="64">
        <f t="shared" si="1"/>
        <v>63067</v>
      </c>
      <c r="D35" s="63">
        <f t="shared" si="19"/>
        <v>0</v>
      </c>
      <c r="E35" s="63">
        <f t="shared" si="20"/>
        <v>0</v>
      </c>
      <c r="F35" s="63">
        <f t="shared" si="21"/>
        <v>0</v>
      </c>
      <c r="G35" s="72">
        <f t="shared" si="23"/>
        <v>0</v>
      </c>
      <c r="H35" s="72">
        <f t="shared" si="23"/>
        <v>0</v>
      </c>
      <c r="I35" s="72">
        <f t="shared" si="24"/>
        <v>0</v>
      </c>
      <c r="J35" s="61">
        <f t="shared" si="2"/>
        <v>0</v>
      </c>
      <c r="K35" s="59">
        <f t="shared" si="3"/>
        <v>0</v>
      </c>
      <c r="L35" s="59">
        <f t="shared" si="4"/>
        <v>0</v>
      </c>
      <c r="M35" s="60">
        <f t="shared" si="5"/>
        <v>0</v>
      </c>
      <c r="N35" s="54">
        <f t="shared" si="16"/>
        <v>0</v>
      </c>
      <c r="O35" s="55">
        <f t="shared" si="6"/>
        <v>0</v>
      </c>
      <c r="P35" s="55">
        <f t="shared" si="7"/>
        <v>0</v>
      </c>
      <c r="Q35" s="56">
        <f t="shared" si="8"/>
        <v>0</v>
      </c>
      <c r="R35" s="44">
        <f t="shared" si="9"/>
        <v>0</v>
      </c>
      <c r="S35" s="24">
        <f t="shared" si="10"/>
        <v>0</v>
      </c>
      <c r="T35" s="25">
        <f t="shared" si="11"/>
        <v>0</v>
      </c>
      <c r="U35" s="53">
        <f t="shared" si="12"/>
        <v>16</v>
      </c>
    </row>
    <row r="36" spans="1:21" x14ac:dyDescent="0.2">
      <c r="A36" s="33">
        <f t="shared" si="22"/>
        <v>2023</v>
      </c>
      <c r="B36" s="91"/>
      <c r="C36" s="64">
        <f t="shared" si="1"/>
        <v>63067</v>
      </c>
      <c r="D36" s="63">
        <f t="shared" si="19"/>
        <v>0</v>
      </c>
      <c r="E36" s="63">
        <f t="shared" si="20"/>
        <v>0</v>
      </c>
      <c r="F36" s="63">
        <f t="shared" si="21"/>
        <v>0</v>
      </c>
      <c r="G36" s="72">
        <f t="shared" si="23"/>
        <v>0</v>
      </c>
      <c r="H36" s="72">
        <f t="shared" si="23"/>
        <v>0</v>
      </c>
      <c r="I36" s="72">
        <f t="shared" si="24"/>
        <v>0</v>
      </c>
      <c r="J36" s="61">
        <f t="shared" si="2"/>
        <v>0</v>
      </c>
      <c r="K36" s="59">
        <f t="shared" si="3"/>
        <v>0</v>
      </c>
      <c r="L36" s="59">
        <f t="shared" si="4"/>
        <v>0</v>
      </c>
      <c r="M36" s="60">
        <f t="shared" si="5"/>
        <v>0</v>
      </c>
      <c r="N36" s="54">
        <f t="shared" si="16"/>
        <v>0</v>
      </c>
      <c r="O36" s="55">
        <f t="shared" si="6"/>
        <v>0</v>
      </c>
      <c r="P36" s="55">
        <f t="shared" si="7"/>
        <v>0</v>
      </c>
      <c r="Q36" s="56">
        <f t="shared" si="8"/>
        <v>0</v>
      </c>
      <c r="R36" s="44">
        <f t="shared" si="9"/>
        <v>0</v>
      </c>
      <c r="S36" s="24">
        <f t="shared" si="10"/>
        <v>0</v>
      </c>
      <c r="T36" s="25">
        <f t="shared" si="11"/>
        <v>0</v>
      </c>
      <c r="U36" s="53">
        <f t="shared" si="12"/>
        <v>16</v>
      </c>
    </row>
    <row r="37" spans="1:21" x14ac:dyDescent="0.2">
      <c r="A37" s="371">
        <f t="shared" si="22"/>
        <v>2024</v>
      </c>
      <c r="B37" s="264"/>
      <c r="C37" s="64">
        <f t="shared" si="1"/>
        <v>63067</v>
      </c>
      <c r="D37" s="63">
        <f t="shared" si="19"/>
        <v>0</v>
      </c>
      <c r="E37" s="63">
        <f t="shared" si="20"/>
        <v>0</v>
      </c>
      <c r="F37" s="63">
        <f t="shared" si="21"/>
        <v>0</v>
      </c>
      <c r="G37" s="72">
        <f t="shared" si="23"/>
        <v>0</v>
      </c>
      <c r="H37" s="72">
        <f t="shared" si="23"/>
        <v>0</v>
      </c>
      <c r="I37" s="72">
        <f t="shared" si="24"/>
        <v>0</v>
      </c>
      <c r="J37" s="61">
        <f t="shared" si="2"/>
        <v>0</v>
      </c>
      <c r="K37" s="59">
        <f t="shared" si="3"/>
        <v>0</v>
      </c>
      <c r="L37" s="59">
        <f t="shared" si="4"/>
        <v>0</v>
      </c>
      <c r="M37" s="60">
        <f t="shared" si="5"/>
        <v>0</v>
      </c>
      <c r="N37" s="54">
        <f t="shared" si="16"/>
        <v>0</v>
      </c>
      <c r="O37" s="55">
        <f t="shared" si="6"/>
        <v>0</v>
      </c>
      <c r="P37" s="55">
        <f t="shared" si="7"/>
        <v>0</v>
      </c>
      <c r="Q37" s="56">
        <f t="shared" si="8"/>
        <v>0</v>
      </c>
      <c r="R37" s="44">
        <f t="shared" si="9"/>
        <v>0</v>
      </c>
      <c r="S37" s="24">
        <f t="shared" si="10"/>
        <v>0</v>
      </c>
      <c r="T37" s="25">
        <f t="shared" si="11"/>
        <v>0</v>
      </c>
      <c r="U37" s="53">
        <f t="shared" si="12"/>
        <v>16</v>
      </c>
    </row>
    <row r="38" spans="1:21" x14ac:dyDescent="0.2">
      <c r="A38" s="371">
        <f t="shared" si="22"/>
        <v>2025</v>
      </c>
      <c r="B38" s="369"/>
      <c r="C38" s="64">
        <f t="shared" si="1"/>
        <v>63067</v>
      </c>
      <c r="D38" s="63">
        <f t="shared" si="19"/>
        <v>0</v>
      </c>
      <c r="E38" s="63">
        <f t="shared" si="20"/>
        <v>0</v>
      </c>
      <c r="F38" s="63">
        <f t="shared" si="21"/>
        <v>0</v>
      </c>
      <c r="G38" s="72">
        <f t="shared" ref="G38:H40" si="25">+$B38*D38/1000</f>
        <v>0</v>
      </c>
      <c r="H38" s="72">
        <f t="shared" si="25"/>
        <v>0</v>
      </c>
      <c r="I38" s="72">
        <f t="shared" ref="I38:I47" si="26">+$B38*F38/1000000</f>
        <v>0</v>
      </c>
      <c r="J38" s="61">
        <f t="shared" ref="J38:J42" si="27">+(B38+B37)/2</f>
        <v>0</v>
      </c>
      <c r="K38" s="59">
        <f t="shared" ref="K38:K42" si="28">+D38</f>
        <v>0</v>
      </c>
      <c r="L38" s="59">
        <f t="shared" ref="L38:L42" si="29">+J38*K38/1000</f>
        <v>0</v>
      </c>
      <c r="M38" s="60">
        <f t="shared" ref="M38:M42" si="30">+M37+L38</f>
        <v>0</v>
      </c>
      <c r="N38" s="54">
        <f t="shared" ref="N38:N42" si="31">+B37</f>
        <v>0</v>
      </c>
      <c r="O38" s="55">
        <f t="shared" ref="O38:O42" si="32">+E38</f>
        <v>0</v>
      </c>
      <c r="P38" s="55">
        <f t="shared" ref="P38:P42" si="33">+N38*O38/1000</f>
        <v>0</v>
      </c>
      <c r="Q38" s="56">
        <f t="shared" ref="Q38:Q42" si="34">+Q37+P38</f>
        <v>0</v>
      </c>
      <c r="R38" s="44">
        <f t="shared" ref="R38:R42" si="35">+(B38+B37)/2</f>
        <v>0</v>
      </c>
      <c r="S38" s="24">
        <f t="shared" ref="S38:S42" si="36">+F38</f>
        <v>0</v>
      </c>
      <c r="T38" s="25">
        <f t="shared" ref="T38:T42" si="37">+R38*S38/1000000</f>
        <v>0</v>
      </c>
      <c r="U38" s="53">
        <f t="shared" ref="U38:U42" si="38">+U37+T38</f>
        <v>16</v>
      </c>
    </row>
    <row r="39" spans="1:21" x14ac:dyDescent="0.2">
      <c r="A39" s="371">
        <f>+A38+1</f>
        <v>2026</v>
      </c>
      <c r="B39" s="369"/>
      <c r="C39" s="64">
        <f>+C38+B39</f>
        <v>63067</v>
      </c>
      <c r="D39" s="63">
        <f t="shared" ref="D39:E41" si="39">IF($B39=0,0,(G39*1000)/$B39)</f>
        <v>0</v>
      </c>
      <c r="E39" s="63">
        <f t="shared" si="39"/>
        <v>0</v>
      </c>
      <c r="F39" s="63">
        <f>IF($B39=0,0,(I39*1000000)/$B39)</f>
        <v>0</v>
      </c>
      <c r="G39" s="72">
        <f t="shared" si="25"/>
        <v>0</v>
      </c>
      <c r="H39" s="72">
        <f t="shared" si="25"/>
        <v>0</v>
      </c>
      <c r="I39" s="72">
        <f t="shared" si="26"/>
        <v>0</v>
      </c>
      <c r="J39" s="61">
        <f t="shared" si="27"/>
        <v>0</v>
      </c>
      <c r="K39" s="59">
        <f t="shared" si="28"/>
        <v>0</v>
      </c>
      <c r="L39" s="59">
        <f t="shared" si="29"/>
        <v>0</v>
      </c>
      <c r="M39" s="60">
        <f t="shared" si="30"/>
        <v>0</v>
      </c>
      <c r="N39" s="54">
        <f t="shared" si="31"/>
        <v>0</v>
      </c>
      <c r="O39" s="55">
        <f t="shared" si="32"/>
        <v>0</v>
      </c>
      <c r="P39" s="55">
        <f t="shared" si="33"/>
        <v>0</v>
      </c>
      <c r="Q39" s="56">
        <f t="shared" si="34"/>
        <v>0</v>
      </c>
      <c r="R39" s="44">
        <f t="shared" si="35"/>
        <v>0</v>
      </c>
      <c r="S39" s="24">
        <f t="shared" si="36"/>
        <v>0</v>
      </c>
      <c r="T39" s="25">
        <f t="shared" si="37"/>
        <v>0</v>
      </c>
      <c r="U39" s="53">
        <f t="shared" si="38"/>
        <v>16</v>
      </c>
    </row>
    <row r="40" spans="1:21" x14ac:dyDescent="0.2">
      <c r="A40" s="371">
        <f>+A39+1</f>
        <v>2027</v>
      </c>
      <c r="B40" s="369"/>
      <c r="C40" s="64">
        <f>+C39+B40</f>
        <v>63067</v>
      </c>
      <c r="D40" s="63">
        <f t="shared" si="39"/>
        <v>0</v>
      </c>
      <c r="E40" s="63">
        <f t="shared" si="39"/>
        <v>0</v>
      </c>
      <c r="F40" s="63">
        <f>IF($B40=0,0,(I40*1000000)/$B40)</f>
        <v>0</v>
      </c>
      <c r="G40" s="72">
        <f t="shared" si="25"/>
        <v>0</v>
      </c>
      <c r="H40" s="72">
        <f t="shared" si="25"/>
        <v>0</v>
      </c>
      <c r="I40" s="72">
        <f t="shared" si="26"/>
        <v>0</v>
      </c>
      <c r="J40" s="61">
        <f t="shared" si="27"/>
        <v>0</v>
      </c>
      <c r="K40" s="59">
        <f t="shared" si="28"/>
        <v>0</v>
      </c>
      <c r="L40" s="59">
        <f t="shared" si="29"/>
        <v>0</v>
      </c>
      <c r="M40" s="60">
        <f t="shared" si="30"/>
        <v>0</v>
      </c>
      <c r="N40" s="54">
        <f t="shared" si="31"/>
        <v>0</v>
      </c>
      <c r="O40" s="55">
        <f t="shared" si="32"/>
        <v>0</v>
      </c>
      <c r="P40" s="55">
        <f t="shared" si="33"/>
        <v>0</v>
      </c>
      <c r="Q40" s="56">
        <f t="shared" si="34"/>
        <v>0</v>
      </c>
      <c r="R40" s="44">
        <f t="shared" si="35"/>
        <v>0</v>
      </c>
      <c r="S40" s="24">
        <f t="shared" si="36"/>
        <v>0</v>
      </c>
      <c r="T40" s="25">
        <f t="shared" si="37"/>
        <v>0</v>
      </c>
      <c r="U40" s="53">
        <f t="shared" si="38"/>
        <v>16</v>
      </c>
    </row>
    <row r="41" spans="1:21" x14ac:dyDescent="0.2">
      <c r="A41" s="371">
        <f t="shared" ref="A41:A54" si="40">+A40+1</f>
        <v>2028</v>
      </c>
      <c r="B41" s="369"/>
      <c r="C41" s="64">
        <f>+C40+B41</f>
        <v>63067</v>
      </c>
      <c r="D41" s="63">
        <f t="shared" si="39"/>
        <v>0</v>
      </c>
      <c r="E41" s="63">
        <f t="shared" si="39"/>
        <v>0</v>
      </c>
      <c r="F41" s="63">
        <f>IF($B41=0,0,(I41*1000000)/$B41)</f>
        <v>0</v>
      </c>
      <c r="G41" s="72">
        <f t="shared" ref="G41:H47" si="41">+$B41*D41/1000</f>
        <v>0</v>
      </c>
      <c r="H41" s="72">
        <f t="shared" si="41"/>
        <v>0</v>
      </c>
      <c r="I41" s="72">
        <f t="shared" si="26"/>
        <v>0</v>
      </c>
      <c r="J41" s="61">
        <f t="shared" si="27"/>
        <v>0</v>
      </c>
      <c r="K41" s="59">
        <f t="shared" si="28"/>
        <v>0</v>
      </c>
      <c r="L41" s="59">
        <f t="shared" si="29"/>
        <v>0</v>
      </c>
      <c r="M41" s="60">
        <f t="shared" si="30"/>
        <v>0</v>
      </c>
      <c r="N41" s="54">
        <f t="shared" si="31"/>
        <v>0</v>
      </c>
      <c r="O41" s="55">
        <f t="shared" si="32"/>
        <v>0</v>
      </c>
      <c r="P41" s="55">
        <f t="shared" si="33"/>
        <v>0</v>
      </c>
      <c r="Q41" s="56">
        <f t="shared" si="34"/>
        <v>0</v>
      </c>
      <c r="R41" s="44">
        <f t="shared" si="35"/>
        <v>0</v>
      </c>
      <c r="S41" s="24">
        <f t="shared" si="36"/>
        <v>0</v>
      </c>
      <c r="T41" s="25">
        <f t="shared" si="37"/>
        <v>0</v>
      </c>
      <c r="U41" s="53">
        <f t="shared" si="38"/>
        <v>16</v>
      </c>
    </row>
    <row r="42" spans="1:21" x14ac:dyDescent="0.2">
      <c r="A42" s="371">
        <f t="shared" si="40"/>
        <v>2029</v>
      </c>
      <c r="B42" s="369"/>
      <c r="C42" s="64">
        <f>+C41+B42</f>
        <v>63067</v>
      </c>
      <c r="D42" s="63">
        <f>IF($B42=0,0,(G42*1000)/$B42)</f>
        <v>0</v>
      </c>
      <c r="E42" s="63">
        <f>IF($B42=0,0,(H42*1000)/$B42)</f>
        <v>0</v>
      </c>
      <c r="F42" s="63">
        <f>IF($B42=0,0,(I42*1000000)/$B42)</f>
        <v>0</v>
      </c>
      <c r="G42" s="72">
        <f t="shared" si="41"/>
        <v>0</v>
      </c>
      <c r="H42" s="72">
        <f t="shared" si="41"/>
        <v>0</v>
      </c>
      <c r="I42" s="72">
        <f t="shared" si="26"/>
        <v>0</v>
      </c>
      <c r="J42" s="61">
        <f t="shared" si="27"/>
        <v>0</v>
      </c>
      <c r="K42" s="59">
        <f t="shared" si="28"/>
        <v>0</v>
      </c>
      <c r="L42" s="59">
        <f t="shared" si="29"/>
        <v>0</v>
      </c>
      <c r="M42" s="60">
        <f t="shared" si="30"/>
        <v>0</v>
      </c>
      <c r="N42" s="54">
        <f t="shared" si="31"/>
        <v>0</v>
      </c>
      <c r="O42" s="55">
        <f t="shared" si="32"/>
        <v>0</v>
      </c>
      <c r="P42" s="55">
        <f t="shared" si="33"/>
        <v>0</v>
      </c>
      <c r="Q42" s="56">
        <f t="shared" si="34"/>
        <v>0</v>
      </c>
      <c r="R42" s="44">
        <f t="shared" si="35"/>
        <v>0</v>
      </c>
      <c r="S42" s="24">
        <f t="shared" si="36"/>
        <v>0</v>
      </c>
      <c r="T42" s="25">
        <f t="shared" si="37"/>
        <v>0</v>
      </c>
      <c r="U42" s="53">
        <f t="shared" si="38"/>
        <v>16</v>
      </c>
    </row>
    <row r="43" spans="1:21" x14ac:dyDescent="0.2">
      <c r="A43" s="371">
        <f t="shared" si="40"/>
        <v>2030</v>
      </c>
      <c r="B43" s="369"/>
      <c r="C43" s="64">
        <f t="shared" ref="C43:C47" si="42">+C42+B43</f>
        <v>63067</v>
      </c>
      <c r="D43" s="63"/>
      <c r="E43" s="63"/>
      <c r="F43" s="63"/>
      <c r="G43" s="72"/>
      <c r="H43" s="72"/>
      <c r="I43" s="72"/>
      <c r="J43" s="61">
        <f t="shared" ref="J43:J47" si="43">+(B43+B42)/2</f>
        <v>0</v>
      </c>
      <c r="K43" s="59">
        <f t="shared" ref="K43:K47" si="44">+D43</f>
        <v>0</v>
      </c>
      <c r="L43" s="59">
        <f t="shared" ref="L43:L47" si="45">+J43*K43/1000</f>
        <v>0</v>
      </c>
      <c r="M43" s="60">
        <f t="shared" ref="M43:M47" si="46">+M42+L43</f>
        <v>0</v>
      </c>
      <c r="N43" s="54">
        <f t="shared" ref="N43:N47" si="47">+B42</f>
        <v>0</v>
      </c>
      <c r="O43" s="55">
        <f t="shared" ref="O43:O47" si="48">+E43</f>
        <v>0</v>
      </c>
      <c r="P43" s="55">
        <f t="shared" ref="P43:P47" si="49">+N43*O43/1000</f>
        <v>0</v>
      </c>
      <c r="Q43" s="56">
        <f t="shared" ref="Q43:Q47" si="50">+Q42+P43</f>
        <v>0</v>
      </c>
      <c r="R43" s="44">
        <f t="shared" ref="R43:R47" si="51">+(B43+B42)/2</f>
        <v>0</v>
      </c>
      <c r="S43" s="24">
        <f t="shared" ref="S43:S47" si="52">+F43</f>
        <v>0</v>
      </c>
      <c r="T43" s="25">
        <f t="shared" ref="T43:T47" si="53">+R43*S43/1000000</f>
        <v>0</v>
      </c>
      <c r="U43" s="53">
        <f t="shared" ref="U43:U47" si="54">+U42+T43</f>
        <v>16</v>
      </c>
    </row>
    <row r="44" spans="1:21" x14ac:dyDescent="0.2">
      <c r="A44" s="371">
        <f t="shared" si="40"/>
        <v>2031</v>
      </c>
      <c r="B44" s="369"/>
      <c r="C44" s="64">
        <f t="shared" si="42"/>
        <v>63067</v>
      </c>
      <c r="D44" s="63"/>
      <c r="E44" s="63"/>
      <c r="F44" s="63"/>
      <c r="G44" s="72"/>
      <c r="H44" s="72"/>
      <c r="I44" s="72"/>
      <c r="J44" s="61">
        <f t="shared" si="43"/>
        <v>0</v>
      </c>
      <c r="K44" s="59">
        <f t="shared" si="44"/>
        <v>0</v>
      </c>
      <c r="L44" s="59">
        <f t="shared" si="45"/>
        <v>0</v>
      </c>
      <c r="M44" s="60">
        <f t="shared" si="46"/>
        <v>0</v>
      </c>
      <c r="N44" s="54">
        <f t="shared" si="47"/>
        <v>0</v>
      </c>
      <c r="O44" s="55">
        <f t="shared" si="48"/>
        <v>0</v>
      </c>
      <c r="P44" s="55">
        <f t="shared" si="49"/>
        <v>0</v>
      </c>
      <c r="Q44" s="56">
        <f t="shared" si="50"/>
        <v>0</v>
      </c>
      <c r="R44" s="44">
        <f t="shared" si="51"/>
        <v>0</v>
      </c>
      <c r="S44" s="24">
        <f t="shared" si="52"/>
        <v>0</v>
      </c>
      <c r="T44" s="25">
        <f t="shared" si="53"/>
        <v>0</v>
      </c>
      <c r="U44" s="53">
        <f t="shared" si="54"/>
        <v>16</v>
      </c>
    </row>
    <row r="45" spans="1:21" x14ac:dyDescent="0.2">
      <c r="A45" s="371">
        <f t="shared" si="40"/>
        <v>2032</v>
      </c>
      <c r="B45" s="369"/>
      <c r="C45" s="64">
        <f t="shared" si="42"/>
        <v>63067</v>
      </c>
      <c r="D45" s="63"/>
      <c r="E45" s="63"/>
      <c r="F45" s="63"/>
      <c r="G45" s="72"/>
      <c r="H45" s="72"/>
      <c r="I45" s="72"/>
      <c r="J45" s="61">
        <f t="shared" si="43"/>
        <v>0</v>
      </c>
      <c r="K45" s="59">
        <f t="shared" si="44"/>
        <v>0</v>
      </c>
      <c r="L45" s="59">
        <f t="shared" si="45"/>
        <v>0</v>
      </c>
      <c r="M45" s="60">
        <f t="shared" si="46"/>
        <v>0</v>
      </c>
      <c r="N45" s="54">
        <f t="shared" si="47"/>
        <v>0</v>
      </c>
      <c r="O45" s="55">
        <f t="shared" si="48"/>
        <v>0</v>
      </c>
      <c r="P45" s="55">
        <f t="shared" si="49"/>
        <v>0</v>
      </c>
      <c r="Q45" s="56">
        <f t="shared" si="50"/>
        <v>0</v>
      </c>
      <c r="R45" s="44">
        <f t="shared" si="51"/>
        <v>0</v>
      </c>
      <c r="S45" s="24">
        <f t="shared" si="52"/>
        <v>0</v>
      </c>
      <c r="T45" s="25">
        <f t="shared" si="53"/>
        <v>0</v>
      </c>
      <c r="U45" s="53">
        <f t="shared" si="54"/>
        <v>16</v>
      </c>
    </row>
    <row r="46" spans="1:21" x14ac:dyDescent="0.2">
      <c r="A46" s="371">
        <f t="shared" si="40"/>
        <v>2033</v>
      </c>
      <c r="B46" s="369"/>
      <c r="C46" s="64">
        <f t="shared" si="42"/>
        <v>63067</v>
      </c>
      <c r="D46" s="63"/>
      <c r="E46" s="63"/>
      <c r="F46" s="63"/>
      <c r="G46" s="72"/>
      <c r="H46" s="72"/>
      <c r="I46" s="72"/>
      <c r="J46" s="61">
        <f t="shared" si="43"/>
        <v>0</v>
      </c>
      <c r="K46" s="59">
        <f t="shared" si="44"/>
        <v>0</v>
      </c>
      <c r="L46" s="59">
        <f t="shared" si="45"/>
        <v>0</v>
      </c>
      <c r="M46" s="60">
        <f t="shared" si="46"/>
        <v>0</v>
      </c>
      <c r="N46" s="54">
        <f t="shared" si="47"/>
        <v>0</v>
      </c>
      <c r="O46" s="55">
        <f t="shared" si="48"/>
        <v>0</v>
      </c>
      <c r="P46" s="55">
        <f t="shared" si="49"/>
        <v>0</v>
      </c>
      <c r="Q46" s="56">
        <f t="shared" si="50"/>
        <v>0</v>
      </c>
      <c r="R46" s="44">
        <f t="shared" si="51"/>
        <v>0</v>
      </c>
      <c r="S46" s="24">
        <f t="shared" si="52"/>
        <v>0</v>
      </c>
      <c r="T46" s="25">
        <f t="shared" si="53"/>
        <v>0</v>
      </c>
      <c r="U46" s="53">
        <f t="shared" si="54"/>
        <v>16</v>
      </c>
    </row>
    <row r="47" spans="1:21" x14ac:dyDescent="0.2">
      <c r="A47" s="371">
        <f t="shared" si="40"/>
        <v>2034</v>
      </c>
      <c r="B47" s="370"/>
      <c r="C47" s="64">
        <f t="shared" si="42"/>
        <v>63067</v>
      </c>
      <c r="D47" s="63">
        <f>IF($B47=0,0,(G47*1000)/$B47)</f>
        <v>0</v>
      </c>
      <c r="E47" s="63">
        <f>IF($B47=0,0,(H47*1000)/$B47)</f>
        <v>0</v>
      </c>
      <c r="F47" s="63">
        <f>IF($B47=0,0,(I47*1000000)/$B47)</f>
        <v>0</v>
      </c>
      <c r="G47" s="72">
        <f t="shared" si="41"/>
        <v>0</v>
      </c>
      <c r="H47" s="72">
        <f t="shared" si="41"/>
        <v>0</v>
      </c>
      <c r="I47" s="72">
        <f t="shared" si="26"/>
        <v>0</v>
      </c>
      <c r="J47" s="61">
        <f t="shared" si="43"/>
        <v>0</v>
      </c>
      <c r="K47" s="59">
        <f t="shared" si="44"/>
        <v>0</v>
      </c>
      <c r="L47" s="59">
        <f t="shared" si="45"/>
        <v>0</v>
      </c>
      <c r="M47" s="60">
        <f t="shared" si="46"/>
        <v>0</v>
      </c>
      <c r="N47" s="54">
        <f t="shared" si="47"/>
        <v>0</v>
      </c>
      <c r="O47" s="55">
        <f t="shared" si="48"/>
        <v>0</v>
      </c>
      <c r="P47" s="55">
        <f t="shared" si="49"/>
        <v>0</v>
      </c>
      <c r="Q47" s="56">
        <f t="shared" si="50"/>
        <v>0</v>
      </c>
      <c r="R47" s="44">
        <f t="shared" si="51"/>
        <v>0</v>
      </c>
      <c r="S47" s="24">
        <f t="shared" si="52"/>
        <v>0</v>
      </c>
      <c r="T47" s="25">
        <f t="shared" si="53"/>
        <v>0</v>
      </c>
      <c r="U47" s="53">
        <f t="shared" si="54"/>
        <v>16</v>
      </c>
    </row>
    <row r="48" spans="1:21" x14ac:dyDescent="0.2">
      <c r="A48" s="371">
        <f t="shared" si="40"/>
        <v>2035</v>
      </c>
      <c r="B48" s="370">
        <f>B47</f>
        <v>0</v>
      </c>
      <c r="C48" s="64">
        <f t="shared" ref="C48:C54" si="55">+C47+B48</f>
        <v>63067</v>
      </c>
      <c r="D48" s="63">
        <f t="shared" ref="D48:D54" si="56">IF($B48=0,0,(G48*1000)/$B48)</f>
        <v>0</v>
      </c>
      <c r="E48" s="63">
        <f t="shared" ref="E48:E54" si="57">IF($B48=0,0,(H48*1000)/$B48)</f>
        <v>0</v>
      </c>
      <c r="F48" s="63">
        <f t="shared" ref="F48:F54" si="58">IF($B48=0,0,(I48*1000000)/$B48)</f>
        <v>0</v>
      </c>
      <c r="G48" s="72">
        <f t="shared" ref="G48:G54" si="59">+$B48*D48/1000</f>
        <v>0</v>
      </c>
      <c r="H48" s="72">
        <f t="shared" ref="H48:H54" si="60">+$B48*E48/1000</f>
        <v>0</v>
      </c>
      <c r="I48" s="72">
        <f t="shared" ref="I48:I54" si="61">+$B48*F48/1000000</f>
        <v>0</v>
      </c>
      <c r="J48" s="61">
        <f t="shared" ref="J48:J54" si="62">+(B48+B47)/2</f>
        <v>0</v>
      </c>
      <c r="K48" s="59">
        <f t="shared" ref="K48:K54" si="63">+D48</f>
        <v>0</v>
      </c>
      <c r="L48" s="59">
        <f t="shared" ref="L48:L54" si="64">+J48*K48/1000</f>
        <v>0</v>
      </c>
      <c r="M48" s="60">
        <f t="shared" ref="M48:M54" si="65">+M47+L48</f>
        <v>0</v>
      </c>
      <c r="N48" s="54">
        <f t="shared" ref="N48:N54" si="66">+B47</f>
        <v>0</v>
      </c>
      <c r="O48" s="55">
        <f t="shared" ref="O48:O54" si="67">+E48</f>
        <v>0</v>
      </c>
      <c r="P48" s="55">
        <f t="shared" ref="P48:P54" si="68">+N48*O48/1000</f>
        <v>0</v>
      </c>
      <c r="Q48" s="56">
        <f t="shared" ref="Q48:Q54" si="69">+Q47+P48</f>
        <v>0</v>
      </c>
      <c r="R48" s="44">
        <f t="shared" ref="R48:R54" si="70">+(B48+B47)/2</f>
        <v>0</v>
      </c>
      <c r="S48" s="24">
        <f t="shared" ref="S48:S54" si="71">+F48</f>
        <v>0</v>
      </c>
      <c r="T48" s="25">
        <f t="shared" ref="T48:T54" si="72">+R48*S48/1000000</f>
        <v>0</v>
      </c>
      <c r="U48" s="53">
        <f t="shared" ref="U48:U54" si="73">+U47+T48</f>
        <v>16</v>
      </c>
    </row>
    <row r="49" spans="1:21" x14ac:dyDescent="0.2">
      <c r="A49" s="371">
        <f t="shared" si="40"/>
        <v>2036</v>
      </c>
      <c r="B49" s="370">
        <f t="shared" ref="B49:B54" si="74">B48</f>
        <v>0</v>
      </c>
      <c r="C49" s="64">
        <f t="shared" si="55"/>
        <v>63067</v>
      </c>
      <c r="D49" s="63">
        <f t="shared" si="56"/>
        <v>0</v>
      </c>
      <c r="E49" s="63">
        <f t="shared" si="57"/>
        <v>0</v>
      </c>
      <c r="F49" s="63">
        <f t="shared" si="58"/>
        <v>0</v>
      </c>
      <c r="G49" s="72">
        <f t="shared" si="59"/>
        <v>0</v>
      </c>
      <c r="H49" s="72">
        <f t="shared" si="60"/>
        <v>0</v>
      </c>
      <c r="I49" s="72">
        <f t="shared" si="61"/>
        <v>0</v>
      </c>
      <c r="J49" s="61">
        <f t="shared" si="62"/>
        <v>0</v>
      </c>
      <c r="K49" s="59">
        <f t="shared" si="63"/>
        <v>0</v>
      </c>
      <c r="L49" s="59">
        <f t="shared" si="64"/>
        <v>0</v>
      </c>
      <c r="M49" s="60">
        <f t="shared" si="65"/>
        <v>0</v>
      </c>
      <c r="N49" s="54">
        <f t="shared" si="66"/>
        <v>0</v>
      </c>
      <c r="O49" s="55">
        <f t="shared" si="67"/>
        <v>0</v>
      </c>
      <c r="P49" s="55">
        <f t="shared" si="68"/>
        <v>0</v>
      </c>
      <c r="Q49" s="56">
        <f t="shared" si="69"/>
        <v>0</v>
      </c>
      <c r="R49" s="44">
        <f t="shared" si="70"/>
        <v>0</v>
      </c>
      <c r="S49" s="24">
        <f t="shared" si="71"/>
        <v>0</v>
      </c>
      <c r="T49" s="25">
        <f t="shared" si="72"/>
        <v>0</v>
      </c>
      <c r="U49" s="53">
        <f t="shared" si="73"/>
        <v>16</v>
      </c>
    </row>
    <row r="50" spans="1:21" x14ac:dyDescent="0.2">
      <c r="A50" s="371">
        <f t="shared" si="40"/>
        <v>2037</v>
      </c>
      <c r="B50" s="370">
        <f t="shared" si="74"/>
        <v>0</v>
      </c>
      <c r="C50" s="64">
        <f t="shared" si="55"/>
        <v>63067</v>
      </c>
      <c r="D50" s="63">
        <f t="shared" si="56"/>
        <v>0</v>
      </c>
      <c r="E50" s="63">
        <f t="shared" si="57"/>
        <v>0</v>
      </c>
      <c r="F50" s="63">
        <f t="shared" si="58"/>
        <v>0</v>
      </c>
      <c r="G50" s="72">
        <f t="shared" si="59"/>
        <v>0</v>
      </c>
      <c r="H50" s="72">
        <f t="shared" si="60"/>
        <v>0</v>
      </c>
      <c r="I50" s="72">
        <f t="shared" si="61"/>
        <v>0</v>
      </c>
      <c r="J50" s="61">
        <f t="shared" si="62"/>
        <v>0</v>
      </c>
      <c r="K50" s="59">
        <f t="shared" si="63"/>
        <v>0</v>
      </c>
      <c r="L50" s="59">
        <f t="shared" si="64"/>
        <v>0</v>
      </c>
      <c r="M50" s="60">
        <f t="shared" si="65"/>
        <v>0</v>
      </c>
      <c r="N50" s="54">
        <f t="shared" si="66"/>
        <v>0</v>
      </c>
      <c r="O50" s="55">
        <f t="shared" si="67"/>
        <v>0</v>
      </c>
      <c r="P50" s="55">
        <f t="shared" si="68"/>
        <v>0</v>
      </c>
      <c r="Q50" s="56">
        <f t="shared" si="69"/>
        <v>0</v>
      </c>
      <c r="R50" s="44">
        <f t="shared" si="70"/>
        <v>0</v>
      </c>
      <c r="S50" s="24">
        <f t="shared" si="71"/>
        <v>0</v>
      </c>
      <c r="T50" s="25">
        <f t="shared" si="72"/>
        <v>0</v>
      </c>
      <c r="U50" s="53">
        <f t="shared" si="73"/>
        <v>16</v>
      </c>
    </row>
    <row r="51" spans="1:21" x14ac:dyDescent="0.2">
      <c r="A51" s="371">
        <f t="shared" si="40"/>
        <v>2038</v>
      </c>
      <c r="B51" s="370">
        <f t="shared" si="74"/>
        <v>0</v>
      </c>
      <c r="C51" s="64">
        <f t="shared" si="55"/>
        <v>63067</v>
      </c>
      <c r="D51" s="63">
        <f t="shared" si="56"/>
        <v>0</v>
      </c>
      <c r="E51" s="63">
        <f t="shared" si="57"/>
        <v>0</v>
      </c>
      <c r="F51" s="63">
        <f t="shared" si="58"/>
        <v>0</v>
      </c>
      <c r="G51" s="72">
        <f t="shared" si="59"/>
        <v>0</v>
      </c>
      <c r="H51" s="72">
        <f t="shared" si="60"/>
        <v>0</v>
      </c>
      <c r="I51" s="72">
        <f t="shared" si="61"/>
        <v>0</v>
      </c>
      <c r="J51" s="61">
        <f t="shared" si="62"/>
        <v>0</v>
      </c>
      <c r="K51" s="59">
        <f t="shared" si="63"/>
        <v>0</v>
      </c>
      <c r="L51" s="59">
        <f t="shared" si="64"/>
        <v>0</v>
      </c>
      <c r="M51" s="60">
        <f t="shared" si="65"/>
        <v>0</v>
      </c>
      <c r="N51" s="54">
        <f t="shared" si="66"/>
        <v>0</v>
      </c>
      <c r="O51" s="55">
        <f t="shared" si="67"/>
        <v>0</v>
      </c>
      <c r="P51" s="55">
        <f t="shared" si="68"/>
        <v>0</v>
      </c>
      <c r="Q51" s="56">
        <f t="shared" si="69"/>
        <v>0</v>
      </c>
      <c r="R51" s="44">
        <f t="shared" si="70"/>
        <v>0</v>
      </c>
      <c r="S51" s="24">
        <f t="shared" si="71"/>
        <v>0</v>
      </c>
      <c r="T51" s="25">
        <f t="shared" si="72"/>
        <v>0</v>
      </c>
      <c r="U51" s="53">
        <f t="shared" si="73"/>
        <v>16</v>
      </c>
    </row>
    <row r="52" spans="1:21" x14ac:dyDescent="0.2">
      <c r="A52" s="371">
        <f t="shared" si="40"/>
        <v>2039</v>
      </c>
      <c r="B52" s="370">
        <f t="shared" si="74"/>
        <v>0</v>
      </c>
      <c r="C52" s="64">
        <f t="shared" si="55"/>
        <v>63067</v>
      </c>
      <c r="D52" s="63">
        <f t="shared" si="56"/>
        <v>0</v>
      </c>
      <c r="E52" s="63">
        <f t="shared" si="57"/>
        <v>0</v>
      </c>
      <c r="F52" s="63">
        <f t="shared" si="58"/>
        <v>0</v>
      </c>
      <c r="G52" s="72">
        <f t="shared" si="59"/>
        <v>0</v>
      </c>
      <c r="H52" s="72">
        <f t="shared" si="60"/>
        <v>0</v>
      </c>
      <c r="I52" s="72">
        <f t="shared" si="61"/>
        <v>0</v>
      </c>
      <c r="J52" s="61">
        <f t="shared" si="62"/>
        <v>0</v>
      </c>
      <c r="K52" s="59">
        <f t="shared" si="63"/>
        <v>0</v>
      </c>
      <c r="L52" s="59">
        <f t="shared" si="64"/>
        <v>0</v>
      </c>
      <c r="M52" s="60">
        <f t="shared" si="65"/>
        <v>0</v>
      </c>
      <c r="N52" s="54">
        <f t="shared" si="66"/>
        <v>0</v>
      </c>
      <c r="O52" s="55">
        <f t="shared" si="67"/>
        <v>0</v>
      </c>
      <c r="P52" s="55">
        <f t="shared" si="68"/>
        <v>0</v>
      </c>
      <c r="Q52" s="56">
        <f t="shared" si="69"/>
        <v>0</v>
      </c>
      <c r="R52" s="44">
        <f t="shared" si="70"/>
        <v>0</v>
      </c>
      <c r="S52" s="24">
        <f t="shared" si="71"/>
        <v>0</v>
      </c>
      <c r="T52" s="25">
        <f t="shared" si="72"/>
        <v>0</v>
      </c>
      <c r="U52" s="53">
        <f t="shared" si="73"/>
        <v>16</v>
      </c>
    </row>
    <row r="53" spans="1:21" x14ac:dyDescent="0.2">
      <c r="A53" s="371">
        <f t="shared" si="40"/>
        <v>2040</v>
      </c>
      <c r="B53" s="370">
        <f t="shared" si="74"/>
        <v>0</v>
      </c>
      <c r="C53" s="64">
        <f t="shared" si="55"/>
        <v>63067</v>
      </c>
      <c r="D53" s="63">
        <f t="shared" si="56"/>
        <v>0</v>
      </c>
      <c r="E53" s="63">
        <f t="shared" si="57"/>
        <v>0</v>
      </c>
      <c r="F53" s="63">
        <f t="shared" si="58"/>
        <v>0</v>
      </c>
      <c r="G53" s="72">
        <f t="shared" si="59"/>
        <v>0</v>
      </c>
      <c r="H53" s="72">
        <f t="shared" si="60"/>
        <v>0</v>
      </c>
      <c r="I53" s="72">
        <f t="shared" si="61"/>
        <v>0</v>
      </c>
      <c r="J53" s="61">
        <f t="shared" si="62"/>
        <v>0</v>
      </c>
      <c r="K53" s="59">
        <f t="shared" si="63"/>
        <v>0</v>
      </c>
      <c r="L53" s="59">
        <f t="shared" si="64"/>
        <v>0</v>
      </c>
      <c r="M53" s="60">
        <f t="shared" si="65"/>
        <v>0</v>
      </c>
      <c r="N53" s="54">
        <f t="shared" si="66"/>
        <v>0</v>
      </c>
      <c r="O53" s="55">
        <f t="shared" si="67"/>
        <v>0</v>
      </c>
      <c r="P53" s="55">
        <f t="shared" si="68"/>
        <v>0</v>
      </c>
      <c r="Q53" s="56">
        <f t="shared" si="69"/>
        <v>0</v>
      </c>
      <c r="R53" s="44">
        <f t="shared" si="70"/>
        <v>0</v>
      </c>
      <c r="S53" s="24">
        <f t="shared" si="71"/>
        <v>0</v>
      </c>
      <c r="T53" s="25">
        <f t="shared" si="72"/>
        <v>0</v>
      </c>
      <c r="U53" s="53">
        <f t="shared" si="73"/>
        <v>16</v>
      </c>
    </row>
    <row r="54" spans="1:21" x14ac:dyDescent="0.2">
      <c r="A54" s="371">
        <f t="shared" si="40"/>
        <v>2041</v>
      </c>
      <c r="B54" s="370">
        <f t="shared" si="74"/>
        <v>0</v>
      </c>
      <c r="C54" s="64">
        <f t="shared" si="55"/>
        <v>63067</v>
      </c>
      <c r="D54" s="63">
        <f t="shared" si="56"/>
        <v>0</v>
      </c>
      <c r="E54" s="63">
        <f t="shared" si="57"/>
        <v>0</v>
      </c>
      <c r="F54" s="63">
        <f t="shared" si="58"/>
        <v>0</v>
      </c>
      <c r="G54" s="72">
        <f t="shared" si="59"/>
        <v>0</v>
      </c>
      <c r="H54" s="72">
        <f t="shared" si="60"/>
        <v>0</v>
      </c>
      <c r="I54" s="72">
        <f t="shared" si="61"/>
        <v>0</v>
      </c>
      <c r="J54" s="61">
        <f t="shared" si="62"/>
        <v>0</v>
      </c>
      <c r="K54" s="59">
        <f t="shared" si="63"/>
        <v>0</v>
      </c>
      <c r="L54" s="59">
        <f t="shared" si="64"/>
        <v>0</v>
      </c>
      <c r="M54" s="60">
        <f t="shared" si="65"/>
        <v>0</v>
      </c>
      <c r="N54" s="54">
        <f t="shared" si="66"/>
        <v>0</v>
      </c>
      <c r="O54" s="55">
        <f t="shared" si="67"/>
        <v>0</v>
      </c>
      <c r="P54" s="55">
        <f t="shared" si="68"/>
        <v>0</v>
      </c>
      <c r="Q54" s="56">
        <f t="shared" si="69"/>
        <v>0</v>
      </c>
      <c r="R54" s="44">
        <f t="shared" si="70"/>
        <v>0</v>
      </c>
      <c r="S54" s="24">
        <f t="shared" si="71"/>
        <v>0</v>
      </c>
      <c r="T54" s="25">
        <f t="shared" si="72"/>
        <v>0</v>
      </c>
      <c r="U54" s="53">
        <f t="shared" si="73"/>
        <v>16</v>
      </c>
    </row>
    <row r="55" spans="1:21" s="2" customFormat="1" x14ac:dyDescent="0.2">
      <c r="B55" s="10"/>
      <c r="C55" s="493"/>
      <c r="D55" s="1072"/>
      <c r="E55" s="1072"/>
      <c r="F55" s="1072"/>
      <c r="G55" s="495"/>
      <c r="H55" s="495"/>
      <c r="I55" s="495"/>
      <c r="J55" s="498"/>
      <c r="K55" s="497"/>
      <c r="L55" s="497"/>
      <c r="M55" s="497"/>
      <c r="N55" s="498"/>
      <c r="O55" s="497"/>
      <c r="P55" s="497"/>
      <c r="Q55" s="497"/>
      <c r="R55" s="9"/>
      <c r="S55" s="499"/>
      <c r="T55" s="500"/>
      <c r="U55" s="497"/>
    </row>
    <row r="56" spans="1:21" x14ac:dyDescent="0.2">
      <c r="A56" s="69" t="s">
        <v>89</v>
      </c>
    </row>
    <row r="57" spans="1:21" x14ac:dyDescent="0.2">
      <c r="A57" s="69" t="s">
        <v>39</v>
      </c>
    </row>
    <row r="58" spans="1:21" x14ac:dyDescent="0.2">
      <c r="A58" s="69" t="s">
        <v>62</v>
      </c>
    </row>
    <row r="59" spans="1:21" x14ac:dyDescent="0.2">
      <c r="A59" s="86" t="s">
        <v>57</v>
      </c>
    </row>
    <row r="60" spans="1:21" x14ac:dyDescent="0.2">
      <c r="A60" s="86" t="s">
        <v>58</v>
      </c>
    </row>
  </sheetData>
  <mergeCells count="6">
    <mergeCell ref="R4:U4"/>
    <mergeCell ref="G3:I3"/>
    <mergeCell ref="B4:I4"/>
    <mergeCell ref="J4:M4"/>
    <mergeCell ref="N4:Q4"/>
    <mergeCell ref="A3:F3"/>
  </mergeCells>
  <phoneticPr fontId="7" type="noConversion"/>
  <pageMargins left="0.75" right="0.75" top="1" bottom="1" header="0.5" footer="0.5"/>
  <pageSetup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1" tint="0.34998626667073579"/>
  </sheetPr>
  <dimension ref="A1:X60"/>
  <sheetViews>
    <sheetView topLeftCell="A16" workbookViewId="0">
      <selection activeCell="U57" sqref="U57"/>
    </sheetView>
  </sheetViews>
  <sheetFormatPr defaultRowHeight="12.75" x14ac:dyDescent="0.2"/>
  <cols>
    <col min="1" max="1" width="11.7109375" customWidth="1"/>
    <col min="2" max="3" width="10.28515625" customWidth="1"/>
    <col min="4" max="4" width="10" customWidth="1"/>
    <col min="5" max="5" width="10.28515625" customWidth="1"/>
    <col min="6" max="6" width="12.28515625" bestFit="1" customWidth="1"/>
    <col min="7" max="7" width="11.28515625" customWidth="1"/>
    <col min="8" max="9" width="10.42578125" customWidth="1"/>
    <col min="10" max="10" width="10.7109375" customWidth="1"/>
    <col min="11" max="11" width="12.285156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38.25" customHeight="1" x14ac:dyDescent="0.3">
      <c r="A1" s="4" t="s">
        <v>2</v>
      </c>
      <c r="B1" s="4"/>
      <c r="C1" s="4"/>
      <c r="D1" s="4"/>
      <c r="E1" s="1481" t="s">
        <v>292</v>
      </c>
      <c r="F1" s="1481"/>
      <c r="G1" s="1481"/>
      <c r="H1" s="1481"/>
      <c r="I1" s="1481"/>
      <c r="J1" s="1481"/>
      <c r="K1" s="1481"/>
      <c r="L1" s="1481"/>
      <c r="M1" s="1481"/>
      <c r="N1" s="1481"/>
      <c r="O1" s="1481"/>
      <c r="P1" s="4"/>
      <c r="Q1" s="4"/>
    </row>
    <row r="2" spans="1:24" ht="16.5" thickBot="1" x14ac:dyDescent="0.3">
      <c r="A2" s="5" t="s">
        <v>1</v>
      </c>
      <c r="B2" s="27" t="s">
        <v>279</v>
      </c>
      <c r="C2" s="27"/>
      <c r="D2" s="27"/>
      <c r="E2" s="182"/>
      <c r="F2" s="23"/>
      <c r="G2" s="4"/>
      <c r="H2" s="4"/>
      <c r="I2" s="4"/>
      <c r="J2" s="4"/>
      <c r="K2" s="4"/>
      <c r="L2" s="4"/>
      <c r="M2" s="4"/>
      <c r="N2" s="4"/>
    </row>
    <row r="3" spans="1:24" ht="16.5" thickBot="1" x14ac:dyDescent="0.3">
      <c r="A3" s="450" t="s">
        <v>278</v>
      </c>
      <c r="B3" s="426"/>
      <c r="C3" s="450"/>
      <c r="D3" s="450"/>
      <c r="E3" s="450"/>
      <c r="F3" s="450"/>
      <c r="G3" s="1463" t="s">
        <v>20</v>
      </c>
      <c r="H3" s="1464"/>
      <c r="I3" s="1465"/>
      <c r="J3" s="4"/>
      <c r="K3" s="4"/>
      <c r="L3" s="4"/>
      <c r="M3" s="4"/>
      <c r="N3" s="4"/>
    </row>
    <row r="4" spans="1:24" ht="16.5" thickBot="1" x14ac:dyDescent="0.3">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v>0</v>
      </c>
      <c r="D6" s="15"/>
      <c r="E6" s="15"/>
      <c r="F6" s="15"/>
      <c r="G6" s="15"/>
      <c r="H6" s="15"/>
      <c r="I6" s="31"/>
      <c r="J6" s="37"/>
      <c r="K6" s="59"/>
      <c r="L6" s="6"/>
      <c r="M6" s="46">
        <v>0</v>
      </c>
      <c r="N6" s="40"/>
      <c r="O6" s="55"/>
      <c r="P6" s="57"/>
      <c r="Q6" s="41">
        <v>0</v>
      </c>
      <c r="R6" s="43"/>
      <c r="S6" s="24"/>
      <c r="T6" s="21"/>
      <c r="U6" s="47">
        <v>0</v>
      </c>
      <c r="V6" s="3"/>
    </row>
    <row r="7" spans="1:24" s="1" customFormat="1" ht="15.75" customHeight="1" x14ac:dyDescent="0.2">
      <c r="A7" s="68" t="s">
        <v>63</v>
      </c>
      <c r="B7" s="30"/>
      <c r="C7" s="50">
        <f>0+C6</f>
        <v>0</v>
      </c>
      <c r="D7" s="15"/>
      <c r="E7" s="15"/>
      <c r="F7" s="15"/>
      <c r="G7" s="208"/>
      <c r="H7" s="15"/>
      <c r="I7" s="31"/>
      <c r="J7" s="37"/>
      <c r="K7" s="59"/>
      <c r="L7" s="6"/>
      <c r="M7" s="46">
        <f>+M6+0</f>
        <v>0</v>
      </c>
      <c r="N7" s="40"/>
      <c r="O7" s="55"/>
      <c r="P7" s="57"/>
      <c r="Q7" s="41">
        <f>+Q6+0</f>
        <v>0</v>
      </c>
      <c r="R7" s="43"/>
      <c r="S7" s="24"/>
      <c r="T7" s="21"/>
      <c r="U7" s="47">
        <f>+U6+0</f>
        <v>0</v>
      </c>
      <c r="V7" s="3"/>
    </row>
    <row r="8" spans="1:24" x14ac:dyDescent="0.2">
      <c r="A8" s="33">
        <v>1995</v>
      </c>
      <c r="B8" s="30">
        <v>0</v>
      </c>
      <c r="C8" s="64">
        <f t="shared" ref="C8:C39" si="0">+C7+B8</f>
        <v>0</v>
      </c>
      <c r="D8" s="71">
        <v>0</v>
      </c>
      <c r="E8" s="71">
        <v>0</v>
      </c>
      <c r="F8" s="71">
        <v>0</v>
      </c>
      <c r="G8" s="207">
        <v>0</v>
      </c>
      <c r="H8" s="207">
        <v>0</v>
      </c>
      <c r="I8" s="207">
        <v>0</v>
      </c>
      <c r="J8" s="52">
        <f>+(B8+0)/2</f>
        <v>0</v>
      </c>
      <c r="K8" s="59">
        <f t="shared" ref="K8:K39" si="1">+D8</f>
        <v>0</v>
      </c>
      <c r="L8" s="59">
        <f t="shared" ref="L8:L39" si="2">+J8*K8/1000</f>
        <v>0</v>
      </c>
      <c r="M8" s="60">
        <f t="shared" ref="M8:M39" si="3">+M7+L8</f>
        <v>0</v>
      </c>
      <c r="N8" s="51">
        <v>0</v>
      </c>
      <c r="O8" s="55">
        <f t="shared" ref="O8:O39" si="4">+E8</f>
        <v>0</v>
      </c>
      <c r="P8" s="55">
        <f t="shared" ref="P8:P39" si="5">+N8*O8/1000</f>
        <v>0</v>
      </c>
      <c r="Q8" s="56">
        <f t="shared" ref="Q8:Q39" si="6">+Q7+P8</f>
        <v>0</v>
      </c>
      <c r="R8" s="65">
        <f>+(B8+0)/2</f>
        <v>0</v>
      </c>
      <c r="S8" s="24">
        <f t="shared" ref="S8:S38" si="7">+F8</f>
        <v>0</v>
      </c>
      <c r="T8" s="25">
        <f t="shared" ref="T8:T38" si="8">+R8*S8/1000000</f>
        <v>0</v>
      </c>
      <c r="U8" s="53">
        <f t="shared" ref="U8:U39" si="9">+U7+T8</f>
        <v>0</v>
      </c>
      <c r="V8" s="248"/>
      <c r="X8" s="1"/>
    </row>
    <row r="9" spans="1:24" x14ac:dyDescent="0.2">
      <c r="A9" s="33">
        <v>1996</v>
      </c>
      <c r="B9" s="30">
        <v>0</v>
      </c>
      <c r="C9" s="64">
        <f t="shared" si="0"/>
        <v>0</v>
      </c>
      <c r="D9" s="71">
        <v>0</v>
      </c>
      <c r="E9" s="71">
        <v>0</v>
      </c>
      <c r="F9" s="71">
        <v>0</v>
      </c>
      <c r="G9" s="207">
        <v>0</v>
      </c>
      <c r="H9" s="207">
        <v>0</v>
      </c>
      <c r="I9" s="207">
        <v>0</v>
      </c>
      <c r="J9" s="61">
        <f t="shared" ref="J9:J39" si="10">+(B9+B8)/2</f>
        <v>0</v>
      </c>
      <c r="K9" s="59">
        <f t="shared" si="1"/>
        <v>0</v>
      </c>
      <c r="L9" s="59">
        <f t="shared" si="2"/>
        <v>0</v>
      </c>
      <c r="M9" s="60">
        <f t="shared" si="3"/>
        <v>0</v>
      </c>
      <c r="N9" s="54">
        <f t="shared" ref="N9:N39" si="11">+B8</f>
        <v>0</v>
      </c>
      <c r="O9" s="55">
        <f t="shared" si="4"/>
        <v>0</v>
      </c>
      <c r="P9" s="55">
        <f t="shared" si="5"/>
        <v>0</v>
      </c>
      <c r="Q9" s="56">
        <f t="shared" si="6"/>
        <v>0</v>
      </c>
      <c r="R9" s="247">
        <f t="shared" ref="R9:R38" si="12">+(B9+B8)/2</f>
        <v>0</v>
      </c>
      <c r="S9" s="24">
        <f t="shared" si="7"/>
        <v>0</v>
      </c>
      <c r="T9" s="25">
        <f t="shared" si="8"/>
        <v>0</v>
      </c>
      <c r="U9" s="53">
        <f t="shared" si="9"/>
        <v>0</v>
      </c>
      <c r="V9" s="10"/>
      <c r="X9" s="1"/>
    </row>
    <row r="10" spans="1:24" x14ac:dyDescent="0.2">
      <c r="A10" s="33">
        <v>1997</v>
      </c>
      <c r="B10" s="30">
        <v>0</v>
      </c>
      <c r="C10" s="64">
        <f t="shared" si="0"/>
        <v>0</v>
      </c>
      <c r="D10" s="71">
        <v>0</v>
      </c>
      <c r="E10" s="71">
        <v>0</v>
      </c>
      <c r="F10" s="71">
        <v>0</v>
      </c>
      <c r="G10" s="207">
        <v>0</v>
      </c>
      <c r="H10" s="207">
        <v>0</v>
      </c>
      <c r="I10" s="207">
        <v>0</v>
      </c>
      <c r="J10" s="61">
        <f t="shared" si="10"/>
        <v>0</v>
      </c>
      <c r="K10" s="59">
        <f t="shared" si="1"/>
        <v>0</v>
      </c>
      <c r="L10" s="59">
        <f t="shared" si="2"/>
        <v>0</v>
      </c>
      <c r="M10" s="60">
        <f t="shared" si="3"/>
        <v>0</v>
      </c>
      <c r="N10" s="54">
        <f t="shared" si="11"/>
        <v>0</v>
      </c>
      <c r="O10" s="55">
        <f t="shared" si="4"/>
        <v>0</v>
      </c>
      <c r="P10" s="55">
        <f t="shared" si="5"/>
        <v>0</v>
      </c>
      <c r="Q10" s="56">
        <f t="shared" si="6"/>
        <v>0</v>
      </c>
      <c r="R10" s="247">
        <f t="shared" si="12"/>
        <v>0</v>
      </c>
      <c r="S10" s="24">
        <f t="shared" si="7"/>
        <v>0</v>
      </c>
      <c r="T10" s="25">
        <f t="shared" si="8"/>
        <v>0</v>
      </c>
      <c r="U10" s="53">
        <f t="shared" si="9"/>
        <v>0</v>
      </c>
      <c r="V10" s="10"/>
      <c r="X10" s="1"/>
    </row>
    <row r="11" spans="1:24" x14ac:dyDescent="0.2">
      <c r="A11" s="33">
        <v>1998</v>
      </c>
      <c r="B11" s="30">
        <v>0</v>
      </c>
      <c r="C11" s="64">
        <f t="shared" si="0"/>
        <v>0</v>
      </c>
      <c r="D11" s="71">
        <v>0</v>
      </c>
      <c r="E11" s="71">
        <v>0</v>
      </c>
      <c r="F11" s="71">
        <v>0</v>
      </c>
      <c r="G11" s="207">
        <v>0</v>
      </c>
      <c r="H11" s="207">
        <v>0</v>
      </c>
      <c r="I11" s="207">
        <v>0</v>
      </c>
      <c r="J11" s="61">
        <f t="shared" si="10"/>
        <v>0</v>
      </c>
      <c r="K11" s="59">
        <f t="shared" si="1"/>
        <v>0</v>
      </c>
      <c r="L11" s="59">
        <f t="shared" si="2"/>
        <v>0</v>
      </c>
      <c r="M11" s="60">
        <f t="shared" si="3"/>
        <v>0</v>
      </c>
      <c r="N11" s="54">
        <f t="shared" si="11"/>
        <v>0</v>
      </c>
      <c r="O11" s="55">
        <f t="shared" si="4"/>
        <v>0</v>
      </c>
      <c r="P11" s="55">
        <f t="shared" si="5"/>
        <v>0</v>
      </c>
      <c r="Q11" s="56">
        <f t="shared" si="6"/>
        <v>0</v>
      </c>
      <c r="R11" s="247">
        <f t="shared" si="12"/>
        <v>0</v>
      </c>
      <c r="S11" s="24">
        <f t="shared" si="7"/>
        <v>0</v>
      </c>
      <c r="T11" s="25">
        <f t="shared" si="8"/>
        <v>0</v>
      </c>
      <c r="U11" s="53">
        <f t="shared" si="9"/>
        <v>0</v>
      </c>
      <c r="V11" s="10"/>
      <c r="X11" s="1"/>
    </row>
    <row r="12" spans="1:24" x14ac:dyDescent="0.2">
      <c r="A12" s="33">
        <v>1999</v>
      </c>
      <c r="B12" s="30">
        <v>0</v>
      </c>
      <c r="C12" s="64">
        <f t="shared" si="0"/>
        <v>0</v>
      </c>
      <c r="D12" s="71">
        <v>0</v>
      </c>
      <c r="E12" s="71">
        <v>0</v>
      </c>
      <c r="F12" s="71">
        <v>0</v>
      </c>
      <c r="G12" s="207">
        <v>0</v>
      </c>
      <c r="H12" s="207">
        <v>0</v>
      </c>
      <c r="I12" s="207">
        <v>0</v>
      </c>
      <c r="J12" s="61">
        <f t="shared" si="10"/>
        <v>0</v>
      </c>
      <c r="K12" s="59">
        <f t="shared" si="1"/>
        <v>0</v>
      </c>
      <c r="L12" s="59">
        <f t="shared" si="2"/>
        <v>0</v>
      </c>
      <c r="M12" s="60">
        <f t="shared" si="3"/>
        <v>0</v>
      </c>
      <c r="N12" s="54">
        <f t="shared" si="11"/>
        <v>0</v>
      </c>
      <c r="O12" s="55">
        <f t="shared" si="4"/>
        <v>0</v>
      </c>
      <c r="P12" s="55">
        <f t="shared" si="5"/>
        <v>0</v>
      </c>
      <c r="Q12" s="56">
        <f t="shared" si="6"/>
        <v>0</v>
      </c>
      <c r="R12" s="247">
        <f t="shared" si="12"/>
        <v>0</v>
      </c>
      <c r="S12" s="24">
        <f t="shared" si="7"/>
        <v>0</v>
      </c>
      <c r="T12" s="25">
        <f t="shared" si="8"/>
        <v>0</v>
      </c>
      <c r="U12" s="53">
        <f t="shared" si="9"/>
        <v>0</v>
      </c>
      <c r="V12" s="10"/>
      <c r="X12" s="1"/>
    </row>
    <row r="13" spans="1:24" x14ac:dyDescent="0.2">
      <c r="A13" s="33">
        <v>2000</v>
      </c>
      <c r="B13" s="30">
        <v>0</v>
      </c>
      <c r="C13" s="64">
        <f t="shared" si="0"/>
        <v>0</v>
      </c>
      <c r="D13" s="71">
        <v>0</v>
      </c>
      <c r="E13" s="71">
        <v>0</v>
      </c>
      <c r="F13" s="71">
        <v>0</v>
      </c>
      <c r="G13" s="207">
        <v>0</v>
      </c>
      <c r="H13" s="207">
        <v>0</v>
      </c>
      <c r="I13" s="207">
        <v>0</v>
      </c>
      <c r="J13" s="61">
        <f t="shared" si="10"/>
        <v>0</v>
      </c>
      <c r="K13" s="59">
        <f t="shared" si="1"/>
        <v>0</v>
      </c>
      <c r="L13" s="59">
        <f t="shared" si="2"/>
        <v>0</v>
      </c>
      <c r="M13" s="60">
        <f t="shared" si="3"/>
        <v>0</v>
      </c>
      <c r="N13" s="54">
        <f t="shared" si="11"/>
        <v>0</v>
      </c>
      <c r="O13" s="55">
        <f t="shared" si="4"/>
        <v>0</v>
      </c>
      <c r="P13" s="55">
        <f t="shared" si="5"/>
        <v>0</v>
      </c>
      <c r="Q13" s="56">
        <f t="shared" si="6"/>
        <v>0</v>
      </c>
      <c r="R13" s="247">
        <f t="shared" si="12"/>
        <v>0</v>
      </c>
      <c r="S13" s="24">
        <f t="shared" si="7"/>
        <v>0</v>
      </c>
      <c r="T13" s="25">
        <f t="shared" si="8"/>
        <v>0</v>
      </c>
      <c r="U13" s="53">
        <f t="shared" si="9"/>
        <v>0</v>
      </c>
      <c r="V13" s="248"/>
      <c r="X13" s="1"/>
    </row>
    <row r="14" spans="1:24" x14ac:dyDescent="0.2">
      <c r="A14" s="33">
        <v>2001</v>
      </c>
      <c r="B14" s="30">
        <v>0</v>
      </c>
      <c r="C14" s="64">
        <f t="shared" si="0"/>
        <v>0</v>
      </c>
      <c r="D14" s="71">
        <v>0</v>
      </c>
      <c r="E14" s="71">
        <v>0</v>
      </c>
      <c r="F14" s="71">
        <v>0</v>
      </c>
      <c r="G14" s="207">
        <v>0</v>
      </c>
      <c r="H14" s="207">
        <v>0</v>
      </c>
      <c r="I14" s="207">
        <v>0</v>
      </c>
      <c r="J14" s="61">
        <f t="shared" si="10"/>
        <v>0</v>
      </c>
      <c r="K14" s="59">
        <f t="shared" si="1"/>
        <v>0</v>
      </c>
      <c r="L14" s="59">
        <f t="shared" si="2"/>
        <v>0</v>
      </c>
      <c r="M14" s="60">
        <f t="shared" si="3"/>
        <v>0</v>
      </c>
      <c r="N14" s="54">
        <f t="shared" si="11"/>
        <v>0</v>
      </c>
      <c r="O14" s="55">
        <f t="shared" si="4"/>
        <v>0</v>
      </c>
      <c r="P14" s="55">
        <f t="shared" si="5"/>
        <v>0</v>
      </c>
      <c r="Q14" s="56">
        <f t="shared" si="6"/>
        <v>0</v>
      </c>
      <c r="R14" s="247">
        <f t="shared" si="12"/>
        <v>0</v>
      </c>
      <c r="S14" s="24">
        <f t="shared" si="7"/>
        <v>0</v>
      </c>
      <c r="T14" s="25">
        <f t="shared" si="8"/>
        <v>0</v>
      </c>
      <c r="U14" s="53">
        <f t="shared" si="9"/>
        <v>0</v>
      </c>
      <c r="V14" s="248"/>
      <c r="X14" s="1"/>
    </row>
    <row r="15" spans="1:24" x14ac:dyDescent="0.2">
      <c r="A15" s="33">
        <v>2002</v>
      </c>
      <c r="B15" s="30">
        <v>0</v>
      </c>
      <c r="C15" s="64">
        <f t="shared" si="0"/>
        <v>0</v>
      </c>
      <c r="D15" s="71">
        <v>0</v>
      </c>
      <c r="E15" s="71">
        <v>0</v>
      </c>
      <c r="F15" s="71">
        <v>0</v>
      </c>
      <c r="G15" s="207">
        <v>0</v>
      </c>
      <c r="H15" s="207">
        <v>0</v>
      </c>
      <c r="I15" s="207">
        <v>0</v>
      </c>
      <c r="J15" s="61">
        <f t="shared" si="10"/>
        <v>0</v>
      </c>
      <c r="K15" s="59">
        <f t="shared" si="1"/>
        <v>0</v>
      </c>
      <c r="L15" s="59">
        <f t="shared" si="2"/>
        <v>0</v>
      </c>
      <c r="M15" s="60">
        <f t="shared" si="3"/>
        <v>0</v>
      </c>
      <c r="N15" s="54">
        <f t="shared" si="11"/>
        <v>0</v>
      </c>
      <c r="O15" s="55">
        <f t="shared" si="4"/>
        <v>0</v>
      </c>
      <c r="P15" s="55">
        <f t="shared" si="5"/>
        <v>0</v>
      </c>
      <c r="Q15" s="56">
        <f t="shared" si="6"/>
        <v>0</v>
      </c>
      <c r="R15" s="247">
        <f t="shared" si="12"/>
        <v>0</v>
      </c>
      <c r="S15" s="24">
        <f t="shared" si="7"/>
        <v>0</v>
      </c>
      <c r="T15" s="25">
        <f t="shared" si="8"/>
        <v>0</v>
      </c>
      <c r="U15" s="53">
        <f t="shared" si="9"/>
        <v>0</v>
      </c>
      <c r="V15" s="248"/>
      <c r="X15" s="1"/>
    </row>
    <row r="16" spans="1:24" x14ac:dyDescent="0.2">
      <c r="A16" s="33">
        <v>2003</v>
      </c>
      <c r="B16" s="30">
        <v>0</v>
      </c>
      <c r="C16" s="64">
        <f t="shared" si="0"/>
        <v>0</v>
      </c>
      <c r="D16" s="71">
        <v>0</v>
      </c>
      <c r="E16" s="71">
        <v>0</v>
      </c>
      <c r="F16" s="71">
        <v>0</v>
      </c>
      <c r="G16" s="207">
        <v>0</v>
      </c>
      <c r="H16" s="207">
        <v>0</v>
      </c>
      <c r="I16" s="207">
        <v>0</v>
      </c>
      <c r="J16" s="61">
        <f t="shared" si="10"/>
        <v>0</v>
      </c>
      <c r="K16" s="59">
        <f t="shared" si="1"/>
        <v>0</v>
      </c>
      <c r="L16" s="59">
        <f t="shared" si="2"/>
        <v>0</v>
      </c>
      <c r="M16" s="60">
        <f t="shared" si="3"/>
        <v>0</v>
      </c>
      <c r="N16" s="54">
        <f t="shared" si="11"/>
        <v>0</v>
      </c>
      <c r="O16" s="55">
        <f t="shared" si="4"/>
        <v>0</v>
      </c>
      <c r="P16" s="55">
        <f t="shared" si="5"/>
        <v>0</v>
      </c>
      <c r="Q16" s="56">
        <f t="shared" si="6"/>
        <v>0</v>
      </c>
      <c r="R16" s="247">
        <f t="shared" si="12"/>
        <v>0</v>
      </c>
      <c r="S16" s="24">
        <f t="shared" si="7"/>
        <v>0</v>
      </c>
      <c r="T16" s="25">
        <f t="shared" si="8"/>
        <v>0</v>
      </c>
      <c r="U16" s="53">
        <f t="shared" si="9"/>
        <v>0</v>
      </c>
      <c r="V16" s="248"/>
      <c r="X16" s="1"/>
    </row>
    <row r="17" spans="1:24" x14ac:dyDescent="0.2">
      <c r="A17" s="33">
        <f t="shared" ref="A17:A54" si="13">+A16+1</f>
        <v>2004</v>
      </c>
      <c r="B17" s="30">
        <v>0</v>
      </c>
      <c r="C17" s="64">
        <f t="shared" si="0"/>
        <v>0</v>
      </c>
      <c r="D17" s="71">
        <v>0</v>
      </c>
      <c r="E17" s="71">
        <v>0</v>
      </c>
      <c r="F17" s="71">
        <v>0</v>
      </c>
      <c r="G17" s="207">
        <v>0</v>
      </c>
      <c r="H17" s="207">
        <v>0</v>
      </c>
      <c r="I17" s="207">
        <v>0</v>
      </c>
      <c r="J17" s="61">
        <f t="shared" si="10"/>
        <v>0</v>
      </c>
      <c r="K17" s="59">
        <f t="shared" si="1"/>
        <v>0</v>
      </c>
      <c r="L17" s="59">
        <f t="shared" si="2"/>
        <v>0</v>
      </c>
      <c r="M17" s="60">
        <f t="shared" si="3"/>
        <v>0</v>
      </c>
      <c r="N17" s="54">
        <f t="shared" si="11"/>
        <v>0</v>
      </c>
      <c r="O17" s="55">
        <f t="shared" si="4"/>
        <v>0</v>
      </c>
      <c r="P17" s="55">
        <f t="shared" si="5"/>
        <v>0</v>
      </c>
      <c r="Q17" s="56">
        <f t="shared" si="6"/>
        <v>0</v>
      </c>
      <c r="R17" s="247">
        <f t="shared" si="12"/>
        <v>0</v>
      </c>
      <c r="S17" s="24">
        <f t="shared" si="7"/>
        <v>0</v>
      </c>
      <c r="T17" s="25">
        <f t="shared" si="8"/>
        <v>0</v>
      </c>
      <c r="U17" s="53">
        <f t="shared" si="9"/>
        <v>0</v>
      </c>
      <c r="V17" s="248"/>
      <c r="X17" s="1"/>
    </row>
    <row r="18" spans="1:24" x14ac:dyDescent="0.2">
      <c r="A18" s="33">
        <f t="shared" si="13"/>
        <v>2005</v>
      </c>
      <c r="B18" s="30">
        <v>0</v>
      </c>
      <c r="C18" s="64">
        <f t="shared" si="0"/>
        <v>0</v>
      </c>
      <c r="D18" s="71">
        <v>0</v>
      </c>
      <c r="E18" s="71">
        <v>0</v>
      </c>
      <c r="F18" s="71">
        <v>0</v>
      </c>
      <c r="G18" s="207">
        <v>0</v>
      </c>
      <c r="H18" s="207">
        <v>0</v>
      </c>
      <c r="I18" s="207">
        <v>0</v>
      </c>
      <c r="J18" s="61">
        <f t="shared" si="10"/>
        <v>0</v>
      </c>
      <c r="K18" s="59">
        <f t="shared" si="1"/>
        <v>0</v>
      </c>
      <c r="L18" s="59">
        <f t="shared" si="2"/>
        <v>0</v>
      </c>
      <c r="M18" s="60">
        <f t="shared" si="3"/>
        <v>0</v>
      </c>
      <c r="N18" s="54">
        <f t="shared" si="11"/>
        <v>0</v>
      </c>
      <c r="O18" s="55">
        <f t="shared" si="4"/>
        <v>0</v>
      </c>
      <c r="P18" s="55">
        <f t="shared" si="5"/>
        <v>0</v>
      </c>
      <c r="Q18" s="56">
        <f t="shared" si="6"/>
        <v>0</v>
      </c>
      <c r="R18" s="247">
        <f t="shared" si="12"/>
        <v>0</v>
      </c>
      <c r="S18" s="24">
        <f t="shared" si="7"/>
        <v>0</v>
      </c>
      <c r="T18" s="25">
        <f t="shared" si="8"/>
        <v>0</v>
      </c>
      <c r="U18" s="53">
        <f t="shared" si="9"/>
        <v>0</v>
      </c>
      <c r="V18" s="248"/>
      <c r="X18" s="1"/>
    </row>
    <row r="19" spans="1:24" x14ac:dyDescent="0.2">
      <c r="A19" s="33">
        <f t="shared" si="13"/>
        <v>2006</v>
      </c>
      <c r="B19" s="30">
        <v>0</v>
      </c>
      <c r="C19" s="64">
        <f t="shared" si="0"/>
        <v>0</v>
      </c>
      <c r="D19" s="71">
        <v>0</v>
      </c>
      <c r="E19" s="71">
        <v>0</v>
      </c>
      <c r="F19" s="71">
        <v>0</v>
      </c>
      <c r="G19" s="207">
        <v>0</v>
      </c>
      <c r="H19" s="207">
        <v>0</v>
      </c>
      <c r="I19" s="207">
        <v>0</v>
      </c>
      <c r="J19" s="61">
        <f t="shared" si="10"/>
        <v>0</v>
      </c>
      <c r="K19" s="59">
        <f t="shared" si="1"/>
        <v>0</v>
      </c>
      <c r="L19" s="59">
        <f t="shared" si="2"/>
        <v>0</v>
      </c>
      <c r="M19" s="60">
        <f t="shared" si="3"/>
        <v>0</v>
      </c>
      <c r="N19" s="54">
        <f t="shared" si="11"/>
        <v>0</v>
      </c>
      <c r="O19" s="55">
        <f t="shared" si="4"/>
        <v>0</v>
      </c>
      <c r="P19" s="55">
        <f t="shared" si="5"/>
        <v>0</v>
      </c>
      <c r="Q19" s="56">
        <f t="shared" si="6"/>
        <v>0</v>
      </c>
      <c r="R19" s="247">
        <f t="shared" si="12"/>
        <v>0</v>
      </c>
      <c r="S19" s="24">
        <f t="shared" si="7"/>
        <v>0</v>
      </c>
      <c r="T19" s="25">
        <f t="shared" si="8"/>
        <v>0</v>
      </c>
      <c r="U19" s="53">
        <f t="shared" si="9"/>
        <v>0</v>
      </c>
      <c r="V19" s="8"/>
      <c r="X19" s="1"/>
    </row>
    <row r="20" spans="1:24" x14ac:dyDescent="0.2">
      <c r="A20" s="33">
        <f t="shared" si="13"/>
        <v>2007</v>
      </c>
      <c r="B20" s="30">
        <v>0</v>
      </c>
      <c r="C20" s="64">
        <f t="shared" si="0"/>
        <v>0</v>
      </c>
      <c r="D20" s="71">
        <v>0</v>
      </c>
      <c r="E20" s="71">
        <v>0</v>
      </c>
      <c r="F20" s="71">
        <v>0</v>
      </c>
      <c r="G20" s="207">
        <v>0</v>
      </c>
      <c r="H20" s="207">
        <v>0</v>
      </c>
      <c r="I20" s="207">
        <v>0</v>
      </c>
      <c r="J20" s="61">
        <f t="shared" si="10"/>
        <v>0</v>
      </c>
      <c r="K20" s="59">
        <f t="shared" si="1"/>
        <v>0</v>
      </c>
      <c r="L20" s="59">
        <f t="shared" si="2"/>
        <v>0</v>
      </c>
      <c r="M20" s="60">
        <f t="shared" si="3"/>
        <v>0</v>
      </c>
      <c r="N20" s="54">
        <f t="shared" si="11"/>
        <v>0</v>
      </c>
      <c r="O20" s="55">
        <f t="shared" si="4"/>
        <v>0</v>
      </c>
      <c r="P20" s="55">
        <f t="shared" si="5"/>
        <v>0</v>
      </c>
      <c r="Q20" s="56">
        <f t="shared" si="6"/>
        <v>0</v>
      </c>
      <c r="R20" s="247">
        <f t="shared" si="12"/>
        <v>0</v>
      </c>
      <c r="S20" s="24">
        <f t="shared" si="7"/>
        <v>0</v>
      </c>
      <c r="T20" s="25">
        <f t="shared" si="8"/>
        <v>0</v>
      </c>
      <c r="U20" s="53">
        <f t="shared" si="9"/>
        <v>0</v>
      </c>
    </row>
    <row r="21" spans="1:24" x14ac:dyDescent="0.2">
      <c r="A21" s="33">
        <f t="shared" si="13"/>
        <v>2008</v>
      </c>
      <c r="B21" s="30">
        <v>0</v>
      </c>
      <c r="C21" s="64">
        <f t="shared" si="0"/>
        <v>0</v>
      </c>
      <c r="D21" s="71">
        <v>0</v>
      </c>
      <c r="E21" s="71">
        <v>0</v>
      </c>
      <c r="F21" s="71">
        <v>0</v>
      </c>
      <c r="G21" s="207">
        <v>0</v>
      </c>
      <c r="H21" s="207">
        <v>0</v>
      </c>
      <c r="I21" s="207">
        <v>0</v>
      </c>
      <c r="J21" s="61">
        <f t="shared" si="10"/>
        <v>0</v>
      </c>
      <c r="K21" s="59">
        <f t="shared" si="1"/>
        <v>0</v>
      </c>
      <c r="L21" s="59">
        <f t="shared" si="2"/>
        <v>0</v>
      </c>
      <c r="M21" s="60">
        <f t="shared" si="3"/>
        <v>0</v>
      </c>
      <c r="N21" s="54">
        <f t="shared" si="11"/>
        <v>0</v>
      </c>
      <c r="O21" s="55">
        <f t="shared" si="4"/>
        <v>0</v>
      </c>
      <c r="P21" s="55">
        <f t="shared" si="5"/>
        <v>0</v>
      </c>
      <c r="Q21" s="56">
        <f t="shared" si="6"/>
        <v>0</v>
      </c>
      <c r="R21" s="247">
        <f t="shared" si="12"/>
        <v>0</v>
      </c>
      <c r="S21" s="24">
        <f t="shared" si="7"/>
        <v>0</v>
      </c>
      <c r="T21" s="25">
        <f t="shared" si="8"/>
        <v>0</v>
      </c>
      <c r="U21" s="53">
        <f t="shared" si="9"/>
        <v>0</v>
      </c>
      <c r="V21" s="248"/>
      <c r="X21" s="1"/>
    </row>
    <row r="22" spans="1:24" x14ac:dyDescent="0.2">
      <c r="A22" s="33">
        <f t="shared" si="13"/>
        <v>2009</v>
      </c>
      <c r="B22" s="30">
        <v>0</v>
      </c>
      <c r="C22" s="64">
        <f t="shared" si="0"/>
        <v>0</v>
      </c>
      <c r="D22" s="71">
        <v>0</v>
      </c>
      <c r="E22" s="71">
        <v>0</v>
      </c>
      <c r="F22" s="71">
        <v>0</v>
      </c>
      <c r="G22" s="207">
        <v>0</v>
      </c>
      <c r="H22" s="207">
        <v>0</v>
      </c>
      <c r="I22" s="207">
        <v>0</v>
      </c>
      <c r="J22" s="61">
        <f>+(B22+B21)/2</f>
        <v>0</v>
      </c>
      <c r="K22" s="59">
        <f t="shared" si="1"/>
        <v>0</v>
      </c>
      <c r="L22" s="59">
        <f>+J22*K22/1000</f>
        <v>0</v>
      </c>
      <c r="M22" s="60">
        <f t="shared" si="3"/>
        <v>0</v>
      </c>
      <c r="N22" s="54">
        <f t="shared" si="11"/>
        <v>0</v>
      </c>
      <c r="O22" s="55">
        <f t="shared" si="4"/>
        <v>0</v>
      </c>
      <c r="P22" s="55">
        <f t="shared" si="5"/>
        <v>0</v>
      </c>
      <c r="Q22" s="56">
        <f t="shared" si="6"/>
        <v>0</v>
      </c>
      <c r="R22" s="247">
        <f t="shared" si="12"/>
        <v>0</v>
      </c>
      <c r="S22" s="24">
        <f t="shared" si="7"/>
        <v>0</v>
      </c>
      <c r="T22" s="25">
        <f t="shared" si="8"/>
        <v>0</v>
      </c>
      <c r="U22" s="53">
        <f t="shared" si="9"/>
        <v>0</v>
      </c>
      <c r="V22" s="8"/>
      <c r="X22" s="1"/>
    </row>
    <row r="23" spans="1:24" x14ac:dyDescent="0.2">
      <c r="A23" s="33">
        <f t="shared" si="13"/>
        <v>2010</v>
      </c>
      <c r="B23" s="30"/>
      <c r="C23" s="64">
        <f t="shared" si="0"/>
        <v>0</v>
      </c>
      <c r="D23" s="71">
        <f t="shared" ref="D23:F38" si="14">+D22</f>
        <v>0</v>
      </c>
      <c r="E23" s="71">
        <f t="shared" si="14"/>
        <v>0</v>
      </c>
      <c r="F23" s="71">
        <f t="shared" si="14"/>
        <v>0</v>
      </c>
      <c r="G23" s="207">
        <f t="shared" ref="G23:H39" si="15">+$B23*D23/1000</f>
        <v>0</v>
      </c>
      <c r="H23" s="207">
        <f t="shared" si="15"/>
        <v>0</v>
      </c>
      <c r="I23" s="207">
        <f t="shared" ref="I23:I39" si="16">+$B23*F23/1000000</f>
        <v>0</v>
      </c>
      <c r="J23" s="61">
        <f t="shared" si="10"/>
        <v>0</v>
      </c>
      <c r="K23" s="59">
        <f t="shared" si="1"/>
        <v>0</v>
      </c>
      <c r="L23" s="59">
        <f t="shared" si="2"/>
        <v>0</v>
      </c>
      <c r="M23" s="60">
        <f t="shared" si="3"/>
        <v>0</v>
      </c>
      <c r="N23" s="54">
        <f t="shared" si="11"/>
        <v>0</v>
      </c>
      <c r="O23" s="55">
        <f t="shared" si="4"/>
        <v>0</v>
      </c>
      <c r="P23" s="55">
        <f t="shared" si="5"/>
        <v>0</v>
      </c>
      <c r="Q23" s="56">
        <f t="shared" si="6"/>
        <v>0</v>
      </c>
      <c r="R23" s="247">
        <f t="shared" si="12"/>
        <v>0</v>
      </c>
      <c r="S23" s="24">
        <f t="shared" si="7"/>
        <v>0</v>
      </c>
      <c r="T23" s="25">
        <f t="shared" si="8"/>
        <v>0</v>
      </c>
      <c r="U23" s="53">
        <f t="shared" si="9"/>
        <v>0</v>
      </c>
    </row>
    <row r="24" spans="1:24" x14ac:dyDescent="0.2">
      <c r="A24" s="33">
        <f t="shared" si="13"/>
        <v>2011</v>
      </c>
      <c r="B24" s="30"/>
      <c r="C24" s="64">
        <f t="shared" si="0"/>
        <v>0</v>
      </c>
      <c r="D24" s="71">
        <f t="shared" si="14"/>
        <v>0</v>
      </c>
      <c r="E24" s="71">
        <f t="shared" si="14"/>
        <v>0</v>
      </c>
      <c r="F24" s="71">
        <f t="shared" si="14"/>
        <v>0</v>
      </c>
      <c r="G24" s="207">
        <f t="shared" si="15"/>
        <v>0</v>
      </c>
      <c r="H24" s="207">
        <f t="shared" si="15"/>
        <v>0</v>
      </c>
      <c r="I24" s="207">
        <f t="shared" si="16"/>
        <v>0</v>
      </c>
      <c r="J24" s="61">
        <f t="shared" si="10"/>
        <v>0</v>
      </c>
      <c r="K24" s="59">
        <f t="shared" si="1"/>
        <v>0</v>
      </c>
      <c r="L24" s="59">
        <f t="shared" si="2"/>
        <v>0</v>
      </c>
      <c r="M24" s="60">
        <f t="shared" si="3"/>
        <v>0</v>
      </c>
      <c r="N24" s="54">
        <f t="shared" si="11"/>
        <v>0</v>
      </c>
      <c r="O24" s="55">
        <f t="shared" si="4"/>
        <v>0</v>
      </c>
      <c r="P24" s="55">
        <f t="shared" si="5"/>
        <v>0</v>
      </c>
      <c r="Q24" s="56">
        <f t="shared" si="6"/>
        <v>0</v>
      </c>
      <c r="R24" s="247">
        <f t="shared" si="12"/>
        <v>0</v>
      </c>
      <c r="S24" s="24">
        <f t="shared" si="7"/>
        <v>0</v>
      </c>
      <c r="T24" s="25">
        <f t="shared" si="8"/>
        <v>0</v>
      </c>
      <c r="U24" s="53">
        <f t="shared" si="9"/>
        <v>0</v>
      </c>
    </row>
    <row r="25" spans="1:24" x14ac:dyDescent="0.2">
      <c r="A25" s="33">
        <f t="shared" si="13"/>
        <v>2012</v>
      </c>
      <c r="B25" s="30"/>
      <c r="C25" s="64">
        <f t="shared" si="0"/>
        <v>0</v>
      </c>
      <c r="D25" s="71">
        <f t="shared" si="14"/>
        <v>0</v>
      </c>
      <c r="E25" s="71">
        <f t="shared" si="14"/>
        <v>0</v>
      </c>
      <c r="F25" s="71">
        <f t="shared" si="14"/>
        <v>0</v>
      </c>
      <c r="G25" s="207">
        <f t="shared" si="15"/>
        <v>0</v>
      </c>
      <c r="H25" s="207">
        <f t="shared" si="15"/>
        <v>0</v>
      </c>
      <c r="I25" s="207">
        <f t="shared" si="16"/>
        <v>0</v>
      </c>
      <c r="J25" s="61">
        <f t="shared" si="10"/>
        <v>0</v>
      </c>
      <c r="K25" s="59">
        <f t="shared" si="1"/>
        <v>0</v>
      </c>
      <c r="L25" s="59">
        <f t="shared" si="2"/>
        <v>0</v>
      </c>
      <c r="M25" s="60">
        <f t="shared" si="3"/>
        <v>0</v>
      </c>
      <c r="N25" s="54">
        <f t="shared" si="11"/>
        <v>0</v>
      </c>
      <c r="O25" s="55">
        <f t="shared" si="4"/>
        <v>0</v>
      </c>
      <c r="P25" s="55">
        <f t="shared" si="5"/>
        <v>0</v>
      </c>
      <c r="Q25" s="56">
        <f t="shared" si="6"/>
        <v>0</v>
      </c>
      <c r="R25" s="247">
        <f t="shared" si="12"/>
        <v>0</v>
      </c>
      <c r="S25" s="24">
        <f t="shared" si="7"/>
        <v>0</v>
      </c>
      <c r="T25" s="25">
        <f t="shared" si="8"/>
        <v>0</v>
      </c>
      <c r="U25" s="53">
        <f t="shared" si="9"/>
        <v>0</v>
      </c>
    </row>
    <row r="26" spans="1:24" ht="13.5" thickBot="1" x14ac:dyDescent="0.25">
      <c r="A26" s="34">
        <f t="shared" si="13"/>
        <v>2013</v>
      </c>
      <c r="B26" s="400">
        <v>0</v>
      </c>
      <c r="C26" s="148">
        <f t="shared" si="0"/>
        <v>0</v>
      </c>
      <c r="D26" s="66">
        <v>0</v>
      </c>
      <c r="E26" s="66">
        <v>0</v>
      </c>
      <c r="F26" s="66">
        <v>0</v>
      </c>
      <c r="G26" s="405">
        <f t="shared" si="15"/>
        <v>0</v>
      </c>
      <c r="H26" s="405">
        <f t="shared" si="15"/>
        <v>0</v>
      </c>
      <c r="I26" s="405">
        <f t="shared" si="16"/>
        <v>0</v>
      </c>
      <c r="J26" s="149">
        <f t="shared" si="10"/>
        <v>0</v>
      </c>
      <c r="K26" s="150">
        <f t="shared" si="1"/>
        <v>0</v>
      </c>
      <c r="L26" s="150">
        <f t="shared" si="2"/>
        <v>0</v>
      </c>
      <c r="M26" s="151">
        <f t="shared" si="3"/>
        <v>0</v>
      </c>
      <c r="N26" s="152">
        <f t="shared" si="11"/>
        <v>0</v>
      </c>
      <c r="O26" s="153">
        <f t="shared" si="4"/>
        <v>0</v>
      </c>
      <c r="P26" s="153">
        <f t="shared" si="5"/>
        <v>0</v>
      </c>
      <c r="Q26" s="402">
        <f t="shared" si="6"/>
        <v>0</v>
      </c>
      <c r="R26" s="401">
        <f t="shared" si="12"/>
        <v>0</v>
      </c>
      <c r="S26" s="156">
        <f t="shared" si="7"/>
        <v>0</v>
      </c>
      <c r="T26" s="157">
        <f t="shared" si="8"/>
        <v>0</v>
      </c>
      <c r="U26" s="158">
        <f t="shared" si="9"/>
        <v>0</v>
      </c>
    </row>
    <row r="27" spans="1:24" x14ac:dyDescent="0.2">
      <c r="A27" s="33">
        <f t="shared" si="13"/>
        <v>2014</v>
      </c>
      <c r="B27" s="252"/>
      <c r="C27" s="64">
        <f t="shared" si="0"/>
        <v>0</v>
      </c>
      <c r="D27" s="368">
        <f t="shared" si="14"/>
        <v>0</v>
      </c>
      <c r="E27" s="368">
        <f t="shared" si="14"/>
        <v>0</v>
      </c>
      <c r="F27" s="368">
        <f t="shared" si="14"/>
        <v>0</v>
      </c>
      <c r="G27" s="72">
        <f t="shared" si="15"/>
        <v>0</v>
      </c>
      <c r="H27" s="72">
        <f t="shared" si="15"/>
        <v>0</v>
      </c>
      <c r="I27" s="72">
        <f t="shared" si="16"/>
        <v>0</v>
      </c>
      <c r="J27" s="61">
        <f t="shared" si="10"/>
        <v>0</v>
      </c>
      <c r="K27" s="59">
        <f t="shared" si="1"/>
        <v>0</v>
      </c>
      <c r="L27" s="59">
        <f t="shared" si="2"/>
        <v>0</v>
      </c>
      <c r="M27" s="60">
        <f t="shared" si="3"/>
        <v>0</v>
      </c>
      <c r="N27" s="54">
        <f t="shared" si="11"/>
        <v>0</v>
      </c>
      <c r="O27" s="55">
        <f t="shared" si="4"/>
        <v>0</v>
      </c>
      <c r="P27" s="55">
        <f t="shared" si="5"/>
        <v>0</v>
      </c>
      <c r="Q27" s="56">
        <f t="shared" si="6"/>
        <v>0</v>
      </c>
      <c r="R27" s="247">
        <f t="shared" si="12"/>
        <v>0</v>
      </c>
      <c r="S27" s="24">
        <f t="shared" si="7"/>
        <v>0</v>
      </c>
      <c r="T27" s="25">
        <f t="shared" si="8"/>
        <v>0</v>
      </c>
      <c r="U27" s="53">
        <f t="shared" si="9"/>
        <v>0</v>
      </c>
    </row>
    <row r="28" spans="1:24" x14ac:dyDescent="0.2">
      <c r="A28" s="33">
        <f t="shared" si="13"/>
        <v>2015</v>
      </c>
      <c r="B28" s="252"/>
      <c r="C28" s="64">
        <f t="shared" si="0"/>
        <v>0</v>
      </c>
      <c r="D28" s="368">
        <f t="shared" si="14"/>
        <v>0</v>
      </c>
      <c r="E28" s="368">
        <f t="shared" si="14"/>
        <v>0</v>
      </c>
      <c r="F28" s="368">
        <f t="shared" si="14"/>
        <v>0</v>
      </c>
      <c r="G28" s="72">
        <f t="shared" si="15"/>
        <v>0</v>
      </c>
      <c r="H28" s="72">
        <f t="shared" si="15"/>
        <v>0</v>
      </c>
      <c r="I28" s="72">
        <f t="shared" si="16"/>
        <v>0</v>
      </c>
      <c r="J28" s="61">
        <f t="shared" si="10"/>
        <v>0</v>
      </c>
      <c r="K28" s="59">
        <f t="shared" si="1"/>
        <v>0</v>
      </c>
      <c r="L28" s="59">
        <f t="shared" si="2"/>
        <v>0</v>
      </c>
      <c r="M28" s="60">
        <f t="shared" si="3"/>
        <v>0</v>
      </c>
      <c r="N28" s="54">
        <f t="shared" si="11"/>
        <v>0</v>
      </c>
      <c r="O28" s="55">
        <f t="shared" si="4"/>
        <v>0</v>
      </c>
      <c r="P28" s="55">
        <f t="shared" si="5"/>
        <v>0</v>
      </c>
      <c r="Q28" s="56">
        <f t="shared" si="6"/>
        <v>0</v>
      </c>
      <c r="R28" s="247">
        <f t="shared" si="12"/>
        <v>0</v>
      </c>
      <c r="S28" s="24">
        <f t="shared" si="7"/>
        <v>0</v>
      </c>
      <c r="T28" s="25">
        <f t="shared" si="8"/>
        <v>0</v>
      </c>
      <c r="U28" s="53">
        <f t="shared" si="9"/>
        <v>0</v>
      </c>
    </row>
    <row r="29" spans="1:24" x14ac:dyDescent="0.2">
      <c r="A29" s="33">
        <f t="shared" si="13"/>
        <v>2016</v>
      </c>
      <c r="B29" s="252"/>
      <c r="C29" s="64">
        <f t="shared" si="0"/>
        <v>0</v>
      </c>
      <c r="D29" s="368">
        <f t="shared" si="14"/>
        <v>0</v>
      </c>
      <c r="E29" s="368">
        <f t="shared" si="14"/>
        <v>0</v>
      </c>
      <c r="F29" s="368">
        <f t="shared" si="14"/>
        <v>0</v>
      </c>
      <c r="G29" s="72">
        <f t="shared" si="15"/>
        <v>0</v>
      </c>
      <c r="H29" s="72">
        <f t="shared" si="15"/>
        <v>0</v>
      </c>
      <c r="I29" s="72">
        <f t="shared" si="16"/>
        <v>0</v>
      </c>
      <c r="J29" s="61">
        <f t="shared" si="10"/>
        <v>0</v>
      </c>
      <c r="K29" s="59">
        <f t="shared" si="1"/>
        <v>0</v>
      </c>
      <c r="L29" s="59">
        <f t="shared" si="2"/>
        <v>0</v>
      </c>
      <c r="M29" s="60">
        <f t="shared" si="3"/>
        <v>0</v>
      </c>
      <c r="N29" s="54">
        <f t="shared" si="11"/>
        <v>0</v>
      </c>
      <c r="O29" s="55">
        <f t="shared" si="4"/>
        <v>0</v>
      </c>
      <c r="P29" s="55">
        <f t="shared" si="5"/>
        <v>0</v>
      </c>
      <c r="Q29" s="56">
        <f t="shared" si="6"/>
        <v>0</v>
      </c>
      <c r="R29" s="247">
        <f t="shared" si="12"/>
        <v>0</v>
      </c>
      <c r="S29" s="24">
        <f t="shared" si="7"/>
        <v>0</v>
      </c>
      <c r="T29" s="25">
        <f t="shared" si="8"/>
        <v>0</v>
      </c>
      <c r="U29" s="53">
        <f t="shared" si="9"/>
        <v>0</v>
      </c>
    </row>
    <row r="30" spans="1:24" x14ac:dyDescent="0.2">
      <c r="A30" s="33">
        <f t="shared" si="13"/>
        <v>2017</v>
      </c>
      <c r="B30" s="252"/>
      <c r="C30" s="64">
        <f t="shared" si="0"/>
        <v>0</v>
      </c>
      <c r="D30" s="368">
        <f t="shared" si="14"/>
        <v>0</v>
      </c>
      <c r="E30" s="368">
        <f t="shared" si="14"/>
        <v>0</v>
      </c>
      <c r="F30" s="368">
        <f t="shared" si="14"/>
        <v>0</v>
      </c>
      <c r="G30" s="72">
        <f t="shared" si="15"/>
        <v>0</v>
      </c>
      <c r="H30" s="72">
        <f t="shared" si="15"/>
        <v>0</v>
      </c>
      <c r="I30" s="72">
        <f t="shared" si="16"/>
        <v>0</v>
      </c>
      <c r="J30" s="61">
        <f t="shared" si="10"/>
        <v>0</v>
      </c>
      <c r="K30" s="59">
        <f t="shared" si="1"/>
        <v>0</v>
      </c>
      <c r="L30" s="59">
        <f t="shared" si="2"/>
        <v>0</v>
      </c>
      <c r="M30" s="60">
        <f t="shared" si="3"/>
        <v>0</v>
      </c>
      <c r="N30" s="54">
        <f t="shared" si="11"/>
        <v>0</v>
      </c>
      <c r="O30" s="55">
        <f t="shared" si="4"/>
        <v>0</v>
      </c>
      <c r="P30" s="55">
        <f t="shared" si="5"/>
        <v>0</v>
      </c>
      <c r="Q30" s="56">
        <f t="shared" si="6"/>
        <v>0</v>
      </c>
      <c r="R30" s="247">
        <f t="shared" si="12"/>
        <v>0</v>
      </c>
      <c r="S30" s="24">
        <f t="shared" si="7"/>
        <v>0</v>
      </c>
      <c r="T30" s="25">
        <f t="shared" si="8"/>
        <v>0</v>
      </c>
      <c r="U30" s="53">
        <f t="shared" si="9"/>
        <v>0</v>
      </c>
    </row>
    <row r="31" spans="1:24" x14ac:dyDescent="0.2">
      <c r="A31" s="33">
        <f t="shared" si="13"/>
        <v>2018</v>
      </c>
      <c r="B31" s="252"/>
      <c r="C31" s="64">
        <f t="shared" si="0"/>
        <v>0</v>
      </c>
      <c r="D31" s="368">
        <f t="shared" si="14"/>
        <v>0</v>
      </c>
      <c r="E31" s="368">
        <f t="shared" si="14"/>
        <v>0</v>
      </c>
      <c r="F31" s="368">
        <f t="shared" si="14"/>
        <v>0</v>
      </c>
      <c r="G31" s="72">
        <f t="shared" si="15"/>
        <v>0</v>
      </c>
      <c r="H31" s="72">
        <f t="shared" si="15"/>
        <v>0</v>
      </c>
      <c r="I31" s="72">
        <f t="shared" si="16"/>
        <v>0</v>
      </c>
      <c r="J31" s="61">
        <f t="shared" si="10"/>
        <v>0</v>
      </c>
      <c r="K31" s="59">
        <f t="shared" si="1"/>
        <v>0</v>
      </c>
      <c r="L31" s="59">
        <f t="shared" si="2"/>
        <v>0</v>
      </c>
      <c r="M31" s="60">
        <f t="shared" si="3"/>
        <v>0</v>
      </c>
      <c r="N31" s="54">
        <f t="shared" si="11"/>
        <v>0</v>
      </c>
      <c r="O31" s="55">
        <f t="shared" si="4"/>
        <v>0</v>
      </c>
      <c r="P31" s="55">
        <f t="shared" si="5"/>
        <v>0</v>
      </c>
      <c r="Q31" s="56">
        <f t="shared" si="6"/>
        <v>0</v>
      </c>
      <c r="R31" s="247">
        <f t="shared" si="12"/>
        <v>0</v>
      </c>
      <c r="S31" s="24">
        <f t="shared" si="7"/>
        <v>0</v>
      </c>
      <c r="T31" s="25">
        <f t="shared" si="8"/>
        <v>0</v>
      </c>
      <c r="U31" s="53">
        <f t="shared" si="9"/>
        <v>0</v>
      </c>
    </row>
    <row r="32" spans="1:24" x14ac:dyDescent="0.2">
      <c r="A32" s="33">
        <f t="shared" si="13"/>
        <v>2019</v>
      </c>
      <c r="B32" s="252"/>
      <c r="C32" s="64">
        <f t="shared" si="0"/>
        <v>0</v>
      </c>
      <c r="D32" s="368">
        <f t="shared" si="14"/>
        <v>0</v>
      </c>
      <c r="E32" s="368">
        <f t="shared" si="14"/>
        <v>0</v>
      </c>
      <c r="F32" s="368">
        <f t="shared" si="14"/>
        <v>0</v>
      </c>
      <c r="G32" s="72">
        <f t="shared" si="15"/>
        <v>0</v>
      </c>
      <c r="H32" s="72">
        <f t="shared" si="15"/>
        <v>0</v>
      </c>
      <c r="I32" s="72">
        <f t="shared" si="16"/>
        <v>0</v>
      </c>
      <c r="J32" s="61">
        <f t="shared" si="10"/>
        <v>0</v>
      </c>
      <c r="K32" s="59">
        <f t="shared" si="1"/>
        <v>0</v>
      </c>
      <c r="L32" s="59">
        <f t="shared" si="2"/>
        <v>0</v>
      </c>
      <c r="M32" s="60">
        <f t="shared" si="3"/>
        <v>0</v>
      </c>
      <c r="N32" s="54">
        <f t="shared" si="11"/>
        <v>0</v>
      </c>
      <c r="O32" s="55">
        <f t="shared" si="4"/>
        <v>0</v>
      </c>
      <c r="P32" s="55">
        <f t="shared" si="5"/>
        <v>0</v>
      </c>
      <c r="Q32" s="56">
        <f t="shared" si="6"/>
        <v>0</v>
      </c>
      <c r="R32" s="247">
        <f t="shared" si="12"/>
        <v>0</v>
      </c>
      <c r="S32" s="24">
        <f t="shared" si="7"/>
        <v>0</v>
      </c>
      <c r="T32" s="25">
        <f t="shared" si="8"/>
        <v>0</v>
      </c>
      <c r="U32" s="53">
        <f t="shared" si="9"/>
        <v>0</v>
      </c>
    </row>
    <row r="33" spans="1:21" x14ac:dyDescent="0.2">
      <c r="A33" s="33">
        <f t="shared" si="13"/>
        <v>2020</v>
      </c>
      <c r="B33" s="252"/>
      <c r="C33" s="64">
        <f t="shared" si="0"/>
        <v>0</v>
      </c>
      <c r="D33" s="368">
        <f t="shared" si="14"/>
        <v>0</v>
      </c>
      <c r="E33" s="368">
        <f t="shared" si="14"/>
        <v>0</v>
      </c>
      <c r="F33" s="368">
        <f t="shared" si="14"/>
        <v>0</v>
      </c>
      <c r="G33" s="72">
        <f t="shared" si="15"/>
        <v>0</v>
      </c>
      <c r="H33" s="72">
        <f t="shared" si="15"/>
        <v>0</v>
      </c>
      <c r="I33" s="72">
        <f t="shared" si="16"/>
        <v>0</v>
      </c>
      <c r="J33" s="61">
        <f t="shared" si="10"/>
        <v>0</v>
      </c>
      <c r="K33" s="59">
        <f t="shared" si="1"/>
        <v>0</v>
      </c>
      <c r="L33" s="59">
        <f t="shared" si="2"/>
        <v>0</v>
      </c>
      <c r="M33" s="60">
        <f t="shared" si="3"/>
        <v>0</v>
      </c>
      <c r="N33" s="54">
        <f t="shared" si="11"/>
        <v>0</v>
      </c>
      <c r="O33" s="55">
        <f t="shared" si="4"/>
        <v>0</v>
      </c>
      <c r="P33" s="55">
        <f t="shared" si="5"/>
        <v>0</v>
      </c>
      <c r="Q33" s="56">
        <f t="shared" si="6"/>
        <v>0</v>
      </c>
      <c r="R33" s="247">
        <f t="shared" si="12"/>
        <v>0</v>
      </c>
      <c r="S33" s="24">
        <f t="shared" si="7"/>
        <v>0</v>
      </c>
      <c r="T33" s="25">
        <f t="shared" si="8"/>
        <v>0</v>
      </c>
      <c r="U33" s="53">
        <f t="shared" si="9"/>
        <v>0</v>
      </c>
    </row>
    <row r="34" spans="1:21" x14ac:dyDescent="0.2">
      <c r="A34" s="33">
        <f t="shared" si="13"/>
        <v>2021</v>
      </c>
      <c r="B34" s="252"/>
      <c r="C34" s="64">
        <f t="shared" si="0"/>
        <v>0</v>
      </c>
      <c r="D34" s="368">
        <f t="shared" si="14"/>
        <v>0</v>
      </c>
      <c r="E34" s="368">
        <f t="shared" si="14"/>
        <v>0</v>
      </c>
      <c r="F34" s="368">
        <f t="shared" si="14"/>
        <v>0</v>
      </c>
      <c r="G34" s="72">
        <f t="shared" si="15"/>
        <v>0</v>
      </c>
      <c r="H34" s="72">
        <f t="shared" si="15"/>
        <v>0</v>
      </c>
      <c r="I34" s="72">
        <f t="shared" si="16"/>
        <v>0</v>
      </c>
      <c r="J34" s="61">
        <f t="shared" si="10"/>
        <v>0</v>
      </c>
      <c r="K34" s="59">
        <f t="shared" si="1"/>
        <v>0</v>
      </c>
      <c r="L34" s="59">
        <f t="shared" si="2"/>
        <v>0</v>
      </c>
      <c r="M34" s="60">
        <f t="shared" si="3"/>
        <v>0</v>
      </c>
      <c r="N34" s="54">
        <f t="shared" si="11"/>
        <v>0</v>
      </c>
      <c r="O34" s="55">
        <f t="shared" si="4"/>
        <v>0</v>
      </c>
      <c r="P34" s="55">
        <f t="shared" si="5"/>
        <v>0</v>
      </c>
      <c r="Q34" s="56">
        <f t="shared" si="6"/>
        <v>0</v>
      </c>
      <c r="R34" s="247">
        <f t="shared" si="12"/>
        <v>0</v>
      </c>
      <c r="S34" s="24">
        <f t="shared" si="7"/>
        <v>0</v>
      </c>
      <c r="T34" s="25">
        <f t="shared" si="8"/>
        <v>0</v>
      </c>
      <c r="U34" s="53">
        <f t="shared" si="9"/>
        <v>0</v>
      </c>
    </row>
    <row r="35" spans="1:21" x14ac:dyDescent="0.2">
      <c r="A35" s="33">
        <f t="shared" si="13"/>
        <v>2022</v>
      </c>
      <c r="B35" s="252"/>
      <c r="C35" s="64">
        <f t="shared" si="0"/>
        <v>0</v>
      </c>
      <c r="D35" s="368">
        <f t="shared" si="14"/>
        <v>0</v>
      </c>
      <c r="E35" s="368">
        <f t="shared" si="14"/>
        <v>0</v>
      </c>
      <c r="F35" s="368">
        <f t="shared" si="14"/>
        <v>0</v>
      </c>
      <c r="G35" s="72">
        <f t="shared" si="15"/>
        <v>0</v>
      </c>
      <c r="H35" s="72">
        <f t="shared" si="15"/>
        <v>0</v>
      </c>
      <c r="I35" s="72">
        <f t="shared" si="16"/>
        <v>0</v>
      </c>
      <c r="J35" s="61">
        <f t="shared" si="10"/>
        <v>0</v>
      </c>
      <c r="K35" s="59">
        <f t="shared" si="1"/>
        <v>0</v>
      </c>
      <c r="L35" s="59">
        <f t="shared" si="2"/>
        <v>0</v>
      </c>
      <c r="M35" s="60">
        <f t="shared" si="3"/>
        <v>0</v>
      </c>
      <c r="N35" s="54">
        <f t="shared" si="11"/>
        <v>0</v>
      </c>
      <c r="O35" s="55">
        <f t="shared" si="4"/>
        <v>0</v>
      </c>
      <c r="P35" s="55">
        <f t="shared" si="5"/>
        <v>0</v>
      </c>
      <c r="Q35" s="56">
        <f t="shared" si="6"/>
        <v>0</v>
      </c>
      <c r="R35" s="247">
        <f t="shared" si="12"/>
        <v>0</v>
      </c>
      <c r="S35" s="24">
        <f t="shared" si="7"/>
        <v>0</v>
      </c>
      <c r="T35" s="25">
        <f t="shared" si="8"/>
        <v>0</v>
      </c>
      <c r="U35" s="53">
        <f t="shared" si="9"/>
        <v>0</v>
      </c>
    </row>
    <row r="36" spans="1:21" x14ac:dyDescent="0.2">
      <c r="A36" s="33">
        <f t="shared" si="13"/>
        <v>2023</v>
      </c>
      <c r="B36" s="252"/>
      <c r="C36" s="64">
        <f t="shared" si="0"/>
        <v>0</v>
      </c>
      <c r="D36" s="368">
        <f t="shared" si="14"/>
        <v>0</v>
      </c>
      <c r="E36" s="368">
        <f t="shared" si="14"/>
        <v>0</v>
      </c>
      <c r="F36" s="368">
        <f t="shared" si="14"/>
        <v>0</v>
      </c>
      <c r="G36" s="72">
        <f t="shared" si="15"/>
        <v>0</v>
      </c>
      <c r="H36" s="72">
        <f t="shared" si="15"/>
        <v>0</v>
      </c>
      <c r="I36" s="72">
        <f t="shared" si="16"/>
        <v>0</v>
      </c>
      <c r="J36" s="61">
        <f t="shared" si="10"/>
        <v>0</v>
      </c>
      <c r="K36" s="59">
        <f t="shared" si="1"/>
        <v>0</v>
      </c>
      <c r="L36" s="59">
        <f t="shared" si="2"/>
        <v>0</v>
      </c>
      <c r="M36" s="60">
        <f t="shared" si="3"/>
        <v>0</v>
      </c>
      <c r="N36" s="54">
        <f t="shared" si="11"/>
        <v>0</v>
      </c>
      <c r="O36" s="55">
        <f t="shared" si="4"/>
        <v>0</v>
      </c>
      <c r="P36" s="55">
        <f t="shared" si="5"/>
        <v>0</v>
      </c>
      <c r="Q36" s="56">
        <f t="shared" si="6"/>
        <v>0</v>
      </c>
      <c r="R36" s="247">
        <f t="shared" si="12"/>
        <v>0</v>
      </c>
      <c r="S36" s="24">
        <f t="shared" si="7"/>
        <v>0</v>
      </c>
      <c r="T36" s="25">
        <f t="shared" si="8"/>
        <v>0</v>
      </c>
      <c r="U36" s="53">
        <f t="shared" si="9"/>
        <v>0</v>
      </c>
    </row>
    <row r="37" spans="1:21" x14ac:dyDescent="0.2">
      <c r="A37" s="11">
        <f t="shared" si="13"/>
        <v>2024</v>
      </c>
      <c r="B37" s="263"/>
      <c r="C37" s="64">
        <f t="shared" si="0"/>
        <v>0</v>
      </c>
      <c r="D37" s="368">
        <f t="shared" si="14"/>
        <v>0</v>
      </c>
      <c r="E37" s="368">
        <f t="shared" si="14"/>
        <v>0</v>
      </c>
      <c r="F37" s="368">
        <f t="shared" si="14"/>
        <v>0</v>
      </c>
      <c r="G37" s="72">
        <f t="shared" si="15"/>
        <v>0</v>
      </c>
      <c r="H37" s="72">
        <f t="shared" si="15"/>
        <v>0</v>
      </c>
      <c r="I37" s="72">
        <f t="shared" si="16"/>
        <v>0</v>
      </c>
      <c r="J37" s="61">
        <f t="shared" si="10"/>
        <v>0</v>
      </c>
      <c r="K37" s="59">
        <f t="shared" si="1"/>
        <v>0</v>
      </c>
      <c r="L37" s="59">
        <f t="shared" si="2"/>
        <v>0</v>
      </c>
      <c r="M37" s="60">
        <f t="shared" si="3"/>
        <v>0</v>
      </c>
      <c r="N37" s="54">
        <f t="shared" si="11"/>
        <v>0</v>
      </c>
      <c r="O37" s="55">
        <f t="shared" si="4"/>
        <v>0</v>
      </c>
      <c r="P37" s="55">
        <f t="shared" si="5"/>
        <v>0</v>
      </c>
      <c r="Q37" s="56">
        <f t="shared" si="6"/>
        <v>0</v>
      </c>
      <c r="R37" s="247">
        <f t="shared" si="12"/>
        <v>0</v>
      </c>
      <c r="S37" s="24">
        <f t="shared" si="7"/>
        <v>0</v>
      </c>
      <c r="T37" s="25">
        <f t="shared" si="8"/>
        <v>0</v>
      </c>
      <c r="U37" s="53">
        <f t="shared" si="9"/>
        <v>0</v>
      </c>
    </row>
    <row r="38" spans="1:21" x14ac:dyDescent="0.2">
      <c r="A38" s="11">
        <f t="shared" si="13"/>
        <v>2025</v>
      </c>
      <c r="B38" s="263"/>
      <c r="C38" s="64">
        <f t="shared" si="0"/>
        <v>0</v>
      </c>
      <c r="D38" s="368">
        <f t="shared" si="14"/>
        <v>0</v>
      </c>
      <c r="E38" s="368">
        <f t="shared" si="14"/>
        <v>0</v>
      </c>
      <c r="F38" s="368">
        <f t="shared" si="14"/>
        <v>0</v>
      </c>
      <c r="G38" s="72">
        <f t="shared" si="15"/>
        <v>0</v>
      </c>
      <c r="H38" s="72">
        <f t="shared" si="15"/>
        <v>0</v>
      </c>
      <c r="I38" s="72">
        <f t="shared" si="16"/>
        <v>0</v>
      </c>
      <c r="J38" s="61">
        <f t="shared" si="10"/>
        <v>0</v>
      </c>
      <c r="K38" s="59">
        <f t="shared" si="1"/>
        <v>0</v>
      </c>
      <c r="L38" s="59">
        <f t="shared" si="2"/>
        <v>0</v>
      </c>
      <c r="M38" s="60">
        <f t="shared" si="3"/>
        <v>0</v>
      </c>
      <c r="N38" s="54">
        <f t="shared" si="11"/>
        <v>0</v>
      </c>
      <c r="O38" s="55">
        <f t="shared" si="4"/>
        <v>0</v>
      </c>
      <c r="P38" s="55">
        <f t="shared" si="5"/>
        <v>0</v>
      </c>
      <c r="Q38" s="56">
        <f t="shared" si="6"/>
        <v>0</v>
      </c>
      <c r="R38" s="247">
        <f t="shared" si="12"/>
        <v>0</v>
      </c>
      <c r="S38" s="24">
        <f t="shared" si="7"/>
        <v>0</v>
      </c>
      <c r="T38" s="25">
        <f t="shared" si="8"/>
        <v>0</v>
      </c>
      <c r="U38" s="53">
        <f t="shared" si="9"/>
        <v>0</v>
      </c>
    </row>
    <row r="39" spans="1:21" x14ac:dyDescent="0.2">
      <c r="A39" s="11">
        <f t="shared" si="13"/>
        <v>2026</v>
      </c>
      <c r="B39" s="263"/>
      <c r="C39" s="64">
        <f t="shared" si="0"/>
        <v>0</v>
      </c>
      <c r="D39" s="368">
        <f t="shared" ref="D39:F42" si="17">+D38</f>
        <v>0</v>
      </c>
      <c r="E39" s="368">
        <f t="shared" si="17"/>
        <v>0</v>
      </c>
      <c r="F39" s="368">
        <f t="shared" si="17"/>
        <v>0</v>
      </c>
      <c r="G39" s="72">
        <f t="shared" si="15"/>
        <v>0</v>
      </c>
      <c r="H39" s="72">
        <f t="shared" si="15"/>
        <v>0</v>
      </c>
      <c r="I39" s="72">
        <f t="shared" si="16"/>
        <v>0</v>
      </c>
      <c r="J39" s="61">
        <f t="shared" si="10"/>
        <v>0</v>
      </c>
      <c r="K39" s="59">
        <f t="shared" si="1"/>
        <v>0</v>
      </c>
      <c r="L39" s="59">
        <f t="shared" si="2"/>
        <v>0</v>
      </c>
      <c r="M39" s="60">
        <f t="shared" si="3"/>
        <v>0</v>
      </c>
      <c r="N39" s="54">
        <f t="shared" si="11"/>
        <v>0</v>
      </c>
      <c r="O39" s="55">
        <f t="shared" si="4"/>
        <v>0</v>
      </c>
      <c r="P39" s="55">
        <f t="shared" si="5"/>
        <v>0</v>
      </c>
      <c r="Q39" s="56">
        <f t="shared" si="6"/>
        <v>0</v>
      </c>
      <c r="R39" s="247">
        <f>+(B39+B38)/2</f>
        <v>0</v>
      </c>
      <c r="S39" s="24">
        <f>+F39</f>
        <v>0</v>
      </c>
      <c r="T39" s="25">
        <f>+R39*S39/1000000</f>
        <v>0</v>
      </c>
      <c r="U39" s="53">
        <f t="shared" si="9"/>
        <v>0</v>
      </c>
    </row>
    <row r="40" spans="1:21" x14ac:dyDescent="0.2">
      <c r="A40" s="11">
        <f>+A39+1</f>
        <v>2027</v>
      </c>
      <c r="B40" s="263"/>
      <c r="C40" s="64">
        <f>+C39+B40</f>
        <v>0</v>
      </c>
      <c r="D40" s="368">
        <f t="shared" si="17"/>
        <v>0</v>
      </c>
      <c r="E40" s="368">
        <f t="shared" si="17"/>
        <v>0</v>
      </c>
      <c r="F40" s="368">
        <f t="shared" si="17"/>
        <v>0</v>
      </c>
      <c r="G40" s="72">
        <f t="shared" ref="G40:H42" si="18">+$B40*D40/1000</f>
        <v>0</v>
      </c>
      <c r="H40" s="72">
        <f t="shared" si="18"/>
        <v>0</v>
      </c>
      <c r="I40" s="72">
        <f>+$B40*F40/1000000</f>
        <v>0</v>
      </c>
      <c r="J40" s="61">
        <f>+(B40+B39)/2</f>
        <v>0</v>
      </c>
      <c r="K40" s="59">
        <f>+D40</f>
        <v>0</v>
      </c>
      <c r="L40" s="59">
        <f>+J40*K40/1000</f>
        <v>0</v>
      </c>
      <c r="M40" s="60">
        <f>+M39+L40</f>
        <v>0</v>
      </c>
      <c r="N40" s="54">
        <f>+B39</f>
        <v>0</v>
      </c>
      <c r="O40" s="55">
        <f>+E40</f>
        <v>0</v>
      </c>
      <c r="P40" s="55">
        <f>+N40*O40/1000</f>
        <v>0</v>
      </c>
      <c r="Q40" s="56">
        <f>+Q39+P40</f>
        <v>0</v>
      </c>
      <c r="R40" s="247">
        <f>+(B40+B39)/2</f>
        <v>0</v>
      </c>
      <c r="S40" s="24">
        <f>+F40</f>
        <v>0</v>
      </c>
      <c r="T40" s="25">
        <f>+R40*S40/1000000</f>
        <v>0</v>
      </c>
      <c r="U40" s="53">
        <f>+U39+T40</f>
        <v>0</v>
      </c>
    </row>
    <row r="41" spans="1:21" x14ac:dyDescent="0.2">
      <c r="A41" s="11">
        <f t="shared" si="13"/>
        <v>2028</v>
      </c>
      <c r="B41" s="263"/>
      <c r="C41" s="64">
        <f>+C40+B41</f>
        <v>0</v>
      </c>
      <c r="D41" s="368">
        <f>+D40</f>
        <v>0</v>
      </c>
      <c r="E41" s="368">
        <f>+E40</f>
        <v>0</v>
      </c>
      <c r="F41" s="368">
        <f>+F40</f>
        <v>0</v>
      </c>
      <c r="G41" s="72">
        <f t="shared" si="18"/>
        <v>0</v>
      </c>
      <c r="H41" s="72">
        <f t="shared" si="18"/>
        <v>0</v>
      </c>
      <c r="I41" s="72">
        <f>+$B41*F41/1000000</f>
        <v>0</v>
      </c>
      <c r="J41" s="61">
        <f>+(B41+B40)/2</f>
        <v>0</v>
      </c>
      <c r="K41" s="59">
        <f>+D41</f>
        <v>0</v>
      </c>
      <c r="L41" s="59">
        <f>+J41*K41/1000</f>
        <v>0</v>
      </c>
      <c r="M41" s="60">
        <f>+M40+L41</f>
        <v>0</v>
      </c>
      <c r="N41" s="54">
        <f>+B40</f>
        <v>0</v>
      </c>
      <c r="O41" s="55">
        <f>+E41</f>
        <v>0</v>
      </c>
      <c r="P41" s="55">
        <f>+N41*O41/1000</f>
        <v>0</v>
      </c>
      <c r="Q41" s="56">
        <f>+Q40+P41</f>
        <v>0</v>
      </c>
      <c r="R41" s="247">
        <f>+(B41+B40)/2</f>
        <v>0</v>
      </c>
      <c r="S41" s="24">
        <f>+F41</f>
        <v>0</v>
      </c>
      <c r="T41" s="25">
        <f>+R41*S41/1000000</f>
        <v>0</v>
      </c>
      <c r="U41" s="53">
        <f>+U40+T41</f>
        <v>0</v>
      </c>
    </row>
    <row r="42" spans="1:21" x14ac:dyDescent="0.2">
      <c r="A42" s="11">
        <f t="shared" si="13"/>
        <v>2029</v>
      </c>
      <c r="B42" s="263"/>
      <c r="C42" s="64">
        <f>+C41+B42</f>
        <v>0</v>
      </c>
      <c r="D42" s="368">
        <f t="shared" si="17"/>
        <v>0</v>
      </c>
      <c r="E42" s="368">
        <f t="shared" si="17"/>
        <v>0</v>
      </c>
      <c r="F42" s="368">
        <f t="shared" si="17"/>
        <v>0</v>
      </c>
      <c r="G42" s="72">
        <f t="shared" si="18"/>
        <v>0</v>
      </c>
      <c r="H42" s="72">
        <f t="shared" si="18"/>
        <v>0</v>
      </c>
      <c r="I42" s="72">
        <f>+$B42*F42/1000000</f>
        <v>0</v>
      </c>
      <c r="J42" s="61">
        <f>+(B42+B41)/2</f>
        <v>0</v>
      </c>
      <c r="K42" s="59">
        <f>+D42</f>
        <v>0</v>
      </c>
      <c r="L42" s="59">
        <f>+J42*K42/1000</f>
        <v>0</v>
      </c>
      <c r="M42" s="60">
        <f>+M41+L42</f>
        <v>0</v>
      </c>
      <c r="N42" s="54">
        <f>+B41</f>
        <v>0</v>
      </c>
      <c r="O42" s="55">
        <f>+E42</f>
        <v>0</v>
      </c>
      <c r="P42" s="55">
        <f>+N42*O42/1000</f>
        <v>0</v>
      </c>
      <c r="Q42" s="56">
        <f>+Q41+P42</f>
        <v>0</v>
      </c>
      <c r="R42" s="247">
        <f>+(B42+B41)/2</f>
        <v>0</v>
      </c>
      <c r="S42" s="24">
        <f>+F42</f>
        <v>0</v>
      </c>
      <c r="T42" s="25">
        <f>+R42*S42/1000000</f>
        <v>0</v>
      </c>
      <c r="U42" s="53">
        <f>+U41+T42</f>
        <v>0</v>
      </c>
    </row>
    <row r="43" spans="1:21" x14ac:dyDescent="0.2">
      <c r="A43" s="11">
        <f t="shared" si="13"/>
        <v>2030</v>
      </c>
      <c r="B43" s="263"/>
      <c r="C43" s="64">
        <f t="shared" ref="C43:C53" si="19">+C42+B43</f>
        <v>0</v>
      </c>
      <c r="D43" s="368">
        <f t="shared" ref="D43:F43" si="20">+D42</f>
        <v>0</v>
      </c>
      <c r="E43" s="368">
        <f t="shared" si="20"/>
        <v>0</v>
      </c>
      <c r="F43" s="368">
        <f t="shared" si="20"/>
        <v>0</v>
      </c>
      <c r="G43" s="72">
        <f t="shared" ref="G43:G53" si="21">+$B43*D43/1000</f>
        <v>0</v>
      </c>
      <c r="H43" s="72">
        <f t="shared" ref="H43:H53" si="22">+$B43*E43/1000</f>
        <v>0</v>
      </c>
      <c r="I43" s="72">
        <f t="shared" ref="I43:I53" si="23">+$B43*F43/1000000</f>
        <v>0</v>
      </c>
      <c r="J43" s="61">
        <f t="shared" ref="J43:J53" si="24">+(B43+B42)/2</f>
        <v>0</v>
      </c>
      <c r="K43" s="59">
        <f t="shared" ref="K43:K53" si="25">+D43</f>
        <v>0</v>
      </c>
      <c r="L43" s="59">
        <f t="shared" ref="L43:L53" si="26">+J43*K43/1000</f>
        <v>0</v>
      </c>
      <c r="M43" s="60">
        <f t="shared" ref="M43:M53" si="27">+M42+L43</f>
        <v>0</v>
      </c>
      <c r="N43" s="54">
        <f t="shared" ref="N43:N53" si="28">+B42</f>
        <v>0</v>
      </c>
      <c r="O43" s="55">
        <f t="shared" ref="O43:O53" si="29">+E43</f>
        <v>0</v>
      </c>
      <c r="P43" s="55">
        <f t="shared" ref="P43:P53" si="30">+N43*O43/1000</f>
        <v>0</v>
      </c>
      <c r="Q43" s="56">
        <f t="shared" ref="Q43:Q53" si="31">+Q42+P43</f>
        <v>0</v>
      </c>
      <c r="R43" s="247">
        <f t="shared" ref="R43:R53" si="32">+(B43+B42)/2</f>
        <v>0</v>
      </c>
      <c r="S43" s="24">
        <f t="shared" ref="S43:S53" si="33">+F43</f>
        <v>0</v>
      </c>
      <c r="T43" s="25">
        <f t="shared" ref="T43:T53" si="34">+R43*S43/1000000</f>
        <v>0</v>
      </c>
      <c r="U43" s="53">
        <f t="shared" ref="U43:U53" si="35">+U42+T43</f>
        <v>0</v>
      </c>
    </row>
    <row r="44" spans="1:21" x14ac:dyDescent="0.2">
      <c r="A44" s="11">
        <f t="shared" si="13"/>
        <v>2031</v>
      </c>
      <c r="B44" s="263"/>
      <c r="C44" s="64">
        <f t="shared" si="19"/>
        <v>0</v>
      </c>
      <c r="D44" s="368">
        <f t="shared" ref="D44:F44" si="36">+D43</f>
        <v>0</v>
      </c>
      <c r="E44" s="368">
        <f t="shared" si="36"/>
        <v>0</v>
      </c>
      <c r="F44" s="368">
        <f t="shared" si="36"/>
        <v>0</v>
      </c>
      <c r="G44" s="72">
        <f t="shared" si="21"/>
        <v>0</v>
      </c>
      <c r="H44" s="72">
        <f t="shared" si="22"/>
        <v>0</v>
      </c>
      <c r="I44" s="72">
        <f t="shared" si="23"/>
        <v>0</v>
      </c>
      <c r="J44" s="61">
        <f t="shared" si="24"/>
        <v>0</v>
      </c>
      <c r="K44" s="59">
        <f t="shared" si="25"/>
        <v>0</v>
      </c>
      <c r="L44" s="59">
        <f t="shared" si="26"/>
        <v>0</v>
      </c>
      <c r="M44" s="60">
        <f t="shared" si="27"/>
        <v>0</v>
      </c>
      <c r="N44" s="54">
        <f t="shared" si="28"/>
        <v>0</v>
      </c>
      <c r="O44" s="55">
        <f t="shared" si="29"/>
        <v>0</v>
      </c>
      <c r="P44" s="55">
        <f t="shared" si="30"/>
        <v>0</v>
      </c>
      <c r="Q44" s="56">
        <f t="shared" si="31"/>
        <v>0</v>
      </c>
      <c r="R44" s="247">
        <f t="shared" si="32"/>
        <v>0</v>
      </c>
      <c r="S44" s="24">
        <f t="shared" si="33"/>
        <v>0</v>
      </c>
      <c r="T44" s="25">
        <f t="shared" si="34"/>
        <v>0</v>
      </c>
      <c r="U44" s="53">
        <f t="shared" si="35"/>
        <v>0</v>
      </c>
    </row>
    <row r="45" spans="1:21" x14ac:dyDescent="0.2">
      <c r="A45" s="11">
        <f t="shared" si="13"/>
        <v>2032</v>
      </c>
      <c r="B45" s="263"/>
      <c r="C45" s="64">
        <f t="shared" si="19"/>
        <v>0</v>
      </c>
      <c r="D45" s="368">
        <f t="shared" ref="D45:F45" si="37">+D44</f>
        <v>0</v>
      </c>
      <c r="E45" s="368">
        <f t="shared" si="37"/>
        <v>0</v>
      </c>
      <c r="F45" s="368">
        <f t="shared" si="37"/>
        <v>0</v>
      </c>
      <c r="G45" s="72">
        <f t="shared" si="21"/>
        <v>0</v>
      </c>
      <c r="H45" s="72">
        <f t="shared" si="22"/>
        <v>0</v>
      </c>
      <c r="I45" s="72">
        <f t="shared" si="23"/>
        <v>0</v>
      </c>
      <c r="J45" s="61">
        <f t="shared" si="24"/>
        <v>0</v>
      </c>
      <c r="K45" s="59">
        <f t="shared" si="25"/>
        <v>0</v>
      </c>
      <c r="L45" s="59">
        <f t="shared" si="26"/>
        <v>0</v>
      </c>
      <c r="M45" s="60">
        <f t="shared" si="27"/>
        <v>0</v>
      </c>
      <c r="N45" s="54">
        <f t="shared" si="28"/>
        <v>0</v>
      </c>
      <c r="O45" s="55">
        <f t="shared" si="29"/>
        <v>0</v>
      </c>
      <c r="P45" s="55">
        <f t="shared" si="30"/>
        <v>0</v>
      </c>
      <c r="Q45" s="56">
        <f t="shared" si="31"/>
        <v>0</v>
      </c>
      <c r="R45" s="247">
        <f t="shared" si="32"/>
        <v>0</v>
      </c>
      <c r="S45" s="24">
        <f t="shared" si="33"/>
        <v>0</v>
      </c>
      <c r="T45" s="25">
        <f t="shared" si="34"/>
        <v>0</v>
      </c>
      <c r="U45" s="53">
        <f t="shared" si="35"/>
        <v>0</v>
      </c>
    </row>
    <row r="46" spans="1:21" x14ac:dyDescent="0.2">
      <c r="A46" s="11">
        <f t="shared" si="13"/>
        <v>2033</v>
      </c>
      <c r="B46" s="263"/>
      <c r="C46" s="64">
        <f t="shared" si="19"/>
        <v>0</v>
      </c>
      <c r="D46" s="368">
        <f t="shared" ref="D46:F46" si="38">+D45</f>
        <v>0</v>
      </c>
      <c r="E46" s="368">
        <f t="shared" si="38"/>
        <v>0</v>
      </c>
      <c r="F46" s="368">
        <f t="shared" si="38"/>
        <v>0</v>
      </c>
      <c r="G46" s="72">
        <f t="shared" si="21"/>
        <v>0</v>
      </c>
      <c r="H46" s="72">
        <f t="shared" si="22"/>
        <v>0</v>
      </c>
      <c r="I46" s="72">
        <f t="shared" si="23"/>
        <v>0</v>
      </c>
      <c r="J46" s="61">
        <f t="shared" si="24"/>
        <v>0</v>
      </c>
      <c r="K46" s="59">
        <f t="shared" si="25"/>
        <v>0</v>
      </c>
      <c r="L46" s="59">
        <f t="shared" si="26"/>
        <v>0</v>
      </c>
      <c r="M46" s="60">
        <f t="shared" si="27"/>
        <v>0</v>
      </c>
      <c r="N46" s="54">
        <f t="shared" si="28"/>
        <v>0</v>
      </c>
      <c r="O46" s="55">
        <f t="shared" si="29"/>
        <v>0</v>
      </c>
      <c r="P46" s="55">
        <f t="shared" si="30"/>
        <v>0</v>
      </c>
      <c r="Q46" s="56">
        <f t="shared" si="31"/>
        <v>0</v>
      </c>
      <c r="R46" s="247">
        <f t="shared" si="32"/>
        <v>0</v>
      </c>
      <c r="S46" s="24">
        <f t="shared" si="33"/>
        <v>0</v>
      </c>
      <c r="T46" s="25">
        <f t="shared" si="34"/>
        <v>0</v>
      </c>
      <c r="U46" s="53">
        <f t="shared" si="35"/>
        <v>0</v>
      </c>
    </row>
    <row r="47" spans="1:21" x14ac:dyDescent="0.2">
      <c r="A47" s="11">
        <f t="shared" si="13"/>
        <v>2034</v>
      </c>
      <c r="B47" s="263"/>
      <c r="C47" s="64">
        <f t="shared" si="19"/>
        <v>0</v>
      </c>
      <c r="D47" s="368">
        <f t="shared" ref="D47:F47" si="39">+D46</f>
        <v>0</v>
      </c>
      <c r="E47" s="368">
        <f t="shared" si="39"/>
        <v>0</v>
      </c>
      <c r="F47" s="368">
        <f t="shared" si="39"/>
        <v>0</v>
      </c>
      <c r="G47" s="72">
        <f t="shared" si="21"/>
        <v>0</v>
      </c>
      <c r="H47" s="72">
        <f t="shared" si="22"/>
        <v>0</v>
      </c>
      <c r="I47" s="72">
        <f t="shared" si="23"/>
        <v>0</v>
      </c>
      <c r="J47" s="61">
        <f t="shared" si="24"/>
        <v>0</v>
      </c>
      <c r="K47" s="59">
        <f t="shared" si="25"/>
        <v>0</v>
      </c>
      <c r="L47" s="59">
        <f t="shared" si="26"/>
        <v>0</v>
      </c>
      <c r="M47" s="60">
        <f t="shared" si="27"/>
        <v>0</v>
      </c>
      <c r="N47" s="54">
        <f t="shared" si="28"/>
        <v>0</v>
      </c>
      <c r="O47" s="55">
        <f t="shared" si="29"/>
        <v>0</v>
      </c>
      <c r="P47" s="55">
        <f t="shared" si="30"/>
        <v>0</v>
      </c>
      <c r="Q47" s="56">
        <f t="shared" si="31"/>
        <v>0</v>
      </c>
      <c r="R47" s="247">
        <f t="shared" si="32"/>
        <v>0</v>
      </c>
      <c r="S47" s="24">
        <f t="shared" si="33"/>
        <v>0</v>
      </c>
      <c r="T47" s="25">
        <f t="shared" si="34"/>
        <v>0</v>
      </c>
      <c r="U47" s="53">
        <f t="shared" si="35"/>
        <v>0</v>
      </c>
    </row>
    <row r="48" spans="1:21" x14ac:dyDescent="0.2">
      <c r="A48" s="11">
        <f t="shared" si="13"/>
        <v>2035</v>
      </c>
      <c r="B48" s="263"/>
      <c r="C48" s="64">
        <f t="shared" si="19"/>
        <v>0</v>
      </c>
      <c r="D48" s="368">
        <f t="shared" ref="D48:F48" si="40">+D47</f>
        <v>0</v>
      </c>
      <c r="E48" s="368">
        <f t="shared" si="40"/>
        <v>0</v>
      </c>
      <c r="F48" s="368">
        <f t="shared" si="40"/>
        <v>0</v>
      </c>
      <c r="G48" s="72">
        <f t="shared" si="21"/>
        <v>0</v>
      </c>
      <c r="H48" s="72">
        <f t="shared" si="22"/>
        <v>0</v>
      </c>
      <c r="I48" s="72">
        <f t="shared" si="23"/>
        <v>0</v>
      </c>
      <c r="J48" s="61">
        <f t="shared" si="24"/>
        <v>0</v>
      </c>
      <c r="K48" s="59">
        <f t="shared" si="25"/>
        <v>0</v>
      </c>
      <c r="L48" s="59">
        <f t="shared" si="26"/>
        <v>0</v>
      </c>
      <c r="M48" s="60">
        <f t="shared" si="27"/>
        <v>0</v>
      </c>
      <c r="N48" s="54">
        <f t="shared" si="28"/>
        <v>0</v>
      </c>
      <c r="O48" s="55">
        <f t="shared" si="29"/>
        <v>0</v>
      </c>
      <c r="P48" s="55">
        <f t="shared" si="30"/>
        <v>0</v>
      </c>
      <c r="Q48" s="56">
        <f t="shared" si="31"/>
        <v>0</v>
      </c>
      <c r="R48" s="247">
        <f t="shared" si="32"/>
        <v>0</v>
      </c>
      <c r="S48" s="24">
        <f t="shared" si="33"/>
        <v>0</v>
      </c>
      <c r="T48" s="25">
        <f t="shared" si="34"/>
        <v>0</v>
      </c>
      <c r="U48" s="53">
        <f t="shared" si="35"/>
        <v>0</v>
      </c>
    </row>
    <row r="49" spans="1:21" x14ac:dyDescent="0.2">
      <c r="A49" s="11">
        <f t="shared" si="13"/>
        <v>2036</v>
      </c>
      <c r="B49" s="263"/>
      <c r="C49" s="64">
        <f t="shared" si="19"/>
        <v>0</v>
      </c>
      <c r="D49" s="368">
        <f t="shared" ref="D49:F49" si="41">+D48</f>
        <v>0</v>
      </c>
      <c r="E49" s="368">
        <f t="shared" si="41"/>
        <v>0</v>
      </c>
      <c r="F49" s="368">
        <f t="shared" si="41"/>
        <v>0</v>
      </c>
      <c r="G49" s="72">
        <f t="shared" si="21"/>
        <v>0</v>
      </c>
      <c r="H49" s="72">
        <f t="shared" si="22"/>
        <v>0</v>
      </c>
      <c r="I49" s="72">
        <f t="shared" si="23"/>
        <v>0</v>
      </c>
      <c r="J49" s="61">
        <f t="shared" si="24"/>
        <v>0</v>
      </c>
      <c r="K49" s="59">
        <f t="shared" si="25"/>
        <v>0</v>
      </c>
      <c r="L49" s="59">
        <f t="shared" si="26"/>
        <v>0</v>
      </c>
      <c r="M49" s="60">
        <f t="shared" si="27"/>
        <v>0</v>
      </c>
      <c r="N49" s="54">
        <f t="shared" si="28"/>
        <v>0</v>
      </c>
      <c r="O49" s="55">
        <f t="shared" si="29"/>
        <v>0</v>
      </c>
      <c r="P49" s="55">
        <f t="shared" si="30"/>
        <v>0</v>
      </c>
      <c r="Q49" s="56">
        <f t="shared" si="31"/>
        <v>0</v>
      </c>
      <c r="R49" s="247">
        <f t="shared" si="32"/>
        <v>0</v>
      </c>
      <c r="S49" s="24">
        <f t="shared" si="33"/>
        <v>0</v>
      </c>
      <c r="T49" s="25">
        <f t="shared" si="34"/>
        <v>0</v>
      </c>
      <c r="U49" s="53">
        <f t="shared" si="35"/>
        <v>0</v>
      </c>
    </row>
    <row r="50" spans="1:21" x14ac:dyDescent="0.2">
      <c r="A50" s="11">
        <f t="shared" si="13"/>
        <v>2037</v>
      </c>
      <c r="B50" s="263"/>
      <c r="C50" s="64">
        <f t="shared" si="19"/>
        <v>0</v>
      </c>
      <c r="D50" s="368">
        <f t="shared" ref="D50:F50" si="42">+D49</f>
        <v>0</v>
      </c>
      <c r="E50" s="368">
        <f t="shared" si="42"/>
        <v>0</v>
      </c>
      <c r="F50" s="368">
        <f t="shared" si="42"/>
        <v>0</v>
      </c>
      <c r="G50" s="72">
        <f t="shared" si="21"/>
        <v>0</v>
      </c>
      <c r="H50" s="72">
        <f t="shared" si="22"/>
        <v>0</v>
      </c>
      <c r="I50" s="72">
        <f t="shared" si="23"/>
        <v>0</v>
      </c>
      <c r="J50" s="61">
        <f t="shared" si="24"/>
        <v>0</v>
      </c>
      <c r="K50" s="59">
        <f t="shared" si="25"/>
        <v>0</v>
      </c>
      <c r="L50" s="59">
        <f t="shared" si="26"/>
        <v>0</v>
      </c>
      <c r="M50" s="60">
        <f t="shared" si="27"/>
        <v>0</v>
      </c>
      <c r="N50" s="54">
        <f t="shared" si="28"/>
        <v>0</v>
      </c>
      <c r="O50" s="55">
        <f t="shared" si="29"/>
        <v>0</v>
      </c>
      <c r="P50" s="55">
        <f t="shared" si="30"/>
        <v>0</v>
      </c>
      <c r="Q50" s="56">
        <f t="shared" si="31"/>
        <v>0</v>
      </c>
      <c r="R50" s="247">
        <f t="shared" si="32"/>
        <v>0</v>
      </c>
      <c r="S50" s="24">
        <f t="shared" si="33"/>
        <v>0</v>
      </c>
      <c r="T50" s="25">
        <f t="shared" si="34"/>
        <v>0</v>
      </c>
      <c r="U50" s="53">
        <f t="shared" si="35"/>
        <v>0</v>
      </c>
    </row>
    <row r="51" spans="1:21" x14ac:dyDescent="0.2">
      <c r="A51" s="11">
        <f t="shared" si="13"/>
        <v>2038</v>
      </c>
      <c r="B51" s="263"/>
      <c r="C51" s="64">
        <f t="shared" si="19"/>
        <v>0</v>
      </c>
      <c r="D51" s="368">
        <f t="shared" ref="D51:F51" si="43">+D50</f>
        <v>0</v>
      </c>
      <c r="E51" s="368">
        <f t="shared" si="43"/>
        <v>0</v>
      </c>
      <c r="F51" s="368">
        <f t="shared" si="43"/>
        <v>0</v>
      </c>
      <c r="G51" s="72">
        <f t="shared" si="21"/>
        <v>0</v>
      </c>
      <c r="H51" s="72">
        <f t="shared" si="22"/>
        <v>0</v>
      </c>
      <c r="I51" s="72">
        <f t="shared" si="23"/>
        <v>0</v>
      </c>
      <c r="J51" s="61">
        <f t="shared" si="24"/>
        <v>0</v>
      </c>
      <c r="K51" s="59">
        <f t="shared" si="25"/>
        <v>0</v>
      </c>
      <c r="L51" s="59">
        <f t="shared" si="26"/>
        <v>0</v>
      </c>
      <c r="M51" s="60">
        <f t="shared" si="27"/>
        <v>0</v>
      </c>
      <c r="N51" s="54">
        <f t="shared" si="28"/>
        <v>0</v>
      </c>
      <c r="O51" s="55">
        <f t="shared" si="29"/>
        <v>0</v>
      </c>
      <c r="P51" s="55">
        <f t="shared" si="30"/>
        <v>0</v>
      </c>
      <c r="Q51" s="56">
        <f t="shared" si="31"/>
        <v>0</v>
      </c>
      <c r="R51" s="247">
        <f t="shared" si="32"/>
        <v>0</v>
      </c>
      <c r="S51" s="24">
        <f t="shared" si="33"/>
        <v>0</v>
      </c>
      <c r="T51" s="25">
        <f t="shared" si="34"/>
        <v>0</v>
      </c>
      <c r="U51" s="53">
        <f t="shared" si="35"/>
        <v>0</v>
      </c>
    </row>
    <row r="52" spans="1:21" x14ac:dyDescent="0.2">
      <c r="A52" s="11">
        <f t="shared" si="13"/>
        <v>2039</v>
      </c>
      <c r="B52" s="263"/>
      <c r="C52" s="64">
        <f t="shared" si="19"/>
        <v>0</v>
      </c>
      <c r="D52" s="368">
        <f t="shared" ref="D52:F52" si="44">+D51</f>
        <v>0</v>
      </c>
      <c r="E52" s="368">
        <f t="shared" si="44"/>
        <v>0</v>
      </c>
      <c r="F52" s="368">
        <f t="shared" si="44"/>
        <v>0</v>
      </c>
      <c r="G52" s="72">
        <f t="shared" si="21"/>
        <v>0</v>
      </c>
      <c r="H52" s="72">
        <f t="shared" si="22"/>
        <v>0</v>
      </c>
      <c r="I52" s="72">
        <f t="shared" si="23"/>
        <v>0</v>
      </c>
      <c r="J52" s="61">
        <f t="shared" si="24"/>
        <v>0</v>
      </c>
      <c r="K52" s="59">
        <f t="shared" si="25"/>
        <v>0</v>
      </c>
      <c r="L52" s="59">
        <f t="shared" si="26"/>
        <v>0</v>
      </c>
      <c r="M52" s="60">
        <f t="shared" si="27"/>
        <v>0</v>
      </c>
      <c r="N52" s="54">
        <f t="shared" si="28"/>
        <v>0</v>
      </c>
      <c r="O52" s="55">
        <f t="shared" si="29"/>
        <v>0</v>
      </c>
      <c r="P52" s="55">
        <f t="shared" si="30"/>
        <v>0</v>
      </c>
      <c r="Q52" s="56">
        <f t="shared" si="31"/>
        <v>0</v>
      </c>
      <c r="R52" s="247">
        <f t="shared" si="32"/>
        <v>0</v>
      </c>
      <c r="S52" s="24">
        <f t="shared" si="33"/>
        <v>0</v>
      </c>
      <c r="T52" s="25">
        <f t="shared" si="34"/>
        <v>0</v>
      </c>
      <c r="U52" s="53">
        <f t="shared" si="35"/>
        <v>0</v>
      </c>
    </row>
    <row r="53" spans="1:21" x14ac:dyDescent="0.2">
      <c r="A53" s="11">
        <f t="shared" si="13"/>
        <v>2040</v>
      </c>
      <c r="B53" s="263"/>
      <c r="C53" s="64">
        <f t="shared" si="19"/>
        <v>0</v>
      </c>
      <c r="D53" s="368">
        <f t="shared" ref="D53:F54" si="45">+D52</f>
        <v>0</v>
      </c>
      <c r="E53" s="368">
        <f t="shared" si="45"/>
        <v>0</v>
      </c>
      <c r="F53" s="368">
        <f t="shared" si="45"/>
        <v>0</v>
      </c>
      <c r="G53" s="72">
        <f t="shared" si="21"/>
        <v>0</v>
      </c>
      <c r="H53" s="72">
        <f t="shared" si="22"/>
        <v>0</v>
      </c>
      <c r="I53" s="72">
        <f t="shared" si="23"/>
        <v>0</v>
      </c>
      <c r="J53" s="61">
        <f t="shared" si="24"/>
        <v>0</v>
      </c>
      <c r="K53" s="59">
        <f t="shared" si="25"/>
        <v>0</v>
      </c>
      <c r="L53" s="59">
        <f t="shared" si="26"/>
        <v>0</v>
      </c>
      <c r="M53" s="60">
        <f t="shared" si="27"/>
        <v>0</v>
      </c>
      <c r="N53" s="54">
        <f t="shared" si="28"/>
        <v>0</v>
      </c>
      <c r="O53" s="55">
        <f t="shared" si="29"/>
        <v>0</v>
      </c>
      <c r="P53" s="55">
        <f t="shared" si="30"/>
        <v>0</v>
      </c>
      <c r="Q53" s="56">
        <f t="shared" si="31"/>
        <v>0</v>
      </c>
      <c r="R53" s="247">
        <f t="shared" si="32"/>
        <v>0</v>
      </c>
      <c r="S53" s="24">
        <f t="shared" si="33"/>
        <v>0</v>
      </c>
      <c r="T53" s="25">
        <f t="shared" si="34"/>
        <v>0</v>
      </c>
      <c r="U53" s="53">
        <f t="shared" si="35"/>
        <v>0</v>
      </c>
    </row>
    <row r="54" spans="1:21" x14ac:dyDescent="0.2">
      <c r="A54" s="11">
        <f t="shared" si="13"/>
        <v>2041</v>
      </c>
      <c r="B54" s="263"/>
      <c r="C54" s="64">
        <f t="shared" ref="C54" si="46">+C53+B54</f>
        <v>0</v>
      </c>
      <c r="D54" s="368">
        <f t="shared" si="45"/>
        <v>0</v>
      </c>
      <c r="E54" s="368">
        <f t="shared" si="45"/>
        <v>0</v>
      </c>
      <c r="F54" s="368">
        <f t="shared" si="45"/>
        <v>0</v>
      </c>
      <c r="G54" s="72">
        <f t="shared" ref="G54" si="47">+$B54*D54/1000</f>
        <v>0</v>
      </c>
      <c r="H54" s="72">
        <f t="shared" ref="H54" si="48">+$B54*E54/1000</f>
        <v>0</v>
      </c>
      <c r="I54" s="72">
        <f t="shared" ref="I54" si="49">+$B54*F54/1000000</f>
        <v>0</v>
      </c>
      <c r="J54" s="61">
        <f t="shared" ref="J54" si="50">+(B54+B53)/2</f>
        <v>0</v>
      </c>
      <c r="K54" s="59">
        <f t="shared" ref="K54" si="51">+D54</f>
        <v>0</v>
      </c>
      <c r="L54" s="59">
        <f t="shared" ref="L54" si="52">+J54*K54/1000</f>
        <v>0</v>
      </c>
      <c r="M54" s="60">
        <f t="shared" ref="M54" si="53">+M53+L54</f>
        <v>0</v>
      </c>
      <c r="N54" s="54">
        <f t="shared" ref="N54" si="54">+B53</f>
        <v>0</v>
      </c>
      <c r="O54" s="55">
        <f t="shared" ref="O54" si="55">+E54</f>
        <v>0</v>
      </c>
      <c r="P54" s="55">
        <f t="shared" ref="P54" si="56">+N54*O54/1000</f>
        <v>0</v>
      </c>
      <c r="Q54" s="56">
        <f t="shared" ref="Q54" si="57">+Q53+P54</f>
        <v>0</v>
      </c>
      <c r="R54" s="247">
        <f t="shared" ref="R54" si="58">+(B54+B53)/2</f>
        <v>0</v>
      </c>
      <c r="S54" s="24">
        <f t="shared" ref="S54" si="59">+F54</f>
        <v>0</v>
      </c>
      <c r="T54" s="25">
        <f t="shared" ref="T54" si="60">+R54*S54/1000000</f>
        <v>0</v>
      </c>
      <c r="U54" s="53">
        <f t="shared" ref="U54" si="61">+U53+T54</f>
        <v>0</v>
      </c>
    </row>
    <row r="55" spans="1:21" x14ac:dyDescent="0.2">
      <c r="A55" s="11"/>
      <c r="M55" s="262"/>
      <c r="N55" s="262"/>
      <c r="O55" s="262"/>
      <c r="P55" s="262"/>
      <c r="Q55" s="262"/>
    </row>
    <row r="56" spans="1:21" x14ac:dyDescent="0.2">
      <c r="A56" s="69"/>
    </row>
    <row r="57" spans="1:21" x14ac:dyDescent="0.2">
      <c r="A57" s="86" t="s">
        <v>57</v>
      </c>
    </row>
    <row r="58" spans="1:21" x14ac:dyDescent="0.2">
      <c r="A58" s="86" t="s">
        <v>58</v>
      </c>
    </row>
    <row r="60" spans="1:21" x14ac:dyDescent="0.2">
      <c r="A60" s="13"/>
    </row>
  </sheetData>
  <mergeCells count="6">
    <mergeCell ref="R4:U4"/>
    <mergeCell ref="E1:O1"/>
    <mergeCell ref="G3:I3"/>
    <mergeCell ref="B4:I4"/>
    <mergeCell ref="J4:M4"/>
    <mergeCell ref="N4:Q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X51"/>
  <sheetViews>
    <sheetView workbookViewId="0">
      <selection activeCell="E24" sqref="E24"/>
    </sheetView>
  </sheetViews>
  <sheetFormatPr defaultRowHeight="12.75" x14ac:dyDescent="0.2"/>
  <cols>
    <col min="1" max="1" width="11.7109375" customWidth="1"/>
    <col min="2" max="3" width="10.28515625" customWidth="1"/>
    <col min="4" max="4" width="10" customWidth="1"/>
    <col min="5" max="5" width="10.28515625" customWidth="1"/>
    <col min="6" max="6" width="10" customWidth="1"/>
    <col min="7" max="7" width="11.28515625" customWidth="1"/>
    <col min="8" max="9" width="10.42578125" customWidth="1"/>
    <col min="10" max="10" width="10.710937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249"/>
      <c r="H1" s="249"/>
      <c r="I1" s="249"/>
      <c r="J1" s="4"/>
      <c r="K1" s="4"/>
      <c r="L1" s="4"/>
      <c r="M1" s="4"/>
      <c r="N1" s="4"/>
    </row>
    <row r="2" spans="1:24" ht="16.5" thickBot="1" x14ac:dyDescent="0.3">
      <c r="A2" s="5" t="s">
        <v>1</v>
      </c>
      <c r="B2" s="27" t="s">
        <v>210</v>
      </c>
      <c r="C2" s="27" t="s">
        <v>212</v>
      </c>
      <c r="D2" s="27"/>
      <c r="E2" s="27"/>
      <c r="F2" s="23"/>
      <c r="G2" s="23"/>
      <c r="H2" s="23"/>
      <c r="I2" s="23"/>
      <c r="J2" s="23"/>
      <c r="K2" s="4"/>
      <c r="L2" s="4"/>
      <c r="M2" s="4"/>
      <c r="N2" s="4"/>
    </row>
    <row r="3" spans="1:24" ht="16.5" thickBot="1" x14ac:dyDescent="0.3">
      <c r="A3" s="4"/>
      <c r="B3" s="449" t="s">
        <v>211</v>
      </c>
      <c r="C3" s="249" t="s">
        <v>212</v>
      </c>
      <c r="D3" s="4"/>
      <c r="E3" s="4"/>
      <c r="F3" s="4"/>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55.5" customHeight="1" x14ac:dyDescent="0.2">
      <c r="A5" s="32" t="s">
        <v>0</v>
      </c>
      <c r="B5" s="28" t="s">
        <v>35</v>
      </c>
      <c r="C5" s="49" t="s">
        <v>36</v>
      </c>
      <c r="D5" s="22" t="s">
        <v>21</v>
      </c>
      <c r="E5" s="17" t="s">
        <v>23</v>
      </c>
      <c r="F5" s="18" t="s">
        <v>24</v>
      </c>
      <c r="G5" s="22"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50"/>
      <c r="D6" s="15"/>
      <c r="E6" s="15"/>
      <c r="F6" s="15"/>
      <c r="G6" s="15"/>
      <c r="H6" s="15"/>
      <c r="I6" s="31"/>
      <c r="J6" s="37"/>
      <c r="K6" s="59"/>
      <c r="L6" s="6"/>
      <c r="M6" s="46"/>
      <c r="N6" s="40"/>
      <c r="O6" s="55"/>
      <c r="P6" s="57"/>
      <c r="Q6" s="41"/>
      <c r="R6" s="43"/>
      <c r="S6" s="24"/>
      <c r="T6" s="21"/>
      <c r="U6" s="47"/>
      <c r="V6" s="3"/>
    </row>
    <row r="7" spans="1:24" s="1" customFormat="1" ht="15.75" customHeight="1" x14ac:dyDescent="0.2">
      <c r="A7" s="68" t="s">
        <v>63</v>
      </c>
      <c r="B7" s="30"/>
      <c r="C7" s="50"/>
      <c r="D7" s="15"/>
      <c r="E7" s="15"/>
      <c r="F7" s="15"/>
      <c r="G7" s="15"/>
      <c r="H7" s="15"/>
      <c r="I7" s="31"/>
      <c r="J7" s="37"/>
      <c r="K7" s="59"/>
      <c r="L7" s="6"/>
      <c r="M7" s="46"/>
      <c r="N7" s="40"/>
      <c r="O7" s="55"/>
      <c r="P7" s="57"/>
      <c r="Q7" s="41"/>
      <c r="R7" s="43"/>
      <c r="S7" s="24"/>
      <c r="T7" s="21"/>
      <c r="U7" s="47"/>
      <c r="V7" s="3"/>
    </row>
    <row r="8" spans="1:24" x14ac:dyDescent="0.2">
      <c r="A8" s="33">
        <v>1995</v>
      </c>
      <c r="B8" s="30"/>
      <c r="C8" s="64"/>
      <c r="D8" s="63"/>
      <c r="E8" s="63"/>
      <c r="F8" s="63"/>
      <c r="G8" s="87"/>
      <c r="H8" s="87"/>
      <c r="I8" s="88"/>
      <c r="J8" s="61"/>
      <c r="K8" s="59"/>
      <c r="L8" s="59"/>
      <c r="M8" s="60"/>
      <c r="N8" s="51"/>
      <c r="O8" s="55"/>
      <c r="P8" s="55"/>
      <c r="Q8" s="56"/>
      <c r="R8" s="247"/>
      <c r="S8" s="24"/>
      <c r="T8" s="25"/>
      <c r="U8" s="53"/>
      <c r="V8" s="248"/>
      <c r="X8" s="1"/>
    </row>
    <row r="9" spans="1:24" x14ac:dyDescent="0.2">
      <c r="A9" s="33">
        <v>1996</v>
      </c>
      <c r="B9" s="30"/>
      <c r="C9" s="64"/>
      <c r="D9" s="63"/>
      <c r="E9" s="63"/>
      <c r="F9" s="63"/>
      <c r="G9" s="62"/>
      <c r="H9" s="62"/>
      <c r="I9" s="67"/>
      <c r="J9" s="61"/>
      <c r="K9" s="59"/>
      <c r="L9" s="59"/>
      <c r="M9" s="60"/>
      <c r="N9" s="54"/>
      <c r="O9" s="55"/>
      <c r="P9" s="55"/>
      <c r="Q9" s="56"/>
      <c r="R9" s="247"/>
      <c r="S9" s="24"/>
      <c r="T9" s="25"/>
      <c r="U9" s="53"/>
      <c r="V9" s="10"/>
      <c r="X9" s="1"/>
    </row>
    <row r="10" spans="1:24" x14ac:dyDescent="0.2">
      <c r="A10" s="33">
        <v>1997</v>
      </c>
      <c r="B10" s="30"/>
      <c r="C10" s="64"/>
      <c r="D10" s="63"/>
      <c r="E10" s="63"/>
      <c r="F10" s="63"/>
      <c r="G10" s="62"/>
      <c r="H10" s="62"/>
      <c r="I10" s="67"/>
      <c r="J10" s="61"/>
      <c r="K10" s="59"/>
      <c r="L10" s="59"/>
      <c r="M10" s="60"/>
      <c r="N10" s="54"/>
      <c r="O10" s="55"/>
      <c r="P10" s="55"/>
      <c r="Q10" s="56"/>
      <c r="R10" s="247"/>
      <c r="S10" s="24"/>
      <c r="T10" s="25"/>
      <c r="U10" s="53"/>
      <c r="V10" s="10"/>
      <c r="X10" s="1"/>
    </row>
    <row r="11" spans="1:24" x14ac:dyDescent="0.2">
      <c r="A11" s="33">
        <v>1998</v>
      </c>
      <c r="B11" s="30"/>
      <c r="C11" s="64"/>
      <c r="D11" s="63"/>
      <c r="E11" s="63"/>
      <c r="F11" s="63"/>
      <c r="G11" s="62"/>
      <c r="H11" s="62"/>
      <c r="I11" s="67"/>
      <c r="J11" s="61"/>
      <c r="K11" s="59"/>
      <c r="L11" s="59"/>
      <c r="M11" s="60"/>
      <c r="N11" s="54"/>
      <c r="O11" s="55"/>
      <c r="P11" s="55"/>
      <c r="Q11" s="56"/>
      <c r="R11" s="247"/>
      <c r="S11" s="24"/>
      <c r="T11" s="25"/>
      <c r="U11" s="53"/>
      <c r="V11" s="10"/>
      <c r="X11" s="1"/>
    </row>
    <row r="12" spans="1:24" x14ac:dyDescent="0.2">
      <c r="A12" s="33">
        <v>1999</v>
      </c>
      <c r="B12" s="30"/>
      <c r="C12" s="64"/>
      <c r="D12" s="63"/>
      <c r="E12" s="63"/>
      <c r="F12" s="63"/>
      <c r="G12" s="62"/>
      <c r="H12" s="62"/>
      <c r="I12" s="67"/>
      <c r="J12" s="61"/>
      <c r="K12" s="59"/>
      <c r="L12" s="59"/>
      <c r="M12" s="60"/>
      <c r="N12" s="54"/>
      <c r="O12" s="55"/>
      <c r="P12" s="55"/>
      <c r="Q12" s="56"/>
      <c r="R12" s="247"/>
      <c r="S12" s="24"/>
      <c r="T12" s="25"/>
      <c r="U12" s="53"/>
      <c r="V12" s="10"/>
      <c r="X12" s="1"/>
    </row>
    <row r="13" spans="1:24" x14ac:dyDescent="0.2">
      <c r="A13" s="33">
        <v>2000</v>
      </c>
      <c r="B13" s="30"/>
      <c r="C13" s="64"/>
      <c r="D13" s="63"/>
      <c r="E13" s="63"/>
      <c r="F13" s="63"/>
      <c r="G13" s="62"/>
      <c r="H13" s="62"/>
      <c r="I13" s="67"/>
      <c r="J13" s="61"/>
      <c r="K13" s="59"/>
      <c r="L13" s="59"/>
      <c r="M13" s="60"/>
      <c r="N13" s="54"/>
      <c r="O13" s="55"/>
      <c r="P13" s="55"/>
      <c r="Q13" s="56"/>
      <c r="R13" s="247"/>
      <c r="S13" s="24"/>
      <c r="T13" s="25"/>
      <c r="U13" s="53"/>
      <c r="V13" s="248"/>
      <c r="X13" s="1"/>
    </row>
    <row r="14" spans="1:24" x14ac:dyDescent="0.2">
      <c r="A14" s="33">
        <v>2001</v>
      </c>
      <c r="B14" s="30"/>
      <c r="C14" s="64"/>
      <c r="D14" s="63"/>
      <c r="E14" s="63"/>
      <c r="F14" s="63"/>
      <c r="G14" s="62"/>
      <c r="H14" s="62"/>
      <c r="I14" s="67"/>
      <c r="J14" s="61"/>
      <c r="K14" s="59"/>
      <c r="L14" s="59"/>
      <c r="M14" s="60"/>
      <c r="N14" s="54"/>
      <c r="O14" s="55"/>
      <c r="P14" s="55"/>
      <c r="Q14" s="56"/>
      <c r="R14" s="247"/>
      <c r="S14" s="24"/>
      <c r="T14" s="25"/>
      <c r="U14" s="53"/>
      <c r="V14" s="248"/>
      <c r="X14" s="1"/>
    </row>
    <row r="15" spans="1:24" x14ac:dyDescent="0.2">
      <c r="A15" s="33">
        <v>2002</v>
      </c>
      <c r="B15" s="30"/>
      <c r="C15" s="64"/>
      <c r="D15" s="63"/>
      <c r="E15" s="63"/>
      <c r="F15" s="63"/>
      <c r="G15" s="62"/>
      <c r="H15" s="62"/>
      <c r="I15" s="67"/>
      <c r="J15" s="61"/>
      <c r="K15" s="59"/>
      <c r="L15" s="59"/>
      <c r="M15" s="60"/>
      <c r="N15" s="54"/>
      <c r="O15" s="55"/>
      <c r="P15" s="55"/>
      <c r="Q15" s="56"/>
      <c r="R15" s="247"/>
      <c r="S15" s="24"/>
      <c r="T15" s="25"/>
      <c r="U15" s="53"/>
      <c r="V15" s="248"/>
      <c r="X15" s="1"/>
    </row>
    <row r="16" spans="1:24" x14ac:dyDescent="0.2">
      <c r="A16" s="33">
        <v>2003</v>
      </c>
      <c r="B16" s="30"/>
      <c r="C16" s="64"/>
      <c r="D16" s="63"/>
      <c r="E16" s="63"/>
      <c r="F16" s="63"/>
      <c r="G16" s="62"/>
      <c r="H16" s="62"/>
      <c r="I16" s="67"/>
      <c r="J16" s="61"/>
      <c r="K16" s="59"/>
      <c r="L16" s="59"/>
      <c r="M16" s="60"/>
      <c r="N16" s="54"/>
      <c r="O16" s="55"/>
      <c r="P16" s="55"/>
      <c r="Q16" s="56"/>
      <c r="R16" s="247"/>
      <c r="S16" s="24"/>
      <c r="T16" s="25"/>
      <c r="U16" s="53"/>
      <c r="V16" s="248"/>
      <c r="X16" s="1"/>
    </row>
    <row r="17" spans="1:24" x14ac:dyDescent="0.2">
      <c r="A17" s="33">
        <f t="shared" ref="A17:A46" si="0">+A16+1</f>
        <v>2004</v>
      </c>
      <c r="B17" s="30"/>
      <c r="C17" s="64"/>
      <c r="D17" s="63"/>
      <c r="E17" s="63"/>
      <c r="F17" s="63"/>
      <c r="G17" s="62"/>
      <c r="H17" s="62"/>
      <c r="I17" s="67"/>
      <c r="J17" s="61"/>
      <c r="K17" s="59"/>
      <c r="L17" s="59"/>
      <c r="M17" s="60"/>
      <c r="N17" s="54"/>
      <c r="O17" s="55"/>
      <c r="P17" s="55"/>
      <c r="Q17" s="56"/>
      <c r="R17" s="247"/>
      <c r="S17" s="24"/>
      <c r="T17" s="25"/>
      <c r="U17" s="53"/>
      <c r="V17" s="248"/>
      <c r="X17" s="1"/>
    </row>
    <row r="18" spans="1:24" x14ac:dyDescent="0.2">
      <c r="A18" s="33">
        <f t="shared" si="0"/>
        <v>2005</v>
      </c>
      <c r="B18" s="30"/>
      <c r="C18" s="64"/>
      <c r="D18" s="63"/>
      <c r="E18" s="63"/>
      <c r="F18" s="63"/>
      <c r="G18" s="62"/>
      <c r="H18" s="62"/>
      <c r="I18" s="67"/>
      <c r="J18" s="61"/>
      <c r="K18" s="59"/>
      <c r="L18" s="59"/>
      <c r="M18" s="60"/>
      <c r="N18" s="54"/>
      <c r="O18" s="55"/>
      <c r="P18" s="55"/>
      <c r="Q18" s="56"/>
      <c r="R18" s="247"/>
      <c r="S18" s="24"/>
      <c r="T18" s="25"/>
      <c r="U18" s="53"/>
      <c r="V18" s="248"/>
      <c r="X18" s="1"/>
    </row>
    <row r="19" spans="1:24" x14ac:dyDescent="0.2">
      <c r="A19" s="33">
        <f t="shared" si="0"/>
        <v>2006</v>
      </c>
      <c r="B19" s="30"/>
      <c r="C19" s="64"/>
      <c r="D19" s="63"/>
      <c r="E19" s="63"/>
      <c r="F19" s="63"/>
      <c r="G19" s="62"/>
      <c r="H19" s="62"/>
      <c r="I19" s="67"/>
      <c r="J19" s="61"/>
      <c r="K19" s="59"/>
      <c r="L19" s="59"/>
      <c r="M19" s="60"/>
      <c r="N19" s="54"/>
      <c r="O19" s="55"/>
      <c r="P19" s="55"/>
      <c r="Q19" s="56"/>
      <c r="R19" s="247"/>
      <c r="S19" s="24"/>
      <c r="T19" s="25"/>
      <c r="U19" s="53"/>
      <c r="V19" s="8"/>
      <c r="X19" s="1"/>
    </row>
    <row r="20" spans="1:24" x14ac:dyDescent="0.2">
      <c r="A20" s="33">
        <f t="shared" si="0"/>
        <v>2007</v>
      </c>
      <c r="B20" s="30"/>
      <c r="C20" s="64"/>
      <c r="D20" s="63"/>
      <c r="E20" s="63"/>
      <c r="F20" s="63"/>
      <c r="G20" s="62"/>
      <c r="H20" s="62"/>
      <c r="I20" s="62"/>
      <c r="J20" s="61"/>
      <c r="K20" s="59"/>
      <c r="L20" s="59"/>
      <c r="M20" s="60"/>
      <c r="N20" s="54"/>
      <c r="O20" s="55"/>
      <c r="P20" s="55"/>
      <c r="Q20" s="56"/>
      <c r="R20" s="247"/>
      <c r="S20" s="24"/>
      <c r="T20" s="25"/>
      <c r="U20" s="53"/>
    </row>
    <row r="21" spans="1:24" x14ac:dyDescent="0.2">
      <c r="A21" s="33">
        <f t="shared" si="0"/>
        <v>2008</v>
      </c>
      <c r="B21" s="30"/>
      <c r="C21" s="64"/>
      <c r="D21" s="63"/>
      <c r="E21" s="63"/>
      <c r="F21" s="63"/>
      <c r="G21" s="62"/>
      <c r="H21" s="62"/>
      <c r="I21" s="67"/>
      <c r="J21" s="61"/>
      <c r="K21" s="59"/>
      <c r="L21" s="59"/>
      <c r="M21" s="60"/>
      <c r="N21" s="54"/>
      <c r="O21" s="55"/>
      <c r="P21" s="55"/>
      <c r="Q21" s="56"/>
      <c r="R21" s="247"/>
      <c r="S21" s="24"/>
      <c r="T21" s="25"/>
      <c r="U21" s="53"/>
    </row>
    <row r="22" spans="1:24" ht="13.5" thickBot="1" x14ac:dyDescent="0.25">
      <c r="A22" s="34">
        <f t="shared" si="0"/>
        <v>2009</v>
      </c>
      <c r="B22" s="400"/>
      <c r="C22" s="432"/>
      <c r="D22" s="63"/>
      <c r="E22" s="63"/>
      <c r="F22" s="63"/>
      <c r="G22" s="382"/>
      <c r="H22" s="382"/>
      <c r="I22" s="383"/>
      <c r="J22" s="149"/>
      <c r="K22" s="150"/>
      <c r="L22" s="150"/>
      <c r="M22" s="151"/>
      <c r="N22" s="152"/>
      <c r="O22" s="153"/>
      <c r="P22" s="153"/>
      <c r="Q22" s="154"/>
      <c r="R22" s="401"/>
      <c r="S22" s="156"/>
      <c r="T22" s="157"/>
      <c r="U22" s="158"/>
    </row>
    <row r="23" spans="1:24" x14ac:dyDescent="0.2">
      <c r="A23" s="439">
        <f t="shared" si="0"/>
        <v>2010</v>
      </c>
      <c r="B23" s="440">
        <v>0</v>
      </c>
      <c r="C23" s="441">
        <f t="shared" ref="C23:C39" si="1">+C22+B23</f>
        <v>0</v>
      </c>
      <c r="D23" s="442">
        <f t="shared" ref="D23:F38" si="2">+D22</f>
        <v>0</v>
      </c>
      <c r="E23" s="442">
        <f t="shared" si="2"/>
        <v>0</v>
      </c>
      <c r="F23" s="442">
        <f t="shared" si="2"/>
        <v>0</v>
      </c>
      <c r="G23" s="442">
        <f t="shared" ref="G23:H39" si="3">+$B23*D23/1000</f>
        <v>0</v>
      </c>
      <c r="H23" s="442">
        <f t="shared" si="3"/>
        <v>0</v>
      </c>
      <c r="I23" s="442">
        <f t="shared" ref="I23:I39" si="4">+$B23*F23/1000000</f>
        <v>0</v>
      </c>
      <c r="J23" s="443">
        <f t="shared" ref="J23:J39" si="5">+(B23+B22)/2</f>
        <v>0</v>
      </c>
      <c r="K23" s="443">
        <f t="shared" ref="K23:K39" si="6">+D23</f>
        <v>0</v>
      </c>
      <c r="L23" s="443">
        <f t="shared" ref="L23:L39" si="7">+J23*K23/1000</f>
        <v>0</v>
      </c>
      <c r="M23" s="443">
        <f t="shared" ref="M23:M39" si="8">+M22+L23</f>
        <v>0</v>
      </c>
      <c r="N23" s="444">
        <f t="shared" ref="N23:N39" si="9">+B22</f>
        <v>0</v>
      </c>
      <c r="O23" s="444">
        <f t="shared" ref="O23:O39" si="10">+E23</f>
        <v>0</v>
      </c>
      <c r="P23" s="444">
        <f t="shared" ref="P23:P39" si="11">+N23*O23/1000</f>
        <v>0</v>
      </c>
      <c r="Q23" s="444">
        <f t="shared" ref="Q23:Q39" si="12">+Q22+P23</f>
        <v>0</v>
      </c>
      <c r="R23" s="445">
        <f t="shared" ref="R23:R38" si="13">+(B23+B22)/2</f>
        <v>0</v>
      </c>
      <c r="S23" s="434">
        <f t="shared" ref="S23:S38" si="14">+F23</f>
        <v>0</v>
      </c>
      <c r="T23" s="446">
        <f t="shared" ref="T23:T38" si="15">+R23*S23/1000000</f>
        <v>0</v>
      </c>
      <c r="U23" s="437">
        <f t="shared" ref="U23:U39" si="16">+U22+T23</f>
        <v>0</v>
      </c>
    </row>
    <row r="24" spans="1:24" x14ac:dyDescent="0.2">
      <c r="A24" s="33">
        <f t="shared" si="0"/>
        <v>2011</v>
      </c>
      <c r="B24" s="403">
        <v>0</v>
      </c>
      <c r="C24" s="64">
        <f t="shared" si="1"/>
        <v>0</v>
      </c>
      <c r="D24" s="72">
        <f t="shared" si="2"/>
        <v>0</v>
      </c>
      <c r="E24" s="72">
        <f t="shared" si="2"/>
        <v>0</v>
      </c>
      <c r="F24" s="72">
        <f t="shared" si="2"/>
        <v>0</v>
      </c>
      <c r="G24" s="72">
        <f t="shared" si="3"/>
        <v>0</v>
      </c>
      <c r="H24" s="72">
        <f t="shared" si="3"/>
        <v>0</v>
      </c>
      <c r="I24" s="72">
        <f t="shared" si="4"/>
        <v>0</v>
      </c>
      <c r="J24" s="61">
        <f t="shared" si="5"/>
        <v>0</v>
      </c>
      <c r="K24" s="61">
        <f t="shared" si="6"/>
        <v>0</v>
      </c>
      <c r="L24" s="61">
        <f t="shared" si="7"/>
        <v>0</v>
      </c>
      <c r="M24" s="61">
        <f t="shared" si="8"/>
        <v>0</v>
      </c>
      <c r="N24" s="54">
        <f t="shared" si="9"/>
        <v>0</v>
      </c>
      <c r="O24" s="54">
        <f t="shared" si="10"/>
        <v>0</v>
      </c>
      <c r="P24" s="54">
        <f t="shared" si="11"/>
        <v>0</v>
      </c>
      <c r="Q24" s="54">
        <f t="shared" si="12"/>
        <v>0</v>
      </c>
      <c r="R24" s="433">
        <f t="shared" si="13"/>
        <v>0</v>
      </c>
      <c r="S24" s="435">
        <f t="shared" si="14"/>
        <v>0</v>
      </c>
      <c r="T24" s="436">
        <f t="shared" si="15"/>
        <v>0</v>
      </c>
      <c r="U24" s="438">
        <f t="shared" si="16"/>
        <v>0</v>
      </c>
    </row>
    <row r="25" spans="1:24" x14ac:dyDescent="0.2">
      <c r="A25" s="33">
        <f t="shared" si="0"/>
        <v>2012</v>
      </c>
      <c r="B25" s="403">
        <v>0</v>
      </c>
      <c r="C25" s="64">
        <f t="shared" si="1"/>
        <v>0</v>
      </c>
      <c r="D25" s="72">
        <f t="shared" si="2"/>
        <v>0</v>
      </c>
      <c r="E25" s="72">
        <f t="shared" si="2"/>
        <v>0</v>
      </c>
      <c r="F25" s="72">
        <f t="shared" si="2"/>
        <v>0</v>
      </c>
      <c r="G25" s="72">
        <f t="shared" si="3"/>
        <v>0</v>
      </c>
      <c r="H25" s="72">
        <f t="shared" si="3"/>
        <v>0</v>
      </c>
      <c r="I25" s="72">
        <f t="shared" si="4"/>
        <v>0</v>
      </c>
      <c r="J25" s="61">
        <f t="shared" si="5"/>
        <v>0</v>
      </c>
      <c r="K25" s="61">
        <f t="shared" si="6"/>
        <v>0</v>
      </c>
      <c r="L25" s="61">
        <f t="shared" si="7"/>
        <v>0</v>
      </c>
      <c r="M25" s="61">
        <f t="shared" si="8"/>
        <v>0</v>
      </c>
      <c r="N25" s="54">
        <f t="shared" si="9"/>
        <v>0</v>
      </c>
      <c r="O25" s="54">
        <f t="shared" si="10"/>
        <v>0</v>
      </c>
      <c r="P25" s="54">
        <f t="shared" si="11"/>
        <v>0</v>
      </c>
      <c r="Q25" s="54">
        <f t="shared" si="12"/>
        <v>0</v>
      </c>
      <c r="R25" s="433">
        <f t="shared" si="13"/>
        <v>0</v>
      </c>
      <c r="S25" s="435">
        <f t="shared" si="14"/>
        <v>0</v>
      </c>
      <c r="T25" s="436">
        <f t="shared" si="15"/>
        <v>0</v>
      </c>
      <c r="U25" s="438">
        <f t="shared" si="16"/>
        <v>0</v>
      </c>
    </row>
    <row r="26" spans="1:24" x14ac:dyDescent="0.2">
      <c r="A26" s="33">
        <f t="shared" si="0"/>
        <v>2013</v>
      </c>
      <c r="B26" s="403">
        <v>0</v>
      </c>
      <c r="C26" s="64">
        <f t="shared" si="1"/>
        <v>0</v>
      </c>
      <c r="D26" s="72">
        <f t="shared" si="2"/>
        <v>0</v>
      </c>
      <c r="E26" s="72">
        <f t="shared" si="2"/>
        <v>0</v>
      </c>
      <c r="F26" s="72">
        <f t="shared" si="2"/>
        <v>0</v>
      </c>
      <c r="G26" s="72">
        <f t="shared" si="3"/>
        <v>0</v>
      </c>
      <c r="H26" s="72">
        <f t="shared" si="3"/>
        <v>0</v>
      </c>
      <c r="I26" s="72">
        <f t="shared" si="4"/>
        <v>0</v>
      </c>
      <c r="J26" s="61">
        <f t="shared" si="5"/>
        <v>0</v>
      </c>
      <c r="K26" s="61">
        <f t="shared" si="6"/>
        <v>0</v>
      </c>
      <c r="L26" s="61">
        <f t="shared" si="7"/>
        <v>0</v>
      </c>
      <c r="M26" s="61">
        <f t="shared" si="8"/>
        <v>0</v>
      </c>
      <c r="N26" s="54">
        <f t="shared" si="9"/>
        <v>0</v>
      </c>
      <c r="O26" s="54">
        <f t="shared" si="10"/>
        <v>0</v>
      </c>
      <c r="P26" s="54">
        <f t="shared" si="11"/>
        <v>0</v>
      </c>
      <c r="Q26" s="54">
        <f t="shared" si="12"/>
        <v>0</v>
      </c>
      <c r="R26" s="433">
        <f t="shared" si="13"/>
        <v>0</v>
      </c>
      <c r="S26" s="435">
        <f t="shared" si="14"/>
        <v>0</v>
      </c>
      <c r="T26" s="436">
        <f t="shared" si="15"/>
        <v>0</v>
      </c>
      <c r="U26" s="438">
        <f t="shared" si="16"/>
        <v>0</v>
      </c>
    </row>
    <row r="27" spans="1:24" x14ac:dyDescent="0.2">
      <c r="A27" s="33">
        <f t="shared" si="0"/>
        <v>2014</v>
      </c>
      <c r="B27" s="403">
        <v>0</v>
      </c>
      <c r="C27" s="64">
        <f t="shared" si="1"/>
        <v>0</v>
      </c>
      <c r="D27" s="72">
        <f t="shared" si="2"/>
        <v>0</v>
      </c>
      <c r="E27" s="72">
        <f t="shared" si="2"/>
        <v>0</v>
      </c>
      <c r="F27" s="72">
        <f t="shared" si="2"/>
        <v>0</v>
      </c>
      <c r="G27" s="72">
        <f t="shared" si="3"/>
        <v>0</v>
      </c>
      <c r="H27" s="72">
        <f t="shared" si="3"/>
        <v>0</v>
      </c>
      <c r="I27" s="72">
        <f t="shared" si="4"/>
        <v>0</v>
      </c>
      <c r="J27" s="61">
        <f t="shared" si="5"/>
        <v>0</v>
      </c>
      <c r="K27" s="61">
        <f t="shared" si="6"/>
        <v>0</v>
      </c>
      <c r="L27" s="61">
        <f t="shared" si="7"/>
        <v>0</v>
      </c>
      <c r="M27" s="61">
        <f t="shared" si="8"/>
        <v>0</v>
      </c>
      <c r="N27" s="54">
        <f t="shared" si="9"/>
        <v>0</v>
      </c>
      <c r="O27" s="54">
        <f t="shared" si="10"/>
        <v>0</v>
      </c>
      <c r="P27" s="54">
        <f t="shared" si="11"/>
        <v>0</v>
      </c>
      <c r="Q27" s="54">
        <f t="shared" si="12"/>
        <v>0</v>
      </c>
      <c r="R27" s="433">
        <f t="shared" si="13"/>
        <v>0</v>
      </c>
      <c r="S27" s="435">
        <f t="shared" si="14"/>
        <v>0</v>
      </c>
      <c r="T27" s="436">
        <f t="shared" si="15"/>
        <v>0</v>
      </c>
      <c r="U27" s="438">
        <f t="shared" si="16"/>
        <v>0</v>
      </c>
    </row>
    <row r="28" spans="1:24" x14ac:dyDescent="0.2">
      <c r="A28" s="33">
        <f t="shared" si="0"/>
        <v>2015</v>
      </c>
      <c r="B28" s="403">
        <v>0</v>
      </c>
      <c r="C28" s="64">
        <f t="shared" si="1"/>
        <v>0</v>
      </c>
      <c r="D28" s="72">
        <f t="shared" si="2"/>
        <v>0</v>
      </c>
      <c r="E28" s="72">
        <f t="shared" si="2"/>
        <v>0</v>
      </c>
      <c r="F28" s="72">
        <f t="shared" si="2"/>
        <v>0</v>
      </c>
      <c r="G28" s="72">
        <f t="shared" si="3"/>
        <v>0</v>
      </c>
      <c r="H28" s="72">
        <f t="shared" si="3"/>
        <v>0</v>
      </c>
      <c r="I28" s="72">
        <f t="shared" si="4"/>
        <v>0</v>
      </c>
      <c r="J28" s="61">
        <f t="shared" si="5"/>
        <v>0</v>
      </c>
      <c r="K28" s="61">
        <f t="shared" si="6"/>
        <v>0</v>
      </c>
      <c r="L28" s="61">
        <f t="shared" si="7"/>
        <v>0</v>
      </c>
      <c r="M28" s="61">
        <f t="shared" si="8"/>
        <v>0</v>
      </c>
      <c r="N28" s="54">
        <f t="shared" si="9"/>
        <v>0</v>
      </c>
      <c r="O28" s="54">
        <f t="shared" si="10"/>
        <v>0</v>
      </c>
      <c r="P28" s="54">
        <f t="shared" si="11"/>
        <v>0</v>
      </c>
      <c r="Q28" s="54">
        <f t="shared" si="12"/>
        <v>0</v>
      </c>
      <c r="R28" s="433">
        <f t="shared" si="13"/>
        <v>0</v>
      </c>
      <c r="S28" s="435">
        <f t="shared" si="14"/>
        <v>0</v>
      </c>
      <c r="T28" s="436">
        <f t="shared" si="15"/>
        <v>0</v>
      </c>
      <c r="U28" s="438">
        <f t="shared" si="16"/>
        <v>0</v>
      </c>
    </row>
    <row r="29" spans="1:24" x14ac:dyDescent="0.2">
      <c r="A29" s="33">
        <f t="shared" si="0"/>
        <v>2016</v>
      </c>
      <c r="B29" s="403">
        <v>0</v>
      </c>
      <c r="C29" s="64">
        <f t="shared" si="1"/>
        <v>0</v>
      </c>
      <c r="D29" s="72">
        <f t="shared" si="2"/>
        <v>0</v>
      </c>
      <c r="E29" s="72">
        <f t="shared" si="2"/>
        <v>0</v>
      </c>
      <c r="F29" s="72">
        <f t="shared" si="2"/>
        <v>0</v>
      </c>
      <c r="G29" s="72">
        <f t="shared" si="3"/>
        <v>0</v>
      </c>
      <c r="H29" s="72">
        <f t="shared" si="3"/>
        <v>0</v>
      </c>
      <c r="I29" s="72">
        <f t="shared" si="4"/>
        <v>0</v>
      </c>
      <c r="J29" s="61">
        <f t="shared" si="5"/>
        <v>0</v>
      </c>
      <c r="K29" s="61">
        <f t="shared" si="6"/>
        <v>0</v>
      </c>
      <c r="L29" s="61">
        <f t="shared" si="7"/>
        <v>0</v>
      </c>
      <c r="M29" s="61">
        <f t="shared" si="8"/>
        <v>0</v>
      </c>
      <c r="N29" s="54">
        <f t="shared" si="9"/>
        <v>0</v>
      </c>
      <c r="O29" s="54">
        <f t="shared" si="10"/>
        <v>0</v>
      </c>
      <c r="P29" s="54">
        <f t="shared" si="11"/>
        <v>0</v>
      </c>
      <c r="Q29" s="54">
        <f t="shared" si="12"/>
        <v>0</v>
      </c>
      <c r="R29" s="433">
        <f t="shared" si="13"/>
        <v>0</v>
      </c>
      <c r="S29" s="435">
        <f t="shared" si="14"/>
        <v>0</v>
      </c>
      <c r="T29" s="436">
        <f t="shared" si="15"/>
        <v>0</v>
      </c>
      <c r="U29" s="438">
        <f t="shared" si="16"/>
        <v>0</v>
      </c>
    </row>
    <row r="30" spans="1:24" x14ac:dyDescent="0.2">
      <c r="A30" s="33">
        <f t="shared" si="0"/>
        <v>2017</v>
      </c>
      <c r="B30" s="403">
        <v>0</v>
      </c>
      <c r="C30" s="64">
        <f t="shared" si="1"/>
        <v>0</v>
      </c>
      <c r="D30" s="72">
        <f t="shared" si="2"/>
        <v>0</v>
      </c>
      <c r="E30" s="72">
        <f t="shared" si="2"/>
        <v>0</v>
      </c>
      <c r="F30" s="72">
        <f t="shared" si="2"/>
        <v>0</v>
      </c>
      <c r="G30" s="72">
        <f t="shared" si="3"/>
        <v>0</v>
      </c>
      <c r="H30" s="72">
        <f t="shared" si="3"/>
        <v>0</v>
      </c>
      <c r="I30" s="72">
        <f t="shared" si="4"/>
        <v>0</v>
      </c>
      <c r="J30" s="61">
        <f t="shared" si="5"/>
        <v>0</v>
      </c>
      <c r="K30" s="61">
        <f t="shared" si="6"/>
        <v>0</v>
      </c>
      <c r="L30" s="61">
        <f t="shared" si="7"/>
        <v>0</v>
      </c>
      <c r="M30" s="61">
        <f t="shared" si="8"/>
        <v>0</v>
      </c>
      <c r="N30" s="54">
        <f t="shared" si="9"/>
        <v>0</v>
      </c>
      <c r="O30" s="54">
        <f t="shared" si="10"/>
        <v>0</v>
      </c>
      <c r="P30" s="54">
        <f t="shared" si="11"/>
        <v>0</v>
      </c>
      <c r="Q30" s="54">
        <f t="shared" si="12"/>
        <v>0</v>
      </c>
      <c r="R30" s="433">
        <f t="shared" si="13"/>
        <v>0</v>
      </c>
      <c r="S30" s="435">
        <f t="shared" si="14"/>
        <v>0</v>
      </c>
      <c r="T30" s="436">
        <f t="shared" si="15"/>
        <v>0</v>
      </c>
      <c r="U30" s="438">
        <f t="shared" si="16"/>
        <v>0</v>
      </c>
    </row>
    <row r="31" spans="1:24" x14ac:dyDescent="0.2">
      <c r="A31" s="33">
        <f t="shared" si="0"/>
        <v>2018</v>
      </c>
      <c r="B31" s="403">
        <v>0</v>
      </c>
      <c r="C31" s="64">
        <f t="shared" si="1"/>
        <v>0</v>
      </c>
      <c r="D31" s="72">
        <f t="shared" si="2"/>
        <v>0</v>
      </c>
      <c r="E31" s="72">
        <f t="shared" si="2"/>
        <v>0</v>
      </c>
      <c r="F31" s="72">
        <f t="shared" si="2"/>
        <v>0</v>
      </c>
      <c r="G31" s="72">
        <f t="shared" si="3"/>
        <v>0</v>
      </c>
      <c r="H31" s="72">
        <f t="shared" si="3"/>
        <v>0</v>
      </c>
      <c r="I31" s="72">
        <f t="shared" si="4"/>
        <v>0</v>
      </c>
      <c r="J31" s="61">
        <f t="shared" si="5"/>
        <v>0</v>
      </c>
      <c r="K31" s="61">
        <f t="shared" si="6"/>
        <v>0</v>
      </c>
      <c r="L31" s="61">
        <f t="shared" si="7"/>
        <v>0</v>
      </c>
      <c r="M31" s="61">
        <f t="shared" si="8"/>
        <v>0</v>
      </c>
      <c r="N31" s="54">
        <f t="shared" si="9"/>
        <v>0</v>
      </c>
      <c r="O31" s="54">
        <f t="shared" si="10"/>
        <v>0</v>
      </c>
      <c r="P31" s="54">
        <f t="shared" si="11"/>
        <v>0</v>
      </c>
      <c r="Q31" s="54">
        <f t="shared" si="12"/>
        <v>0</v>
      </c>
      <c r="R31" s="433">
        <f t="shared" si="13"/>
        <v>0</v>
      </c>
      <c r="S31" s="435">
        <f t="shared" si="14"/>
        <v>0</v>
      </c>
      <c r="T31" s="436">
        <f t="shared" si="15"/>
        <v>0</v>
      </c>
      <c r="U31" s="438">
        <f t="shared" si="16"/>
        <v>0</v>
      </c>
    </row>
    <row r="32" spans="1:24" x14ac:dyDescent="0.2">
      <c r="A32" s="33">
        <f t="shared" si="0"/>
        <v>2019</v>
      </c>
      <c r="B32" s="403">
        <v>0</v>
      </c>
      <c r="C32" s="64">
        <f t="shared" si="1"/>
        <v>0</v>
      </c>
      <c r="D32" s="72">
        <f t="shared" si="2"/>
        <v>0</v>
      </c>
      <c r="E32" s="72">
        <f t="shared" si="2"/>
        <v>0</v>
      </c>
      <c r="F32" s="72">
        <f t="shared" si="2"/>
        <v>0</v>
      </c>
      <c r="G32" s="72">
        <f t="shared" si="3"/>
        <v>0</v>
      </c>
      <c r="H32" s="72">
        <f t="shared" si="3"/>
        <v>0</v>
      </c>
      <c r="I32" s="72">
        <f t="shared" si="4"/>
        <v>0</v>
      </c>
      <c r="J32" s="61">
        <f t="shared" si="5"/>
        <v>0</v>
      </c>
      <c r="K32" s="61">
        <f t="shared" si="6"/>
        <v>0</v>
      </c>
      <c r="L32" s="61">
        <f t="shared" si="7"/>
        <v>0</v>
      </c>
      <c r="M32" s="61">
        <f t="shared" si="8"/>
        <v>0</v>
      </c>
      <c r="N32" s="54">
        <f t="shared" si="9"/>
        <v>0</v>
      </c>
      <c r="O32" s="54">
        <f t="shared" si="10"/>
        <v>0</v>
      </c>
      <c r="P32" s="54">
        <f t="shared" si="11"/>
        <v>0</v>
      </c>
      <c r="Q32" s="54">
        <f t="shared" si="12"/>
        <v>0</v>
      </c>
      <c r="R32" s="433">
        <f t="shared" si="13"/>
        <v>0</v>
      </c>
      <c r="S32" s="435">
        <f t="shared" si="14"/>
        <v>0</v>
      </c>
      <c r="T32" s="436">
        <f t="shared" si="15"/>
        <v>0</v>
      </c>
      <c r="U32" s="438">
        <f t="shared" si="16"/>
        <v>0</v>
      </c>
    </row>
    <row r="33" spans="1:21" x14ac:dyDescent="0.2">
      <c r="A33" s="33">
        <f t="shared" si="0"/>
        <v>2020</v>
      </c>
      <c r="B33" s="403">
        <v>0</v>
      </c>
      <c r="C33" s="64">
        <f t="shared" si="1"/>
        <v>0</v>
      </c>
      <c r="D33" s="72">
        <f t="shared" si="2"/>
        <v>0</v>
      </c>
      <c r="E33" s="72">
        <f t="shared" si="2"/>
        <v>0</v>
      </c>
      <c r="F33" s="72">
        <f t="shared" si="2"/>
        <v>0</v>
      </c>
      <c r="G33" s="72">
        <f t="shared" si="3"/>
        <v>0</v>
      </c>
      <c r="H33" s="72">
        <f t="shared" si="3"/>
        <v>0</v>
      </c>
      <c r="I33" s="72">
        <f t="shared" si="4"/>
        <v>0</v>
      </c>
      <c r="J33" s="61">
        <f t="shared" si="5"/>
        <v>0</v>
      </c>
      <c r="K33" s="61">
        <f t="shared" si="6"/>
        <v>0</v>
      </c>
      <c r="L33" s="61">
        <f t="shared" si="7"/>
        <v>0</v>
      </c>
      <c r="M33" s="61">
        <f t="shared" si="8"/>
        <v>0</v>
      </c>
      <c r="N33" s="54">
        <f t="shared" si="9"/>
        <v>0</v>
      </c>
      <c r="O33" s="54">
        <f t="shared" si="10"/>
        <v>0</v>
      </c>
      <c r="P33" s="54">
        <f t="shared" si="11"/>
        <v>0</v>
      </c>
      <c r="Q33" s="54">
        <f t="shared" si="12"/>
        <v>0</v>
      </c>
      <c r="R33" s="433">
        <f t="shared" si="13"/>
        <v>0</v>
      </c>
      <c r="S33" s="435">
        <f t="shared" si="14"/>
        <v>0</v>
      </c>
      <c r="T33" s="436">
        <f t="shared" si="15"/>
        <v>0</v>
      </c>
      <c r="U33" s="438">
        <f t="shared" si="16"/>
        <v>0</v>
      </c>
    </row>
    <row r="34" spans="1:21" x14ac:dyDescent="0.2">
      <c r="A34" s="33">
        <f t="shared" si="0"/>
        <v>2021</v>
      </c>
      <c r="B34" s="403">
        <v>0</v>
      </c>
      <c r="C34" s="64">
        <f t="shared" si="1"/>
        <v>0</v>
      </c>
      <c r="D34" s="72">
        <f t="shared" si="2"/>
        <v>0</v>
      </c>
      <c r="E34" s="72">
        <f t="shared" si="2"/>
        <v>0</v>
      </c>
      <c r="F34" s="72">
        <f t="shared" si="2"/>
        <v>0</v>
      </c>
      <c r="G34" s="72">
        <f t="shared" si="3"/>
        <v>0</v>
      </c>
      <c r="H34" s="72">
        <f t="shared" si="3"/>
        <v>0</v>
      </c>
      <c r="I34" s="72">
        <f t="shared" si="4"/>
        <v>0</v>
      </c>
      <c r="J34" s="61">
        <f t="shared" si="5"/>
        <v>0</v>
      </c>
      <c r="K34" s="61">
        <f t="shared" si="6"/>
        <v>0</v>
      </c>
      <c r="L34" s="61">
        <f t="shared" si="7"/>
        <v>0</v>
      </c>
      <c r="M34" s="61">
        <f t="shared" si="8"/>
        <v>0</v>
      </c>
      <c r="N34" s="54">
        <f t="shared" si="9"/>
        <v>0</v>
      </c>
      <c r="O34" s="54">
        <f t="shared" si="10"/>
        <v>0</v>
      </c>
      <c r="P34" s="54">
        <f t="shared" si="11"/>
        <v>0</v>
      </c>
      <c r="Q34" s="54">
        <f t="shared" si="12"/>
        <v>0</v>
      </c>
      <c r="R34" s="433">
        <f t="shared" si="13"/>
        <v>0</v>
      </c>
      <c r="S34" s="435">
        <f t="shared" si="14"/>
        <v>0</v>
      </c>
      <c r="T34" s="436">
        <f t="shared" si="15"/>
        <v>0</v>
      </c>
      <c r="U34" s="438">
        <f t="shared" si="16"/>
        <v>0</v>
      </c>
    </row>
    <row r="35" spans="1:21" x14ac:dyDescent="0.2">
      <c r="A35" s="33">
        <f t="shared" si="0"/>
        <v>2022</v>
      </c>
      <c r="B35" s="403">
        <v>0</v>
      </c>
      <c r="C35" s="64">
        <f t="shared" si="1"/>
        <v>0</v>
      </c>
      <c r="D35" s="72">
        <f t="shared" si="2"/>
        <v>0</v>
      </c>
      <c r="E35" s="72">
        <f t="shared" si="2"/>
        <v>0</v>
      </c>
      <c r="F35" s="72">
        <f t="shared" si="2"/>
        <v>0</v>
      </c>
      <c r="G35" s="72">
        <f t="shared" si="3"/>
        <v>0</v>
      </c>
      <c r="H35" s="72">
        <f t="shared" si="3"/>
        <v>0</v>
      </c>
      <c r="I35" s="72">
        <f t="shared" si="4"/>
        <v>0</v>
      </c>
      <c r="J35" s="61">
        <f t="shared" si="5"/>
        <v>0</v>
      </c>
      <c r="K35" s="61">
        <f t="shared" si="6"/>
        <v>0</v>
      </c>
      <c r="L35" s="61">
        <f t="shared" si="7"/>
        <v>0</v>
      </c>
      <c r="M35" s="61">
        <f t="shared" si="8"/>
        <v>0</v>
      </c>
      <c r="N35" s="54">
        <f t="shared" si="9"/>
        <v>0</v>
      </c>
      <c r="O35" s="54">
        <f t="shared" si="10"/>
        <v>0</v>
      </c>
      <c r="P35" s="54">
        <f t="shared" si="11"/>
        <v>0</v>
      </c>
      <c r="Q35" s="54">
        <f t="shared" si="12"/>
        <v>0</v>
      </c>
      <c r="R35" s="433">
        <f t="shared" si="13"/>
        <v>0</v>
      </c>
      <c r="S35" s="435">
        <f t="shared" si="14"/>
        <v>0</v>
      </c>
      <c r="T35" s="436">
        <f t="shared" si="15"/>
        <v>0</v>
      </c>
      <c r="U35" s="438">
        <f t="shared" si="16"/>
        <v>0</v>
      </c>
    </row>
    <row r="36" spans="1:21" x14ac:dyDescent="0.2">
      <c r="A36" s="33">
        <f t="shared" si="0"/>
        <v>2023</v>
      </c>
      <c r="B36" s="403">
        <v>0</v>
      </c>
      <c r="C36" s="64">
        <f t="shared" si="1"/>
        <v>0</v>
      </c>
      <c r="D36" s="72">
        <f t="shared" si="2"/>
        <v>0</v>
      </c>
      <c r="E36" s="72">
        <f t="shared" si="2"/>
        <v>0</v>
      </c>
      <c r="F36" s="72">
        <f t="shared" si="2"/>
        <v>0</v>
      </c>
      <c r="G36" s="72">
        <f t="shared" si="3"/>
        <v>0</v>
      </c>
      <c r="H36" s="72">
        <f t="shared" si="3"/>
        <v>0</v>
      </c>
      <c r="I36" s="72">
        <f t="shared" si="4"/>
        <v>0</v>
      </c>
      <c r="J36" s="61">
        <f t="shared" si="5"/>
        <v>0</v>
      </c>
      <c r="K36" s="61">
        <f t="shared" si="6"/>
        <v>0</v>
      </c>
      <c r="L36" s="61">
        <f t="shared" si="7"/>
        <v>0</v>
      </c>
      <c r="M36" s="61">
        <f t="shared" si="8"/>
        <v>0</v>
      </c>
      <c r="N36" s="54">
        <f t="shared" si="9"/>
        <v>0</v>
      </c>
      <c r="O36" s="54">
        <f t="shared" si="10"/>
        <v>0</v>
      </c>
      <c r="P36" s="54">
        <f t="shared" si="11"/>
        <v>0</v>
      </c>
      <c r="Q36" s="54">
        <f t="shared" si="12"/>
        <v>0</v>
      </c>
      <c r="R36" s="433">
        <f t="shared" si="13"/>
        <v>0</v>
      </c>
      <c r="S36" s="435">
        <f t="shared" si="14"/>
        <v>0</v>
      </c>
      <c r="T36" s="436">
        <f t="shared" si="15"/>
        <v>0</v>
      </c>
      <c r="U36" s="438">
        <f t="shared" si="16"/>
        <v>0</v>
      </c>
    </row>
    <row r="37" spans="1:21" x14ac:dyDescent="0.2">
      <c r="A37" s="447">
        <f t="shared" si="0"/>
        <v>2024</v>
      </c>
      <c r="B37" s="403">
        <v>0</v>
      </c>
      <c r="C37" s="64">
        <f t="shared" si="1"/>
        <v>0</v>
      </c>
      <c r="D37" s="72">
        <f t="shared" si="2"/>
        <v>0</v>
      </c>
      <c r="E37" s="72">
        <f t="shared" si="2"/>
        <v>0</v>
      </c>
      <c r="F37" s="72">
        <f t="shared" si="2"/>
        <v>0</v>
      </c>
      <c r="G37" s="72">
        <f t="shared" si="3"/>
        <v>0</v>
      </c>
      <c r="H37" s="72">
        <f t="shared" si="3"/>
        <v>0</v>
      </c>
      <c r="I37" s="72">
        <f t="shared" si="4"/>
        <v>0</v>
      </c>
      <c r="J37" s="61">
        <f t="shared" si="5"/>
        <v>0</v>
      </c>
      <c r="K37" s="61">
        <f t="shared" si="6"/>
        <v>0</v>
      </c>
      <c r="L37" s="61">
        <f t="shared" si="7"/>
        <v>0</v>
      </c>
      <c r="M37" s="61">
        <f t="shared" si="8"/>
        <v>0</v>
      </c>
      <c r="N37" s="54">
        <f t="shared" si="9"/>
        <v>0</v>
      </c>
      <c r="O37" s="54">
        <f t="shared" si="10"/>
        <v>0</v>
      </c>
      <c r="P37" s="54">
        <f t="shared" si="11"/>
        <v>0</v>
      </c>
      <c r="Q37" s="54">
        <f t="shared" si="12"/>
        <v>0</v>
      </c>
      <c r="R37" s="433">
        <f t="shared" si="13"/>
        <v>0</v>
      </c>
      <c r="S37" s="435">
        <f t="shared" si="14"/>
        <v>0</v>
      </c>
      <c r="T37" s="436">
        <f t="shared" si="15"/>
        <v>0</v>
      </c>
      <c r="U37" s="438">
        <f t="shared" si="16"/>
        <v>0</v>
      </c>
    </row>
    <row r="38" spans="1:21" x14ac:dyDescent="0.2">
      <c r="A38" s="447">
        <f t="shared" si="0"/>
        <v>2025</v>
      </c>
      <c r="B38" s="403">
        <v>0</v>
      </c>
      <c r="C38" s="64">
        <f t="shared" si="1"/>
        <v>0</v>
      </c>
      <c r="D38" s="72">
        <f t="shared" si="2"/>
        <v>0</v>
      </c>
      <c r="E38" s="72">
        <f t="shared" si="2"/>
        <v>0</v>
      </c>
      <c r="F38" s="72">
        <f t="shared" si="2"/>
        <v>0</v>
      </c>
      <c r="G38" s="72">
        <f t="shared" si="3"/>
        <v>0</v>
      </c>
      <c r="H38" s="72">
        <f t="shared" si="3"/>
        <v>0</v>
      </c>
      <c r="I38" s="72">
        <f t="shared" si="4"/>
        <v>0</v>
      </c>
      <c r="J38" s="61">
        <f t="shared" si="5"/>
        <v>0</v>
      </c>
      <c r="K38" s="61">
        <f t="shared" si="6"/>
        <v>0</v>
      </c>
      <c r="L38" s="61">
        <f t="shared" si="7"/>
        <v>0</v>
      </c>
      <c r="M38" s="61">
        <f t="shared" si="8"/>
        <v>0</v>
      </c>
      <c r="N38" s="54">
        <f t="shared" si="9"/>
        <v>0</v>
      </c>
      <c r="O38" s="54">
        <f t="shared" si="10"/>
        <v>0</v>
      </c>
      <c r="P38" s="54">
        <f t="shared" si="11"/>
        <v>0</v>
      </c>
      <c r="Q38" s="54">
        <f t="shared" si="12"/>
        <v>0</v>
      </c>
      <c r="R38" s="433">
        <f t="shared" si="13"/>
        <v>0</v>
      </c>
      <c r="S38" s="435">
        <f t="shared" si="14"/>
        <v>0</v>
      </c>
      <c r="T38" s="436">
        <f t="shared" si="15"/>
        <v>0</v>
      </c>
      <c r="U38" s="438">
        <f t="shared" si="16"/>
        <v>0</v>
      </c>
    </row>
    <row r="39" spans="1:21" x14ac:dyDescent="0.2">
      <c r="A39" s="447">
        <f t="shared" si="0"/>
        <v>2026</v>
      </c>
      <c r="B39" s="403">
        <v>0</v>
      </c>
      <c r="C39" s="64">
        <f t="shared" si="1"/>
        <v>0</v>
      </c>
      <c r="D39" s="72">
        <f t="shared" ref="D39:F42" si="17">+D38</f>
        <v>0</v>
      </c>
      <c r="E39" s="72">
        <f t="shared" si="17"/>
        <v>0</v>
      </c>
      <c r="F39" s="72">
        <f t="shared" si="17"/>
        <v>0</v>
      </c>
      <c r="G39" s="72">
        <f t="shared" si="3"/>
        <v>0</v>
      </c>
      <c r="H39" s="72">
        <f t="shared" si="3"/>
        <v>0</v>
      </c>
      <c r="I39" s="72">
        <f t="shared" si="4"/>
        <v>0</v>
      </c>
      <c r="J39" s="61">
        <f t="shared" si="5"/>
        <v>0</v>
      </c>
      <c r="K39" s="61">
        <f t="shared" si="6"/>
        <v>0</v>
      </c>
      <c r="L39" s="61">
        <f t="shared" si="7"/>
        <v>0</v>
      </c>
      <c r="M39" s="61">
        <f t="shared" si="8"/>
        <v>0</v>
      </c>
      <c r="N39" s="54">
        <f t="shared" si="9"/>
        <v>0</v>
      </c>
      <c r="O39" s="54">
        <f t="shared" si="10"/>
        <v>0</v>
      </c>
      <c r="P39" s="54">
        <f t="shared" si="11"/>
        <v>0</v>
      </c>
      <c r="Q39" s="54">
        <f t="shared" si="12"/>
        <v>0</v>
      </c>
      <c r="R39" s="433">
        <f>+(B39+B38)/2</f>
        <v>0</v>
      </c>
      <c r="S39" s="435">
        <f>+F39</f>
        <v>0</v>
      </c>
      <c r="T39" s="436">
        <f>+R39*S39/1000000</f>
        <v>0</v>
      </c>
      <c r="U39" s="438">
        <f t="shared" si="16"/>
        <v>0</v>
      </c>
    </row>
    <row r="40" spans="1:21" x14ac:dyDescent="0.2">
      <c r="A40" s="447">
        <f>+A39+1</f>
        <v>2027</v>
      </c>
      <c r="B40" s="403">
        <v>0</v>
      </c>
      <c r="C40" s="64">
        <f>+C39+B40</f>
        <v>0</v>
      </c>
      <c r="D40" s="72">
        <f t="shared" si="17"/>
        <v>0</v>
      </c>
      <c r="E40" s="72">
        <f t="shared" si="17"/>
        <v>0</v>
      </c>
      <c r="F40" s="72">
        <f t="shared" si="17"/>
        <v>0</v>
      </c>
      <c r="G40" s="72">
        <f t="shared" ref="G40:H42" si="18">+$B40*D40/1000</f>
        <v>0</v>
      </c>
      <c r="H40" s="72">
        <f t="shared" si="18"/>
        <v>0</v>
      </c>
      <c r="I40" s="72">
        <f>+$B40*F40/1000000</f>
        <v>0</v>
      </c>
      <c r="J40" s="61">
        <f>+(B40+B39)/2</f>
        <v>0</v>
      </c>
      <c r="K40" s="61">
        <f>+D40</f>
        <v>0</v>
      </c>
      <c r="L40" s="61">
        <f>+J40*K40/1000</f>
        <v>0</v>
      </c>
      <c r="M40" s="61">
        <f>+M39+L40</f>
        <v>0</v>
      </c>
      <c r="N40" s="54">
        <f>+B39</f>
        <v>0</v>
      </c>
      <c r="O40" s="54">
        <f>+E40</f>
        <v>0</v>
      </c>
      <c r="P40" s="54">
        <f>+N40*O40/1000</f>
        <v>0</v>
      </c>
      <c r="Q40" s="54">
        <f>+Q39+P40</f>
        <v>0</v>
      </c>
      <c r="R40" s="433">
        <f>+(B40+B39)/2</f>
        <v>0</v>
      </c>
      <c r="S40" s="435">
        <f>+F40</f>
        <v>0</v>
      </c>
      <c r="T40" s="436">
        <f>+R40*S40/1000000</f>
        <v>0</v>
      </c>
      <c r="U40" s="438">
        <f>+U39+T40</f>
        <v>0</v>
      </c>
    </row>
    <row r="41" spans="1:21" x14ac:dyDescent="0.2">
      <c r="A41" s="447">
        <f t="shared" si="0"/>
        <v>2028</v>
      </c>
      <c r="B41" s="403">
        <v>0</v>
      </c>
      <c r="C41" s="64">
        <f>+C40+B41</f>
        <v>0</v>
      </c>
      <c r="D41" s="72">
        <f>+D40</f>
        <v>0</v>
      </c>
      <c r="E41" s="72">
        <f>+E40</f>
        <v>0</v>
      </c>
      <c r="F41" s="72">
        <f>+F40</f>
        <v>0</v>
      </c>
      <c r="G41" s="72">
        <f t="shared" si="18"/>
        <v>0</v>
      </c>
      <c r="H41" s="72">
        <f t="shared" si="18"/>
        <v>0</v>
      </c>
      <c r="I41" s="72">
        <f>+$B41*F41/1000000</f>
        <v>0</v>
      </c>
      <c r="J41" s="61">
        <f>+(B41+B40)/2</f>
        <v>0</v>
      </c>
      <c r="K41" s="61">
        <f>+D41</f>
        <v>0</v>
      </c>
      <c r="L41" s="61">
        <f>+J41*K41/1000</f>
        <v>0</v>
      </c>
      <c r="M41" s="61">
        <f>+M40+L41</f>
        <v>0</v>
      </c>
      <c r="N41" s="54">
        <f>+B40</f>
        <v>0</v>
      </c>
      <c r="O41" s="54">
        <f>+E41</f>
        <v>0</v>
      </c>
      <c r="P41" s="54">
        <f>+N41*O41/1000</f>
        <v>0</v>
      </c>
      <c r="Q41" s="54">
        <f>+Q40+P41</f>
        <v>0</v>
      </c>
      <c r="R41" s="433">
        <f>+(B41+B40)/2</f>
        <v>0</v>
      </c>
      <c r="S41" s="435">
        <f>+F41</f>
        <v>0</v>
      </c>
      <c r="T41" s="436">
        <f>+R41*S41/1000000</f>
        <v>0</v>
      </c>
      <c r="U41" s="438">
        <f>+U40+T41</f>
        <v>0</v>
      </c>
    </row>
    <row r="42" spans="1:21" x14ac:dyDescent="0.2">
      <c r="A42" s="447">
        <f t="shared" si="0"/>
        <v>2029</v>
      </c>
      <c r="B42" s="403">
        <v>0</v>
      </c>
      <c r="C42" s="64">
        <f>+C41+B42</f>
        <v>0</v>
      </c>
      <c r="D42" s="72">
        <f t="shared" si="17"/>
        <v>0</v>
      </c>
      <c r="E42" s="72">
        <f t="shared" si="17"/>
        <v>0</v>
      </c>
      <c r="F42" s="72">
        <f t="shared" si="17"/>
        <v>0</v>
      </c>
      <c r="G42" s="72">
        <f t="shared" si="18"/>
        <v>0</v>
      </c>
      <c r="H42" s="72">
        <f t="shared" si="18"/>
        <v>0</v>
      </c>
      <c r="I42" s="72">
        <f>+$B42*F42/1000000</f>
        <v>0</v>
      </c>
      <c r="J42" s="61">
        <f>+(B42+B41)/2</f>
        <v>0</v>
      </c>
      <c r="K42" s="61">
        <f>+D42</f>
        <v>0</v>
      </c>
      <c r="L42" s="61">
        <f>+J42*K42/1000</f>
        <v>0</v>
      </c>
      <c r="M42" s="61">
        <f>+M41+L42</f>
        <v>0</v>
      </c>
      <c r="N42" s="54">
        <f>+B41</f>
        <v>0</v>
      </c>
      <c r="O42" s="54">
        <f>+E42</f>
        <v>0</v>
      </c>
      <c r="P42" s="54">
        <f>+N42*O42/1000</f>
        <v>0</v>
      </c>
      <c r="Q42" s="54">
        <f>+Q41+P42</f>
        <v>0</v>
      </c>
      <c r="R42" s="433">
        <f>+(B42+B41)/2</f>
        <v>0</v>
      </c>
      <c r="S42" s="435">
        <f>+F42</f>
        <v>0</v>
      </c>
      <c r="T42" s="436">
        <f>+R42*S42/1000000</f>
        <v>0</v>
      </c>
      <c r="U42" s="438">
        <f>+U41+T42</f>
        <v>0</v>
      </c>
    </row>
    <row r="43" spans="1:21" x14ac:dyDescent="0.2">
      <c r="A43" s="447">
        <f t="shared" si="0"/>
        <v>2030</v>
      </c>
      <c r="B43" s="403"/>
      <c r="C43" s="64"/>
      <c r="D43" s="72"/>
      <c r="E43" s="72"/>
      <c r="F43" s="72"/>
      <c r="G43" s="72"/>
      <c r="H43" s="72"/>
      <c r="I43" s="72"/>
      <c r="J43" s="61"/>
      <c r="K43" s="61"/>
      <c r="L43" s="61"/>
      <c r="M43" s="61"/>
      <c r="N43" s="54"/>
      <c r="O43" s="54"/>
      <c r="P43" s="54"/>
      <c r="Q43" s="54"/>
      <c r="R43" s="433"/>
      <c r="S43" s="435"/>
      <c r="T43" s="436"/>
      <c r="U43" s="438"/>
    </row>
    <row r="44" spans="1:21" x14ac:dyDescent="0.2">
      <c r="A44" s="447">
        <f t="shared" si="0"/>
        <v>2031</v>
      </c>
      <c r="B44" s="403"/>
      <c r="C44" s="64"/>
      <c r="D44" s="72"/>
      <c r="E44" s="72"/>
      <c r="F44" s="72"/>
      <c r="G44" s="72"/>
      <c r="H44" s="72"/>
      <c r="I44" s="72"/>
      <c r="J44" s="61"/>
      <c r="K44" s="61"/>
      <c r="L44" s="61"/>
      <c r="M44" s="61"/>
      <c r="N44" s="54"/>
      <c r="O44" s="54"/>
      <c r="P44" s="54"/>
      <c r="Q44" s="54"/>
      <c r="R44" s="433"/>
      <c r="S44" s="435"/>
      <c r="T44" s="436"/>
      <c r="U44" s="438"/>
    </row>
    <row r="45" spans="1:21" x14ac:dyDescent="0.2">
      <c r="A45" s="447">
        <f t="shared" si="0"/>
        <v>2032</v>
      </c>
      <c r="B45" s="403"/>
      <c r="C45" s="64"/>
      <c r="D45" s="72"/>
      <c r="E45" s="72"/>
      <c r="F45" s="72"/>
      <c r="G45" s="72"/>
      <c r="H45" s="72"/>
      <c r="I45" s="72"/>
      <c r="J45" s="61"/>
      <c r="K45" s="61"/>
      <c r="L45" s="61"/>
      <c r="M45" s="61"/>
      <c r="N45" s="54"/>
      <c r="O45" s="54"/>
      <c r="P45" s="54"/>
      <c r="Q45" s="54"/>
      <c r="R45" s="433"/>
      <c r="S45" s="435"/>
      <c r="T45" s="436"/>
      <c r="U45" s="438"/>
    </row>
    <row r="46" spans="1:21" x14ac:dyDescent="0.2">
      <c r="A46" s="447">
        <f t="shared" si="0"/>
        <v>2033</v>
      </c>
      <c r="B46" s="403"/>
      <c r="C46" s="64"/>
      <c r="D46" s="72"/>
      <c r="E46" s="72"/>
      <c r="F46" s="72"/>
      <c r="G46" s="72"/>
      <c r="H46" s="72"/>
      <c r="I46" s="72"/>
      <c r="J46" s="61"/>
      <c r="K46" s="61"/>
      <c r="L46" s="61"/>
      <c r="M46" s="61"/>
      <c r="N46" s="54"/>
      <c r="O46" s="54"/>
      <c r="P46" s="54"/>
      <c r="Q46" s="54"/>
      <c r="R46" s="433"/>
      <c r="S46" s="435"/>
      <c r="T46" s="436"/>
      <c r="U46" s="438"/>
    </row>
    <row r="48" spans="1:21" x14ac:dyDescent="0.2">
      <c r="A48" s="69" t="s">
        <v>38</v>
      </c>
    </row>
    <row r="49" spans="1:1" x14ac:dyDescent="0.2">
      <c r="A49" s="69" t="s">
        <v>39</v>
      </c>
    </row>
    <row r="50" spans="1:1" x14ac:dyDescent="0.2">
      <c r="A50" s="86" t="s">
        <v>57</v>
      </c>
    </row>
    <row r="51" spans="1:1" x14ac:dyDescent="0.2">
      <c r="A51" s="86" t="s">
        <v>58</v>
      </c>
    </row>
  </sheetData>
  <mergeCells count="5">
    <mergeCell ref="G3:I3"/>
    <mergeCell ref="B4:I4"/>
    <mergeCell ref="J4:M4"/>
    <mergeCell ref="N4:Q4"/>
    <mergeCell ref="R4:U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N30"/>
  <sheetViews>
    <sheetView topLeftCell="A13" workbookViewId="0">
      <selection activeCell="E19" sqref="E19"/>
    </sheetView>
  </sheetViews>
  <sheetFormatPr defaultRowHeight="12.75" x14ac:dyDescent="0.2"/>
  <cols>
    <col min="1" max="1" width="8.28515625" customWidth="1"/>
    <col min="2" max="2" width="11.7109375" customWidth="1"/>
    <col min="3" max="3" width="14.7109375" customWidth="1"/>
    <col min="4" max="4" width="19.28515625" customWidth="1"/>
    <col min="5" max="5" width="17.28515625" customWidth="1"/>
    <col min="6" max="6" width="20.42578125" customWidth="1"/>
    <col min="7" max="7" width="23.7109375" customWidth="1"/>
    <col min="8" max="8" width="27.28515625" customWidth="1"/>
    <col min="10" max="10" width="10.28515625" bestFit="1" customWidth="1"/>
  </cols>
  <sheetData>
    <row r="1" spans="1:9" x14ac:dyDescent="0.2">
      <c r="A1" s="956" t="s">
        <v>455</v>
      </c>
    </row>
    <row r="2" spans="1:9" x14ac:dyDescent="0.2">
      <c r="A2" s="779" t="s">
        <v>456</v>
      </c>
      <c r="B2" s="760"/>
      <c r="C2" s="760"/>
      <c r="D2" s="760"/>
      <c r="E2" s="760"/>
      <c r="F2" s="760"/>
      <c r="G2" s="760"/>
      <c r="H2" s="760"/>
    </row>
    <row r="3" spans="1:9" ht="13.5" thickBot="1" x14ac:dyDescent="0.25"/>
    <row r="4" spans="1:9" ht="14.25" thickTop="1" thickBot="1" x14ac:dyDescent="0.25">
      <c r="A4" s="1483"/>
      <c r="B4" s="1483"/>
      <c r="C4" s="1495" t="s">
        <v>421</v>
      </c>
      <c r="D4" s="1496"/>
      <c r="E4" s="1496"/>
      <c r="F4" s="1496"/>
      <c r="G4" s="1496"/>
      <c r="H4" s="1186"/>
    </row>
    <row r="5" spans="1:9" ht="14.25" thickTop="1" thickBot="1" x14ac:dyDescent="0.25">
      <c r="A5" s="1483"/>
      <c r="B5" s="1483"/>
      <c r="C5" s="1497"/>
      <c r="D5" s="1498"/>
      <c r="E5" s="1498"/>
      <c r="F5" s="1498"/>
      <c r="G5" s="1498"/>
      <c r="H5" s="1187" t="s">
        <v>422</v>
      </c>
    </row>
    <row r="6" spans="1:9" ht="14.25" thickTop="1" thickBot="1" x14ac:dyDescent="0.25">
      <c r="A6" s="1483"/>
      <c r="B6" s="1483"/>
      <c r="C6" s="1499" t="s">
        <v>423</v>
      </c>
      <c r="D6" s="1500"/>
      <c r="E6" s="1500"/>
      <c r="F6" s="1500"/>
      <c r="G6" s="1501"/>
      <c r="H6" s="1188" t="s">
        <v>424</v>
      </c>
    </row>
    <row r="7" spans="1:9" ht="14.25" thickTop="1" thickBot="1" x14ac:dyDescent="0.25">
      <c r="A7" s="1483"/>
      <c r="B7" s="1483"/>
      <c r="C7" s="1502"/>
      <c r="D7" s="1503"/>
      <c r="E7" s="1503"/>
      <c r="F7" s="1503"/>
      <c r="G7" s="1504"/>
      <c r="H7" s="1188" t="s">
        <v>425</v>
      </c>
    </row>
    <row r="8" spans="1:9" ht="14.25" thickTop="1" thickBot="1" x14ac:dyDescent="0.25">
      <c r="A8" s="1189" t="s">
        <v>426</v>
      </c>
      <c r="B8" s="1189"/>
      <c r="C8" s="1505" t="s">
        <v>427</v>
      </c>
      <c r="D8" s="1506"/>
      <c r="E8" s="1506"/>
      <c r="F8" s="1506"/>
      <c r="G8" s="1506"/>
      <c r="H8" s="1190"/>
    </row>
    <row r="9" spans="1:9" ht="14.25" thickTop="1" thickBot="1" x14ac:dyDescent="0.25">
      <c r="A9" s="1189" t="s">
        <v>428</v>
      </c>
      <c r="B9" s="1189"/>
      <c r="C9" s="1507">
        <v>18454</v>
      </c>
      <c r="D9" s="1507"/>
      <c r="E9" s="1507"/>
      <c r="F9" s="1507"/>
      <c r="G9" s="1189" t="s">
        <v>429</v>
      </c>
      <c r="H9" s="1219">
        <v>2015</v>
      </c>
    </row>
    <row r="10" spans="1:9" ht="16.5" thickTop="1" thickBot="1" x14ac:dyDescent="0.3">
      <c r="A10" s="1494" t="s">
        <v>430</v>
      </c>
      <c r="B10" s="1494"/>
      <c r="C10" s="1494"/>
      <c r="D10" s="1494"/>
      <c r="E10" s="1494"/>
      <c r="F10" s="1494"/>
      <c r="G10" s="1494"/>
      <c r="H10" s="1494"/>
    </row>
    <row r="11" spans="1:9" ht="16.5" thickTop="1" thickBot="1" x14ac:dyDescent="0.3">
      <c r="A11" s="1488" t="s">
        <v>431</v>
      </c>
      <c r="B11" s="1488"/>
      <c r="C11" s="1488"/>
      <c r="D11" s="1488"/>
      <c r="E11" s="1488"/>
      <c r="F11" s="1488"/>
      <c r="G11" s="1488"/>
      <c r="H11" s="1488"/>
    </row>
    <row r="12" spans="1:9" ht="14.25" thickTop="1" thickBot="1" x14ac:dyDescent="0.25">
      <c r="A12" s="1191" t="s">
        <v>432</v>
      </c>
      <c r="B12" s="1192" t="s">
        <v>433</v>
      </c>
      <c r="C12" s="1193" t="s">
        <v>434</v>
      </c>
      <c r="D12" s="1193"/>
      <c r="E12" s="1489"/>
      <c r="F12" s="1490"/>
      <c r="G12" s="1490"/>
      <c r="H12" s="1491"/>
    </row>
    <row r="13" spans="1:9" ht="14.25" thickTop="1" thickBot="1" x14ac:dyDescent="0.25">
      <c r="A13" s="1194"/>
      <c r="B13" s="1189"/>
      <c r="C13" s="1195"/>
      <c r="D13" s="1196" t="s">
        <v>435</v>
      </c>
      <c r="E13" s="1196" t="s">
        <v>436</v>
      </c>
      <c r="F13" s="1197" t="s">
        <v>437</v>
      </c>
      <c r="G13" s="1196" t="s">
        <v>438</v>
      </c>
      <c r="H13" s="1196" t="s">
        <v>439</v>
      </c>
      <c r="I13" s="176"/>
    </row>
    <row r="14" spans="1:9" ht="15.75" thickTop="1" thickBot="1" x14ac:dyDescent="0.25">
      <c r="A14" s="1198"/>
      <c r="B14" s="1198"/>
      <c r="C14" s="1198"/>
      <c r="D14" s="1492" t="s">
        <v>440</v>
      </c>
      <c r="E14" s="1492"/>
      <c r="F14" s="1492"/>
      <c r="G14" s="1492"/>
      <c r="H14" s="1199"/>
    </row>
    <row r="15" spans="1:9" ht="14.25" thickTop="1" thickBot="1" x14ac:dyDescent="0.25">
      <c r="A15" s="1191">
        <v>1</v>
      </c>
      <c r="B15" s="1200" t="s">
        <v>441</v>
      </c>
      <c r="C15" s="1193"/>
      <c r="D15" s="1201"/>
      <c r="E15" s="1201"/>
      <c r="F15" s="1201"/>
      <c r="G15" s="1201"/>
      <c r="H15" s="1202"/>
    </row>
    <row r="16" spans="1:9" ht="14.25" thickTop="1" thickBot="1" x14ac:dyDescent="0.25">
      <c r="A16" s="1191">
        <v>2</v>
      </c>
      <c r="B16" s="1200" t="s">
        <v>442</v>
      </c>
      <c r="C16" s="1203"/>
      <c r="D16" s="1204"/>
      <c r="E16" s="1204"/>
      <c r="F16" s="1204"/>
      <c r="G16" s="1204"/>
      <c r="H16" s="1202"/>
    </row>
    <row r="17" spans="1:14" ht="14.25" thickTop="1" thickBot="1" x14ac:dyDescent="0.25">
      <c r="A17" s="1205"/>
      <c r="B17" s="1194"/>
      <c r="C17" s="1194"/>
      <c r="D17" s="1493" t="s">
        <v>443</v>
      </c>
      <c r="E17" s="1492"/>
      <c r="F17" s="1492"/>
      <c r="G17" s="1492"/>
      <c r="H17" s="1206"/>
    </row>
    <row r="18" spans="1:14" ht="14.25" thickTop="1" thickBot="1" x14ac:dyDescent="0.25">
      <c r="A18" s="1191">
        <v>3</v>
      </c>
      <c r="B18" s="1200" t="s">
        <v>441</v>
      </c>
      <c r="C18" s="1207"/>
      <c r="D18" s="1208">
        <f>('FCSTG INPUT @METER'!B39-'FCSTG INPUT @METER'!B19)*1000</f>
        <v>236531.8965</v>
      </c>
      <c r="E18" s="1208">
        <f>('FCSTG INPUT @METER'!C39-'FCSTG INPUT @METER'!C19)*1000</f>
        <v>113320.24649999999</v>
      </c>
      <c r="F18" s="1208">
        <f>('FCSTG INPUT @METER'!D39-'FCSTG INPUT @METER'!D19)*1000</f>
        <v>12591.138499999999</v>
      </c>
      <c r="G18" s="1209"/>
      <c r="H18" s="1202"/>
      <c r="I18" s="778" t="s">
        <v>454</v>
      </c>
      <c r="J18" s="778"/>
      <c r="K18" s="778"/>
      <c r="L18" s="778"/>
      <c r="M18" s="778"/>
      <c r="N18" s="778"/>
    </row>
    <row r="19" spans="1:14" ht="14.25" thickTop="1" thickBot="1" x14ac:dyDescent="0.25">
      <c r="A19" s="1191">
        <v>4</v>
      </c>
      <c r="B19" s="1200" t="s">
        <v>442</v>
      </c>
      <c r="C19" s="1207"/>
      <c r="D19" s="1208">
        <f>'Res Summary'!AO46-'Res Summary'!AO26</f>
        <v>74.330423999999823</v>
      </c>
      <c r="E19" s="1208">
        <f>('ComInd Summary'!BK46-'ComInd Summary'!BK26)*'FCSTG INPUT @METER'!C50</f>
        <v>18.391870800000007</v>
      </c>
      <c r="F19" s="1208">
        <f>('ComInd Summary'!BK46-'ComInd Summary'!BK26)*'FCSTG INPUT @METER'!D50</f>
        <v>2.0435412000000008</v>
      </c>
      <c r="G19" s="1209"/>
      <c r="H19" s="1202"/>
      <c r="I19" s="778" t="s">
        <v>454</v>
      </c>
      <c r="J19" s="760"/>
      <c r="K19" s="760"/>
      <c r="L19" s="760"/>
      <c r="M19" s="760"/>
      <c r="N19" s="760"/>
    </row>
    <row r="20" spans="1:14" ht="14.25" thickTop="1" thickBot="1" x14ac:dyDescent="0.25">
      <c r="A20" s="1210"/>
      <c r="B20" s="1189"/>
      <c r="C20" s="1194"/>
      <c r="D20" s="1493" t="s">
        <v>444</v>
      </c>
      <c r="E20" s="1492"/>
      <c r="F20" s="1492"/>
      <c r="G20" s="1492"/>
      <c r="H20" s="1206"/>
    </row>
    <row r="21" spans="1:14" ht="14.25" thickTop="1" thickBot="1" x14ac:dyDescent="0.25">
      <c r="A21" s="1191">
        <v>5</v>
      </c>
      <c r="B21" s="1200" t="s">
        <v>445</v>
      </c>
      <c r="C21" s="1207"/>
      <c r="D21" s="1201"/>
      <c r="E21" s="1201"/>
      <c r="F21" s="1201"/>
      <c r="G21" s="1211"/>
      <c r="H21" s="1202"/>
      <c r="J21" s="1239"/>
    </row>
    <row r="22" spans="1:14" ht="14.25" thickTop="1" thickBot="1" x14ac:dyDescent="0.25">
      <c r="A22" s="1191">
        <v>6</v>
      </c>
      <c r="B22" s="1212" t="s">
        <v>446</v>
      </c>
      <c r="C22" s="1207"/>
      <c r="D22" s="1204"/>
      <c r="E22" s="1204"/>
      <c r="F22" s="1204"/>
      <c r="G22" s="1211"/>
      <c r="H22" s="1202"/>
      <c r="L22" s="956" t="s">
        <v>462</v>
      </c>
    </row>
    <row r="23" spans="1:14" ht="14.25" thickTop="1" thickBot="1" x14ac:dyDescent="0.25">
      <c r="A23" s="1205"/>
      <c r="B23" s="1205"/>
      <c r="C23" s="1194"/>
      <c r="D23" s="1493"/>
      <c r="E23" s="1492"/>
      <c r="F23" s="1492"/>
      <c r="G23" s="1492"/>
      <c r="H23" s="1206"/>
      <c r="K23" s="1000" t="s">
        <v>463</v>
      </c>
      <c r="L23" s="162">
        <f>D19+E19+F19</f>
        <v>94.765835999999837</v>
      </c>
    </row>
    <row r="24" spans="1:14" ht="14.25" thickTop="1" thickBot="1" x14ac:dyDescent="0.25">
      <c r="A24" s="1191">
        <v>7</v>
      </c>
      <c r="B24" s="1200" t="s">
        <v>445</v>
      </c>
      <c r="C24" s="1213"/>
      <c r="D24" s="1201"/>
      <c r="E24" s="1201"/>
      <c r="F24" s="1201"/>
      <c r="G24" s="1211"/>
      <c r="H24" s="1202"/>
      <c r="K24" s="1000" t="s">
        <v>464</v>
      </c>
      <c r="L24" s="162">
        <f>'FCSTG INPUT @METER'!G39-'FCSTG INPUT @METER'!G19</f>
        <v>94.765835999999808</v>
      </c>
    </row>
    <row r="25" spans="1:14" ht="14.25" thickTop="1" thickBot="1" x14ac:dyDescent="0.25">
      <c r="A25" s="1191">
        <v>8</v>
      </c>
      <c r="B25" s="1200" t="s">
        <v>446</v>
      </c>
      <c r="C25" s="1213"/>
      <c r="D25" s="1204"/>
      <c r="E25" s="1204"/>
      <c r="F25" s="1204"/>
      <c r="G25" s="1211"/>
      <c r="H25" s="1202"/>
      <c r="K25" s="1240" t="s">
        <v>465</v>
      </c>
      <c r="L25" s="1241">
        <f>L23-L24</f>
        <v>0</v>
      </c>
      <c r="M25" s="956" t="s">
        <v>466</v>
      </c>
    </row>
    <row r="26" spans="1:14" ht="14.25" thickTop="1" thickBot="1" x14ac:dyDescent="0.25">
      <c r="A26" s="1205"/>
      <c r="B26" s="1194"/>
      <c r="C26" s="1482" t="s">
        <v>447</v>
      </c>
      <c r="D26" s="1483"/>
      <c r="E26" s="1483"/>
      <c r="F26" s="1483"/>
      <c r="G26" s="1483"/>
      <c r="H26" s="1483"/>
    </row>
    <row r="27" spans="1:14" ht="16.5" thickTop="1" thickBot="1" x14ac:dyDescent="0.3">
      <c r="A27" s="1191">
        <v>9</v>
      </c>
      <c r="B27" s="1484" t="s">
        <v>448</v>
      </c>
      <c r="C27" s="1485"/>
      <c r="D27" s="1214" t="s">
        <v>79</v>
      </c>
      <c r="E27" s="1215" t="s">
        <v>449</v>
      </c>
      <c r="F27" s="1216" t="s">
        <v>450</v>
      </c>
      <c r="G27" s="1217" t="s">
        <v>451</v>
      </c>
      <c r="H27" s="1218"/>
    </row>
    <row r="28" spans="1:14" ht="14.25" thickTop="1" thickBot="1" x14ac:dyDescent="0.25">
      <c r="A28" s="1191">
        <v>10</v>
      </c>
      <c r="B28" s="1200" t="s">
        <v>452</v>
      </c>
      <c r="C28" s="1213"/>
      <c r="D28" s="1201"/>
      <c r="E28" s="1201"/>
      <c r="F28" s="1201"/>
      <c r="G28" s="1211"/>
      <c r="H28" s="1194"/>
    </row>
    <row r="29" spans="1:14" ht="14.25" thickTop="1" thickBot="1" x14ac:dyDescent="0.25">
      <c r="A29" s="1210" t="s">
        <v>453</v>
      </c>
      <c r="B29" s="1189"/>
      <c r="C29" s="1189"/>
      <c r="D29" s="1189"/>
      <c r="E29" s="1189"/>
      <c r="F29" s="1486"/>
      <c r="G29" s="1486"/>
      <c r="H29" s="1486"/>
    </row>
    <row r="30" spans="1:14" ht="13.5" thickTop="1" x14ac:dyDescent="0.2">
      <c r="A30" s="1487"/>
      <c r="B30" s="1487"/>
      <c r="C30" s="1487"/>
      <c r="D30" s="1487"/>
      <c r="E30" s="1487"/>
      <c r="F30" s="804"/>
      <c r="G30" s="804"/>
      <c r="H30" s="804"/>
    </row>
  </sheetData>
  <mergeCells count="16">
    <mergeCell ref="A10:H10"/>
    <mergeCell ref="A4:B7"/>
    <mergeCell ref="C4:G5"/>
    <mergeCell ref="C6:G7"/>
    <mergeCell ref="C8:G8"/>
    <mergeCell ref="C9:F9"/>
    <mergeCell ref="C26:H26"/>
    <mergeCell ref="B27:C27"/>
    <mergeCell ref="F29:H29"/>
    <mergeCell ref="A30:E30"/>
    <mergeCell ref="A11:H11"/>
    <mergeCell ref="E12:H12"/>
    <mergeCell ref="D14:G14"/>
    <mergeCell ref="D17:G17"/>
    <mergeCell ref="D20:G20"/>
    <mergeCell ref="D23:G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R59"/>
  <sheetViews>
    <sheetView zoomScale="85" workbookViewId="0"/>
  </sheetViews>
  <sheetFormatPr defaultRowHeight="12.75" x14ac:dyDescent="0.2"/>
  <cols>
    <col min="1" max="1" width="8.28515625" customWidth="1"/>
    <col min="2" max="2" width="15.5703125" style="301" customWidth="1"/>
    <col min="3" max="3" width="20.28515625" customWidth="1"/>
    <col min="4" max="4" width="18.5703125" customWidth="1"/>
    <col min="5" max="5" width="13.7109375" customWidth="1"/>
    <col min="6" max="6" width="13.5703125" bestFit="1" customWidth="1"/>
    <col min="7" max="7" width="14.5703125" customWidth="1"/>
    <col min="8" max="9" width="13.5703125" bestFit="1" customWidth="1"/>
    <col min="10" max="10" width="12.7109375" customWidth="1"/>
    <col min="11" max="11" width="13.5703125" customWidth="1"/>
    <col min="12" max="12" width="13.5703125" bestFit="1" customWidth="1"/>
    <col min="13" max="13" width="14.5703125" bestFit="1" customWidth="1"/>
    <col min="14" max="14" width="12.7109375" customWidth="1"/>
    <col min="15" max="15" width="10.5703125" customWidth="1"/>
  </cols>
  <sheetData>
    <row r="1" spans="1:16" ht="18" x14ac:dyDescent="0.25">
      <c r="A1" s="1303" t="s">
        <v>497</v>
      </c>
      <c r="E1" s="1445" t="s">
        <v>184</v>
      </c>
      <c r="F1" s="1446"/>
      <c r="G1" s="1447"/>
      <c r="H1" s="1445" t="s">
        <v>185</v>
      </c>
      <c r="I1" s="1446"/>
      <c r="J1" s="1447"/>
      <c r="K1" s="332"/>
      <c r="L1" s="175"/>
      <c r="M1" s="333"/>
    </row>
    <row r="2" spans="1:16" ht="13.5" thickBot="1" x14ac:dyDescent="0.25">
      <c r="D2" s="331" t="s">
        <v>182</v>
      </c>
      <c r="E2" s="1448">
        <v>2016</v>
      </c>
      <c r="F2" s="1449"/>
      <c r="G2" s="1450"/>
      <c r="H2" s="1448">
        <v>2017</v>
      </c>
      <c r="I2" s="1449"/>
      <c r="J2" s="1450"/>
      <c r="K2" s="1442" t="s">
        <v>183</v>
      </c>
      <c r="L2" s="1443"/>
      <c r="M2" s="1444"/>
    </row>
    <row r="3" spans="1:16" ht="58.5" customHeight="1" thickBot="1" x14ac:dyDescent="0.25">
      <c r="B3" s="177" t="s">
        <v>175</v>
      </c>
      <c r="C3" s="177" t="s">
        <v>181</v>
      </c>
      <c r="D3" s="177" t="s">
        <v>174</v>
      </c>
      <c r="E3" s="328" t="s">
        <v>188</v>
      </c>
      <c r="F3" s="329" t="s">
        <v>189</v>
      </c>
      <c r="G3" s="330" t="s">
        <v>190</v>
      </c>
      <c r="H3" s="328" t="s">
        <v>188</v>
      </c>
      <c r="I3" s="329" t="s">
        <v>189</v>
      </c>
      <c r="J3" s="330" t="s">
        <v>190</v>
      </c>
      <c r="K3" s="328" t="s">
        <v>188</v>
      </c>
      <c r="L3" s="329" t="s">
        <v>189</v>
      </c>
      <c r="M3" s="330" t="s">
        <v>190</v>
      </c>
    </row>
    <row r="4" spans="1:16" ht="16.5" customHeight="1" x14ac:dyDescent="0.2">
      <c r="A4" s="301">
        <v>1</v>
      </c>
      <c r="B4" s="1328" t="s">
        <v>176</v>
      </c>
      <c r="C4" s="1329" t="s">
        <v>179</v>
      </c>
      <c r="D4" s="1329" t="s">
        <v>125</v>
      </c>
      <c r="E4" s="1330">
        <f>VLOOKUP($E$2,'RES Audit Alt'!$A$6:$I$41,4,FALSE)</f>
        <v>0</v>
      </c>
      <c r="F4" s="1331">
        <f>VLOOKUP($E$2,'RES Audit Alt'!$A$6:$I$41,5,FALSE)</f>
        <v>0</v>
      </c>
      <c r="G4" s="1332">
        <f>VLOOKUP($E$2,'RES Audit Alt'!$A$6:$I$41,6,FALSE)</f>
        <v>0</v>
      </c>
      <c r="H4" s="1330">
        <f>VLOOKUP($H$2,'RES Audit Alt'!$A$6:$I$41,4,FALSE)</f>
        <v>0</v>
      </c>
      <c r="I4" s="1331">
        <f>VLOOKUP($H$2,'RES Audit Alt'!$A$6:$I$41,5,FALSE)</f>
        <v>0</v>
      </c>
      <c r="J4" s="1333">
        <f>VLOOKUP($H$2,'RES Audit Alt'!$A$6:$I$41,6,FALSE)</f>
        <v>0</v>
      </c>
      <c r="K4" s="1334">
        <f t="shared" ref="K4:M6" si="0">+H4-E4</f>
        <v>0</v>
      </c>
      <c r="L4" s="1335">
        <f t="shared" si="0"/>
        <v>0</v>
      </c>
      <c r="M4" s="1336">
        <f t="shared" si="0"/>
        <v>0</v>
      </c>
      <c r="N4" s="1433" t="s">
        <v>489</v>
      </c>
      <c r="O4" s="1434"/>
      <c r="P4" s="1435"/>
    </row>
    <row r="5" spans="1:16" ht="16.5" customHeight="1" x14ac:dyDescent="0.2">
      <c r="A5" s="301">
        <v>2</v>
      </c>
      <c r="B5" s="1337" t="s">
        <v>176</v>
      </c>
      <c r="C5" s="1260" t="s">
        <v>179</v>
      </c>
      <c r="D5" s="1260" t="s">
        <v>126</v>
      </c>
      <c r="E5" s="1261">
        <f>VLOOKUP($E$2,'RES Audit RCS'!$A$6:$I$41,4,FALSE)</f>
        <v>0</v>
      </c>
      <c r="F5" s="1262">
        <f>VLOOKUP($E$2,'RES Audit RCS'!$A$6:$I$41,5,FALSE)</f>
        <v>0</v>
      </c>
      <c r="G5" s="1263">
        <f>VLOOKUP($E$2,'RES Audit RCS'!$A$6:$I$41,6,FALSE)</f>
        <v>0</v>
      </c>
      <c r="H5" s="1261">
        <f>VLOOKUP($H$2,'RES Audit RCS'!$A$6:$I$41,4,FALSE)</f>
        <v>0</v>
      </c>
      <c r="I5" s="1262">
        <f>VLOOKUP($H$2,'RES Audit RCS'!$A$6:$I$41,5,FALSE)</f>
        <v>0</v>
      </c>
      <c r="J5" s="1264">
        <f>VLOOKUP($H$2,'RES Audit RCS'!$A$6:$I$41,6,FALSE)</f>
        <v>0</v>
      </c>
      <c r="K5" s="1265">
        <f t="shared" si="0"/>
        <v>0</v>
      </c>
      <c r="L5" s="1266">
        <f t="shared" si="0"/>
        <v>0</v>
      </c>
      <c r="M5" s="1267">
        <f t="shared" si="0"/>
        <v>0</v>
      </c>
      <c r="N5" s="1439"/>
      <c r="O5" s="1440"/>
      <c r="P5" s="1441"/>
    </row>
    <row r="6" spans="1:16" ht="16.5" customHeight="1" thickBot="1" x14ac:dyDescent="0.25">
      <c r="A6" s="301">
        <v>3</v>
      </c>
      <c r="B6" s="1338" t="s">
        <v>176</v>
      </c>
      <c r="C6" s="1339" t="s">
        <v>179</v>
      </c>
      <c r="D6" s="1339" t="s">
        <v>486</v>
      </c>
      <c r="E6" s="1340">
        <f>VLOOKUP($E$2,'RES Assist.'!$A$6:$I$41,4,FALSE)</f>
        <v>0</v>
      </c>
      <c r="F6" s="1341">
        <f>VLOOKUP($E$2,'RES Assist.'!$A$6:$I$41,5,FALSE)</f>
        <v>0</v>
      </c>
      <c r="G6" s="1342">
        <f>VLOOKUP($E$2,'RES Assist.'!$A$6:$I$41,6,FALSE)</f>
        <v>0</v>
      </c>
      <c r="H6" s="1340">
        <f>VLOOKUP($H$2,'RES Assist.'!$A$6:$I$41,4,FALSE)</f>
        <v>0</v>
      </c>
      <c r="I6" s="1341">
        <f>VLOOKUP($H$2,'RES Assist.'!$A$6:$I$41,5,FALSE)</f>
        <v>0</v>
      </c>
      <c r="J6" s="1343">
        <f>VLOOKUP($H$2,'RES Assist.'!$A$6:$I$41,6,FALSE)</f>
        <v>0</v>
      </c>
      <c r="K6" s="1344">
        <f t="shared" si="0"/>
        <v>0</v>
      </c>
      <c r="L6" s="1345">
        <f t="shared" si="0"/>
        <v>0</v>
      </c>
      <c r="M6" s="1346">
        <f t="shared" si="0"/>
        <v>0</v>
      </c>
      <c r="N6" s="1436"/>
      <c r="O6" s="1437"/>
      <c r="P6" s="1438"/>
    </row>
    <row r="7" spans="1:16" ht="16.5" customHeight="1" x14ac:dyDescent="0.2">
      <c r="A7" s="301">
        <v>4</v>
      </c>
      <c r="B7" s="1324" t="s">
        <v>176</v>
      </c>
      <c r="C7" s="301" t="s">
        <v>179</v>
      </c>
      <c r="D7" s="985" t="s">
        <v>342</v>
      </c>
      <c r="E7" s="1112">
        <f>VLOOKUP($E$2,'RES CI'!$A$6:$I$41,4,FALSE)</f>
        <v>0.26</v>
      </c>
      <c r="F7" s="1113">
        <f>VLOOKUP($E$2,'RES CI'!$A$6:$I$41,5,FALSE)</f>
        <v>0.37</v>
      </c>
      <c r="G7" s="1114">
        <f>VLOOKUP($E$2,'RES CI'!$A$6:$I$41,6,FALSE)</f>
        <v>848</v>
      </c>
      <c r="H7" s="1112">
        <f>VLOOKUP($H$2,'RES CI'!$A$6:$I$41,4,FALSE)</f>
        <v>0.26</v>
      </c>
      <c r="I7" s="1113">
        <f>VLOOKUP($H$2,'RES CI'!$A$6:$I$41,5,FALSE)</f>
        <v>0.37</v>
      </c>
      <c r="J7" s="1115">
        <f>VLOOKUP($H$2,'RES CI'!$A$6:$I$41,6,FALSE)</f>
        <v>848</v>
      </c>
      <c r="K7" s="1116">
        <f t="shared" ref="K7" si="1">+H7-E7</f>
        <v>0</v>
      </c>
      <c r="L7" s="1117">
        <f t="shared" ref="L7" si="2">+I7-F7</f>
        <v>0</v>
      </c>
      <c r="M7" s="1118">
        <f t="shared" ref="M7" si="3">+J7-G7</f>
        <v>0</v>
      </c>
      <c r="N7" s="1127" t="s">
        <v>346</v>
      </c>
    </row>
    <row r="8" spans="1:16" ht="16.5" customHeight="1" x14ac:dyDescent="0.2">
      <c r="A8" s="301">
        <v>5</v>
      </c>
      <c r="B8" s="1324" t="s">
        <v>176</v>
      </c>
      <c r="C8" s="301" t="s">
        <v>179</v>
      </c>
      <c r="D8" s="1049" t="s">
        <v>128</v>
      </c>
      <c r="E8" s="1112">
        <f>VLOOKUP($E$2,'RES DR'!$A$6:$I$41,4,FALSE)</f>
        <v>0.17100000000000001</v>
      </c>
      <c r="F8" s="1113">
        <f>VLOOKUP($E$2,'RES DR'!$A$6:$I$41,5,FALSE)</f>
        <v>0.217</v>
      </c>
      <c r="G8" s="1114">
        <f>VLOOKUP($E$2,'RES DR'!$A$6:$I$41,6,FALSE)</f>
        <v>298</v>
      </c>
      <c r="H8" s="1112">
        <f>VLOOKUP($H$2,'RES DR'!$A$6:$I$41,4,FALSE)</f>
        <v>0.17100000000000001</v>
      </c>
      <c r="I8" s="1113">
        <f>VLOOKUP($H$2,'RES DR'!$A$6:$I$41,5,FALSE)</f>
        <v>0.217</v>
      </c>
      <c r="J8" s="1115">
        <f>VLOOKUP($H$2,'RES DR'!$A$6:$I$41,6,FALSE)</f>
        <v>298</v>
      </c>
      <c r="K8" s="1116">
        <f t="shared" ref="K8:K36" si="4">+H8-E8</f>
        <v>0</v>
      </c>
      <c r="L8" s="1117">
        <f t="shared" ref="L8:L36" si="5">+I8-F8</f>
        <v>0</v>
      </c>
      <c r="M8" s="1118">
        <f t="shared" ref="M8:M36" si="6">+J8-G8</f>
        <v>0</v>
      </c>
    </row>
    <row r="9" spans="1:16" ht="16.5" customHeight="1" x14ac:dyDescent="0.2">
      <c r="A9" s="301">
        <v>6</v>
      </c>
      <c r="B9" s="1324" t="s">
        <v>176</v>
      </c>
      <c r="C9" s="301" t="s">
        <v>179</v>
      </c>
      <c r="D9" s="1126" t="s">
        <v>249</v>
      </c>
      <c r="E9" s="1112">
        <f>VLOOKUP($E$2,'RES ECM'!$A$6:$I$41,4,FALSE)</f>
        <v>0.15</v>
      </c>
      <c r="F9" s="1113">
        <f>VLOOKUP($E$2,'RES ECM'!$A$6:$I$41,5,FALSE)</f>
        <v>0.14199999999999999</v>
      </c>
      <c r="G9" s="1114">
        <f>VLOOKUP($E$2,'RES ECM'!$A$6:$I$41,6,FALSE)</f>
        <v>388</v>
      </c>
      <c r="H9" s="1112">
        <f>VLOOKUP($H$2,'RES ECM'!$A$6:$I$41,4,FALSE)</f>
        <v>0.15</v>
      </c>
      <c r="I9" s="1113">
        <f>VLOOKUP($H$2,'RES ECM'!$A$6:$I$41,5,FALSE)</f>
        <v>0.14199999999999999</v>
      </c>
      <c r="J9" s="1115">
        <f>VLOOKUP($H$2,'RES ECM'!$A$6:$I$41,6,FALSE)</f>
        <v>388</v>
      </c>
      <c r="K9" s="1116">
        <f>+H9-E9</f>
        <v>0</v>
      </c>
      <c r="L9" s="1117">
        <f>+I9-F9</f>
        <v>0</v>
      </c>
      <c r="M9" s="1118">
        <f>+J9-G9</f>
        <v>0</v>
      </c>
    </row>
    <row r="10" spans="1:16" ht="16.5" customHeight="1" x14ac:dyDescent="0.2">
      <c r="A10" s="301">
        <v>7</v>
      </c>
      <c r="B10" s="1324" t="s">
        <v>176</v>
      </c>
      <c r="C10" s="301" t="s">
        <v>179</v>
      </c>
      <c r="D10" s="1126" t="s">
        <v>248</v>
      </c>
      <c r="E10" s="1112">
        <f>VLOOKUP($E$2,'RES Educ'!$A$6:$I$41,4,FALSE)</f>
        <v>2.5000000000000001E-2</v>
      </c>
      <c r="F10" s="1113">
        <f>VLOOKUP($E$2,'RES Educ'!$A$6:$I$41,5,FALSE)</f>
        <v>4.5999999999999999E-2</v>
      </c>
      <c r="G10" s="1114">
        <f>VLOOKUP($E$2,'RES Educ'!$A$6:$I$41,6,FALSE)</f>
        <v>342</v>
      </c>
      <c r="H10" s="1113">
        <f>VLOOKUP($H$2,'RES Educ'!$A$6:$I$41,4,FALSE)</f>
        <v>2.5000000000000001E-2</v>
      </c>
      <c r="I10" s="1113">
        <f>VLOOKUP($H$2,'RES Educ'!$A$6:$I$41,5,FALSE)</f>
        <v>4.5999999999999999E-2</v>
      </c>
      <c r="J10" s="1115">
        <f>VLOOKUP($H$2,'RES Educ'!$A$6:$I$41,6,FALSE)</f>
        <v>342</v>
      </c>
      <c r="K10" s="1116">
        <f t="shared" ref="K10:M10" si="7">+H10-E10</f>
        <v>0</v>
      </c>
      <c r="L10" s="1117">
        <f t="shared" si="7"/>
        <v>0</v>
      </c>
      <c r="M10" s="1118">
        <f t="shared" si="7"/>
        <v>0</v>
      </c>
    </row>
    <row r="11" spans="1:16" ht="16.5" customHeight="1" x14ac:dyDescent="0.2">
      <c r="A11" s="301">
        <v>8</v>
      </c>
      <c r="B11" s="1324" t="s">
        <v>176</v>
      </c>
      <c r="C11" s="301" t="s">
        <v>179</v>
      </c>
      <c r="D11" s="985" t="s">
        <v>396</v>
      </c>
      <c r="E11" s="1112">
        <f>VLOOKUP($E$2,'RES EnergyStar'!$A$6:$I$41,4,FALSE)</f>
        <v>0.53100000000000003</v>
      </c>
      <c r="F11" s="1113">
        <f>VLOOKUP($E$2,'RES EnergyStar'!$A$6:$I$41,5,FALSE)</f>
        <v>0.49</v>
      </c>
      <c r="G11" s="1114">
        <f>VLOOKUP($E$2,'RES EnergyStar'!$A$6:$I$41,6,FALSE)</f>
        <v>2489</v>
      </c>
      <c r="H11" s="1112">
        <f>VLOOKUP($H$2,'RES EnergyStar'!$A$6:$I$41,4,FALSE)</f>
        <v>0.53100000000000003</v>
      </c>
      <c r="I11" s="1113">
        <f>VLOOKUP($H$2,'RES EnergyStar'!$A$6:$I$41,5,FALSE)</f>
        <v>0.49</v>
      </c>
      <c r="J11" s="1115">
        <f>VLOOKUP($H$2,'RES EnergyStar'!$A$6:$I$41,6,FALSE)</f>
        <v>2489</v>
      </c>
      <c r="K11" s="1116">
        <f t="shared" si="4"/>
        <v>0</v>
      </c>
      <c r="L11" s="1117">
        <f t="shared" si="5"/>
        <v>0</v>
      </c>
      <c r="M11" s="1118">
        <f t="shared" si="6"/>
        <v>0</v>
      </c>
    </row>
    <row r="12" spans="1:16" ht="16.5" customHeight="1" x14ac:dyDescent="0.2">
      <c r="A12" s="301">
        <v>9</v>
      </c>
      <c r="B12" s="1324" t="s">
        <v>176</v>
      </c>
      <c r="C12" s="301" t="s">
        <v>179</v>
      </c>
      <c r="D12" s="1049" t="s">
        <v>130</v>
      </c>
      <c r="E12" s="1112">
        <f>VLOOKUP($E$2,'RES HC'!$A$6:$I$41,4,FALSE)</f>
        <v>0.10199999999999999</v>
      </c>
      <c r="F12" s="1113">
        <f>VLOOKUP($E$2,'RES HC'!$A$6:$I$41,5,FALSE)</f>
        <v>0.33300000000000002</v>
      </c>
      <c r="G12" s="1114">
        <f>VLOOKUP($E$2,'RES HC'!$A$6:$I$41,6,FALSE)</f>
        <v>371</v>
      </c>
      <c r="H12" s="1112">
        <f>VLOOKUP($H$2,'RES HC'!$A$6:$I$41,4,FALSE)</f>
        <v>0.10199999999999999</v>
      </c>
      <c r="I12" s="1113">
        <f>VLOOKUP($H$2,'RES HC'!$A$6:$I$41,5,FALSE)</f>
        <v>0.33300000000000002</v>
      </c>
      <c r="J12" s="1115">
        <f>VLOOKUP($H$2,'RES HC'!$A$6:$I$41,6,FALSE)</f>
        <v>371</v>
      </c>
      <c r="K12" s="1116">
        <f>+H12-E12</f>
        <v>0</v>
      </c>
      <c r="L12" s="1117">
        <f>+I12-F12</f>
        <v>0</v>
      </c>
      <c r="M12" s="1118">
        <f>+J12-G12</f>
        <v>0</v>
      </c>
    </row>
    <row r="13" spans="1:16" ht="16.5" customHeight="1" x14ac:dyDescent="0.2">
      <c r="A13" s="301">
        <v>10</v>
      </c>
      <c r="B13" s="1324" t="s">
        <v>176</v>
      </c>
      <c r="C13" s="301" t="s">
        <v>179</v>
      </c>
      <c r="D13" s="985" t="s">
        <v>397</v>
      </c>
      <c r="E13" s="1112">
        <f>VLOOKUP($E$2,'RES WEA'!$A$6:$I$41,4,FALSE)</f>
        <v>0.24099999999999999</v>
      </c>
      <c r="F13" s="1113">
        <f>VLOOKUP($E$2,'RES WEA'!$A$6:$I$41,5,FALSE)</f>
        <v>0.33700000000000002</v>
      </c>
      <c r="G13" s="1114">
        <f>VLOOKUP($E$2,'RES WEA'!$A$6:$I$41,6,FALSE)</f>
        <v>1222</v>
      </c>
      <c r="H13" s="1112">
        <f>VLOOKUP($H$2,'RES WEA'!$A$6:$I$41,4,FALSE)</f>
        <v>0.24099999999999999</v>
      </c>
      <c r="I13" s="1113">
        <f>VLOOKUP($H$2,'RES WEA'!$A$6:$I$41,5,FALSE)</f>
        <v>0.33700000000000002</v>
      </c>
      <c r="J13" s="1115">
        <f>VLOOKUP($H$2,'RES WEA'!$A$6:$I$41,6,FALSE)</f>
        <v>1222</v>
      </c>
      <c r="K13" s="1116">
        <f t="shared" si="4"/>
        <v>0</v>
      </c>
      <c r="L13" s="1117">
        <f t="shared" si="5"/>
        <v>0</v>
      </c>
      <c r="M13" s="1118">
        <f t="shared" si="6"/>
        <v>0</v>
      </c>
    </row>
    <row r="14" spans="1:16" ht="16.5" customHeight="1" x14ac:dyDescent="0.2">
      <c r="A14" s="301">
        <v>11</v>
      </c>
      <c r="B14" s="1324" t="s">
        <v>176</v>
      </c>
      <c r="C14" s="301" t="s">
        <v>179</v>
      </c>
      <c r="D14" s="985" t="s">
        <v>343</v>
      </c>
      <c r="E14" s="1112">
        <f>VLOOKUP($E$2,'RES WI'!$A$6:$I$41,4,FALSE)</f>
        <v>0.104</v>
      </c>
      <c r="F14" s="1113">
        <f>VLOOKUP($E$2,'RES WI'!$A$6:$I$41,5,FALSE)</f>
        <v>0.22600000000000001</v>
      </c>
      <c r="G14" s="1114">
        <f>VLOOKUP($E$2,'RES WI'!$A$6:$I$41,6,FALSE)</f>
        <v>399</v>
      </c>
      <c r="H14" s="1112">
        <f>VLOOKUP($H$2,'RES WI'!$A$6:$I$41,4,FALSE)</f>
        <v>0.104</v>
      </c>
      <c r="I14" s="1113">
        <f>VLOOKUP($H$2,'RES WI'!$A$6:$I$41,5,FALSE)</f>
        <v>0.22600000000000001</v>
      </c>
      <c r="J14" s="1115">
        <f>VLOOKUP($H$2,'RES WI'!$A$6:$I$41,6,FALSE)</f>
        <v>399</v>
      </c>
      <c r="K14" s="1116">
        <f t="shared" ref="K14" si="8">+H14-E14</f>
        <v>0</v>
      </c>
      <c r="L14" s="1117">
        <f t="shared" ref="L14" si="9">+I14-F14</f>
        <v>0</v>
      </c>
      <c r="M14" s="1118">
        <f t="shared" ref="M14" si="10">+J14-G14</f>
        <v>0</v>
      </c>
      <c r="N14" s="1127" t="s">
        <v>346</v>
      </c>
    </row>
    <row r="15" spans="1:16" ht="16.5" customHeight="1" thickBot="1" x14ac:dyDescent="0.25">
      <c r="A15" s="301">
        <v>12</v>
      </c>
      <c r="B15" s="1324" t="s">
        <v>176</v>
      </c>
      <c r="C15" s="301" t="s">
        <v>179</v>
      </c>
      <c r="D15" s="985" t="s">
        <v>345</v>
      </c>
      <c r="E15" s="1112">
        <f>VLOOKUP($E$2,'RES WR'!$A$6:$I$41,4,FALSE)</f>
        <v>0.311</v>
      </c>
      <c r="F15" s="1113">
        <f>VLOOKUP($E$2,'RES WR'!$A$6:$I$41,5,FALSE)</f>
        <v>0.21199999999999999</v>
      </c>
      <c r="G15" s="1114">
        <f>VLOOKUP($E$2,'RES WR'!$A$6:$I$41,6,FALSE)</f>
        <v>1121</v>
      </c>
      <c r="H15" s="1112">
        <f>VLOOKUP($H$2,'RES WR'!$A$6:$I$41,4,FALSE)</f>
        <v>0.311</v>
      </c>
      <c r="I15" s="1113">
        <f>VLOOKUP($H$2,'RES WR'!$A$6:$I$41,5,FALSE)</f>
        <v>0.21199999999999999</v>
      </c>
      <c r="J15" s="1115">
        <f>VLOOKUP($H$2,'RES WR'!$A$6:$I$41,6,FALSE)</f>
        <v>1121</v>
      </c>
      <c r="K15" s="1116">
        <f t="shared" ref="K15" si="11">+H15-E15</f>
        <v>0</v>
      </c>
      <c r="L15" s="1117">
        <f t="shared" ref="L15" si="12">+I15-F15</f>
        <v>0</v>
      </c>
      <c r="M15" s="1118">
        <f t="shared" ref="M15" si="13">+J15-G15</f>
        <v>0</v>
      </c>
      <c r="N15" s="1127" t="s">
        <v>346</v>
      </c>
    </row>
    <row r="16" spans="1:16" ht="16.5" customHeight="1" x14ac:dyDescent="0.2">
      <c r="A16" s="301">
        <v>14</v>
      </c>
      <c r="B16" s="1347" t="s">
        <v>178</v>
      </c>
      <c r="C16" s="1329" t="s">
        <v>179</v>
      </c>
      <c r="D16" s="1329" t="s">
        <v>144</v>
      </c>
      <c r="E16" s="1330">
        <f>VLOOKUP($E$2,'C-I FREE'!$A$6:$I$41,4,FALSE)</f>
        <v>0</v>
      </c>
      <c r="F16" s="1331">
        <f>VLOOKUP($E$2,'C-I FREE'!$A$6:$I$41,5,FALSE)</f>
        <v>0</v>
      </c>
      <c r="G16" s="1332">
        <f>VLOOKUP($E$2,'C-I FREE'!$A$6:$I$41,6,FALSE)</f>
        <v>0</v>
      </c>
      <c r="H16" s="1330">
        <f>VLOOKUP($H$2,'C-I FREE'!$A$6:$I$41,4,FALSE)</f>
        <v>0</v>
      </c>
      <c r="I16" s="1331">
        <f>VLOOKUP($H$2,'C-I FREE'!$A$6:$I$41,5,FALSE)</f>
        <v>0</v>
      </c>
      <c r="J16" s="1333">
        <f>VLOOKUP($H$2,'C-I FREE'!$A$6:$I$41,6,FALSE)</f>
        <v>0</v>
      </c>
      <c r="K16" s="1334">
        <f t="shared" si="4"/>
        <v>0</v>
      </c>
      <c r="L16" s="1335">
        <f t="shared" si="5"/>
        <v>0</v>
      </c>
      <c r="M16" s="1336">
        <f t="shared" si="6"/>
        <v>0</v>
      </c>
      <c r="N16" s="1433" t="s">
        <v>489</v>
      </c>
      <c r="O16" s="1434"/>
      <c r="P16" s="1435"/>
    </row>
    <row r="17" spans="1:18" ht="16.5" customHeight="1" thickBot="1" x14ac:dyDescent="0.25">
      <c r="A17" s="301">
        <v>15</v>
      </c>
      <c r="B17" s="1348" t="s">
        <v>178</v>
      </c>
      <c r="C17" s="1339" t="s">
        <v>179</v>
      </c>
      <c r="D17" s="1339" t="s">
        <v>145</v>
      </c>
      <c r="E17" s="1340">
        <f>VLOOKUP($E$2,'C-I Paid'!$A$6:$I$41,4,FALSE)</f>
        <v>0</v>
      </c>
      <c r="F17" s="1341">
        <f>VLOOKUP($E$2,'C-I Paid'!$A$6:$I$41,5,FALSE)</f>
        <v>0</v>
      </c>
      <c r="G17" s="1342">
        <f>VLOOKUP($E$2,'C-I Paid'!$A$6:$I$41,6,FALSE)</f>
        <v>0</v>
      </c>
      <c r="H17" s="1340">
        <f>VLOOKUP($H$2,'C-I Paid'!$A$6:$I$41,4,FALSE)</f>
        <v>0</v>
      </c>
      <c r="I17" s="1341">
        <f>VLOOKUP($H$2,'C-I Paid'!$A$6:$I$41,5,FALSE)</f>
        <v>0</v>
      </c>
      <c r="J17" s="1343">
        <f>VLOOKUP($H$2,'C-I Paid'!$A$6:$I$41,6,FALSE)</f>
        <v>0</v>
      </c>
      <c r="K17" s="1344">
        <f t="shared" si="4"/>
        <v>0</v>
      </c>
      <c r="L17" s="1345">
        <f t="shared" si="5"/>
        <v>0</v>
      </c>
      <c r="M17" s="1346">
        <f t="shared" si="6"/>
        <v>0</v>
      </c>
      <c r="N17" s="1436"/>
      <c r="O17" s="1437"/>
      <c r="P17" s="1438"/>
    </row>
    <row r="18" spans="1:18" ht="16.5" customHeight="1" x14ac:dyDescent="0.2">
      <c r="A18" s="301">
        <v>18</v>
      </c>
      <c r="B18" s="1323" t="s">
        <v>178</v>
      </c>
      <c r="C18" s="301" t="s">
        <v>179</v>
      </c>
      <c r="D18" s="985" t="s">
        <v>342</v>
      </c>
      <c r="E18" s="1112">
        <f>VLOOKUP($E$2,'COM CI'!$A$6:$I$41,4,FALSE)</f>
        <v>0.75</v>
      </c>
      <c r="F18" s="1113">
        <f>VLOOKUP($E$2,'COM CI'!$A$6:$I$41,5,FALSE)</f>
        <v>0.02</v>
      </c>
      <c r="G18" s="1114">
        <f>VLOOKUP($E$2,'COM CI'!$A$6:$I$41,6,FALSE)</f>
        <v>9505</v>
      </c>
      <c r="H18" s="1112">
        <f>VLOOKUP($H$2,'COM CI'!$A$6:$I$41,4,FALSE)</f>
        <v>0.75</v>
      </c>
      <c r="I18" s="1113">
        <f>VLOOKUP($H$2,'COM CI'!$A$6:$I$41,5,FALSE)</f>
        <v>0.02</v>
      </c>
      <c r="J18" s="1115">
        <f>VLOOKUP($H$2,'COM CI'!$A$6:$I$41,6,FALSE)</f>
        <v>9505</v>
      </c>
      <c r="K18" s="1116">
        <f t="shared" ref="K18:M21" si="14">+H18-E18</f>
        <v>0</v>
      </c>
      <c r="L18" s="1117">
        <f t="shared" si="14"/>
        <v>0</v>
      </c>
      <c r="M18" s="1118">
        <f t="shared" si="14"/>
        <v>0</v>
      </c>
      <c r="N18" s="1127" t="s">
        <v>346</v>
      </c>
    </row>
    <row r="19" spans="1:18" ht="16.5" customHeight="1" x14ac:dyDescent="0.2">
      <c r="A19" s="301">
        <v>20</v>
      </c>
      <c r="B19" s="1323" t="s">
        <v>178</v>
      </c>
      <c r="C19" s="301" t="s">
        <v>179</v>
      </c>
      <c r="D19" s="306" t="s">
        <v>150</v>
      </c>
      <c r="E19" s="1112">
        <f>VLOOKUP($E$2,'COM Chillers'!$A$6:$I$41,4,FALSE)</f>
        <v>17.05</v>
      </c>
      <c r="F19" s="1113">
        <f>VLOOKUP($E$2,'COM Chillers'!$A$6:$I$41,5,FALSE)</f>
        <v>12.79</v>
      </c>
      <c r="G19" s="1114">
        <f>VLOOKUP($E$2,'COM Chillers'!$A$6:$I$41,6,FALSE)</f>
        <v>47887</v>
      </c>
      <c r="H19" s="1112">
        <f>VLOOKUP($H$2,'COM Chillers'!$A$6:$I$41,4,FALSE)</f>
        <v>17.05</v>
      </c>
      <c r="I19" s="1113">
        <f>VLOOKUP($H$2,'COM Chillers'!$A$6:$I$41,5,FALSE)</f>
        <v>12.79</v>
      </c>
      <c r="J19" s="1115">
        <f>VLOOKUP($H$2,'COM Chillers'!$A$6:$I$41,6,FALSE)</f>
        <v>47887</v>
      </c>
      <c r="K19" s="1116">
        <f t="shared" si="14"/>
        <v>0</v>
      </c>
      <c r="L19" s="1117">
        <f t="shared" si="14"/>
        <v>0</v>
      </c>
      <c r="M19" s="1118">
        <f t="shared" si="14"/>
        <v>0</v>
      </c>
      <c r="N19" s="378"/>
    </row>
    <row r="20" spans="1:18" ht="16.5" customHeight="1" x14ac:dyDescent="0.2">
      <c r="A20" s="301">
        <v>24</v>
      </c>
      <c r="B20" s="1323" t="s">
        <v>178</v>
      </c>
      <c r="C20" s="301" t="s">
        <v>179</v>
      </c>
      <c r="D20" s="306" t="s">
        <v>154</v>
      </c>
      <c r="E20" s="1112">
        <f>VLOOKUP($E$2,'COM CV'!$A$6:$I$41,4,FALSE)</f>
        <v>179</v>
      </c>
      <c r="F20" s="1113">
        <f>VLOOKUP($E$2,'COM CV'!$A$6:$I$41,5,FALSE)</f>
        <v>0</v>
      </c>
      <c r="G20" s="1114">
        <f>VLOOKUP($E$2,'COM CV'!$A$6:$I$41,6,FALSE)</f>
        <v>4877</v>
      </c>
      <c r="H20" s="1112">
        <f>VLOOKUP($H$2,'COM CV'!$A$6:$I$41,4,FALSE)</f>
        <v>179</v>
      </c>
      <c r="I20" s="1113">
        <f>VLOOKUP($H$2,'COM CV'!$A$6:$I$41,5,FALSE)</f>
        <v>0</v>
      </c>
      <c r="J20" s="1115">
        <f>VLOOKUP($H$2,'COM CV'!$A$6:$I$41,6,FALSE)</f>
        <v>4877</v>
      </c>
      <c r="K20" s="1116">
        <f t="shared" si="14"/>
        <v>0</v>
      </c>
      <c r="L20" s="1117">
        <f t="shared" si="14"/>
        <v>0</v>
      </c>
      <c r="M20" s="1118">
        <f t="shared" si="14"/>
        <v>0</v>
      </c>
      <c r="N20" s="377"/>
    </row>
    <row r="21" spans="1:18" ht="16.5" customHeight="1" x14ac:dyDescent="0.2">
      <c r="A21" s="301">
        <v>29</v>
      </c>
      <c r="B21" s="1323" t="s">
        <v>178</v>
      </c>
      <c r="C21" s="301" t="s">
        <v>179</v>
      </c>
      <c r="D21" s="306" t="s">
        <v>254</v>
      </c>
      <c r="E21" s="1112">
        <f>VLOOKUP($E$2,'COM Cool Roof'!$A$6:$I$41,4,FALSE)</f>
        <v>14.64</v>
      </c>
      <c r="F21" s="1113">
        <f>VLOOKUP($E$2,'COM Cool Roof'!$A$6:$I$41,5,FALSE)</f>
        <v>0</v>
      </c>
      <c r="G21" s="1114">
        <f>VLOOKUP($E$2,'COM Cool Roof'!$A$6:$I$41,6,FALSE)</f>
        <v>35692</v>
      </c>
      <c r="H21" s="1112">
        <f>VLOOKUP($H$2,'COM Cool Roof'!$A$6:$I$41,4,FALSE)</f>
        <v>14.64</v>
      </c>
      <c r="I21" s="1113">
        <f>VLOOKUP($H$2,'COM Cool Roof'!$A$6:$I$41,5,FALSE)</f>
        <v>0</v>
      </c>
      <c r="J21" s="1115">
        <f>VLOOKUP($H$2,'COM Cool Roof'!$A$6:$I$41,6,FALSE)</f>
        <v>35692</v>
      </c>
      <c r="K21" s="1116">
        <f t="shared" si="14"/>
        <v>0</v>
      </c>
      <c r="L21" s="1117">
        <f t="shared" si="14"/>
        <v>0</v>
      </c>
      <c r="M21" s="1118">
        <f t="shared" si="14"/>
        <v>0</v>
      </c>
      <c r="N21" s="1128"/>
      <c r="O21" s="1128"/>
      <c r="P21" s="1128"/>
      <c r="Q21" s="1128"/>
      <c r="R21" s="2"/>
    </row>
    <row r="22" spans="1:18" ht="16.5" customHeight="1" x14ac:dyDescent="0.2">
      <c r="A22" s="1366">
        <v>16</v>
      </c>
      <c r="B22" s="1366" t="s">
        <v>178</v>
      </c>
      <c r="C22" s="1366" t="s">
        <v>179</v>
      </c>
      <c r="D22" s="1367" t="s">
        <v>147</v>
      </c>
      <c r="E22" s="1368">
        <f>VLOOKUP($E$2,'COM Cooling'!$A$6:$I$41,4,FALSE)</f>
        <v>0.93</v>
      </c>
      <c r="F22" s="1369" t="s">
        <v>74</v>
      </c>
      <c r="G22" s="1370">
        <f>VLOOKUP($E$2,'COM Cooling'!$A$6:$I$41,6,FALSE)</f>
        <v>1814</v>
      </c>
      <c r="H22" s="1368">
        <f>VLOOKUP($H$2,'COM Cooling'!$A$6:$I$41,4,FALSE)</f>
        <v>1.4</v>
      </c>
      <c r="I22" s="1369" t="s">
        <v>74</v>
      </c>
      <c r="J22" s="1371">
        <f>VLOOKUP($H$2,'COM Cooling'!$A$6:$I$41,6,FALSE)</f>
        <v>2703</v>
      </c>
      <c r="K22" s="1372">
        <f t="shared" si="4"/>
        <v>0.46999999999999986</v>
      </c>
      <c r="L22" s="1373" t="s">
        <v>74</v>
      </c>
      <c r="M22" s="1374">
        <f t="shared" si="6"/>
        <v>889</v>
      </c>
    </row>
    <row r="23" spans="1:18" ht="16.5" customHeight="1" x14ac:dyDescent="0.2">
      <c r="A23" s="301">
        <v>17</v>
      </c>
      <c r="B23" s="1323" t="s">
        <v>178</v>
      </c>
      <c r="C23" s="301" t="s">
        <v>179</v>
      </c>
      <c r="D23" s="306" t="s">
        <v>148</v>
      </c>
      <c r="E23" s="1112">
        <f>VLOOKUP($E$2,'COM Duct'!$A$6:$I$41,4,FALSE)</f>
        <v>0.19</v>
      </c>
      <c r="F23" s="1113">
        <f>VLOOKUP($E$2,'COM Duct'!$A$6:$I$41,5,FALSE)</f>
        <v>0</v>
      </c>
      <c r="G23" s="1114">
        <f>VLOOKUP($E$2,'COM Duct'!$A$6:$I$41,6,FALSE)</f>
        <v>867</v>
      </c>
      <c r="H23" s="1112">
        <f>VLOOKUP($H$2,'COM Duct'!$A$6:$I$41,4,FALSE)</f>
        <v>0.19</v>
      </c>
      <c r="I23" s="1113">
        <f>VLOOKUP($H$2,'COM Duct'!$A$6:$I$41,5,FALSE)</f>
        <v>0</v>
      </c>
      <c r="J23" s="1115">
        <f>VLOOKUP($H$2,'COM Duct'!$A$6:$I$41,6,FALSE)</f>
        <v>867</v>
      </c>
      <c r="K23" s="1116">
        <f t="shared" si="4"/>
        <v>0</v>
      </c>
      <c r="L23" s="1117">
        <f t="shared" si="5"/>
        <v>0</v>
      </c>
      <c r="M23" s="1118">
        <f t="shared" si="6"/>
        <v>0</v>
      </c>
      <c r="N23" s="378"/>
    </row>
    <row r="24" spans="1:18" ht="15.4" customHeight="1" x14ac:dyDescent="0.2">
      <c r="A24" s="301">
        <v>28</v>
      </c>
      <c r="B24" s="1323" t="s">
        <v>178</v>
      </c>
      <c r="C24" s="301" t="s">
        <v>179</v>
      </c>
      <c r="D24" s="985" t="s">
        <v>249</v>
      </c>
      <c r="E24" s="1112">
        <f>VLOOKUP($E$2,'COM ECM'!$A$6:$I$41,4,FALSE)</f>
        <v>0.04</v>
      </c>
      <c r="F24" s="1113">
        <f>VLOOKUP($E$2,'COM ECM'!$A$6:$I$41,5,FALSE)</f>
        <v>0</v>
      </c>
      <c r="G24" s="1114">
        <f>VLOOKUP($E$2,'COM ECM'!$A$6:$I$41,6,FALSE)</f>
        <v>12</v>
      </c>
      <c r="H24" s="1112">
        <f>VLOOKUP($H$2,'COM ECM'!$A$6:$I$41,4,FALSE)</f>
        <v>0.04</v>
      </c>
      <c r="I24" s="1113">
        <f>VLOOKUP($H$2,'COM ECM'!$A$6:$I$41,5,FALSE)</f>
        <v>0</v>
      </c>
      <c r="J24" s="1115">
        <f>VLOOKUP($H$2,'COM ECM'!$A$6:$I$41,6,FALSE)</f>
        <v>12</v>
      </c>
      <c r="K24" s="1116">
        <f t="shared" ref="K24:M24" si="15">+H24-E24</f>
        <v>0</v>
      </c>
      <c r="L24" s="1117">
        <f t="shared" si="15"/>
        <v>0</v>
      </c>
      <c r="M24" s="1118">
        <f t="shared" si="15"/>
        <v>0</v>
      </c>
    </row>
    <row r="25" spans="1:18" ht="14.65" customHeight="1" x14ac:dyDescent="0.2">
      <c r="A25" s="301">
        <v>26</v>
      </c>
      <c r="B25" s="1323" t="s">
        <v>178</v>
      </c>
      <c r="C25" s="301" t="s">
        <v>179</v>
      </c>
      <c r="D25" s="985" t="s">
        <v>353</v>
      </c>
      <c r="E25" s="1112">
        <f>VLOOKUP($E$2,'COM Cond. Light'!$A$6:$I$41,4,FALSE)</f>
        <v>14.89</v>
      </c>
      <c r="F25" s="1113">
        <f>VLOOKUP($E$2,'COM Cond. Light'!$A$6:$I$41,5,FALSE)</f>
        <v>11.6</v>
      </c>
      <c r="G25" s="1114">
        <f>VLOOKUP($E$2,'COM Cond. Light'!$A$6:$I$41,6,FALSE)</f>
        <v>70041</v>
      </c>
      <c r="H25" s="1112">
        <f>VLOOKUP($H$2,'COM Cond. Light'!$A$6:$I$41,4,FALSE)</f>
        <v>14.89</v>
      </c>
      <c r="I25" s="1113">
        <f>VLOOKUP($H$2,'COM Cond. Light'!$A$6:$I$41,5,FALSE)</f>
        <v>11.6</v>
      </c>
      <c r="J25" s="1115">
        <f>VLOOKUP($H$2,'COM Cond. Light'!$A$6:$I$41,6,FALSE)</f>
        <v>70041</v>
      </c>
      <c r="K25" s="1116">
        <f>+H25-E25</f>
        <v>0</v>
      </c>
      <c r="L25" s="1117">
        <f>+I25-F25</f>
        <v>0</v>
      </c>
      <c r="M25" s="1118">
        <f>+J25-G25</f>
        <v>0</v>
      </c>
      <c r="N25" s="1127" t="s">
        <v>346</v>
      </c>
    </row>
    <row r="26" spans="1:18" ht="16.5" customHeight="1" x14ac:dyDescent="0.2">
      <c r="A26" s="301">
        <v>27</v>
      </c>
      <c r="B26" s="1323" t="s">
        <v>178</v>
      </c>
      <c r="C26" s="301" t="s">
        <v>179</v>
      </c>
      <c r="D26" s="985" t="s">
        <v>348</v>
      </c>
      <c r="E26" s="1112">
        <f>VLOOKUP($E$2,'COM Non Cond. Light'!$A$6:$I$41,4,FALSE)</f>
        <v>10.95</v>
      </c>
      <c r="F26" s="1113">
        <f>VLOOKUP($E$2,'COM Non Cond. Light'!$A$6:$I$41,5,FALSE)</f>
        <v>10.95</v>
      </c>
      <c r="G26" s="1114">
        <f>VLOOKUP($E$2,'COM Non Cond. Light'!$A$6:$I$41,6,FALSE)</f>
        <v>54344</v>
      </c>
      <c r="H26" s="1112">
        <f>VLOOKUP($H$2,'COM Non Cond. Light'!$A$6:$I$41,4,FALSE)</f>
        <v>10.95</v>
      </c>
      <c r="I26" s="1113">
        <f>VLOOKUP($H$2,'COM Non Cond. Light'!$A$6:$I$41,5,FALSE)</f>
        <v>10.95</v>
      </c>
      <c r="J26" s="1115">
        <f>VLOOKUP($H$2,'COM Non Cond. Light'!$A$6:$I$41,6,FALSE)</f>
        <v>54344</v>
      </c>
      <c r="K26" s="1116">
        <f t="shared" ref="K26" si="16">+H26-E26</f>
        <v>0</v>
      </c>
      <c r="L26" s="1117">
        <f t="shared" ref="L26" si="17">+I26-F26</f>
        <v>0</v>
      </c>
      <c r="M26" s="1118">
        <f t="shared" ref="M26" si="18">+J26-G26</f>
        <v>0</v>
      </c>
      <c r="N26" s="1127" t="s">
        <v>346</v>
      </c>
    </row>
    <row r="27" spans="1:18" ht="16.5" customHeight="1" x14ac:dyDescent="0.2">
      <c r="A27" s="1366">
        <v>21</v>
      </c>
      <c r="B27" s="1366" t="s">
        <v>178</v>
      </c>
      <c r="C27" s="1366" t="s">
        <v>179</v>
      </c>
      <c r="D27" s="1367" t="s">
        <v>151</v>
      </c>
      <c r="E27" s="1368">
        <f>VLOOKUP($E$2,'COM Occ. Sens.'!$A$6:$I$41,4,FALSE)</f>
        <v>15.69</v>
      </c>
      <c r="F27" s="1369">
        <f>VLOOKUP($E$2,'COM Occ. Sens.'!$A$6:$I$41,5,FALSE)</f>
        <v>12.55</v>
      </c>
      <c r="G27" s="1370">
        <f>VLOOKUP($E$2,'COM Occ. Sens.'!$A$6:$I$41,6,FALSE)</f>
        <v>95812</v>
      </c>
      <c r="H27" s="1368">
        <f>VLOOKUP($H$2,'COM Occ. Sens.'!$A$6:$I$41,4,FALSE)</f>
        <v>24.84</v>
      </c>
      <c r="I27" s="1369">
        <f>VLOOKUP($H$2,'COM Occ. Sens.'!$A$6:$I$41,5,FALSE)</f>
        <v>19.489999999999998</v>
      </c>
      <c r="J27" s="1371">
        <f>VLOOKUP($H$2,'COM Occ. Sens.'!$A$6:$I$41,6,FALSE)</f>
        <v>27772</v>
      </c>
      <c r="K27" s="1372">
        <f t="shared" si="4"/>
        <v>9.15</v>
      </c>
      <c r="L27" s="1373">
        <f t="shared" si="5"/>
        <v>6.9399999999999977</v>
      </c>
      <c r="M27" s="1374">
        <f t="shared" si="6"/>
        <v>-68040</v>
      </c>
      <c r="N27" s="378"/>
    </row>
    <row r="28" spans="1:18" ht="16.5" customHeight="1" x14ac:dyDescent="0.2">
      <c r="A28" s="1366">
        <v>30</v>
      </c>
      <c r="B28" s="1366" t="s">
        <v>178</v>
      </c>
      <c r="C28" s="1366" t="s">
        <v>179</v>
      </c>
      <c r="D28" s="1375" t="s">
        <v>490</v>
      </c>
      <c r="E28" s="1368">
        <f>VLOOKUP($E$2,'COM Ref'!$A$6:$I$41,4,FALSE)</f>
        <v>0.80200000000000005</v>
      </c>
      <c r="F28" s="1369">
        <f>VLOOKUP($E$2,'COM Ref'!$A$6:$I$41,5,FALSE)</f>
        <v>1.3160000000000001</v>
      </c>
      <c r="G28" s="1370">
        <f>VLOOKUP($E$2,'COM Ref'!$A$6:$I$41,6,FALSE)</f>
        <v>12933</v>
      </c>
      <c r="H28" s="1368">
        <f>VLOOKUP($E$2,'COM Ref'!$A$6:$I$41,4,FALSE)</f>
        <v>0.80200000000000005</v>
      </c>
      <c r="I28" s="1369">
        <f>VLOOKUP($E$2,'COM Ref'!$A$6:$I$41,4,FALSE)</f>
        <v>0.80200000000000005</v>
      </c>
      <c r="J28" s="1371">
        <f>VLOOKUP($E$2,'COM Ref'!$A$6:$I$41,4,FALSE)</f>
        <v>0.80200000000000005</v>
      </c>
      <c r="K28" s="1372">
        <f>VLOOKUP($E$2,'COM Ref'!$A$6:$I$41,4,FALSE)</f>
        <v>0.80200000000000005</v>
      </c>
      <c r="L28" s="1373">
        <f>VLOOKUP($E$2,'COM Ref'!$A$6:$I$41,4,FALSE)</f>
        <v>0.80200000000000005</v>
      </c>
      <c r="M28" s="1374">
        <f>VLOOKUP($E$2,'COM Ref'!$A$6:$I$41,4,FALSE)</f>
        <v>0.80200000000000005</v>
      </c>
      <c r="N28" s="1128"/>
      <c r="O28" s="1128"/>
      <c r="P28" s="1128"/>
      <c r="Q28" s="1128"/>
      <c r="R28" s="2"/>
    </row>
    <row r="29" spans="1:18" ht="16.5" customHeight="1" x14ac:dyDescent="0.2">
      <c r="A29" s="301">
        <v>25</v>
      </c>
      <c r="B29" s="1323" t="s">
        <v>178</v>
      </c>
      <c r="C29" s="301" t="s">
        <v>179</v>
      </c>
      <c r="D29" s="985" t="s">
        <v>349</v>
      </c>
      <c r="E29" s="1112">
        <f>VLOOKUP($E$2,'COM TES'!$A$6:$I$41,4,FALSE)</f>
        <v>185.14</v>
      </c>
      <c r="F29" s="1113">
        <f>VLOOKUP($E$2,'COM TES'!$A$6:$I$41,5,FALSE)</f>
        <v>0</v>
      </c>
      <c r="G29" s="1114">
        <f>VLOOKUP($E$2,'COM TES'!$A$6:$I$41,6,FALSE)</f>
        <v>19244</v>
      </c>
      <c r="H29" s="1112">
        <f>VLOOKUP($H$2,'COM TES'!$A$6:$I$41,4,FALSE)</f>
        <v>185.14</v>
      </c>
      <c r="I29" s="1113">
        <f>VLOOKUP($H$2,'COM TES'!$A$6:$I$41,5,FALSE)</f>
        <v>0</v>
      </c>
      <c r="J29" s="1115">
        <f>VLOOKUP($H$2,'COM TES'!$A$6:$I$41,6,FALSE)</f>
        <v>19244</v>
      </c>
      <c r="K29" s="1116">
        <f t="shared" ref="K29" si="19">+H29-E29</f>
        <v>0</v>
      </c>
      <c r="L29" s="1117">
        <f t="shared" ref="L29" si="20">+I29-F29</f>
        <v>0</v>
      </c>
      <c r="M29" s="1118">
        <f t="shared" ref="M29" si="21">+J29-G29</f>
        <v>0</v>
      </c>
      <c r="N29" s="1127" t="s">
        <v>346</v>
      </c>
    </row>
    <row r="30" spans="1:18" ht="16.5" customHeight="1" x14ac:dyDescent="0.2">
      <c r="A30" s="301">
        <v>19</v>
      </c>
      <c r="B30" s="1323" t="s">
        <v>178</v>
      </c>
      <c r="C30" s="301" t="s">
        <v>179</v>
      </c>
      <c r="D30" s="985" t="s">
        <v>343</v>
      </c>
      <c r="E30" s="1112">
        <f>VLOOKUP($E$2,'COM WI'!$A$6:$I$41,4,FALSE)</f>
        <v>0.5</v>
      </c>
      <c r="F30" s="1113">
        <f>VLOOKUP($E$2,'COM WI'!$A$6:$I$41,5,FALSE)</f>
        <v>0.39</v>
      </c>
      <c r="G30" s="1114">
        <f>VLOOKUP($E$2,'COM WI'!$A$6:$I$41,6,FALSE)</f>
        <v>682</v>
      </c>
      <c r="H30" s="1112">
        <f>VLOOKUP($H$2,'COM WI'!$A$6:$I$41,4,FALSE)</f>
        <v>0.5</v>
      </c>
      <c r="I30" s="1113">
        <f>VLOOKUP($H$2,'COM WI'!$A$6:$I$41,5,FALSE)</f>
        <v>0.39</v>
      </c>
      <c r="J30" s="1115">
        <f>VLOOKUP($H$2,'COM WI'!$A$6:$I$41,6,FALSE)</f>
        <v>682</v>
      </c>
      <c r="K30" s="1116">
        <f>+H30-E30</f>
        <v>0</v>
      </c>
      <c r="L30" s="1117">
        <f>+I30-F30</f>
        <v>0</v>
      </c>
      <c r="M30" s="1118">
        <f>+J30-G30</f>
        <v>0</v>
      </c>
      <c r="N30" s="1127" t="s">
        <v>346</v>
      </c>
    </row>
    <row r="31" spans="1:18" ht="16.5" customHeight="1" x14ac:dyDescent="0.2">
      <c r="A31" s="301">
        <v>23</v>
      </c>
      <c r="B31" s="1323" t="s">
        <v>178</v>
      </c>
      <c r="C31" s="301" t="s">
        <v>179</v>
      </c>
      <c r="D31" s="306" t="s">
        <v>152</v>
      </c>
      <c r="E31" s="1112">
        <f>VLOOKUP($E$2,'COM WH'!$A$6:$I$41,4,FALSE)</f>
        <v>0.63100000000000001</v>
      </c>
      <c r="F31" s="1113">
        <f>VLOOKUP($E$2,'COM WH'!$A$6:$I$41,5,FALSE)</f>
        <v>0.32900000000000001</v>
      </c>
      <c r="G31" s="1114">
        <f>VLOOKUP($E$2,'COM WH'!$A$6:$I$41,6,FALSE)</f>
        <v>4735</v>
      </c>
      <c r="H31" s="1112">
        <f>VLOOKUP($H$2,'COM WH'!$A$6:$I$41,4,FALSE)</f>
        <v>0.63100000000000001</v>
      </c>
      <c r="I31" s="1113">
        <f>VLOOKUP($H$2,'COM WH'!$A$6:$I$41,5,FALSE)</f>
        <v>0.32900000000000001</v>
      </c>
      <c r="J31" s="1115">
        <f>VLOOKUP($H$2,'COM WH'!$A$6:$I$41,6,FALSE)</f>
        <v>4735</v>
      </c>
      <c r="K31" s="1116">
        <f t="shared" si="4"/>
        <v>0</v>
      </c>
      <c r="L31" s="1117">
        <f t="shared" si="5"/>
        <v>0</v>
      </c>
      <c r="M31" s="1118">
        <f t="shared" si="6"/>
        <v>0</v>
      </c>
      <c r="N31" s="379"/>
    </row>
    <row r="32" spans="1:18" ht="16.5" customHeight="1" thickBot="1" x14ac:dyDescent="0.25">
      <c r="A32" s="1125">
        <v>13</v>
      </c>
      <c r="B32" s="1349" t="s">
        <v>176</v>
      </c>
      <c r="C32" s="1322" t="s">
        <v>180</v>
      </c>
      <c r="D32" s="1325" t="s">
        <v>134</v>
      </c>
      <c r="E32" s="1304">
        <f>VLOOKUP($E$2,'RES EP (RSVP)'!$A$6:$I$41,4,FALSE)</f>
        <v>2.012</v>
      </c>
      <c r="F32" s="1305">
        <f>VLOOKUP($E$2,'RES EP (RSVP)'!$A$6:$I$41,5,FALSE)</f>
        <v>3.1339999999999999</v>
      </c>
      <c r="G32" s="1119">
        <f>VLOOKUP($E$2,'RES EP (RSVP)'!$A$6:$I$41,6,FALSE)</f>
        <v>242</v>
      </c>
      <c r="H32" s="1304">
        <f>VLOOKUP($H$2,'RES EP (RSVP)'!$A$6:$I$41,4,FALSE)</f>
        <v>2.012</v>
      </c>
      <c r="I32" s="1305">
        <f>VLOOKUP($H$2,'RES EP (RSVP)'!$A$6:$I$41,5,FALSE)</f>
        <v>3.1339999999999999</v>
      </c>
      <c r="J32" s="1120">
        <f>VLOOKUP($H$2,'RES EP (RSVP)'!$A$6:$I$41,6,FALSE)</f>
        <v>242</v>
      </c>
      <c r="K32" s="1121">
        <f>+H32-E32</f>
        <v>0</v>
      </c>
      <c r="L32" s="1122">
        <f>+I32-F32</f>
        <v>0</v>
      </c>
      <c r="M32" s="1123">
        <f>+J32-G32</f>
        <v>0</v>
      </c>
      <c r="N32" s="1306"/>
      <c r="O32" s="376"/>
      <c r="P32" s="376"/>
    </row>
    <row r="33" spans="1:18" ht="16.5" customHeight="1" x14ac:dyDescent="0.2">
      <c r="A33" s="301">
        <v>31</v>
      </c>
      <c r="B33" s="1350" t="s">
        <v>178</v>
      </c>
      <c r="C33" s="1321" t="s">
        <v>180</v>
      </c>
      <c r="D33" s="1326" t="s">
        <v>351</v>
      </c>
      <c r="E33" s="1112">
        <f>VLOOKUP($E$2,'COM DMD Response'!$A$6:$I$41,4,FALSE)</f>
        <v>470.59</v>
      </c>
      <c r="F33" s="1113">
        <f>VLOOKUP($E$2,'COM DMD Response'!$A$6:$I$41,5,FALSE)</f>
        <v>470.59</v>
      </c>
      <c r="G33" s="1114">
        <f>VLOOKUP($E$2,'COM DMD Response'!$A$6:$I$41,6,FALSE)</f>
        <v>35294</v>
      </c>
      <c r="H33" s="1112">
        <f>VLOOKUP($H$2,'COM DMD Response'!$A$6:$I$41,4,FALSE)</f>
        <v>470.59</v>
      </c>
      <c r="I33" s="1113">
        <f>VLOOKUP($H$2,'COM DMD Response'!$A$6:$I$41,5,FALSE)</f>
        <v>470.59</v>
      </c>
      <c r="J33" s="1115">
        <f>VLOOKUP($H$2,'COM DMD Response'!$A$6:$I$41,6,FALSE)</f>
        <v>35294</v>
      </c>
      <c r="K33" s="1116">
        <f t="shared" si="4"/>
        <v>0</v>
      </c>
      <c r="L33" s="1117">
        <f t="shared" si="5"/>
        <v>0</v>
      </c>
      <c r="M33" s="1118">
        <f t="shared" si="6"/>
        <v>0</v>
      </c>
    </row>
    <row r="34" spans="1:18" ht="16.5" customHeight="1" x14ac:dyDescent="0.2">
      <c r="A34" s="301">
        <v>32</v>
      </c>
      <c r="B34" s="1350" t="s">
        <v>178</v>
      </c>
      <c r="C34" s="1321" t="s">
        <v>180</v>
      </c>
      <c r="D34" s="1327" t="s">
        <v>156</v>
      </c>
      <c r="E34" s="1112">
        <f>VLOOKUP($E$2,'COM LM (cyc)'!$A$6:$I$41,5,FALSE)</f>
        <v>13.2</v>
      </c>
      <c r="F34" s="1113" t="s">
        <v>74</v>
      </c>
      <c r="G34" s="1114" t="s">
        <v>74</v>
      </c>
      <c r="H34" s="1112">
        <f>VLOOKUP($H$2,'COM LM (cyc)'!$A$6:$I$41,5,FALSE)</f>
        <v>13.2</v>
      </c>
      <c r="I34" s="1113" t="s">
        <v>74</v>
      </c>
      <c r="J34" s="1115" t="s">
        <v>74</v>
      </c>
      <c r="K34" s="1116">
        <f t="shared" si="4"/>
        <v>0</v>
      </c>
      <c r="L34" s="1117" t="s">
        <v>74</v>
      </c>
      <c r="M34" s="1118" t="s">
        <v>74</v>
      </c>
      <c r="N34" s="379"/>
    </row>
    <row r="35" spans="1:18" ht="16.5" customHeight="1" x14ac:dyDescent="0.2">
      <c r="A35" s="301">
        <v>33</v>
      </c>
      <c r="B35" s="1350" t="s">
        <v>178</v>
      </c>
      <c r="C35" s="1321" t="s">
        <v>180</v>
      </c>
      <c r="D35" s="1327" t="s">
        <v>157</v>
      </c>
      <c r="E35" s="1112">
        <f>VLOOKUP($E$2,'COM LM (ext)'!$A$6:$I$41,5,FALSE)</f>
        <v>92</v>
      </c>
      <c r="F35" s="1113">
        <f>VLOOKUP($E$2,'COM LM (ext)'!$A$6:$I$41,6,FALSE)</f>
        <v>60</v>
      </c>
      <c r="G35" s="1114" t="s">
        <v>74</v>
      </c>
      <c r="H35" s="1112">
        <f>VLOOKUP($H$2,'COM LM (ext)'!$A$6:$I$41,5,FALSE)</f>
        <v>92</v>
      </c>
      <c r="I35" s="1113">
        <f>VLOOKUP($H$2,'COM LM (ext)'!$A$6:$I$41,6,FALSE)</f>
        <v>60</v>
      </c>
      <c r="J35" s="1115" t="s">
        <v>74</v>
      </c>
      <c r="K35" s="1116">
        <f t="shared" si="4"/>
        <v>0</v>
      </c>
      <c r="L35" s="1117">
        <f t="shared" si="5"/>
        <v>0</v>
      </c>
      <c r="M35" s="1118" t="s">
        <v>74</v>
      </c>
      <c r="N35" s="379"/>
    </row>
    <row r="36" spans="1:18" ht="16.5" customHeight="1" thickBot="1" x14ac:dyDescent="0.25">
      <c r="A36" s="301">
        <v>34</v>
      </c>
      <c r="B36" s="1350" t="s">
        <v>178</v>
      </c>
      <c r="C36" s="1321" t="s">
        <v>180</v>
      </c>
      <c r="D36" s="1326" t="s">
        <v>350</v>
      </c>
      <c r="E36" s="1112">
        <f>VLOOKUP($E$2,'COM SB Gen'!$A$6:$I$41,5,FALSE)</f>
        <v>298</v>
      </c>
      <c r="F36" s="1113">
        <f>VLOOKUP($E$2,'COM SB Gen'!$A$6:$I$41,6,FALSE)</f>
        <v>298</v>
      </c>
      <c r="G36" s="1114">
        <f>VLOOKUP($E$2,'COM SB Gen'!$A$6:$I$41,7,FALSE)</f>
        <v>29800</v>
      </c>
      <c r="H36" s="1112">
        <f>VLOOKUP($H$2,'COM SB Gen'!$A$6:$I$41,5,FALSE)</f>
        <v>298</v>
      </c>
      <c r="I36" s="1113">
        <f>VLOOKUP($H$2,'COM SB Gen'!$A$6:$I$41,6,FALSE)</f>
        <v>298</v>
      </c>
      <c r="J36" s="1115">
        <f>VLOOKUP($H$2,'COM SB Gen'!$A$6:$I$41,7,FALSE)</f>
        <v>29800</v>
      </c>
      <c r="K36" s="1116">
        <f t="shared" si="4"/>
        <v>0</v>
      </c>
      <c r="L36" s="1117">
        <f t="shared" si="5"/>
        <v>0</v>
      </c>
      <c r="M36" s="1118">
        <f t="shared" si="6"/>
        <v>0</v>
      </c>
      <c r="N36" s="379"/>
    </row>
    <row r="37" spans="1:18" ht="16.5" customHeight="1" thickBot="1" x14ac:dyDescent="0.3">
      <c r="A37" s="1275"/>
      <c r="B37" s="1276" t="s">
        <v>487</v>
      </c>
      <c r="C37" s="1276"/>
      <c r="D37" s="1277"/>
      <c r="E37" s="1278"/>
      <c r="F37" s="1279"/>
      <c r="G37" s="1280"/>
      <c r="H37" s="1278"/>
      <c r="I37" s="1279"/>
      <c r="J37" s="1281"/>
      <c r="K37" s="1282"/>
      <c r="L37" s="1283"/>
      <c r="M37" s="1284"/>
      <c r="N37" s="1285"/>
      <c r="O37" s="1286"/>
      <c r="P37" s="1286"/>
      <c r="Q37" s="1287"/>
    </row>
    <row r="38" spans="1:18" ht="16.5" customHeight="1" x14ac:dyDescent="0.2">
      <c r="A38" s="301"/>
      <c r="B38" s="1288" t="s">
        <v>176</v>
      </c>
      <c r="C38" s="1288" t="s">
        <v>179</v>
      </c>
      <c r="D38" s="1288" t="s">
        <v>250</v>
      </c>
      <c r="E38" s="1289">
        <f>VLOOKUP($E$2,'RES HVAC Re-com'!$A$6:$I$41,4,FALSE)</f>
        <v>0</v>
      </c>
      <c r="F38" s="1290">
        <f>VLOOKUP($E$2,'RES HVAC Re-com'!$A$6:$I$41,5,FALSE)</f>
        <v>0</v>
      </c>
      <c r="G38" s="1291">
        <f>VLOOKUP($E$2,'RES HVAC Re-com'!$A$6:$I$41,6,FALSE)</f>
        <v>0</v>
      </c>
      <c r="H38" s="1289">
        <f>VLOOKUP($H$2,'RES HVAC Re-com'!$A$6:$I$41,4,FALSE)</f>
        <v>0</v>
      </c>
      <c r="I38" s="1290">
        <f>VLOOKUP($H$2,'RES HVAC Re-com'!$A$6:$I$41,5,FALSE)</f>
        <v>0</v>
      </c>
      <c r="J38" s="1292">
        <f>VLOOKUP($H$2,'RES HVAC Re-com'!$A$6:$I$41,6,FALSE)</f>
        <v>0</v>
      </c>
      <c r="K38" s="1293">
        <f t="shared" ref="K38:M41" si="22">+H38-E38</f>
        <v>0</v>
      </c>
      <c r="L38" s="1294">
        <f t="shared" si="22"/>
        <v>0</v>
      </c>
      <c r="M38" s="1295">
        <f t="shared" si="22"/>
        <v>0</v>
      </c>
      <c r="N38" s="1296" t="s">
        <v>347</v>
      </c>
      <c r="O38" s="1297"/>
      <c r="P38" s="1297"/>
      <c r="Q38" s="1297"/>
    </row>
    <row r="39" spans="1:18" ht="16.5" customHeight="1" x14ac:dyDescent="0.2">
      <c r="A39" s="301"/>
      <c r="B39" s="1288" t="s">
        <v>176</v>
      </c>
      <c r="C39" s="1288" t="s">
        <v>179</v>
      </c>
      <c r="D39" s="1288" t="s">
        <v>251</v>
      </c>
      <c r="E39" s="1289">
        <f>VLOOKUP($E$2,'RES Solar DHW'!$A$6:$I$41,4,FALSE)</f>
        <v>0</v>
      </c>
      <c r="F39" s="1290">
        <f>VLOOKUP($E$2,'RES Solar DHW'!$A$6:$I$41,5,FALSE)</f>
        <v>0</v>
      </c>
      <c r="G39" s="1291">
        <f>VLOOKUP($E$2,'RES Solar DHW'!$A$6:$I$41,6,FALSE)</f>
        <v>0</v>
      </c>
      <c r="H39" s="1289">
        <f>VLOOKUP($H$2,'RES Solar DHW'!$A$6:$I$41,4,FALSE)</f>
        <v>0</v>
      </c>
      <c r="I39" s="1290">
        <f>VLOOKUP($H$2,'RES Solar DHW'!$A$6:$I$41,5,FALSE)</f>
        <v>0</v>
      </c>
      <c r="J39" s="1292">
        <f>VLOOKUP($H$2,'RES Solar DHW'!$A$6:$I$41,6,FALSE)</f>
        <v>0</v>
      </c>
      <c r="K39" s="1293">
        <f t="shared" si="22"/>
        <v>0</v>
      </c>
      <c r="L39" s="1294">
        <f t="shared" si="22"/>
        <v>0</v>
      </c>
      <c r="M39" s="1295">
        <f t="shared" si="22"/>
        <v>0</v>
      </c>
      <c r="N39" s="1298" t="s">
        <v>398</v>
      </c>
      <c r="O39" s="1297"/>
      <c r="P39" s="1297"/>
      <c r="Q39" s="1297"/>
    </row>
    <row r="40" spans="1:18" ht="16.5" customHeight="1" x14ac:dyDescent="0.2">
      <c r="A40" s="301"/>
      <c r="B40" s="1299" t="s">
        <v>176</v>
      </c>
      <c r="C40" s="1299" t="s">
        <v>179</v>
      </c>
      <c r="D40" s="1299" t="s">
        <v>252</v>
      </c>
      <c r="E40" s="1289">
        <f>VLOOKUP($E$2,'RES PV'!$A$6:$I$41,4,FALSE)</f>
        <v>0</v>
      </c>
      <c r="F40" s="1290">
        <f>VLOOKUP($E$2,'RES PV'!$A$6:$I$41,5,FALSE)</f>
        <v>0</v>
      </c>
      <c r="G40" s="1292">
        <f>VLOOKUP($E$2,'RES PV'!$A$6:$I$41,6,FALSE)</f>
        <v>0</v>
      </c>
      <c r="H40" s="1289">
        <f>VLOOKUP($H$2,'RES PV'!$A$6:$I$41,4,FALSE)</f>
        <v>0</v>
      </c>
      <c r="I40" s="1290">
        <f>VLOOKUP($H$2,'RES PV'!$A$6:$I$41,5,FALSE)</f>
        <v>0</v>
      </c>
      <c r="J40" s="1292">
        <f>VLOOKUP($H$2,'RES PV'!$A$6:$I$41,6,FALSE)</f>
        <v>0</v>
      </c>
      <c r="K40" s="1289">
        <f t="shared" si="22"/>
        <v>0</v>
      </c>
      <c r="L40" s="1294">
        <f t="shared" si="22"/>
        <v>0</v>
      </c>
      <c r="M40" s="1295">
        <f t="shared" si="22"/>
        <v>0</v>
      </c>
      <c r="N40" s="1298" t="s">
        <v>398</v>
      </c>
      <c r="O40" s="1302"/>
      <c r="P40" s="1302"/>
      <c r="Q40" s="1302"/>
      <c r="R40" s="176"/>
    </row>
    <row r="41" spans="1:18" ht="16.5" customHeight="1" x14ac:dyDescent="0.2">
      <c r="A41" s="301"/>
      <c r="B41" s="1299" t="s">
        <v>176</v>
      </c>
      <c r="C41" s="1299" t="s">
        <v>179</v>
      </c>
      <c r="D41" s="1299" t="s">
        <v>235</v>
      </c>
      <c r="E41" s="1289">
        <f>VLOOKUP($E$2,'RES WF'!$A$6:$I$41,4,FALSE)</f>
        <v>0</v>
      </c>
      <c r="F41" s="1290">
        <f>VLOOKUP($E$2,'RES WF'!$A$6:$I$41,5,FALSE)</f>
        <v>0</v>
      </c>
      <c r="G41" s="1292">
        <f>VLOOKUP($E$2,'RES WF'!$A$6:$I$41,6,FALSE)</f>
        <v>0</v>
      </c>
      <c r="H41" s="1289">
        <f>VLOOKUP($H$2,'RES WF'!$A$6:$I$41,4,FALSE)</f>
        <v>0</v>
      </c>
      <c r="I41" s="1290">
        <f>VLOOKUP($H$2,'RES WF'!$A$6:$I$41,5,FALSE)</f>
        <v>0</v>
      </c>
      <c r="J41" s="1292">
        <f>VLOOKUP($H$2,'RES WF'!$A$6:$I$41,6,FALSE)</f>
        <v>0</v>
      </c>
      <c r="K41" s="1289">
        <f t="shared" si="22"/>
        <v>0</v>
      </c>
      <c r="L41" s="1294">
        <f t="shared" si="22"/>
        <v>0</v>
      </c>
      <c r="M41" s="1295">
        <f t="shared" si="22"/>
        <v>0</v>
      </c>
      <c r="N41" s="1298" t="s">
        <v>398</v>
      </c>
      <c r="O41" s="1302"/>
      <c r="P41" s="1302"/>
      <c r="Q41" s="1302"/>
      <c r="R41" s="176"/>
    </row>
    <row r="42" spans="1:18" ht="16.5" customHeight="1" x14ac:dyDescent="0.2">
      <c r="A42" s="1366"/>
      <c r="B42" s="1376" t="s">
        <v>176</v>
      </c>
      <c r="C42" s="1376" t="s">
        <v>180</v>
      </c>
      <c r="D42" s="1377" t="s">
        <v>133</v>
      </c>
      <c r="E42" s="1378">
        <f>VLOOKUP($E$2,'RES Prime Time'!$A$6:$I$41,5,FALSE)</f>
        <v>0.93258331453680388</v>
      </c>
      <c r="F42" s="1379">
        <f>VLOOKUP($E$2,'RES Prime Time'!$A$6:$I$41,6,FALSE)</f>
        <v>1.5915874192365795</v>
      </c>
      <c r="G42" s="1380" t="s">
        <v>74</v>
      </c>
      <c r="H42" s="1378">
        <f>VLOOKUP($H$2,'RES Prime Time'!$A$6:$I$41,5,FALSE)</f>
        <v>0</v>
      </c>
      <c r="I42" s="1379">
        <f>VLOOKUP($H$2,'RES Prime Time'!$A$6:$I$41,6,FALSE)</f>
        <v>0</v>
      </c>
      <c r="J42" s="1381" t="s">
        <v>74</v>
      </c>
      <c r="K42" s="1382">
        <f t="shared" ref="K42:K50" si="23">+H42-E42</f>
        <v>-0.93258331453680388</v>
      </c>
      <c r="L42" s="1383">
        <f t="shared" ref="L42:L50" si="24">+I42-F42</f>
        <v>-1.5915874192365795</v>
      </c>
      <c r="M42" s="1384" t="s">
        <v>74</v>
      </c>
      <c r="N42" s="1296" t="s">
        <v>485</v>
      </c>
      <c r="O42" s="1297"/>
      <c r="P42" s="1297"/>
      <c r="Q42" s="1297"/>
    </row>
    <row r="43" spans="1:18" ht="16.5" customHeight="1" x14ac:dyDescent="0.2">
      <c r="A43" s="301"/>
      <c r="B43" s="1288" t="s">
        <v>178</v>
      </c>
      <c r="C43" s="1288" t="s">
        <v>179</v>
      </c>
      <c r="D43" s="1299" t="s">
        <v>255</v>
      </c>
      <c r="E43" s="1289">
        <f>VLOOKUP($E$2,'COM HVAC ReCommissioning'!$A$6:$I$41,4,FALSE)</f>
        <v>0</v>
      </c>
      <c r="F43" s="1290">
        <f>VLOOKUP($E$2,'COM HVAC ReCommissioning'!$A$6:$I$41,5,FALSE)</f>
        <v>0</v>
      </c>
      <c r="G43" s="1291">
        <f>VLOOKUP($E$2,'COM HVAC ReCommissioning'!$A$6:$I$41,6,FALSE)</f>
        <v>0</v>
      </c>
      <c r="H43" s="1289">
        <f>VLOOKUP($H$2,'COM HVAC ReCommissioning'!$A$6:$I$41,4,FALSE)</f>
        <v>0</v>
      </c>
      <c r="I43" s="1290">
        <f>VLOOKUP($H$2,'COM HVAC ReCommissioning'!$A$6:$I$41,5,FALSE)</f>
        <v>0</v>
      </c>
      <c r="J43" s="1292">
        <f>VLOOKUP($H$2,'COM HVAC ReCommissioning'!$A$6:$I$41,6,FALSE)</f>
        <v>0</v>
      </c>
      <c r="K43" s="1293">
        <f t="shared" si="23"/>
        <v>0</v>
      </c>
      <c r="L43" s="1294">
        <f t="shared" si="24"/>
        <v>0</v>
      </c>
      <c r="M43" s="1295">
        <f t="shared" ref="M43:M50" si="25">+J43-G43</f>
        <v>0</v>
      </c>
      <c r="N43" s="1296" t="s">
        <v>347</v>
      </c>
      <c r="O43" s="1296"/>
      <c r="P43" s="1296"/>
      <c r="Q43" s="1296"/>
    </row>
    <row r="44" spans="1:18" ht="16.5" customHeight="1" x14ac:dyDescent="0.2">
      <c r="A44" s="301"/>
      <c r="B44" s="1288" t="s">
        <v>178</v>
      </c>
      <c r="C44" s="1288" t="s">
        <v>179</v>
      </c>
      <c r="D44" s="1299" t="s">
        <v>256</v>
      </c>
      <c r="E44" s="1289">
        <f>VLOOKUP($E$2,'COM ERV'!$A$6:$I$41,4,FALSE)</f>
        <v>0</v>
      </c>
      <c r="F44" s="1290">
        <f>VLOOKUP($E$2,'COM ERV'!$A$6:$I$41,5,FALSE)</f>
        <v>0</v>
      </c>
      <c r="G44" s="1291">
        <f>VLOOKUP($E$2,'COM ERV'!$A$6:$I$41,6,FALSE)</f>
        <v>0</v>
      </c>
      <c r="H44" s="1289">
        <f>VLOOKUP($H$2,'COM ERV'!$A$6:$I$41,4,FALSE)</f>
        <v>0</v>
      </c>
      <c r="I44" s="1290">
        <f>VLOOKUP($H$2,'COM ERV'!$A$6:$I$41,5,FALSE)</f>
        <v>0</v>
      </c>
      <c r="J44" s="1292">
        <f>VLOOKUP($H$2,'COM ERV'!$A$6:$I$41,6,FALSE)</f>
        <v>0</v>
      </c>
      <c r="K44" s="1293">
        <f t="shared" si="23"/>
        <v>0</v>
      </c>
      <c r="L44" s="1294">
        <f t="shared" si="24"/>
        <v>0</v>
      </c>
      <c r="M44" s="1295">
        <f t="shared" si="25"/>
        <v>0</v>
      </c>
      <c r="N44" s="1296" t="s">
        <v>347</v>
      </c>
      <c r="O44" s="1296"/>
      <c r="P44" s="1296"/>
      <c r="Q44" s="1296"/>
    </row>
    <row r="45" spans="1:18" ht="16.5" customHeight="1" x14ac:dyDescent="0.2">
      <c r="A45" s="301"/>
      <c r="B45" s="1288" t="s">
        <v>178</v>
      </c>
      <c r="C45" s="1288" t="s">
        <v>179</v>
      </c>
      <c r="D45" s="1299" t="s">
        <v>252</v>
      </c>
      <c r="E45" s="1289">
        <f>VLOOKUP($E$2,'COM PV'!$A$6:$I$41,4,FALSE)</f>
        <v>0</v>
      </c>
      <c r="F45" s="1290">
        <f>VLOOKUP($E$2,'COM PV'!$A$6:$I$41,5,FALSE)</f>
        <v>0</v>
      </c>
      <c r="G45" s="1291">
        <f>VLOOKUP($E$2,'COM PV'!$A$6:$I$41,6,FALSE)</f>
        <v>0</v>
      </c>
      <c r="H45" s="1289">
        <f>VLOOKUP($H$2,'COM PV'!$A$6:$I$41,4,FALSE)</f>
        <v>0</v>
      </c>
      <c r="I45" s="1290">
        <f>VLOOKUP($H$2,'COM PV'!$A$6:$I$41,5,FALSE)</f>
        <v>0</v>
      </c>
      <c r="J45" s="1292">
        <f>VLOOKUP($H$2,'COM PV'!$A$6:$I$41,6,FALSE)</f>
        <v>0</v>
      </c>
      <c r="K45" s="1293">
        <f t="shared" si="23"/>
        <v>0</v>
      </c>
      <c r="L45" s="1294">
        <f t="shared" si="24"/>
        <v>0</v>
      </c>
      <c r="M45" s="1295">
        <f t="shared" si="25"/>
        <v>0</v>
      </c>
      <c r="N45" s="1296" t="s">
        <v>347</v>
      </c>
      <c r="O45" s="1300"/>
      <c r="P45" s="1300"/>
      <c r="Q45" s="1300"/>
    </row>
    <row r="46" spans="1:18" ht="16.5" customHeight="1" x14ac:dyDescent="0.2">
      <c r="A46" s="301"/>
      <c r="B46" s="1288" t="s">
        <v>178</v>
      </c>
      <c r="C46" s="1288" t="s">
        <v>179</v>
      </c>
      <c r="D46" s="1299" t="s">
        <v>334</v>
      </c>
      <c r="E46" s="1289">
        <f>VLOOKUP($E$2,'COM School PV'!$A$6:$I$41,4,FALSE)</f>
        <v>0</v>
      </c>
      <c r="F46" s="1290">
        <f>VLOOKUP($E$2,'COM School PV'!$A$6:$I$41,5,FALSE)</f>
        <v>0</v>
      </c>
      <c r="G46" s="1291">
        <f>VLOOKUP($E$2,'COM School PV'!$A$6:$I$41,6,FALSE)</f>
        <v>0</v>
      </c>
      <c r="H46" s="1289">
        <f>VLOOKUP($H$2,'COM School PV'!$A$6:$I$41,4,FALSE)</f>
        <v>0</v>
      </c>
      <c r="I46" s="1290">
        <f>VLOOKUP($H$2,'COM School PV'!$A$6:$I$41,5,FALSE)</f>
        <v>0</v>
      </c>
      <c r="J46" s="1292">
        <f>VLOOKUP($H$2,'COM School PV'!$A$6:$I$41,6,FALSE)</f>
        <v>0</v>
      </c>
      <c r="K46" s="1293">
        <f t="shared" si="23"/>
        <v>0</v>
      </c>
      <c r="L46" s="1294">
        <f t="shared" si="24"/>
        <v>0</v>
      </c>
      <c r="M46" s="1295">
        <f t="shared" si="25"/>
        <v>0</v>
      </c>
      <c r="N46" s="1296" t="s">
        <v>347</v>
      </c>
      <c r="O46" s="1300"/>
      <c r="P46" s="1300"/>
      <c r="Q46" s="1300"/>
    </row>
    <row r="47" spans="1:18" ht="16.5" customHeight="1" x14ac:dyDescent="0.2">
      <c r="A47" s="301"/>
      <c r="B47" s="1288" t="s">
        <v>178</v>
      </c>
      <c r="C47" s="1288" t="s">
        <v>179</v>
      </c>
      <c r="D47" s="1299" t="s">
        <v>253</v>
      </c>
      <c r="E47" s="1289">
        <f>VLOOKUP($E$2,'COM ECM HVAC'!$A$6:$I$41,4,FALSE)</f>
        <v>0</v>
      </c>
      <c r="F47" s="1290">
        <f>VLOOKUP($E$2,'COM ECM HVAC'!$A$6:$I$41,5,FALSE)</f>
        <v>0</v>
      </c>
      <c r="G47" s="1291">
        <f>VLOOKUP($E$2,'COM ECM HVAC'!$A$6:$I$41,6,FALSE)</f>
        <v>0</v>
      </c>
      <c r="H47" s="1289">
        <f>VLOOKUP($H$2,'COM ECM HVAC'!$A$6:$I$41,4,FALSE)</f>
        <v>0</v>
      </c>
      <c r="I47" s="1290">
        <f>VLOOKUP($H$2,'COM ECM HVAC'!$A$6:$I$41,5,FALSE)</f>
        <v>0</v>
      </c>
      <c r="J47" s="1292">
        <f>VLOOKUP($H$2,'COM ECM HVAC'!$A$6:$I$41,6,FALSE)</f>
        <v>0</v>
      </c>
      <c r="K47" s="1293">
        <f t="shared" si="23"/>
        <v>0</v>
      </c>
      <c r="L47" s="1294">
        <f t="shared" si="24"/>
        <v>0</v>
      </c>
      <c r="M47" s="1295">
        <f t="shared" si="25"/>
        <v>0</v>
      </c>
      <c r="N47" s="1296" t="s">
        <v>347</v>
      </c>
      <c r="O47" s="1296"/>
      <c r="P47" s="1296"/>
      <c r="Q47" s="1296"/>
    </row>
    <row r="48" spans="1:18" ht="16.5" customHeight="1" x14ac:dyDescent="0.2">
      <c r="A48" s="301"/>
      <c r="B48" s="1288" t="s">
        <v>178</v>
      </c>
      <c r="C48" s="1288" t="s">
        <v>179</v>
      </c>
      <c r="D48" s="1299" t="s">
        <v>131</v>
      </c>
      <c r="E48" s="1289">
        <f>VLOOKUP($E$2,'COM Bldg Envel'!$A$6:$I$41,4,FALSE)</f>
        <v>0</v>
      </c>
      <c r="F48" s="1290">
        <f>VLOOKUP($E$2,'COM Bldg Envel'!$A$6:$I$41,5,FALSE)</f>
        <v>0</v>
      </c>
      <c r="G48" s="1291">
        <f>VLOOKUP($E$2,'COM Bldg Envel'!$A$6:$I$41,6,FALSE)</f>
        <v>0</v>
      </c>
      <c r="H48" s="1289">
        <f>VLOOKUP($H$2,'COM Bldg Envel'!$A$6:$I$41,4,FALSE)</f>
        <v>0</v>
      </c>
      <c r="I48" s="1290">
        <f>VLOOKUP($H$2,'COM Bldg Envel'!$A$6:$I$41,5,FALSE)</f>
        <v>0</v>
      </c>
      <c r="J48" s="1292">
        <f>VLOOKUP($H$2,'COM Bldg Envel'!$A$6:$I$41,6,FALSE)</f>
        <v>0</v>
      </c>
      <c r="K48" s="1293">
        <f t="shared" si="23"/>
        <v>0</v>
      </c>
      <c r="L48" s="1294">
        <f t="shared" si="24"/>
        <v>0</v>
      </c>
      <c r="M48" s="1295">
        <f t="shared" si="25"/>
        <v>0</v>
      </c>
      <c r="N48" s="1296" t="s">
        <v>347</v>
      </c>
      <c r="O48" s="1297"/>
      <c r="P48" s="1297"/>
      <c r="Q48" s="1297"/>
    </row>
    <row r="49" spans="1:17" ht="16.5" customHeight="1" x14ac:dyDescent="0.2">
      <c r="A49" s="301"/>
      <c r="B49" s="1288" t="s">
        <v>178</v>
      </c>
      <c r="C49" s="1288" t="s">
        <v>179</v>
      </c>
      <c r="D49" s="1299" t="s">
        <v>153</v>
      </c>
      <c r="E49" s="1289">
        <f>VLOOKUP($E$2,'COM Lighting'!$A$6:$I$41,4,FALSE)</f>
        <v>0</v>
      </c>
      <c r="F49" s="1290">
        <f>VLOOKUP($E$2,'COM Lighting'!$A$6:$I$41,5,FALSE)</f>
        <v>0</v>
      </c>
      <c r="G49" s="1291">
        <f>VLOOKUP($E$2,'COM Lighting'!$A$6:$I$41,6,FALSE)</f>
        <v>0</v>
      </c>
      <c r="H49" s="1289">
        <f>VLOOKUP($H$2,'COM Lighting'!$A$6:$I$41,4,FALSE)</f>
        <v>0</v>
      </c>
      <c r="I49" s="1290">
        <f>VLOOKUP($H$2,'COM Lighting'!$A$6:$I$41,5,FALSE)</f>
        <v>0</v>
      </c>
      <c r="J49" s="1292">
        <f>VLOOKUP($H$2,'COM Lighting'!$A$6:$I$41,6,FALSE)</f>
        <v>0</v>
      </c>
      <c r="K49" s="1293">
        <f t="shared" si="23"/>
        <v>0</v>
      </c>
      <c r="L49" s="1294">
        <f t="shared" si="24"/>
        <v>0</v>
      </c>
      <c r="M49" s="1295">
        <f t="shared" si="25"/>
        <v>0</v>
      </c>
      <c r="N49" s="1296" t="s">
        <v>347</v>
      </c>
      <c r="O49" s="1300"/>
      <c r="P49" s="1297"/>
      <c r="Q49" s="1297"/>
    </row>
    <row r="50" spans="1:17" ht="16.5" customHeight="1" x14ac:dyDescent="0.2">
      <c r="A50" s="301"/>
      <c r="B50" s="1288" t="s">
        <v>178</v>
      </c>
      <c r="C50" s="1288" t="s">
        <v>179</v>
      </c>
      <c r="D50" s="1299" t="s">
        <v>149</v>
      </c>
      <c r="E50" s="1289">
        <f>VLOOKUP($E$2,'COM EEMotors'!$A$6:$I$41,4,FALSE)</f>
        <v>0</v>
      </c>
      <c r="F50" s="1290">
        <f>VLOOKUP($E$2,'COM EEMotors'!$A$6:$I$41,5,FALSE)</f>
        <v>0</v>
      </c>
      <c r="G50" s="1291">
        <f>VLOOKUP($E$2,'COM EEMotors'!$A$6:$I$41,6,FALSE)</f>
        <v>0</v>
      </c>
      <c r="H50" s="1289">
        <f>VLOOKUP($H$2,'COM EEMotors'!$A$6:$I$41,4,FALSE)</f>
        <v>0</v>
      </c>
      <c r="I50" s="1290">
        <f>VLOOKUP($H$2,'COM EEMotors'!$A$6:$I$41,5,FALSE)</f>
        <v>0</v>
      </c>
      <c r="J50" s="1292">
        <f>VLOOKUP($H$2,'COM EEMotors'!$A$6:$I$41,6,FALSE)</f>
        <v>0</v>
      </c>
      <c r="K50" s="1293">
        <f t="shared" si="23"/>
        <v>0</v>
      </c>
      <c r="L50" s="1294">
        <f t="shared" si="24"/>
        <v>0</v>
      </c>
      <c r="M50" s="1295">
        <f t="shared" si="25"/>
        <v>0</v>
      </c>
      <c r="N50" s="1296" t="s">
        <v>347</v>
      </c>
      <c r="O50" s="1296"/>
      <c r="P50" s="1296"/>
      <c r="Q50" s="1296"/>
    </row>
    <row r="51" spans="1:17" ht="16.5" customHeight="1" x14ac:dyDescent="0.2">
      <c r="A51" s="301"/>
      <c r="B51" s="1288" t="s">
        <v>178</v>
      </c>
      <c r="C51" s="1288" t="s">
        <v>179</v>
      </c>
      <c r="D51" s="1299" t="s">
        <v>146</v>
      </c>
      <c r="E51" s="1289" t="s">
        <v>74</v>
      </c>
      <c r="F51" s="1290" t="s">
        <v>74</v>
      </c>
      <c r="G51" s="1291" t="s">
        <v>74</v>
      </c>
      <c r="H51" s="1289" t="s">
        <v>74</v>
      </c>
      <c r="I51" s="1290" t="s">
        <v>74</v>
      </c>
      <c r="J51" s="1292" t="s">
        <v>74</v>
      </c>
      <c r="K51" s="1293" t="s">
        <v>74</v>
      </c>
      <c r="L51" s="1294" t="s">
        <v>74</v>
      </c>
      <c r="M51" s="1295" t="s">
        <v>74</v>
      </c>
      <c r="N51" s="1298" t="s">
        <v>399</v>
      </c>
      <c r="O51" s="1301"/>
      <c r="P51" s="1297"/>
      <c r="Q51" s="1297"/>
    </row>
    <row r="52" spans="1:17" ht="16.5" customHeight="1" x14ac:dyDescent="0.2">
      <c r="A52" s="301"/>
      <c r="B52" s="1288" t="s">
        <v>177</v>
      </c>
      <c r="C52" s="1288" t="s">
        <v>179</v>
      </c>
      <c r="D52" s="1299" t="s">
        <v>155</v>
      </c>
      <c r="E52" s="1289" t="s">
        <v>74</v>
      </c>
      <c r="F52" s="1290" t="s">
        <v>74</v>
      </c>
      <c r="G52" s="1291" t="s">
        <v>74</v>
      </c>
      <c r="H52" s="1289" t="s">
        <v>74</v>
      </c>
      <c r="I52" s="1290" t="s">
        <v>74</v>
      </c>
      <c r="J52" s="1292" t="s">
        <v>74</v>
      </c>
      <c r="K52" s="1293" t="s">
        <v>74</v>
      </c>
      <c r="L52" s="1294" t="s">
        <v>74</v>
      </c>
      <c r="M52" s="1295" t="s">
        <v>74</v>
      </c>
      <c r="N52" s="1298" t="s">
        <v>400</v>
      </c>
      <c r="O52" s="1297"/>
      <c r="P52" s="1297"/>
      <c r="Q52" s="1297"/>
    </row>
    <row r="53" spans="1:17" x14ac:dyDescent="0.2">
      <c r="A53" s="301"/>
    </row>
    <row r="54" spans="1:17" x14ac:dyDescent="0.2">
      <c r="A54" s="301"/>
      <c r="B54" s="1268"/>
      <c r="C54" s="1268"/>
      <c r="D54" s="559" t="s">
        <v>488</v>
      </c>
      <c r="E54" s="822">
        <f t="shared" ref="E54:M54" si="26">SUM(E8:E52)</f>
        <v>1319.5725833145366</v>
      </c>
      <c r="F54" s="822">
        <f t="shared" si="26"/>
        <v>885.26358741923661</v>
      </c>
      <c r="G54" s="822">
        <f t="shared" si="26"/>
        <v>430411</v>
      </c>
      <c r="H54" s="822">
        <f t="shared" si="26"/>
        <v>1328.26</v>
      </c>
      <c r="I54" s="822">
        <f t="shared" si="26"/>
        <v>890.09799999999996</v>
      </c>
      <c r="J54" s="822">
        <f t="shared" si="26"/>
        <v>350327.80200000003</v>
      </c>
      <c r="K54" s="822">
        <f t="shared" si="26"/>
        <v>9.4894166854631976</v>
      </c>
      <c r="L54" s="822">
        <f t="shared" si="26"/>
        <v>6.150412580763418</v>
      </c>
      <c r="M54" s="822">
        <f t="shared" si="26"/>
        <v>-67150.198000000004</v>
      </c>
    </row>
    <row r="55" spans="1:17" x14ac:dyDescent="0.2">
      <c r="G55" t="s">
        <v>186</v>
      </c>
    </row>
    <row r="56" spans="1:17" x14ac:dyDescent="0.2">
      <c r="B56" s="1269"/>
      <c r="C56" s="1270"/>
      <c r="F56" t="s">
        <v>186</v>
      </c>
    </row>
    <row r="57" spans="1:17" x14ac:dyDescent="0.2">
      <c r="B57" s="1271"/>
      <c r="C57" s="1272"/>
    </row>
    <row r="58" spans="1:17" x14ac:dyDescent="0.2">
      <c r="B58" s="1273"/>
      <c r="C58" s="1274"/>
    </row>
    <row r="59" spans="1:17" x14ac:dyDescent="0.2">
      <c r="B59" s="1268"/>
      <c r="C59" s="176"/>
    </row>
  </sheetData>
  <mergeCells count="7">
    <mergeCell ref="N16:P17"/>
    <mergeCell ref="N4:P6"/>
    <mergeCell ref="K2:M2"/>
    <mergeCell ref="E1:G1"/>
    <mergeCell ref="H1:J1"/>
    <mergeCell ref="E2:G2"/>
    <mergeCell ref="H2:J2"/>
  </mergeCells>
  <phoneticPr fontId="7" type="noConversion"/>
  <pageMargins left="0.25" right="0.25" top="0.28999999999999998" bottom="0.21" header="0.21" footer="0.17"/>
  <pageSetup scale="62"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pageSetUpPr fitToPage="1"/>
  </sheetPr>
  <dimension ref="A1:Y54"/>
  <sheetViews>
    <sheetView topLeftCell="A16" workbookViewId="0">
      <selection activeCell="S35" sqref="S35"/>
    </sheetView>
  </sheetViews>
  <sheetFormatPr defaultRowHeight="12.75" x14ac:dyDescent="0.2"/>
  <cols>
    <col min="6" max="6" width="5.7109375" customWidth="1"/>
    <col min="7" max="7" width="10.28515625" customWidth="1"/>
    <col min="8" max="8" width="9.7109375" customWidth="1"/>
    <col min="9" max="9" width="2.7109375" customWidth="1"/>
    <col min="12" max="12" width="2.5703125" customWidth="1"/>
    <col min="15" max="15" width="3.5703125" customWidth="1"/>
    <col min="16" max="16" width="3" style="804" customWidth="1"/>
    <col min="17" max="17" width="9.5703125" style="306" customWidth="1"/>
    <col min="18" max="18" width="8.42578125" style="306" customWidth="1"/>
    <col min="19" max="19" width="11.28515625" style="804" customWidth="1"/>
  </cols>
  <sheetData>
    <row r="1" spans="1:25" ht="15.75" thickBot="1" x14ac:dyDescent="0.3">
      <c r="B1" s="1236" t="s">
        <v>460</v>
      </c>
      <c r="C1" s="1236" t="s">
        <v>460</v>
      </c>
      <c r="D1" s="1236" t="s">
        <v>460</v>
      </c>
      <c r="Q1" s="1235"/>
      <c r="R1" s="1235"/>
    </row>
    <row r="2" spans="1:25" ht="42.75" customHeight="1" thickTop="1" thickBot="1" x14ac:dyDescent="0.3">
      <c r="A2" s="301"/>
      <c r="B2" s="1509" t="s">
        <v>459</v>
      </c>
      <c r="C2" s="1510"/>
      <c r="D2" s="1510"/>
      <c r="E2" s="1510"/>
      <c r="F2" s="355"/>
      <c r="G2" s="1510" t="s">
        <v>461</v>
      </c>
      <c r="H2" s="1511"/>
      <c r="J2" s="1419" t="s">
        <v>165</v>
      </c>
      <c r="K2" s="1420"/>
      <c r="M2" s="1419" t="s">
        <v>135</v>
      </c>
      <c r="N2" s="1420"/>
      <c r="Q2" s="804"/>
      <c r="R2" s="1513" t="s">
        <v>457</v>
      </c>
      <c r="S2" s="1514"/>
      <c r="T2" s="1514"/>
      <c r="U2" s="1514"/>
      <c r="V2" s="1514"/>
      <c r="W2" s="1515"/>
    </row>
    <row r="3" spans="1:25" ht="45.75" customHeight="1" x14ac:dyDescent="0.25">
      <c r="A3" s="302" t="s">
        <v>0</v>
      </c>
      <c r="B3" s="1237" t="s">
        <v>166</v>
      </c>
      <c r="C3" s="1238" t="s">
        <v>80</v>
      </c>
      <c r="D3" s="1238" t="s">
        <v>81</v>
      </c>
      <c r="E3" s="303" t="s">
        <v>187</v>
      </c>
      <c r="F3" s="304"/>
      <c r="G3" s="304" t="s">
        <v>167</v>
      </c>
      <c r="H3" s="354" t="s">
        <v>168</v>
      </c>
      <c r="J3" s="391" t="s">
        <v>167</v>
      </c>
      <c r="K3" s="392" t="s">
        <v>168</v>
      </c>
      <c r="M3" s="386" t="s">
        <v>167</v>
      </c>
      <c r="N3" s="387" t="s">
        <v>168</v>
      </c>
      <c r="Q3" s="303"/>
      <c r="R3" s="1512" t="s">
        <v>458</v>
      </c>
      <c r="S3" s="1512"/>
      <c r="T3" s="1512"/>
      <c r="U3" s="1512"/>
      <c r="V3" s="1512"/>
      <c r="W3" s="1512"/>
    </row>
    <row r="4" spans="1:25" x14ac:dyDescent="0.2">
      <c r="A4" s="396">
        <v>2000</v>
      </c>
      <c r="B4" s="356">
        <f>+'Res Summary'!BL11+'Res Summary'!BO11</f>
        <v>313.68047494911832</v>
      </c>
      <c r="C4" s="356">
        <f>((('ComInd Summary'!CT11-'ComInd Summary'!BW11)+'ComInd Summary'!CY11)*$C$50)+'ComInd Summary'!BW11</f>
        <v>100.84343465584836</v>
      </c>
      <c r="D4" s="356">
        <f>(('ComInd Summary'!CT11-'ComInd Summary'!BW11)+'ComInd Summary'!CY11)*$D$50</f>
        <v>11.204293683983153</v>
      </c>
      <c r="E4" s="356">
        <f t="shared" ref="E4:E31" si="0">+B4+C4+D4</f>
        <v>425.72820328894983</v>
      </c>
      <c r="F4" s="356"/>
      <c r="G4" s="356">
        <f>+'Res Summary'!AO11+'ComInd Summary'!BK11</f>
        <v>418.4838427976772</v>
      </c>
      <c r="H4" s="356">
        <f>+'Res Summary'!R11+'ComInd Summary'!AB11</f>
        <v>83.816891943692553</v>
      </c>
      <c r="I4" s="385"/>
      <c r="J4" s="388">
        <f>+'Res Summary'!AR11+'ComInd Summary'!BP11</f>
        <v>214.57</v>
      </c>
      <c r="K4" s="389">
        <f>+'Res Summary'!U11+'ComInd Summary'!AG11</f>
        <v>93</v>
      </c>
      <c r="L4" s="385"/>
      <c r="M4" s="388">
        <f t="shared" ref="M4:N19" si="1">+G4+J4</f>
        <v>633.05384279767713</v>
      </c>
      <c r="N4" s="390">
        <f t="shared" si="1"/>
        <v>176.81689194369255</v>
      </c>
      <c r="Q4" s="305"/>
      <c r="R4" s="305"/>
    </row>
    <row r="5" spans="1:25" ht="15.75" x14ac:dyDescent="0.25">
      <c r="A5" s="306">
        <f t="shared" ref="A5:A45" si="2">+A4+1</f>
        <v>2001</v>
      </c>
      <c r="B5" s="356">
        <f>+'Res Summary'!BL12+'Res Summary'!BO12</f>
        <v>326.45512901698339</v>
      </c>
      <c r="C5" s="356">
        <f>((('ComInd Summary'!CT12-'ComInd Summary'!BW12)+'ComInd Summary'!CY12)*$C$50)+'ComInd Summary'!BW12</f>
        <v>107.60179235584839</v>
      </c>
      <c r="D5" s="356">
        <f>(('ComInd Summary'!CT12-'ComInd Summary'!BW12)+'ComInd Summary'!CY12)*$D$50</f>
        <v>11.938888767316488</v>
      </c>
      <c r="E5" s="356">
        <f t="shared" si="0"/>
        <v>445.99581014014825</v>
      </c>
      <c r="F5" s="356"/>
      <c r="G5" s="356">
        <f>+'Res Summary'!AO12+'ComInd Summary'!BK12</f>
        <v>426.22789522596213</v>
      </c>
      <c r="H5" s="356">
        <f>+'Res Summary'!R12+'ComInd Summary'!AB12</f>
        <v>89.965871148328375</v>
      </c>
      <c r="I5" s="385"/>
      <c r="J5" s="388">
        <f>+'Res Summary'!AR12+'ComInd Summary'!BP12</f>
        <v>203.67000000000002</v>
      </c>
      <c r="K5" s="389">
        <f>+'Res Summary'!U12+'ComInd Summary'!AG12</f>
        <v>103.89999999999999</v>
      </c>
      <c r="L5" s="385"/>
      <c r="M5" s="388">
        <f t="shared" si="1"/>
        <v>629.8978952259622</v>
      </c>
      <c r="N5" s="390">
        <f t="shared" si="1"/>
        <v>193.86587114832838</v>
      </c>
      <c r="Q5" s="305"/>
      <c r="R5" s="1512" t="s">
        <v>303</v>
      </c>
      <c r="S5" s="1512"/>
      <c r="T5" s="1512"/>
      <c r="U5" s="1512"/>
      <c r="V5" s="1512"/>
      <c r="W5" s="1512"/>
    </row>
    <row r="6" spans="1:25" x14ac:dyDescent="0.2">
      <c r="A6" s="306">
        <f t="shared" si="2"/>
        <v>2002</v>
      </c>
      <c r="B6" s="356">
        <f>+'Res Summary'!BL13+'Res Summary'!BO13</f>
        <v>340.97441877493532</v>
      </c>
      <c r="C6" s="356">
        <f>((('ComInd Summary'!CT13-'ComInd Summary'!BW13)+'ComInd Summary'!CY13)*$C$50)+'ComInd Summary'!BW13</f>
        <v>121.00763076462032</v>
      </c>
      <c r="D6" s="356">
        <f>(('ComInd Summary'!CT13-'ComInd Summary'!BW13)+'ComInd Summary'!CY13)*$D$50</f>
        <v>13.394034867316487</v>
      </c>
      <c r="E6" s="356">
        <f t="shared" si="0"/>
        <v>475.37608440687211</v>
      </c>
      <c r="F6" s="356"/>
      <c r="G6" s="356">
        <f>+'Res Summary'!AO13+'ComInd Summary'!BK13</f>
        <v>436.52897396326949</v>
      </c>
      <c r="H6" s="356">
        <f>+'Res Summary'!R13+'ComInd Summary'!AB13</f>
        <v>96.707859853044411</v>
      </c>
      <c r="I6" s="385"/>
      <c r="J6" s="388">
        <f>+'Res Summary'!AR13+'ComInd Summary'!BP13</f>
        <v>185.62599999999998</v>
      </c>
      <c r="K6" s="389">
        <f>+'Res Summary'!U13+'ComInd Summary'!AG13</f>
        <v>112.10000000000001</v>
      </c>
      <c r="L6" s="385"/>
      <c r="M6" s="388">
        <f t="shared" si="1"/>
        <v>622.15497396326941</v>
      </c>
      <c r="N6" s="390">
        <f t="shared" si="1"/>
        <v>208.80785985304442</v>
      </c>
      <c r="Q6" s="305"/>
      <c r="R6" s="305"/>
    </row>
    <row r="7" spans="1:25" x14ac:dyDescent="0.2">
      <c r="A7" s="306">
        <f t="shared" si="2"/>
        <v>2003</v>
      </c>
      <c r="B7" s="356">
        <f>+'Res Summary'!BL14+'Res Summary'!BO14</f>
        <v>356.53859154937516</v>
      </c>
      <c r="C7" s="356">
        <f>((('ComInd Summary'!CT14-'ComInd Summary'!BW14)+'ComInd Summary'!CY14)*$C$50)+'ComInd Summary'!BW14</f>
        <v>133.43552816647215</v>
      </c>
      <c r="D7" s="356">
        <f>(('ComInd Summary'!CT14-'ComInd Summary'!BW14)+'ComInd Summary'!CY14)*$D$50</f>
        <v>14.698537983983153</v>
      </c>
      <c r="E7" s="356">
        <f t="shared" si="0"/>
        <v>504.67265769983049</v>
      </c>
      <c r="F7" s="356"/>
      <c r="G7" s="356">
        <f>+'Res Summary'!AO14+'ComInd Summary'!BK14</f>
        <v>445.68012240965214</v>
      </c>
      <c r="H7" s="356">
        <f>+'Res Summary'!R14+'ComInd Summary'!AB14</f>
        <v>103.08879180024724</v>
      </c>
      <c r="I7" s="385"/>
      <c r="J7" s="388">
        <f>+'Res Summary'!AR14+'ComInd Summary'!BP14</f>
        <v>216.79999999999998</v>
      </c>
      <c r="K7" s="389">
        <f>+'Res Summary'!U14+'ComInd Summary'!AG14</f>
        <v>78.900000000000006</v>
      </c>
      <c r="L7" s="385"/>
      <c r="M7" s="388">
        <f t="shared" si="1"/>
        <v>662.48012240965215</v>
      </c>
      <c r="N7" s="390">
        <f t="shared" si="1"/>
        <v>181.98879180024724</v>
      </c>
      <c r="Q7" s="305"/>
    </row>
    <row r="8" spans="1:25" x14ac:dyDescent="0.2">
      <c r="A8" s="306">
        <f t="shared" si="2"/>
        <v>2004</v>
      </c>
      <c r="B8" s="356">
        <f>+'Res Summary'!BL15+'Res Summary'!BO15</f>
        <v>371.60464704937516</v>
      </c>
      <c r="C8" s="356">
        <f>((('ComInd Summary'!CT15-'ComInd Summary'!BW15)+'ComInd Summary'!CY15)*$C$50)+'ComInd Summary'!BW15</f>
        <v>146.79764486647218</v>
      </c>
      <c r="D8" s="356">
        <f>(('ComInd Summary'!CT15-'ComInd Summary'!BW15)+'ComInd Summary'!CY15)*$D$50</f>
        <v>16.109313117316486</v>
      </c>
      <c r="E8" s="356">
        <f t="shared" si="0"/>
        <v>534.51160503316385</v>
      </c>
      <c r="F8" s="356"/>
      <c r="G8" s="356">
        <f>+'Res Summary'!AO15+'ComInd Summary'!BK15</f>
        <v>455.964743544464</v>
      </c>
      <c r="H8" s="356">
        <f>+'Res Summary'!R15+'ComInd Summary'!AB15</f>
        <v>110.01955680024722</v>
      </c>
      <c r="I8" s="385"/>
      <c r="J8" s="388">
        <f>+'Res Summary'!AR15+'ComInd Summary'!BP15</f>
        <v>145.1</v>
      </c>
      <c r="K8" s="389">
        <f>+'Res Summary'!U15+'ComInd Summary'!AG15</f>
        <v>108.10000000000001</v>
      </c>
      <c r="L8" s="385"/>
      <c r="M8" s="388">
        <f t="shared" si="1"/>
        <v>601.06474354446402</v>
      </c>
      <c r="N8" s="390">
        <f t="shared" si="1"/>
        <v>218.11955680024721</v>
      </c>
      <c r="Q8" s="305"/>
      <c r="R8" s="305"/>
    </row>
    <row r="9" spans="1:25" x14ac:dyDescent="0.2">
      <c r="A9" s="306">
        <f t="shared" si="2"/>
        <v>2005</v>
      </c>
      <c r="B9" s="356">
        <f>+'Res Summary'!BL16+'Res Summary'!BO16</f>
        <v>380.98289455773318</v>
      </c>
      <c r="C9" s="356">
        <f>((('ComInd Summary'!CT16-'ComInd Summary'!BW16)+'ComInd Summary'!CY16)*$C$50)+'ComInd Summary'!BW16</f>
        <v>156.3785385308164</v>
      </c>
      <c r="D9" s="356">
        <f>(('ComInd Summary'!CT16-'ComInd Summary'!BW16)+'ComInd Summary'!CY16)*$D$50</f>
        <v>17.127818008983152</v>
      </c>
      <c r="E9" s="356">
        <f t="shared" si="0"/>
        <v>554.4892510975327</v>
      </c>
      <c r="F9" s="356"/>
      <c r="G9" s="356">
        <f>+'Res Summary'!AO16+'ComInd Summary'!BK16</f>
        <v>462.25290135377361</v>
      </c>
      <c r="H9" s="356">
        <f>+'Res Summary'!R16+'ComInd Summary'!AB16</f>
        <v>115.10623380560256</v>
      </c>
      <c r="I9" s="385"/>
      <c r="J9" s="388">
        <f>+'Res Summary'!AR16+'ComInd Summary'!BP16</f>
        <v>192.9</v>
      </c>
      <c r="K9" s="389">
        <f>+'Res Summary'!U16+'ComInd Summary'!AG16</f>
        <v>90.732645403377106</v>
      </c>
      <c r="L9" s="385"/>
      <c r="M9" s="388">
        <f t="shared" ref="M9:M16" si="3">+G9+J9</f>
        <v>655.15290135377359</v>
      </c>
      <c r="N9" s="390">
        <f t="shared" ref="N9:N16" si="4">+H9+K9</f>
        <v>205.83887920897968</v>
      </c>
      <c r="Q9" s="305"/>
      <c r="R9" s="305"/>
    </row>
    <row r="10" spans="1:25" x14ac:dyDescent="0.2">
      <c r="A10" s="306">
        <f t="shared" si="2"/>
        <v>2006</v>
      </c>
      <c r="B10" s="356">
        <f>+'Res Summary'!BL17+'Res Summary'!BO17</f>
        <v>388.71138061362564</v>
      </c>
      <c r="C10" s="356">
        <f>((('ComInd Summary'!CT17-'ComInd Summary'!BW17)+'ComInd Summary'!CY17)*$C$50)+'ComInd Summary'!BW17</f>
        <v>164.0204250224831</v>
      </c>
      <c r="D10" s="356">
        <f>(('ComInd Summary'!CT17-'ComInd Summary'!BW17)+'ComInd Summary'!CY17)*$D$50</f>
        <v>17.928880725649819</v>
      </c>
      <c r="E10" s="356">
        <f t="shared" si="0"/>
        <v>570.66068636175851</v>
      </c>
      <c r="F10" s="356"/>
      <c r="G10" s="356">
        <f>+'Res Summary'!AO17+'ComInd Summary'!BK17</f>
        <v>466.59533352369579</v>
      </c>
      <c r="H10" s="356">
        <f>+'Res Summary'!R17+'ComInd Summary'!AB17</f>
        <v>119.71691216428378</v>
      </c>
      <c r="I10" s="274"/>
      <c r="J10" s="388">
        <f>+'Res Summary'!AR17+'ComInd Summary'!BP17</f>
        <v>137.4</v>
      </c>
      <c r="K10" s="389">
        <f>+'Res Summary'!U17+'ComInd Summary'!AG17</f>
        <v>89.037950000000009</v>
      </c>
      <c r="L10" s="274"/>
      <c r="M10" s="388">
        <f t="shared" si="3"/>
        <v>603.99533352369576</v>
      </c>
      <c r="N10" s="390">
        <f t="shared" si="4"/>
        <v>208.75486216428379</v>
      </c>
      <c r="P10" s="810"/>
      <c r="Q10" s="305"/>
      <c r="R10" s="955"/>
    </row>
    <row r="11" spans="1:25" x14ac:dyDescent="0.2">
      <c r="A11" s="306">
        <f t="shared" si="2"/>
        <v>2007</v>
      </c>
      <c r="B11" s="356">
        <f>+'Res Summary'!BL18+'Res Summary'!BO18</f>
        <v>396.80894961362566</v>
      </c>
      <c r="C11" s="356">
        <f>((('ComInd Summary'!CT18-'ComInd Summary'!BW18)+'ComInd Summary'!CY18)*$C$50)+'ComInd Summary'!BW18</f>
        <v>172.6997646724831</v>
      </c>
      <c r="D11" s="356">
        <f>(('ComInd Summary'!CT18-'ComInd Summary'!BW18)+'ComInd Summary'!CY18)*$D$50</f>
        <v>18.810650908983156</v>
      </c>
      <c r="E11" s="356">
        <f t="shared" si="0"/>
        <v>588.3193651950919</v>
      </c>
      <c r="F11" s="356"/>
      <c r="G11" s="356">
        <f>+'Res Summary'!AO18+'ComInd Summary'!BK18</f>
        <v>471.58601352369578</v>
      </c>
      <c r="H11" s="356">
        <f>+'Res Summary'!R18+'ComInd Summary'!AB18</f>
        <v>125.48139216428379</v>
      </c>
      <c r="I11" s="274"/>
      <c r="J11" s="388">
        <f>+'Res Summary'!AR18+'ComInd Summary'!BP18</f>
        <v>107.1</v>
      </c>
      <c r="K11" s="389">
        <f>+'Res Summary'!U18+'ComInd Summary'!AG18</f>
        <v>82.123899999999992</v>
      </c>
      <c r="L11" s="274"/>
      <c r="M11" s="388">
        <f t="shared" si="3"/>
        <v>578.68601352369581</v>
      </c>
      <c r="N11" s="390">
        <f t="shared" si="4"/>
        <v>207.60529216428378</v>
      </c>
      <c r="P11" s="810"/>
      <c r="Q11" s="305"/>
      <c r="R11" s="955"/>
    </row>
    <row r="12" spans="1:25" x14ac:dyDescent="0.2">
      <c r="A12" s="306">
        <f>+A11+1</f>
        <v>2008</v>
      </c>
      <c r="B12" s="356">
        <f>+'Res Summary'!BL19+'Res Summary'!BO19</f>
        <v>406.28229451232909</v>
      </c>
      <c r="C12" s="356">
        <f>((('ComInd Summary'!CT19-'ComInd Summary'!BW19)+'ComInd Summary'!CY19)*$C$50)+'ComInd Summary'!BW19</f>
        <v>186.0944656024831</v>
      </c>
      <c r="D12" s="356">
        <f>(('ComInd Summary'!CT19-'ComInd Summary'!BW19)+'ComInd Summary'!CY19)*$D$50</f>
        <v>20.25132301231649</v>
      </c>
      <c r="E12" s="356">
        <f t="shared" si="0"/>
        <v>612.62808312712866</v>
      </c>
      <c r="F12" s="356"/>
      <c r="G12" s="356">
        <f>+'Res Summary'!AO19+'ComInd Summary'!BK19</f>
        <v>476.46334705692107</v>
      </c>
      <c r="H12" s="356">
        <f>+'Res Summary'!R19+'ComInd Summary'!AB19</f>
        <v>131.33097069750906</v>
      </c>
      <c r="I12" s="385"/>
      <c r="J12" s="388">
        <f>+'Res Summary'!AR19+'ComInd Summary'!BP19</f>
        <v>179.179125</v>
      </c>
      <c r="K12" s="389">
        <f>+'Res Summary'!U19+'ComInd Summary'!AG19</f>
        <v>116.58629565757076</v>
      </c>
      <c r="L12" s="385"/>
      <c r="M12" s="388">
        <f t="shared" si="3"/>
        <v>655.64247205692106</v>
      </c>
      <c r="N12" s="390">
        <f t="shared" si="4"/>
        <v>247.91726635507982</v>
      </c>
      <c r="Q12" s="305"/>
      <c r="R12" s="305"/>
    </row>
    <row r="13" spans="1:25" x14ac:dyDescent="0.2">
      <c r="A13" s="306">
        <f t="shared" si="2"/>
        <v>2009</v>
      </c>
      <c r="B13" s="356">
        <f>+'Res Summary'!BL20+'Res Summary'!BO20</f>
        <v>418.46909436217828</v>
      </c>
      <c r="C13" s="356">
        <f>((('ComInd Summary'!CT20-'ComInd Summary'!BW20)+'ComInd Summary'!CY20)*$C$50)+'ComInd Summary'!BW20</f>
        <v>204.08564599624435</v>
      </c>
      <c r="D13" s="356">
        <f>(('ComInd Summary'!CT20-'ComInd Summary'!BW20)+'ComInd Summary'!CY20)*$D$50</f>
        <v>22.141082889050562</v>
      </c>
      <c r="E13" s="356">
        <f t="shared" si="0"/>
        <v>644.69582324747319</v>
      </c>
      <c r="F13" s="356"/>
      <c r="G13" s="356">
        <f>+'Res Summary'!AO20+'ComInd Summary'!BK20</f>
        <v>482.2247538168811</v>
      </c>
      <c r="H13" s="356">
        <f>+'Res Summary'!R20+'ComInd Summary'!AB20</f>
        <v>139.45393308203441</v>
      </c>
      <c r="I13" s="385"/>
      <c r="J13" s="388">
        <f>+'Res Summary'!AR20+'ComInd Summary'!BP20</f>
        <v>150.79857837160185</v>
      </c>
      <c r="K13" s="389">
        <f>+'Res Summary'!U20+'ComInd Summary'!AG20</f>
        <v>125.98916988973829</v>
      </c>
      <c r="L13" s="385"/>
      <c r="M13" s="388">
        <f t="shared" si="3"/>
        <v>633.02333218848298</v>
      </c>
      <c r="N13" s="390">
        <f t="shared" si="4"/>
        <v>265.4431029717727</v>
      </c>
      <c r="Q13" s="305"/>
      <c r="R13" s="305"/>
      <c r="T13" s="804"/>
      <c r="U13" s="804"/>
      <c r="V13" s="2"/>
    </row>
    <row r="14" spans="1:25" s="176" customFormat="1" ht="15" x14ac:dyDescent="0.2">
      <c r="A14" s="306">
        <f t="shared" si="2"/>
        <v>2010</v>
      </c>
      <c r="B14" s="356">
        <f>+'Res Summary'!BL21+'Res Summary'!BO21</f>
        <v>432.30197486217838</v>
      </c>
      <c r="C14" s="356">
        <f>((('ComInd Summary'!CT21-'ComInd Summary'!BW21)+'ComInd Summary'!CY21)*$C$50)+'ComInd Summary'!BW21</f>
        <v>215.16791254624431</v>
      </c>
      <c r="D14" s="356">
        <f>(('ComInd Summary'!CT21-'ComInd Summary'!BW21)+'ComInd Summary'!CY21)*$D$50</f>
        <v>23.267858505717225</v>
      </c>
      <c r="E14" s="356">
        <f t="shared" si="0"/>
        <v>670.73774591413985</v>
      </c>
      <c r="F14" s="356"/>
      <c r="G14" s="356">
        <f>+'Res Summary'!AO21+'ComInd Summary'!BK21</f>
        <v>491.96825181688109</v>
      </c>
      <c r="H14" s="356">
        <f>+'Res Summary'!R21+'ComInd Summary'!AB21</f>
        <v>148.66535308203441</v>
      </c>
      <c r="I14" s="682"/>
      <c r="J14" s="388">
        <f>+'Res Summary'!AR21+'ComInd Summary'!BP21</f>
        <v>177.03522496260365</v>
      </c>
      <c r="K14" s="389">
        <f>+'Res Summary'!U21+'ComInd Summary'!AG21</f>
        <v>121.52952405187816</v>
      </c>
      <c r="L14" s="385"/>
      <c r="M14" s="388">
        <f t="shared" si="3"/>
        <v>669.0034767794848</v>
      </c>
      <c r="N14" s="390">
        <f t="shared" si="4"/>
        <v>270.19487713391254</v>
      </c>
      <c r="O14"/>
      <c r="P14" s="804"/>
      <c r="Q14" s="305"/>
      <c r="R14" s="305"/>
      <c r="S14" s="804"/>
      <c r="T14" s="428"/>
      <c r="U14" s="428"/>
      <c r="V14" s="804"/>
      <c r="W14" s="786"/>
      <c r="X14"/>
      <c r="Y14"/>
    </row>
    <row r="15" spans="1:25" s="176" customFormat="1" x14ac:dyDescent="0.2">
      <c r="A15" s="306">
        <f t="shared" si="2"/>
        <v>2011</v>
      </c>
      <c r="B15" s="356">
        <f>+'Res Summary'!BL22+'Res Summary'!BO22</f>
        <v>447.48879986217833</v>
      </c>
      <c r="C15" s="356">
        <f>((('ComInd Summary'!CT22-'ComInd Summary'!BW22)+'ComInd Summary'!CY22)*$C$50)+'ComInd Summary'!BW22</f>
        <v>227.72747019624427</v>
      </c>
      <c r="D15" s="356">
        <f>(('ComInd Summary'!CT22-'ComInd Summary'!BW22)+'ComInd Summary'!CY22)*$D$50</f>
        <v>24.59170535571722</v>
      </c>
      <c r="E15" s="356">
        <f t="shared" si="0"/>
        <v>699.80797541413983</v>
      </c>
      <c r="F15" s="356"/>
      <c r="G15" s="356">
        <f>+'Res Summary'!AO22+'ComInd Summary'!BK22</f>
        <v>500.3770218168811</v>
      </c>
      <c r="H15" s="356">
        <f>+'Res Summary'!R22+'ComInd Summary'!AB22</f>
        <v>157.57900808203442</v>
      </c>
      <c r="I15" s="682"/>
      <c r="J15" s="388">
        <f>+'Res Summary'!AR22+'ComInd Summary'!BP22</f>
        <v>161.15279541021283</v>
      </c>
      <c r="K15" s="389">
        <f>+'Res Summary'!U22+'ComInd Summary'!AG22</f>
        <v>123.32155167786811</v>
      </c>
      <c r="L15" s="385"/>
      <c r="M15" s="388">
        <f t="shared" si="3"/>
        <v>661.52981722709387</v>
      </c>
      <c r="N15" s="390">
        <f t="shared" si="4"/>
        <v>280.90055975990254</v>
      </c>
      <c r="P15" s="804"/>
      <c r="Q15" s="305"/>
      <c r="R15" s="305"/>
      <c r="S15" s="804"/>
      <c r="T15" s="428"/>
      <c r="U15" s="428"/>
      <c r="V15" s="804"/>
      <c r="X15"/>
      <c r="Y15"/>
    </row>
    <row r="16" spans="1:25" s="176" customFormat="1" x14ac:dyDescent="0.2">
      <c r="A16" s="306">
        <f t="shared" si="2"/>
        <v>2012</v>
      </c>
      <c r="B16" s="356">
        <f>+'Res Summary'!BL23+'Res Summary'!BO23</f>
        <v>465.2355918621783</v>
      </c>
      <c r="C16" s="356">
        <f>((('ComInd Summary'!CT23-'ComInd Summary'!BW23)+'ComInd Summary'!CY23)*$C$50)+'ComInd Summary'!BW23</f>
        <v>240.77520329624431</v>
      </c>
      <c r="D16" s="356">
        <f>(('ComInd Summary'!CT23-'ComInd Summary'!BW23)+'ComInd Summary'!CY23)*$D$50</f>
        <v>26.009983089050561</v>
      </c>
      <c r="E16" s="356">
        <f t="shared" si="0"/>
        <v>732.02077824747323</v>
      </c>
      <c r="F16" s="356"/>
      <c r="G16" s="356">
        <f>+'Res Summary'!AO23+'ComInd Summary'!BK23</f>
        <v>506.40867181688117</v>
      </c>
      <c r="H16" s="356">
        <f>+'Res Summary'!R23+'ComInd Summary'!AB23</f>
        <v>167.83504687513786</v>
      </c>
      <c r="I16" s="682"/>
      <c r="J16" s="388">
        <f>+'Res Summary'!AR23+'ComInd Summary'!BP23</f>
        <v>168.15768652070591</v>
      </c>
      <c r="K16" s="389">
        <f>+'Res Summary'!U23+'ComInd Summary'!AG23</f>
        <v>132.6197295850472</v>
      </c>
      <c r="L16" s="385"/>
      <c r="M16" s="388">
        <f t="shared" si="3"/>
        <v>674.56635833758708</v>
      </c>
      <c r="N16" s="390">
        <f t="shared" si="4"/>
        <v>300.45477646018503</v>
      </c>
      <c r="P16" s="804"/>
      <c r="Q16" s="305"/>
      <c r="R16" s="305"/>
      <c r="S16" s="804"/>
      <c r="T16" s="428"/>
      <c r="U16" s="428"/>
      <c r="V16" s="804"/>
      <c r="X16"/>
      <c r="Y16"/>
    </row>
    <row r="17" spans="1:22" x14ac:dyDescent="0.2">
      <c r="A17" s="306">
        <f t="shared" si="2"/>
        <v>2013</v>
      </c>
      <c r="B17" s="356">
        <f>+'Res Summary'!BL24+'Res Summary'!BO24</f>
        <v>486.19709666936956</v>
      </c>
      <c r="C17" s="356">
        <f>((('ComInd Summary'!CT24-'ComInd Summary'!BW24)+'ComInd Summary'!CY24)*$C$50)+'ComInd Summary'!BW24</f>
        <v>260.4199511154751</v>
      </c>
      <c r="D17" s="356">
        <f>(('ComInd Summary'!CT24-'ComInd Summary'!BW24)+'ComInd Summary'!CY24)*$D$50</f>
        <v>28.150388680076198</v>
      </c>
      <c r="E17" s="356">
        <f t="shared" si="0"/>
        <v>774.76743646492082</v>
      </c>
      <c r="F17" s="356"/>
      <c r="G17" s="356">
        <f>+'Res Summary'!AO24+'ComInd Summary'!BK24</f>
        <v>517.97372896827358</v>
      </c>
      <c r="H17" s="356">
        <f>+'Res Summary'!R24+'ComInd Summary'!AB24</f>
        <v>181.01705715097052</v>
      </c>
      <c r="I17" s="682"/>
      <c r="J17" s="388">
        <f>+'Res Summary'!AR24+'ComInd Summary'!BP24</f>
        <v>156.94235022651537</v>
      </c>
      <c r="K17" s="389">
        <f>+'Res Summary'!U24+'ComInd Summary'!AG24</f>
        <v>127.12813443694779</v>
      </c>
      <c r="L17" s="385"/>
      <c r="M17" s="388">
        <f t="shared" si="1"/>
        <v>674.91607919478895</v>
      </c>
      <c r="N17" s="390">
        <f t="shared" si="1"/>
        <v>308.1451915879183</v>
      </c>
      <c r="O17" s="176"/>
      <c r="Q17" s="305"/>
      <c r="R17" s="305"/>
      <c r="T17" s="428"/>
      <c r="U17" s="428"/>
      <c r="V17" s="2"/>
    </row>
    <row r="18" spans="1:22" ht="13.5" thickBot="1" x14ac:dyDescent="0.25">
      <c r="A18" s="1049">
        <f t="shared" si="2"/>
        <v>2014</v>
      </c>
      <c r="B18" s="356">
        <f>+'Res Summary'!BL25+'Res Summary'!BO25</f>
        <v>517.69284148201189</v>
      </c>
      <c r="C18" s="356">
        <f>((('ComInd Summary'!CT25-'ComInd Summary'!BW25)+'ComInd Summary'!CY25)*$C$50)+'ComInd Summary'!BW25</f>
        <v>270.41824937168201</v>
      </c>
      <c r="D18" s="356">
        <f>(('ComInd Summary'!CT25-'ComInd Summary'!BW25)+'ComInd Summary'!CY25)*$D$50</f>
        <v>29.212086930765857</v>
      </c>
      <c r="E18" s="356">
        <f t="shared" si="0"/>
        <v>817.32317778445974</v>
      </c>
      <c r="F18" s="356"/>
      <c r="G18" s="356">
        <f>+'Res Summary'!AO25+'ComInd Summary'!BK25</f>
        <v>531.07508803954954</v>
      </c>
      <c r="H18" s="356">
        <f>+'Res Summary'!R25+'ComInd Summary'!AB25</f>
        <v>195.02256055717828</v>
      </c>
      <c r="I18" s="682"/>
      <c r="J18" s="388">
        <f>+'Res Summary'!AR25+'ComInd Summary'!BP25</f>
        <v>159.51710631270922</v>
      </c>
      <c r="K18" s="389">
        <f>+'Res Summary'!U25+'ComInd Summary'!AG25</f>
        <v>128.79325469280832</v>
      </c>
      <c r="L18" s="385"/>
      <c r="M18" s="388">
        <f t="shared" si="1"/>
        <v>690.59219435225873</v>
      </c>
      <c r="N18" s="390">
        <f t="shared" si="1"/>
        <v>323.8158152499866</v>
      </c>
      <c r="O18" s="176"/>
      <c r="Q18" s="305"/>
      <c r="R18" s="305"/>
      <c r="T18" s="428"/>
      <c r="U18" s="428"/>
      <c r="V18" s="2"/>
    </row>
    <row r="19" spans="1:22" ht="13.5" thickBot="1" x14ac:dyDescent="0.25">
      <c r="A19" s="1233">
        <f t="shared" si="2"/>
        <v>2015</v>
      </c>
      <c r="B19" s="1234">
        <f>+'Res Summary'!BL26</f>
        <v>534.78590348299667</v>
      </c>
      <c r="C19" s="1234">
        <f>'ComInd Summary'!CT26*$C$50</f>
        <v>270.93583055670962</v>
      </c>
      <c r="D19" s="1234">
        <f>'ComInd Summary'!CT26*$D$50</f>
        <v>30.103981172967735</v>
      </c>
      <c r="E19" s="1231">
        <f t="shared" si="0"/>
        <v>835.82571521267391</v>
      </c>
      <c r="F19" s="1231"/>
      <c r="G19" s="1231">
        <f>+'Res Summary'!AO26+'ComInd Summary'!BK26</f>
        <v>537.3298427307584</v>
      </c>
      <c r="H19" s="1231">
        <f>+'Res Summary'!R26+'ComInd Summary'!AB26</f>
        <v>206.6113608618663</v>
      </c>
      <c r="I19" s="1232"/>
      <c r="J19" s="1227">
        <f>+'Res Summary'!AR26+'ComInd Summary'!BP26</f>
        <v>146.48812339154412</v>
      </c>
      <c r="K19" s="1228">
        <f>+'Res Summary'!U26+'ComInd Summary'!AG26</f>
        <v>122.56991885384454</v>
      </c>
      <c r="L19" s="1229"/>
      <c r="M19" s="1227">
        <f t="shared" si="1"/>
        <v>683.81796612230255</v>
      </c>
      <c r="N19" s="1230">
        <f t="shared" si="1"/>
        <v>329.18127971571084</v>
      </c>
      <c r="O19" s="176"/>
      <c r="Q19" s="305"/>
      <c r="R19" s="305"/>
      <c r="T19" s="359"/>
      <c r="U19" s="359"/>
    </row>
    <row r="20" spans="1:22" x14ac:dyDescent="0.2">
      <c r="A20" s="1109">
        <f t="shared" si="2"/>
        <v>2016</v>
      </c>
      <c r="B20" s="384">
        <f>+'Res Summary'!BL27</f>
        <v>552.71024698299698</v>
      </c>
      <c r="C20" s="384">
        <f>'ComInd Summary'!CT27*$C$50</f>
        <v>283.09449350670963</v>
      </c>
      <c r="D20" s="384">
        <f>'ComInd Summary'!CT27*$D$50</f>
        <v>31.454943722967741</v>
      </c>
      <c r="E20" s="384">
        <f t="shared" si="0"/>
        <v>867.2596842126743</v>
      </c>
      <c r="F20" s="384"/>
      <c r="G20" s="384">
        <f>+'Res Summary'!AO27+'ComInd Summary'!BK27</f>
        <v>546.26208773075837</v>
      </c>
      <c r="H20" s="384">
        <f>+'Res Summary'!R27+'ComInd Summary'!AB27</f>
        <v>213.97706936186626</v>
      </c>
      <c r="I20" s="395"/>
      <c r="J20" s="388">
        <f>+'Res Summary'!AR27+'ComInd Summary'!BP27</f>
        <v>124.11180490321961</v>
      </c>
      <c r="K20" s="389">
        <f>+'Res Summary'!U27+'ComInd Summary'!AG27</f>
        <v>103.6900917576593</v>
      </c>
      <c r="L20" s="682"/>
      <c r="M20" s="388">
        <f t="shared" ref="M20:N31" si="5">+G20+J20</f>
        <v>670.37389263397802</v>
      </c>
      <c r="N20" s="1110">
        <f t="shared" si="5"/>
        <v>317.66716111952553</v>
      </c>
      <c r="O20" s="176"/>
      <c r="Q20" s="305"/>
      <c r="R20" s="305"/>
      <c r="S20" s="299"/>
      <c r="T20" s="359"/>
      <c r="U20" s="359"/>
    </row>
    <row r="21" spans="1:22" x14ac:dyDescent="0.2">
      <c r="A21" s="1109">
        <f t="shared" si="2"/>
        <v>2017</v>
      </c>
      <c r="B21" s="384">
        <f>+'Res Summary'!BL28</f>
        <v>564.08628898299673</v>
      </c>
      <c r="C21" s="384">
        <f>'ComInd Summary'!CT28*$C$50</f>
        <v>292.35623690670963</v>
      </c>
      <c r="D21" s="384">
        <f>'ComInd Summary'!CT28*$D$50</f>
        <v>32.484026322967736</v>
      </c>
      <c r="E21" s="384">
        <f t="shared" si="0"/>
        <v>888.9265522126741</v>
      </c>
      <c r="F21" s="384"/>
      <c r="G21" s="384">
        <f>+'Res Summary'!AO28+'ComInd Summary'!BK28</f>
        <v>553.42238273075839</v>
      </c>
      <c r="H21" s="384">
        <f>+'Res Summary'!R28+'ComInd Summary'!AB28</f>
        <v>219.50543736186631</v>
      </c>
      <c r="I21" s="395"/>
      <c r="J21" s="388">
        <f>+'Res Summary'!AR28+'ComInd Summary'!BP28</f>
        <v>104.48659882588757</v>
      </c>
      <c r="K21" s="389">
        <f>+'Res Summary'!U28+'ComInd Summary'!AG28</f>
        <v>104.22668188243649</v>
      </c>
      <c r="L21" s="682"/>
      <c r="M21" s="388">
        <f t="shared" si="5"/>
        <v>657.90898155664593</v>
      </c>
      <c r="N21" s="1110">
        <f t="shared" si="5"/>
        <v>323.73211924430279</v>
      </c>
      <c r="O21" s="176"/>
      <c r="Q21" s="305"/>
      <c r="R21" s="305"/>
      <c r="T21" s="359"/>
      <c r="U21" s="359"/>
    </row>
    <row r="22" spans="1:22" x14ac:dyDescent="0.2">
      <c r="A22" s="1109">
        <f t="shared" si="2"/>
        <v>2018</v>
      </c>
      <c r="B22" s="384">
        <f>+'Res Summary'!BL29</f>
        <v>574.81955598299692</v>
      </c>
      <c r="C22" s="384">
        <f>'ComInd Summary'!CT29*$C$50</f>
        <v>296.38252640670964</v>
      </c>
      <c r="D22" s="384">
        <f>'ComInd Summary'!CT29*$D$50</f>
        <v>32.93139182296774</v>
      </c>
      <c r="E22" s="384">
        <f t="shared" si="0"/>
        <v>904.13347421267429</v>
      </c>
      <c r="F22" s="384"/>
      <c r="G22" s="384">
        <f>+'Res Summary'!AO29+'ComInd Summary'!BK29</f>
        <v>557.34419173075833</v>
      </c>
      <c r="H22" s="384">
        <f>+'Res Summary'!R29+'ComInd Summary'!AB29</f>
        <v>224.07396936186632</v>
      </c>
      <c r="I22" s="395"/>
      <c r="J22" s="388">
        <f>+'Res Summary'!AR29+'ComInd Summary'!BP29</f>
        <v>108.21350589659464</v>
      </c>
      <c r="K22" s="389">
        <f>+'Res Summary'!U29+'ComInd Summary'!AG29</f>
        <v>106.64188188243649</v>
      </c>
      <c r="L22" s="682"/>
      <c r="M22" s="388">
        <f t="shared" si="5"/>
        <v>665.55769762735292</v>
      </c>
      <c r="N22" s="1110">
        <f t="shared" si="5"/>
        <v>330.71585124430283</v>
      </c>
      <c r="O22" s="176"/>
      <c r="Q22" s="305"/>
      <c r="R22" s="305"/>
      <c r="T22" s="359"/>
      <c r="U22" s="359"/>
    </row>
    <row r="23" spans="1:22" x14ac:dyDescent="0.2">
      <c r="A23" s="1109">
        <f t="shared" si="2"/>
        <v>2019</v>
      </c>
      <c r="B23" s="384">
        <f>+'Res Summary'!BL30</f>
        <v>586.18042798299678</v>
      </c>
      <c r="C23" s="384">
        <f>'ComInd Summary'!CT30*$C$50</f>
        <v>300.90473210670967</v>
      </c>
      <c r="D23" s="384">
        <f>'ComInd Summary'!CT30*$D$50</f>
        <v>33.433859122967746</v>
      </c>
      <c r="E23" s="384">
        <f t="shared" si="0"/>
        <v>920.51901921267427</v>
      </c>
      <c r="F23" s="384"/>
      <c r="G23" s="384">
        <f>+'Res Summary'!AO30+'ComInd Summary'!BK30</f>
        <v>561.41998073075831</v>
      </c>
      <c r="H23" s="384">
        <f>+'Res Summary'!R30+'ComInd Summary'!AB30</f>
        <v>229.07266736186625</v>
      </c>
      <c r="I23" s="395"/>
      <c r="J23" s="388">
        <f>+'Res Summary'!AR30+'ComInd Summary'!BP30</f>
        <v>111.94041296730171</v>
      </c>
      <c r="K23" s="389">
        <f>+'Res Summary'!U30+'ComInd Summary'!AG30</f>
        <v>109.3085818824365</v>
      </c>
      <c r="L23" s="682"/>
      <c r="M23" s="388">
        <f t="shared" si="5"/>
        <v>673.36039369806008</v>
      </c>
      <c r="N23" s="1110">
        <f t="shared" si="5"/>
        <v>338.38124924430275</v>
      </c>
      <c r="Q23" s="305"/>
      <c r="R23" s="305"/>
      <c r="T23" s="359"/>
      <c r="U23" s="359"/>
    </row>
    <row r="24" spans="1:22" x14ac:dyDescent="0.2">
      <c r="A24" s="1109">
        <f t="shared" si="2"/>
        <v>2020</v>
      </c>
      <c r="B24" s="384">
        <f>+'Res Summary'!BL31</f>
        <v>597.86976998299701</v>
      </c>
      <c r="C24" s="384">
        <f>'ComInd Summary'!CT31*$C$50</f>
        <v>306.00830090670962</v>
      </c>
      <c r="D24" s="384">
        <f>'ComInd Summary'!CT31*$D$50</f>
        <v>34.000922322967732</v>
      </c>
      <c r="E24" s="384">
        <f t="shared" si="0"/>
        <v>937.87899321267435</v>
      </c>
      <c r="F24" s="384"/>
      <c r="G24" s="384">
        <f>+'Res Summary'!AO31+'ComInd Summary'!BK31</f>
        <v>565.88679573075831</v>
      </c>
      <c r="H24" s="384">
        <f>+'Res Summary'!R31+'ComInd Summary'!AB31</f>
        <v>234.28019136186629</v>
      </c>
      <c r="I24" s="395"/>
      <c r="J24" s="388">
        <f>+'Res Summary'!AR31+'ComInd Summary'!BP31</f>
        <v>116.45082003800879</v>
      </c>
      <c r="K24" s="389">
        <f>+'Res Summary'!U31+'ComInd Summary'!AG31</f>
        <v>112.22678188243648</v>
      </c>
      <c r="L24" s="682"/>
      <c r="M24" s="388">
        <f t="shared" si="5"/>
        <v>682.33761576876714</v>
      </c>
      <c r="N24" s="1110">
        <f t="shared" si="5"/>
        <v>346.5069732443028</v>
      </c>
      <c r="Q24" s="305"/>
      <c r="R24" s="305"/>
      <c r="S24" s="427"/>
      <c r="T24" s="359"/>
      <c r="U24" s="359"/>
    </row>
    <row r="25" spans="1:22" x14ac:dyDescent="0.2">
      <c r="A25" s="1109">
        <f t="shared" si="2"/>
        <v>2021</v>
      </c>
      <c r="B25" s="384">
        <f>+'Res Summary'!BL32</f>
        <v>609.5591119829968</v>
      </c>
      <c r="C25" s="384">
        <f>'ComInd Summary'!CT32*$C$50</f>
        <v>311.2146362067096</v>
      </c>
      <c r="D25" s="384">
        <f>'ComInd Summary'!CT32*$D$50</f>
        <v>34.579404022967729</v>
      </c>
      <c r="E25" s="384">
        <f t="shared" si="0"/>
        <v>955.3531522126741</v>
      </c>
      <c r="F25" s="384"/>
      <c r="G25" s="384">
        <f>+'Res Summary'!AO32+'ComInd Summary'!BK32</f>
        <v>570.4083607307582</v>
      </c>
      <c r="H25" s="384">
        <f>+'Res Summary'!R32+'ComInd Summary'!AB32</f>
        <v>239.51034036186627</v>
      </c>
      <c r="I25" s="395"/>
      <c r="J25" s="388">
        <f>+'Res Summary'!AR32+'ComInd Summary'!BP32</f>
        <v>120.96122710871586</v>
      </c>
      <c r="K25" s="389">
        <f>+'Res Summary'!U32+'ComInd Summary'!AG32</f>
        <v>115.14498188243648</v>
      </c>
      <c r="L25" s="682"/>
      <c r="M25" s="388">
        <f t="shared" si="5"/>
        <v>691.36958783947409</v>
      </c>
      <c r="N25" s="1110">
        <f t="shared" si="5"/>
        <v>354.65532224430274</v>
      </c>
      <c r="Q25" s="305"/>
      <c r="R25" s="305"/>
      <c r="T25" s="359"/>
      <c r="U25" s="359"/>
    </row>
    <row r="26" spans="1:22" x14ac:dyDescent="0.2">
      <c r="A26" s="1109">
        <f t="shared" si="2"/>
        <v>2022</v>
      </c>
      <c r="B26" s="384">
        <f>+'Res Summary'!BL33</f>
        <v>621.2113539829968</v>
      </c>
      <c r="C26" s="384">
        <f>'ComInd Summary'!CT33*$C$50</f>
        <v>316.42679135670971</v>
      </c>
      <c r="D26" s="384">
        <f>'ComInd Summary'!CT33*$D$50</f>
        <v>35.158532372967748</v>
      </c>
      <c r="E26" s="384">
        <f t="shared" si="0"/>
        <v>972.7966777126743</v>
      </c>
      <c r="F26" s="384"/>
      <c r="G26" s="384">
        <f>+'Res Summary'!AO33+'ComInd Summary'!BK33</f>
        <v>574.92992573075833</v>
      </c>
      <c r="H26" s="384">
        <f>+'Res Summary'!R33+'ComInd Summary'!AB33</f>
        <v>244.73069036186632</v>
      </c>
      <c r="I26" s="395"/>
      <c r="J26" s="388">
        <f>+'Res Summary'!AR33+'ComInd Summary'!BP33</f>
        <v>125.47163417942292</v>
      </c>
      <c r="K26" s="389">
        <f>+'Res Summary'!U33+'ComInd Summary'!AG33</f>
        <v>118.0631818824365</v>
      </c>
      <c r="L26" s="682"/>
      <c r="M26" s="388">
        <f t="shared" si="5"/>
        <v>700.40155991018128</v>
      </c>
      <c r="N26" s="1110">
        <f t="shared" si="5"/>
        <v>362.7938722443028</v>
      </c>
      <c r="Q26" s="305"/>
      <c r="R26" s="305"/>
      <c r="T26" s="359"/>
      <c r="U26" s="359"/>
    </row>
    <row r="27" spans="1:22" x14ac:dyDescent="0.2">
      <c r="A27" s="1109">
        <f t="shared" si="2"/>
        <v>2023</v>
      </c>
      <c r="B27" s="384">
        <f>+'Res Summary'!BL34</f>
        <v>632.80794598299678</v>
      </c>
      <c r="C27" s="384">
        <f>'ComInd Summary'!CT34*$C$50</f>
        <v>321.64476635670968</v>
      </c>
      <c r="D27" s="384">
        <f>'ComInd Summary'!CT34*$D$50</f>
        <v>35.738307372967739</v>
      </c>
      <c r="E27" s="384">
        <f t="shared" si="0"/>
        <v>990.19101971267423</v>
      </c>
      <c r="F27" s="384"/>
      <c r="G27" s="384">
        <f>+'Res Summary'!AO34+'ComInd Summary'!BK34</f>
        <v>579.3862067307582</v>
      </c>
      <c r="H27" s="384">
        <f>+'Res Summary'!R34+'ComInd Summary'!AB34</f>
        <v>249.93614136186625</v>
      </c>
      <c r="I27" s="395"/>
      <c r="J27" s="388">
        <f>+'Res Summary'!AR34+'ComInd Summary'!BP34</f>
        <v>129.98204125012998</v>
      </c>
      <c r="K27" s="389">
        <f>+'Res Summary'!U34+'ComInd Summary'!AG34</f>
        <v>120.98138188243651</v>
      </c>
      <c r="L27" s="682"/>
      <c r="M27" s="388">
        <f t="shared" si="5"/>
        <v>709.36824798088821</v>
      </c>
      <c r="N27" s="1110">
        <f t="shared" si="5"/>
        <v>370.91752324430274</v>
      </c>
      <c r="Q27" s="305"/>
      <c r="R27" s="305"/>
      <c r="T27" s="359"/>
      <c r="U27" s="359"/>
    </row>
    <row r="28" spans="1:22" x14ac:dyDescent="0.2">
      <c r="A28" s="1109">
        <f t="shared" si="2"/>
        <v>2024</v>
      </c>
      <c r="B28" s="384">
        <f>+'Res Summary'!BL35</f>
        <v>644.36743798299688</v>
      </c>
      <c r="C28" s="384">
        <f>'ComInd Summary'!CT35*$C$50</f>
        <v>326.86274135670959</v>
      </c>
      <c r="D28" s="384">
        <f>'ComInd Summary'!CT35*$D$50</f>
        <v>36.31808237296773</v>
      </c>
      <c r="E28" s="384">
        <f t="shared" si="0"/>
        <v>1007.5482617126742</v>
      </c>
      <c r="F28" s="384"/>
      <c r="G28" s="384">
        <f>+'Res Summary'!AO35+'ComInd Summary'!BK35</f>
        <v>583.80918773075837</v>
      </c>
      <c r="H28" s="384">
        <f>+'Res Summary'!R35+'ComInd Summary'!AB35</f>
        <v>255.13139236186629</v>
      </c>
      <c r="I28" s="395"/>
      <c r="J28" s="388">
        <f>+'Res Summary'!AR35+'ComInd Summary'!BP35</f>
        <v>134.49244832083707</v>
      </c>
      <c r="K28" s="389">
        <f>+'Res Summary'!U35+'ComInd Summary'!AG35</f>
        <v>123.89958188243651</v>
      </c>
      <c r="L28" s="682"/>
      <c r="M28" s="388">
        <f t="shared" si="5"/>
        <v>718.30163605159544</v>
      </c>
      <c r="N28" s="1110">
        <f t="shared" si="5"/>
        <v>379.0309742443028</v>
      </c>
      <c r="Q28" s="305"/>
      <c r="R28" s="305"/>
      <c r="T28" s="359"/>
      <c r="U28" s="359"/>
    </row>
    <row r="29" spans="1:22" x14ac:dyDescent="0.2">
      <c r="A29" s="1109">
        <f t="shared" si="2"/>
        <v>2025</v>
      </c>
      <c r="B29" s="384">
        <f>+'Res Summary'!BL36</f>
        <v>655.90837998299685</v>
      </c>
      <c r="C29" s="384">
        <f>'ComInd Summary'!CT36*$C$50</f>
        <v>332.08071635670967</v>
      </c>
      <c r="D29" s="384">
        <f>'ComInd Summary'!CT36*$D$50</f>
        <v>36.897857372967742</v>
      </c>
      <c r="E29" s="384">
        <f t="shared" si="0"/>
        <v>1024.8869537126743</v>
      </c>
      <c r="F29" s="384"/>
      <c r="G29" s="384">
        <f>+'Res Summary'!AO36+'ComInd Summary'!BK36</f>
        <v>588.19886873075825</v>
      </c>
      <c r="H29" s="384">
        <f>+'Res Summary'!R36+'ComInd Summary'!AB36</f>
        <v>260.3215433618663</v>
      </c>
      <c r="I29" s="395"/>
      <c r="J29" s="388">
        <f>+'Res Summary'!AR36+'ComInd Summary'!BP36</f>
        <v>139.00285539154413</v>
      </c>
      <c r="K29" s="389">
        <f>+'Res Summary'!U36+'ComInd Summary'!AG36</f>
        <v>126.81778188243651</v>
      </c>
      <c r="L29" s="682"/>
      <c r="M29" s="388">
        <f t="shared" si="5"/>
        <v>727.20172412230238</v>
      </c>
      <c r="N29" s="1110">
        <f t="shared" si="5"/>
        <v>387.13932524430282</v>
      </c>
      <c r="Q29" s="305"/>
      <c r="R29" s="305"/>
      <c r="S29" s="804" t="s">
        <v>501</v>
      </c>
      <c r="T29" s="359"/>
      <c r="U29" s="359"/>
    </row>
    <row r="30" spans="1:22" x14ac:dyDescent="0.2">
      <c r="A30" s="1109">
        <f t="shared" si="2"/>
        <v>2026</v>
      </c>
      <c r="B30" s="384">
        <f>+'Res Summary'!BL37</f>
        <v>667.44932198299682</v>
      </c>
      <c r="C30" s="384">
        <f>'ComInd Summary'!CT37*$C$50</f>
        <v>337.29430205670963</v>
      </c>
      <c r="D30" s="384">
        <f>'ComInd Summary'!CT37*$D$50</f>
        <v>37.477144672967732</v>
      </c>
      <c r="E30" s="384">
        <f t="shared" si="0"/>
        <v>1042.2207687126743</v>
      </c>
      <c r="F30" s="384"/>
      <c r="G30" s="384">
        <f>+'Res Summary'!AO37+'ComInd Summary'!BK37</f>
        <v>592.58854973075825</v>
      </c>
      <c r="H30" s="384">
        <f>+'Res Summary'!R37+'ComInd Summary'!AB37</f>
        <v>265.51169436186626</v>
      </c>
      <c r="I30" s="395"/>
      <c r="J30" s="388">
        <f>+'Res Summary'!AR37+'ComInd Summary'!BP37</f>
        <v>143.51326246225119</v>
      </c>
      <c r="K30" s="389">
        <f>+'Res Summary'!U37+'ComInd Summary'!AG37</f>
        <v>129.7359818824365</v>
      </c>
      <c r="L30" s="682"/>
      <c r="M30" s="388">
        <f t="shared" si="5"/>
        <v>736.10181219300944</v>
      </c>
      <c r="N30" s="1110">
        <f t="shared" si="5"/>
        <v>395.24767624430274</v>
      </c>
      <c r="Q30" s="305"/>
      <c r="R30" s="955" t="s">
        <v>499</v>
      </c>
      <c r="S30" s="427">
        <f>(B40-B20)*1000</f>
        <v>230148.49499999968</v>
      </c>
      <c r="T30" s="359"/>
      <c r="U30" s="359"/>
    </row>
    <row r="31" spans="1:22" x14ac:dyDescent="0.2">
      <c r="A31" s="1109">
        <f>+A30+1</f>
        <v>2027</v>
      </c>
      <c r="B31" s="384">
        <f>+'Res Summary'!BL38</f>
        <v>678.99026398299679</v>
      </c>
      <c r="C31" s="384">
        <f>'ComInd Summary'!CT38*$C$50</f>
        <v>342.51227705670959</v>
      </c>
      <c r="D31" s="384">
        <f>'ComInd Summary'!CT38*$D$50</f>
        <v>38.056919672967737</v>
      </c>
      <c r="E31" s="384">
        <f t="shared" si="0"/>
        <v>1059.5594607126741</v>
      </c>
      <c r="F31" s="384"/>
      <c r="G31" s="384">
        <f>+'Res Summary'!AO38+'ComInd Summary'!BK38</f>
        <v>596.97823073075813</v>
      </c>
      <c r="H31" s="384">
        <f>+'Res Summary'!R38+'ComInd Summary'!AB38</f>
        <v>270.70184536186633</v>
      </c>
      <c r="I31" s="395"/>
      <c r="J31" s="388">
        <f>+'Res Summary'!AR38+'ComInd Summary'!BP38</f>
        <v>148.02366953295825</v>
      </c>
      <c r="K31" s="389">
        <f>+'Res Summary'!U38+'ComInd Summary'!AG38</f>
        <v>132.65418188243649</v>
      </c>
      <c r="L31" s="682"/>
      <c r="M31" s="388">
        <f t="shared" si="5"/>
        <v>745.00190026371638</v>
      </c>
      <c r="N31" s="1110">
        <f t="shared" si="5"/>
        <v>403.35602724430282</v>
      </c>
      <c r="Q31" s="305"/>
      <c r="R31" s="955" t="s">
        <v>500</v>
      </c>
      <c r="S31" s="427">
        <f>(C40-C20)*1000</f>
        <v>106379.55855000013</v>
      </c>
      <c r="T31" s="359"/>
      <c r="U31" s="359"/>
    </row>
    <row r="32" spans="1:22" x14ac:dyDescent="0.2">
      <c r="A32" s="1109">
        <f t="shared" si="2"/>
        <v>2028</v>
      </c>
      <c r="B32" s="384">
        <f>+'Res Summary'!BL39</f>
        <v>690.53120598299665</v>
      </c>
      <c r="C32" s="384">
        <f>'ComInd Summary'!CT39*$C$50</f>
        <v>347.73025205670967</v>
      </c>
      <c r="D32" s="384">
        <f>'ComInd Summary'!CT39*$D$50</f>
        <v>38.636694672967742</v>
      </c>
      <c r="E32" s="384">
        <f t="shared" ref="E32:E45" si="6">+B32+C32+D32</f>
        <v>1076.8981527126739</v>
      </c>
      <c r="F32" s="384"/>
      <c r="G32" s="384">
        <f>+'Res Summary'!AO39+'ComInd Summary'!BK39</f>
        <v>601.36791173075824</v>
      </c>
      <c r="H32" s="384">
        <f>+'Res Summary'!R39+'ComInd Summary'!AB39</f>
        <v>275.89199636186629</v>
      </c>
      <c r="I32" s="395"/>
      <c r="J32" s="388">
        <f>+'Res Summary'!AR39+'ComInd Summary'!BP39</f>
        <v>152.53407660366531</v>
      </c>
      <c r="K32" s="389">
        <f>+'Res Summary'!U39+'ComInd Summary'!AG39</f>
        <v>135.5723818824365</v>
      </c>
      <c r="L32" s="682"/>
      <c r="M32" s="388">
        <f t="shared" ref="M32:M45" si="7">+G32+J32</f>
        <v>753.90198833442355</v>
      </c>
      <c r="N32" s="1110">
        <f t="shared" ref="N32:N45" si="8">+H32+K32</f>
        <v>411.46437824430279</v>
      </c>
      <c r="Q32" s="305"/>
      <c r="R32" s="955" t="s">
        <v>502</v>
      </c>
      <c r="S32" s="427">
        <f>(D40-D20)*1000</f>
        <v>11819.950950000006</v>
      </c>
      <c r="T32" s="359"/>
      <c r="U32" s="359"/>
    </row>
    <row r="33" spans="1:23" x14ac:dyDescent="0.2">
      <c r="A33" s="1109">
        <f t="shared" si="2"/>
        <v>2029</v>
      </c>
      <c r="B33" s="384">
        <f>+'Res Summary'!BL40</f>
        <v>702.07214798299685</v>
      </c>
      <c r="C33" s="384">
        <f>'ComInd Summary'!CT40*$C$50</f>
        <v>352.9482270567097</v>
      </c>
      <c r="D33" s="384">
        <f>'ComInd Summary'!CT40*$D$50</f>
        <v>39.216469672967747</v>
      </c>
      <c r="E33" s="384">
        <f t="shared" si="6"/>
        <v>1094.2368447126744</v>
      </c>
      <c r="F33" s="384"/>
      <c r="G33" s="384">
        <f>+'Res Summary'!AO40+'ComInd Summary'!BK40</f>
        <v>605.75759273075823</v>
      </c>
      <c r="H33" s="384">
        <f>+'Res Summary'!R40+'ComInd Summary'!AB40</f>
        <v>281.0821473618663</v>
      </c>
      <c r="I33" s="395"/>
      <c r="J33" s="388">
        <f>+'Res Summary'!AR40+'ComInd Summary'!BP40</f>
        <v>157.0444836743724</v>
      </c>
      <c r="K33" s="389">
        <f>+'Res Summary'!U40+'ComInd Summary'!AG40</f>
        <v>138.49058188243652</v>
      </c>
      <c r="L33" s="682"/>
      <c r="M33" s="388">
        <f t="shared" si="7"/>
        <v>762.80207640513061</v>
      </c>
      <c r="N33" s="1110">
        <f t="shared" si="8"/>
        <v>419.57272924430282</v>
      </c>
      <c r="Q33" s="305"/>
      <c r="R33" s="305"/>
      <c r="T33" s="359"/>
      <c r="U33" s="359"/>
      <c r="V33" s="162"/>
      <c r="W33" s="162"/>
    </row>
    <row r="34" spans="1:23" x14ac:dyDescent="0.2">
      <c r="A34" s="1109">
        <f t="shared" si="2"/>
        <v>2030</v>
      </c>
      <c r="B34" s="384">
        <f>+'Res Summary'!BL41</f>
        <v>713.61308998299671</v>
      </c>
      <c r="C34" s="384">
        <f>'ComInd Summary'!CT41*$C$50</f>
        <v>358.16620205670966</v>
      </c>
      <c r="D34" s="384">
        <f>'ComInd Summary'!CT41*$D$50</f>
        <v>39.796244672967745</v>
      </c>
      <c r="E34" s="384">
        <f t="shared" si="6"/>
        <v>1111.5755367126742</v>
      </c>
      <c r="F34" s="384"/>
      <c r="G34" s="384">
        <f>+'Res Summary'!AO41+'ComInd Summary'!BK41</f>
        <v>610.14727373075823</v>
      </c>
      <c r="H34" s="384">
        <f>+'Res Summary'!R41+'ComInd Summary'!AB41</f>
        <v>286.27229836186632</v>
      </c>
      <c r="I34" s="395"/>
      <c r="J34" s="388">
        <f>+'Res Summary'!AR41+'ComInd Summary'!BP41</f>
        <v>161.55489074507949</v>
      </c>
      <c r="K34" s="389">
        <f>+'Res Summary'!U41+'ComInd Summary'!AG41</f>
        <v>141.40878188243653</v>
      </c>
      <c r="L34" s="682"/>
      <c r="M34" s="388">
        <f t="shared" si="7"/>
        <v>771.70216447583766</v>
      </c>
      <c r="N34" s="1110">
        <f t="shared" si="8"/>
        <v>427.68108024430285</v>
      </c>
      <c r="Q34" s="305"/>
      <c r="R34" s="305"/>
      <c r="S34" s="804" t="s">
        <v>503</v>
      </c>
      <c r="T34" s="359"/>
      <c r="U34" s="359"/>
    </row>
    <row r="35" spans="1:23" x14ac:dyDescent="0.2">
      <c r="A35" s="1109">
        <f t="shared" si="2"/>
        <v>2031</v>
      </c>
      <c r="B35" s="384">
        <f>+'Res Summary'!BL42</f>
        <v>725.1540319829968</v>
      </c>
      <c r="C35" s="384">
        <f>'ComInd Summary'!CT42*$C$50</f>
        <v>363.38417705670963</v>
      </c>
      <c r="D35" s="384">
        <f>'ComInd Summary'!CT42*$D$50</f>
        <v>40.376019672967743</v>
      </c>
      <c r="E35" s="384">
        <f t="shared" si="6"/>
        <v>1128.9142287126742</v>
      </c>
      <c r="F35" s="384"/>
      <c r="G35" s="384">
        <f>+'Res Summary'!AO42+'ComInd Summary'!BK42</f>
        <v>614.53695473075823</v>
      </c>
      <c r="H35" s="384">
        <f>+'Res Summary'!R42+'ComInd Summary'!AB42</f>
        <v>291.46244936186633</v>
      </c>
      <c r="I35" s="395"/>
      <c r="J35" s="388">
        <f>+'Res Summary'!AR42+'ComInd Summary'!BP42</f>
        <v>166.06529781578655</v>
      </c>
      <c r="K35" s="389">
        <f>+'Res Summary'!U42+'ComInd Summary'!AG42</f>
        <v>144.32698188243654</v>
      </c>
      <c r="L35" s="682"/>
      <c r="M35" s="388">
        <f t="shared" si="7"/>
        <v>780.60225254654483</v>
      </c>
      <c r="N35" s="1110">
        <f t="shared" si="8"/>
        <v>435.78943124430288</v>
      </c>
      <c r="Q35" s="305"/>
      <c r="R35" s="955" t="s">
        <v>499</v>
      </c>
      <c r="S35" s="804">
        <f>'Res Summary'!R100-'Res Summary'!R80</f>
        <v>54.169979555500021</v>
      </c>
      <c r="T35" s="359"/>
      <c r="U35" s="359"/>
    </row>
    <row r="36" spans="1:23" x14ac:dyDescent="0.2">
      <c r="A36" s="1109">
        <f t="shared" si="2"/>
        <v>2032</v>
      </c>
      <c r="B36" s="384">
        <f>+'Res Summary'!BL43</f>
        <v>736.69497398299688</v>
      </c>
      <c r="C36" s="384">
        <f>'ComInd Summary'!CT43*$C$50</f>
        <v>368.6021520567096</v>
      </c>
      <c r="D36" s="384">
        <f>'ComInd Summary'!CT43*$D$50</f>
        <v>40.955794672967734</v>
      </c>
      <c r="E36" s="384">
        <f t="shared" si="6"/>
        <v>1146.2529207126743</v>
      </c>
      <c r="F36" s="384"/>
      <c r="G36" s="384">
        <f>+'Res Summary'!AO43+'ComInd Summary'!BK43</f>
        <v>618.92663573075799</v>
      </c>
      <c r="H36" s="384">
        <f>+'Res Summary'!R43+'ComInd Summary'!AB43</f>
        <v>296.65260036186635</v>
      </c>
      <c r="I36" s="395"/>
      <c r="J36" s="388">
        <f>+'Res Summary'!AR43+'ComInd Summary'!BP43</f>
        <v>170.57570488649361</v>
      </c>
      <c r="K36" s="389">
        <f>+'Res Summary'!U43+'ComInd Summary'!AG43</f>
        <v>147.24518188243653</v>
      </c>
      <c r="L36" s="682"/>
      <c r="M36" s="388">
        <f t="shared" si="7"/>
        <v>789.50234061725155</v>
      </c>
      <c r="N36" s="1110">
        <f t="shared" si="8"/>
        <v>443.8977822443029</v>
      </c>
      <c r="Q36" s="305"/>
      <c r="R36" s="955" t="s">
        <v>500</v>
      </c>
      <c r="S36" s="299">
        <f>('ComInd Summary'!AB47-'ComInd Summary'!AB27)*0.9</f>
        <v>47.656378350000026</v>
      </c>
      <c r="T36" s="359"/>
      <c r="U36" s="359"/>
    </row>
    <row r="37" spans="1:23" x14ac:dyDescent="0.2">
      <c r="A37" s="1109">
        <f t="shared" si="2"/>
        <v>2033</v>
      </c>
      <c r="B37" s="384">
        <f>+'Res Summary'!BL44</f>
        <v>748.23591598299674</v>
      </c>
      <c r="C37" s="384">
        <f>'ComInd Summary'!CT44*$C$50</f>
        <v>373.82012705670968</v>
      </c>
      <c r="D37" s="384">
        <f>'ComInd Summary'!CT44*$D$50</f>
        <v>41.535569672967739</v>
      </c>
      <c r="E37" s="384">
        <f t="shared" si="6"/>
        <v>1163.5916127126741</v>
      </c>
      <c r="F37" s="384"/>
      <c r="G37" s="384">
        <f>+'Res Summary'!AO44+'ComInd Summary'!BK44</f>
        <v>623.31631673075822</v>
      </c>
      <c r="H37" s="384">
        <f>+'Res Summary'!R44+'ComInd Summary'!AB44</f>
        <v>301.84275136186631</v>
      </c>
      <c r="I37" s="395"/>
      <c r="J37" s="388">
        <f>+'Res Summary'!AR44+'ComInd Summary'!BP44</f>
        <v>175.0861119572007</v>
      </c>
      <c r="K37" s="389">
        <f>+'Res Summary'!U44+'ComInd Summary'!AG44</f>
        <v>150.16338188243651</v>
      </c>
      <c r="L37" s="682"/>
      <c r="M37" s="388">
        <f t="shared" si="7"/>
        <v>798.40242868795895</v>
      </c>
      <c r="N37" s="1110">
        <f t="shared" si="8"/>
        <v>452.00613324430282</v>
      </c>
      <c r="Q37" s="305"/>
      <c r="R37" s="955" t="s">
        <v>502</v>
      </c>
      <c r="S37" s="299">
        <f>('ComInd Summary'!AB47-'ComInd Summary'!AB27)*0.1</f>
        <v>5.2951531500000035</v>
      </c>
      <c r="T37" s="359"/>
      <c r="U37" s="359"/>
    </row>
    <row r="38" spans="1:23" ht="13.5" thickBot="1" x14ac:dyDescent="0.25">
      <c r="A38" s="1109">
        <f t="shared" si="2"/>
        <v>2034</v>
      </c>
      <c r="B38" s="384">
        <f>+'Res Summary'!BL45</f>
        <v>759.77685798299672</v>
      </c>
      <c r="C38" s="384">
        <f>'ComInd Summary'!CT45*$C$50</f>
        <v>379.03810205670965</v>
      </c>
      <c r="D38" s="384">
        <f>'ComInd Summary'!CT45*$D$50</f>
        <v>42.115344672967744</v>
      </c>
      <c r="E38" s="384">
        <f t="shared" si="6"/>
        <v>1180.9303047126741</v>
      </c>
      <c r="F38" s="384"/>
      <c r="G38" s="384">
        <f>+'Res Summary'!AO45+'ComInd Summary'!BK45</f>
        <v>627.7059977307581</v>
      </c>
      <c r="H38" s="384">
        <f>+'Res Summary'!R45+'ComInd Summary'!AB45</f>
        <v>307.03290236186632</v>
      </c>
      <c r="I38" s="395"/>
      <c r="J38" s="388">
        <f>+'Res Summary'!AR45+'ComInd Summary'!BP45</f>
        <v>179.59651902790779</v>
      </c>
      <c r="K38" s="389">
        <f>+'Res Summary'!U45+'ComInd Summary'!AG45</f>
        <v>153.08158188243652</v>
      </c>
      <c r="L38" s="682"/>
      <c r="M38" s="388">
        <f t="shared" si="7"/>
        <v>807.30251675866589</v>
      </c>
      <c r="N38" s="1110">
        <f t="shared" si="8"/>
        <v>460.11448424430284</v>
      </c>
      <c r="Q38" s="305"/>
      <c r="R38" s="305"/>
      <c r="T38" s="359"/>
      <c r="U38" s="359"/>
    </row>
    <row r="39" spans="1:23" ht="13.5" thickBot="1" x14ac:dyDescent="0.25">
      <c r="A39" s="1233">
        <f t="shared" si="2"/>
        <v>2035</v>
      </c>
      <c r="B39" s="1234">
        <f>+'Res Summary'!BL46</f>
        <v>771.31779998299669</v>
      </c>
      <c r="C39" s="1234">
        <f>'ComInd Summary'!CT46*$C$50</f>
        <v>384.25607705670961</v>
      </c>
      <c r="D39" s="1234">
        <f>'ComInd Summary'!CT46*$D$50</f>
        <v>42.695119672967735</v>
      </c>
      <c r="E39" s="1225">
        <f t="shared" si="6"/>
        <v>1198.2689967126739</v>
      </c>
      <c r="F39" s="1225"/>
      <c r="G39" s="1225">
        <f>+'Res Summary'!AO46+'ComInd Summary'!BK46</f>
        <v>632.09567873075821</v>
      </c>
      <c r="H39" s="1225">
        <f>+'Res Summary'!R46+'ComInd Summary'!AB46</f>
        <v>312.22305336186628</v>
      </c>
      <c r="I39" s="1226"/>
      <c r="J39" s="1227">
        <f>+'Res Summary'!AR46+'ComInd Summary'!BP46</f>
        <v>184.10692609861485</v>
      </c>
      <c r="K39" s="1228">
        <f>+'Res Summary'!U46+'ComInd Summary'!AG46</f>
        <v>155.99978188243654</v>
      </c>
      <c r="L39" s="1229"/>
      <c r="M39" s="1227">
        <f t="shared" si="7"/>
        <v>816.20260482937306</v>
      </c>
      <c r="N39" s="1230">
        <f t="shared" si="8"/>
        <v>468.22283524430281</v>
      </c>
      <c r="Q39" s="305"/>
      <c r="R39" s="305"/>
      <c r="T39" s="359"/>
      <c r="U39" s="359"/>
    </row>
    <row r="40" spans="1:23" x14ac:dyDescent="0.2">
      <c r="A40" s="393">
        <f t="shared" si="2"/>
        <v>2036</v>
      </c>
      <c r="B40" s="384">
        <f>+'Res Summary'!BL47</f>
        <v>782.85874198299666</v>
      </c>
      <c r="C40" s="384">
        <f>'ComInd Summary'!CT47*$C$50</f>
        <v>389.47405205670975</v>
      </c>
      <c r="D40" s="384">
        <f>'ComInd Summary'!CT47*$D$50</f>
        <v>43.274894672967747</v>
      </c>
      <c r="E40" s="384">
        <f t="shared" si="6"/>
        <v>1215.6076887126742</v>
      </c>
      <c r="F40" s="384"/>
      <c r="G40" s="384">
        <f>+'Res Summary'!AO47+'ComInd Summary'!BK47</f>
        <v>636.48535973075809</v>
      </c>
      <c r="H40" s="384">
        <f>+'Res Summary'!R47+'ComInd Summary'!AB47</f>
        <v>317.41320436186635</v>
      </c>
      <c r="I40" s="395"/>
      <c r="J40" s="388">
        <f>+'Res Summary'!AR47+'ComInd Summary'!BP47</f>
        <v>188.61733316932191</v>
      </c>
      <c r="K40" s="389">
        <f>+'Res Summary'!U47+'ComInd Summary'!AG47</f>
        <v>158.91798188243655</v>
      </c>
      <c r="L40" s="385"/>
      <c r="M40" s="388">
        <f t="shared" si="7"/>
        <v>825.10269290008</v>
      </c>
      <c r="N40" s="390">
        <f t="shared" si="8"/>
        <v>476.3311862443029</v>
      </c>
      <c r="Q40" s="305"/>
      <c r="R40" s="305"/>
      <c r="T40" s="359"/>
      <c r="U40" s="359"/>
    </row>
    <row r="41" spans="1:23" x14ac:dyDescent="0.2">
      <c r="A41" s="393">
        <f t="shared" si="2"/>
        <v>2037</v>
      </c>
      <c r="B41" s="384">
        <f>+'Res Summary'!BL48</f>
        <v>794.39968398299652</v>
      </c>
      <c r="C41" s="384">
        <f>'ComInd Summary'!CT48*$C$50</f>
        <v>394.69202705670966</v>
      </c>
      <c r="D41" s="384">
        <f>'ComInd Summary'!CT48*$D$50</f>
        <v>43.854669672967745</v>
      </c>
      <c r="E41" s="384">
        <f t="shared" si="6"/>
        <v>1232.946380712674</v>
      </c>
      <c r="F41" s="384"/>
      <c r="G41" s="384">
        <f>+'Res Summary'!AO48+'ComInd Summary'!BK48</f>
        <v>640.8750407307582</v>
      </c>
      <c r="H41" s="384">
        <f>+'Res Summary'!R48+'ComInd Summary'!AB48</f>
        <v>322.60335536186636</v>
      </c>
      <c r="I41" s="395"/>
      <c r="J41" s="388">
        <f>+'Res Summary'!AR48+'ComInd Summary'!BP48</f>
        <v>193.127740240029</v>
      </c>
      <c r="K41" s="389">
        <f>+'Res Summary'!U48+'ComInd Summary'!AG48</f>
        <v>161.83618188243656</v>
      </c>
      <c r="L41" s="385"/>
      <c r="M41" s="388">
        <f t="shared" si="7"/>
        <v>834.00278097078717</v>
      </c>
      <c r="N41" s="390">
        <f t="shared" si="8"/>
        <v>484.43953724430293</v>
      </c>
      <c r="Q41" s="305"/>
      <c r="R41" s="305"/>
      <c r="T41" s="359"/>
      <c r="U41" s="359"/>
    </row>
    <row r="42" spans="1:23" x14ac:dyDescent="0.2">
      <c r="A42" s="393">
        <f t="shared" si="2"/>
        <v>2038</v>
      </c>
      <c r="B42" s="384">
        <f>+'Res Summary'!BL49</f>
        <v>805.94062598299683</v>
      </c>
      <c r="C42" s="384">
        <f>'ComInd Summary'!CT49*$C$50</f>
        <v>399.91000205670969</v>
      </c>
      <c r="D42" s="384">
        <f>'ComInd Summary'!CT49*$D$50</f>
        <v>44.434444672967743</v>
      </c>
      <c r="E42" s="384">
        <f t="shared" si="6"/>
        <v>1250.2850727126743</v>
      </c>
      <c r="F42" s="384"/>
      <c r="G42" s="384">
        <f>+'Res Summary'!AO49+'ComInd Summary'!BK49</f>
        <v>645.2647217307582</v>
      </c>
      <c r="H42" s="384">
        <f>+'Res Summary'!R49+'ComInd Summary'!AB49</f>
        <v>327.79350636186632</v>
      </c>
      <c r="I42" s="395"/>
      <c r="J42" s="388">
        <f>+'Res Summary'!AR49+'ComInd Summary'!BP49</f>
        <v>197.63814731073606</v>
      </c>
      <c r="K42" s="389">
        <f>+'Res Summary'!U49+'ComInd Summary'!AG49</f>
        <v>164.75438188243655</v>
      </c>
      <c r="L42" s="385"/>
      <c r="M42" s="388">
        <f t="shared" si="7"/>
        <v>842.90286904149423</v>
      </c>
      <c r="N42" s="390">
        <f t="shared" si="8"/>
        <v>492.54788824430284</v>
      </c>
      <c r="Q42" s="305"/>
      <c r="R42" s="305"/>
      <c r="T42" s="359"/>
      <c r="U42" s="359"/>
    </row>
    <row r="43" spans="1:23" x14ac:dyDescent="0.2">
      <c r="A43" s="393">
        <f t="shared" si="2"/>
        <v>2039</v>
      </c>
      <c r="B43" s="384">
        <f>+'Res Summary'!BL50</f>
        <v>817.48156798299669</v>
      </c>
      <c r="C43" s="384">
        <f>'ComInd Summary'!CT50*$C$50</f>
        <v>405.12797705670971</v>
      </c>
      <c r="D43" s="384">
        <f>'ComInd Summary'!CT50*$D$50</f>
        <v>45.014219672967748</v>
      </c>
      <c r="E43" s="384">
        <f t="shared" si="6"/>
        <v>1267.6237647126743</v>
      </c>
      <c r="F43" s="384"/>
      <c r="G43" s="384">
        <f>+'Res Summary'!AO50+'ComInd Summary'!BK50</f>
        <v>649.65440273075808</v>
      </c>
      <c r="H43" s="384">
        <f>+'Res Summary'!R50+'ComInd Summary'!AB50</f>
        <v>332.98365736186634</v>
      </c>
      <c r="I43" s="395"/>
      <c r="J43" s="388">
        <f>+'Res Summary'!AR50+'ComInd Summary'!BP50</f>
        <v>202.14855438144315</v>
      </c>
      <c r="K43" s="389">
        <f>+'Res Summary'!U50+'ComInd Summary'!AG50</f>
        <v>167.67258188243653</v>
      </c>
      <c r="L43" s="385"/>
      <c r="M43" s="388">
        <f t="shared" si="7"/>
        <v>851.80295711220128</v>
      </c>
      <c r="N43" s="390">
        <f t="shared" si="8"/>
        <v>500.65623924430287</v>
      </c>
      <c r="Q43" s="305"/>
      <c r="R43" s="305"/>
      <c r="T43" s="359"/>
      <c r="U43" s="359"/>
    </row>
    <row r="44" spans="1:23" x14ac:dyDescent="0.2">
      <c r="A44" s="393">
        <f t="shared" si="2"/>
        <v>2040</v>
      </c>
      <c r="B44" s="384">
        <f>+'Res Summary'!BL51</f>
        <v>829.02250998299667</v>
      </c>
      <c r="C44" s="384">
        <f>'ComInd Summary'!CT51*$C$50</f>
        <v>410.34595205670973</v>
      </c>
      <c r="D44" s="384">
        <f>'ComInd Summary'!CT51*$D$50</f>
        <v>45.593994672967753</v>
      </c>
      <c r="E44" s="384">
        <f t="shared" si="6"/>
        <v>1284.9624567126741</v>
      </c>
      <c r="F44" s="384"/>
      <c r="G44" s="384">
        <f>+'Res Summary'!AO51+'ComInd Summary'!BK51</f>
        <v>654.04408373075819</v>
      </c>
      <c r="H44" s="384">
        <f>+'Res Summary'!R51+'ComInd Summary'!AB51</f>
        <v>338.17380836186635</v>
      </c>
      <c r="I44" s="395"/>
      <c r="J44" s="388">
        <f>+'Res Summary'!AR51+'ComInd Summary'!BP51</f>
        <v>206.65896145215021</v>
      </c>
      <c r="K44" s="389">
        <f>+'Res Summary'!U51+'ComInd Summary'!AG51</f>
        <v>170.59078188243657</v>
      </c>
      <c r="L44" s="385"/>
      <c r="M44" s="388">
        <f t="shared" si="7"/>
        <v>860.70304518290845</v>
      </c>
      <c r="N44" s="390">
        <f t="shared" si="8"/>
        <v>508.76459024430289</v>
      </c>
      <c r="Q44" s="305"/>
      <c r="R44" s="305"/>
      <c r="T44" s="359"/>
      <c r="U44" s="359"/>
    </row>
    <row r="45" spans="1:23" ht="13.5" thickBot="1" x14ac:dyDescent="0.25">
      <c r="A45" s="393">
        <f t="shared" si="2"/>
        <v>2041</v>
      </c>
      <c r="B45" s="384">
        <f>+'Res Summary'!BL52</f>
        <v>840.56345198299675</v>
      </c>
      <c r="C45" s="384">
        <f>'ComInd Summary'!CT52*$C$50</f>
        <v>415.56392705670964</v>
      </c>
      <c r="D45" s="384">
        <f>'ComInd Summary'!CT52*$D$50</f>
        <v>46.173769672967744</v>
      </c>
      <c r="E45" s="384">
        <f t="shared" si="6"/>
        <v>1302.3011487126739</v>
      </c>
      <c r="F45" s="384"/>
      <c r="G45" s="384">
        <f>+'Res Summary'!AO52+'ComInd Summary'!BK52</f>
        <v>658.43376473075796</v>
      </c>
      <c r="H45" s="384">
        <f>+'Res Summary'!R52+'ComInd Summary'!AB52</f>
        <v>343.36395936186636</v>
      </c>
      <c r="I45" s="395"/>
      <c r="J45" s="388">
        <f>+'Res Summary'!AR52+'ComInd Summary'!BP52</f>
        <v>211.1693685228573</v>
      </c>
      <c r="K45" s="389">
        <f>+'Res Summary'!U52+'ComInd Summary'!AG52</f>
        <v>173.50898188243656</v>
      </c>
      <c r="L45" s="385"/>
      <c r="M45" s="388">
        <f t="shared" si="7"/>
        <v>869.60313325361528</v>
      </c>
      <c r="N45" s="390">
        <f t="shared" si="8"/>
        <v>516.87294124430287</v>
      </c>
      <c r="Q45" s="305"/>
      <c r="R45" s="305"/>
      <c r="T45" s="359"/>
      <c r="U45" s="359"/>
    </row>
    <row r="46" spans="1:23" ht="13.5" thickBot="1" x14ac:dyDescent="0.25">
      <c r="A46" s="394"/>
      <c r="B46" s="1422"/>
      <c r="C46" s="1422"/>
      <c r="D46" s="1422"/>
      <c r="E46" s="1422"/>
      <c r="F46" s="1422"/>
      <c r="G46" s="1422"/>
      <c r="H46" s="1422"/>
      <c r="I46" s="362"/>
      <c r="J46" s="1413"/>
      <c r="K46" s="1414"/>
      <c r="M46" s="1415"/>
      <c r="N46" s="1416"/>
      <c r="Q46" s="1508"/>
      <c r="R46" s="1508"/>
    </row>
    <row r="47" spans="1:23" x14ac:dyDescent="0.2">
      <c r="A47" s="176"/>
      <c r="B47" s="176"/>
      <c r="C47" s="176"/>
      <c r="D47" s="176"/>
      <c r="E47" s="176"/>
      <c r="F47" s="176"/>
      <c r="G47" s="176"/>
      <c r="H47" s="176"/>
      <c r="M47" s="554"/>
      <c r="N47" s="554"/>
    </row>
    <row r="48" spans="1:23" ht="13.5" thickBot="1" x14ac:dyDescent="0.25">
      <c r="C48" s="307" t="s">
        <v>82</v>
      </c>
      <c r="D48" s="307"/>
      <c r="E48" s="334"/>
    </row>
    <row r="49" spans="3:5" x14ac:dyDescent="0.2">
      <c r="C49" s="308" t="s">
        <v>83</v>
      </c>
      <c r="D49" s="309" t="s">
        <v>84</v>
      </c>
      <c r="E49" s="335"/>
    </row>
    <row r="50" spans="3:5" ht="13.5" thickBot="1" x14ac:dyDescent="0.25">
      <c r="C50" s="310">
        <v>0.9</v>
      </c>
      <c r="D50" s="311">
        <v>0.1</v>
      </c>
      <c r="E50" s="336"/>
    </row>
    <row r="51" spans="3:5" ht="15.75" x14ac:dyDescent="0.25">
      <c r="C51" s="174" t="s">
        <v>87</v>
      </c>
      <c r="D51" s="171"/>
      <c r="E51" s="171"/>
    </row>
    <row r="52" spans="3:5" ht="15.75" x14ac:dyDescent="0.25">
      <c r="C52" s="172" t="s">
        <v>85</v>
      </c>
      <c r="D52" s="171"/>
      <c r="E52" s="171"/>
    </row>
    <row r="53" spans="3:5" ht="15.75" x14ac:dyDescent="0.25">
      <c r="C53" s="172" t="s">
        <v>86</v>
      </c>
      <c r="D53" s="171"/>
      <c r="E53" s="171"/>
    </row>
    <row r="54" spans="3:5" ht="15.75" x14ac:dyDescent="0.25">
      <c r="C54" s="171"/>
      <c r="D54" s="173"/>
      <c r="E54" s="173"/>
    </row>
  </sheetData>
  <mergeCells count="11">
    <mergeCell ref="Q46:R46"/>
    <mergeCell ref="B2:E2"/>
    <mergeCell ref="G2:H2"/>
    <mergeCell ref="J2:K2"/>
    <mergeCell ref="M2:N2"/>
    <mergeCell ref="B46:H46"/>
    <mergeCell ref="J46:K46"/>
    <mergeCell ref="M46:N46"/>
    <mergeCell ref="R3:W3"/>
    <mergeCell ref="R5:W5"/>
    <mergeCell ref="R2:W2"/>
  </mergeCells>
  <pageMargins left="0.75" right="0.75" top="1" bottom="1" header="0.5" footer="0.5"/>
  <pageSetup scale="90" orientation="landscape" cellComments="asDisplayed"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tabColor rgb="FFFFC000"/>
    <pageSetUpPr fitToPage="1"/>
  </sheetPr>
  <dimension ref="A1:AJ118"/>
  <sheetViews>
    <sheetView zoomScale="82" zoomScaleNormal="82" workbookViewId="0">
      <selection activeCell="O20" sqref="O20"/>
    </sheetView>
  </sheetViews>
  <sheetFormatPr defaultRowHeight="12.75" x14ac:dyDescent="0.2"/>
  <cols>
    <col min="1" max="1" width="13.28515625" customWidth="1"/>
    <col min="6" max="6" width="2.5703125" customWidth="1"/>
    <col min="9" max="9" width="1.7109375" customWidth="1"/>
    <col min="11" max="11" width="9.7109375" customWidth="1"/>
    <col min="12" max="12" width="1.7109375" customWidth="1"/>
    <col min="16" max="16" width="3" customWidth="1"/>
    <col min="18" max="18" width="22.42578125" customWidth="1"/>
    <col min="19" max="20" width="8.7109375" customWidth="1"/>
    <col min="21" max="21" width="8.28515625" customWidth="1"/>
    <col min="22" max="22" width="8.7109375" customWidth="1"/>
    <col min="23" max="23" width="0.5703125" customWidth="1"/>
    <col min="24" max="25" width="9.5703125" bestFit="1" customWidth="1"/>
    <col min="26" max="26" width="0.5703125" customWidth="1"/>
    <col min="27" max="28" width="9.5703125" bestFit="1" customWidth="1"/>
    <col min="29" max="29" width="0.7109375" customWidth="1"/>
    <col min="30" max="31" width="8.28515625" customWidth="1"/>
  </cols>
  <sheetData>
    <row r="1" spans="1:36" ht="18" x14ac:dyDescent="0.25">
      <c r="A1" s="1385" t="s">
        <v>496</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c r="Y1" s="1385"/>
      <c r="Z1" s="2"/>
      <c r="AA1" s="2"/>
      <c r="AB1" s="2"/>
      <c r="AC1" s="2"/>
      <c r="AD1" s="2"/>
      <c r="AE1" s="2"/>
      <c r="AF1" s="2"/>
      <c r="AG1" s="2"/>
      <c r="AH1" s="2"/>
    </row>
    <row r="2" spans="1:36" ht="20.25" x14ac:dyDescent="0.3">
      <c r="A2" s="1451" t="s">
        <v>491</v>
      </c>
      <c r="B2" s="1452"/>
      <c r="C2" s="1452"/>
      <c r="D2" s="1452"/>
      <c r="E2" s="1452"/>
      <c r="F2" s="1452"/>
      <c r="G2" s="1452"/>
      <c r="H2" s="1452"/>
      <c r="I2" s="1452"/>
      <c r="J2" s="1452"/>
      <c r="K2" s="1452"/>
      <c r="L2" s="1452"/>
      <c r="M2" s="1452"/>
      <c r="N2" s="1453"/>
    </row>
    <row r="3" spans="1:36" ht="27.75" customHeight="1" x14ac:dyDescent="0.2">
      <c r="A3" s="344"/>
      <c r="B3" s="1454" t="s">
        <v>402</v>
      </c>
      <c r="C3" s="1455"/>
      <c r="D3" s="1455"/>
      <c r="E3" s="1456"/>
      <c r="F3" s="345"/>
      <c r="G3" s="1455" t="s">
        <v>164</v>
      </c>
      <c r="H3" s="1455"/>
      <c r="I3" s="346"/>
      <c r="J3" s="1454" t="s">
        <v>165</v>
      </c>
      <c r="K3" s="1456"/>
      <c r="L3" s="347"/>
      <c r="M3" s="1455" t="s">
        <v>404</v>
      </c>
      <c r="N3" s="1456"/>
      <c r="R3" s="541" t="s">
        <v>261</v>
      </c>
      <c r="S3" s="1454" t="s">
        <v>194</v>
      </c>
      <c r="T3" s="1455"/>
      <c r="U3" s="1455"/>
      <c r="V3" s="1456"/>
      <c r="W3" s="345"/>
      <c r="X3" s="1455" t="s">
        <v>164</v>
      </c>
      <c r="Y3" s="1455"/>
      <c r="Z3" s="346"/>
      <c r="AA3" s="1454" t="s">
        <v>165</v>
      </c>
      <c r="AB3" s="1456"/>
      <c r="AC3" s="347"/>
      <c r="AD3" s="1455" t="s">
        <v>192</v>
      </c>
      <c r="AE3" s="1456"/>
    </row>
    <row r="4" spans="1:36" ht="38.25" x14ac:dyDescent="0.2">
      <c r="A4" s="340" t="s">
        <v>0</v>
      </c>
      <c r="B4" s="349" t="s">
        <v>166</v>
      </c>
      <c r="C4" s="350" t="s">
        <v>80</v>
      </c>
      <c r="D4" s="350" t="s">
        <v>81</v>
      </c>
      <c r="E4" s="351" t="s">
        <v>187</v>
      </c>
      <c r="F4" s="349"/>
      <c r="G4" s="350" t="s">
        <v>167</v>
      </c>
      <c r="H4" s="350" t="s">
        <v>168</v>
      </c>
      <c r="I4" s="352"/>
      <c r="J4" s="349" t="s">
        <v>167</v>
      </c>
      <c r="K4" s="351" t="s">
        <v>168</v>
      </c>
      <c r="L4" s="353"/>
      <c r="M4" s="350" t="s">
        <v>167</v>
      </c>
      <c r="N4" s="351" t="s">
        <v>168</v>
      </c>
      <c r="R4" s="542"/>
      <c r="S4" s="521" t="s">
        <v>166</v>
      </c>
      <c r="T4" s="350" t="s">
        <v>80</v>
      </c>
      <c r="U4" s="521" t="s">
        <v>81</v>
      </c>
      <c r="V4" s="521" t="s">
        <v>187</v>
      </c>
      <c r="W4" s="350"/>
      <c r="X4" s="350" t="s">
        <v>167</v>
      </c>
      <c r="Y4" s="349" t="s">
        <v>168</v>
      </c>
      <c r="Z4" s="528"/>
      <c r="AA4" s="350" t="s">
        <v>167</v>
      </c>
      <c r="AB4" s="521" t="s">
        <v>168</v>
      </c>
      <c r="AC4" s="352"/>
      <c r="AD4" s="351" t="s">
        <v>167</v>
      </c>
      <c r="AE4" s="521" t="s">
        <v>168</v>
      </c>
      <c r="AJ4" s="681" t="s">
        <v>275</v>
      </c>
    </row>
    <row r="5" spans="1:36" x14ac:dyDescent="0.2">
      <c r="A5" s="341">
        <v>2006</v>
      </c>
      <c r="B5" s="478">
        <f>+'FCSTG INPUT'!B10</f>
        <v>412.03406345044323</v>
      </c>
      <c r="C5" s="479">
        <f>+'FCSTG INPUT'!C10</f>
        <v>173.53360967378711</v>
      </c>
      <c r="D5" s="479">
        <f>+'FCSTG INPUT'!D10</f>
        <v>18.968755807737509</v>
      </c>
      <c r="E5" s="480">
        <f>+'FCSTG INPUT'!E10</f>
        <v>604.53642893196786</v>
      </c>
      <c r="F5" s="481"/>
      <c r="G5" s="479">
        <f>+'FCSTG INPUT'!G10</f>
        <v>497.34361354459668</v>
      </c>
      <c r="H5" s="479">
        <f>+'FCSTG INPUT'!H10</f>
        <v>127.57029957076068</v>
      </c>
      <c r="I5" s="482"/>
      <c r="J5" s="478">
        <f>+'FCSTG INPUT'!J10</f>
        <v>146.45200000000003</v>
      </c>
      <c r="K5" s="480">
        <f>+'FCSTG INPUT'!K10</f>
        <v>94.897316750000016</v>
      </c>
      <c r="L5" s="483"/>
      <c r="M5" s="479">
        <f>+'FCSTG INPUT'!M10</f>
        <v>643.79561354459668</v>
      </c>
      <c r="N5" s="480">
        <f>+'FCSTG INPUT'!N10</f>
        <v>222.4676163207607</v>
      </c>
      <c r="R5" s="542" t="s">
        <v>263</v>
      </c>
      <c r="S5" s="522"/>
      <c r="T5" s="176"/>
      <c r="U5" s="522"/>
      <c r="V5" s="522"/>
      <c r="W5" s="176"/>
      <c r="X5" s="176"/>
      <c r="Y5" s="348"/>
      <c r="Z5" s="525"/>
      <c r="AA5" s="429"/>
      <c r="AB5" s="523"/>
      <c r="AC5" s="429"/>
      <c r="AD5" s="525"/>
      <c r="AE5" s="523"/>
      <c r="AJ5" s="167">
        <f>+C5+D5</f>
        <v>192.50236548152463</v>
      </c>
    </row>
    <row r="6" spans="1:36" x14ac:dyDescent="0.2">
      <c r="A6" s="342">
        <f>+A5+1</f>
        <v>2007</v>
      </c>
      <c r="B6" s="478">
        <f>+'FCSTG INPUT'!B11</f>
        <v>420.61748659044326</v>
      </c>
      <c r="C6" s="479">
        <f>+'FCSTG INPUT'!C11</f>
        <v>182.71635102348708</v>
      </c>
      <c r="D6" s="479">
        <f>+'FCSTG INPUT'!D11</f>
        <v>19.901668661704175</v>
      </c>
      <c r="E6" s="480">
        <f>+'FCSTG INPUT'!E11</f>
        <v>623.23550627563452</v>
      </c>
      <c r="F6" s="481"/>
      <c r="G6" s="479">
        <f>+'FCSTG INPUT'!G11</f>
        <v>502.66284023459662</v>
      </c>
      <c r="H6" s="479">
        <f>+'FCSTG INPUT'!H11</f>
        <v>133.71267099076067</v>
      </c>
      <c r="I6" s="482"/>
      <c r="J6" s="478">
        <f>+'FCSTG INPUT'!J11</f>
        <v>114.15170000000001</v>
      </c>
      <c r="K6" s="480">
        <f>+'FCSTG INPUT'!K11</f>
        <v>87.527057500000012</v>
      </c>
      <c r="L6" s="483"/>
      <c r="M6" s="479">
        <f>+'FCSTG INPUT'!M11</f>
        <v>616.81454023459662</v>
      </c>
      <c r="N6" s="480">
        <f>+'FCSTG INPUT'!N11</f>
        <v>221.23972849076068</v>
      </c>
      <c r="R6" s="542">
        <f t="shared" ref="R6:AE6" si="0">A16</f>
        <v>2017</v>
      </c>
      <c r="S6" s="523">
        <f t="shared" si="0"/>
        <v>599.89542700627999</v>
      </c>
      <c r="T6" s="523">
        <f t="shared" si="0"/>
        <v>316.75016881176015</v>
      </c>
      <c r="U6" s="523">
        <f t="shared" si="0"/>
        <v>33.945008316778498</v>
      </c>
      <c r="V6" s="523">
        <f t="shared" si="0"/>
        <v>950.5906041348187</v>
      </c>
      <c r="W6" s="523">
        <f t="shared" si="0"/>
        <v>0</v>
      </c>
      <c r="X6" s="523">
        <f t="shared" si="0"/>
        <v>593.62682534252622</v>
      </c>
      <c r="Y6" s="523">
        <f t="shared" si="0"/>
        <v>238.34028642644768</v>
      </c>
      <c r="Z6" s="523">
        <f t="shared" si="0"/>
        <v>0</v>
      </c>
      <c r="AA6" s="523">
        <f t="shared" si="0"/>
        <v>111.84863690987433</v>
      </c>
      <c r="AB6" s="523">
        <f t="shared" si="0"/>
        <v>111.55745906948003</v>
      </c>
      <c r="AC6" s="523">
        <f t="shared" si="0"/>
        <v>0</v>
      </c>
      <c r="AD6" s="523">
        <f t="shared" si="0"/>
        <v>705.47546225240058</v>
      </c>
      <c r="AE6" s="523">
        <f t="shared" si="0"/>
        <v>349.89774549592772</v>
      </c>
      <c r="AJ6" s="167">
        <f t="shared" ref="AJ6:AJ29" si="1">+C6+D6</f>
        <v>202.61801968519126</v>
      </c>
    </row>
    <row r="7" spans="1:36" x14ac:dyDescent="0.2">
      <c r="A7" s="342">
        <f>+A6+1</f>
        <v>2008</v>
      </c>
      <c r="B7" s="478">
        <f>+'FCSTG INPUT'!B12</f>
        <v>430.65923218306881</v>
      </c>
      <c r="C7" s="479">
        <f>+'FCSTG INPUT'!C12</f>
        <v>196.8879446074271</v>
      </c>
      <c r="D7" s="479">
        <f>+'FCSTG INPUT'!D12</f>
        <v>21.42589974703084</v>
      </c>
      <c r="E7" s="480">
        <f>+'FCSTG INPUT'!E12</f>
        <v>648.97307653752671</v>
      </c>
      <c r="F7" s="481"/>
      <c r="G7" s="479">
        <f>+'FCSTG INPUT'!G12</f>
        <v>507.8611413410149</v>
      </c>
      <c r="H7" s="479">
        <f>+'FCSTG INPUT'!H12</f>
        <v>139.94628613717884</v>
      </c>
      <c r="I7" s="482"/>
      <c r="J7" s="478">
        <f>+'FCSTG INPUT'!J12</f>
        <v>190.94729512500001</v>
      </c>
      <c r="K7" s="480">
        <f>+'FCSTG INPUT'!K12</f>
        <v>124.22911914597043</v>
      </c>
      <c r="L7" s="483"/>
      <c r="M7" s="479">
        <f>+'FCSTG INPUT'!M12</f>
        <v>698.80843646601488</v>
      </c>
      <c r="N7" s="480">
        <f>+'FCSTG INPUT'!N12</f>
        <v>264.1754052831493</v>
      </c>
      <c r="R7" s="542">
        <f t="shared" ref="R7:AE7" si="2">A25</f>
        <v>2026</v>
      </c>
      <c r="S7" s="523">
        <f t="shared" si="2"/>
        <v>711.82591785428008</v>
      </c>
      <c r="T7" s="523">
        <f t="shared" si="2"/>
        <v>364.88559977861468</v>
      </c>
      <c r="U7" s="523">
        <f t="shared" si="2"/>
        <v>39.009033935317888</v>
      </c>
      <c r="V7" s="523">
        <f t="shared" si="2"/>
        <v>1115.7205515682126</v>
      </c>
      <c r="W7" s="523">
        <f t="shared" si="2"/>
        <v>0</v>
      </c>
      <c r="X7" s="523">
        <f t="shared" si="2"/>
        <v>635.62838324852612</v>
      </c>
      <c r="Y7" s="523">
        <f t="shared" si="2"/>
        <v>290.45649579044778</v>
      </c>
      <c r="Z7" s="523">
        <f t="shared" si="2"/>
        <v>0</v>
      </c>
      <c r="AA7" s="523">
        <f t="shared" si="2"/>
        <v>153.70823850078341</v>
      </c>
      <c r="AB7" s="523">
        <f t="shared" si="2"/>
        <v>138.91805156948004</v>
      </c>
      <c r="AC7" s="523">
        <f t="shared" si="2"/>
        <v>0</v>
      </c>
      <c r="AD7" s="523">
        <f t="shared" si="2"/>
        <v>789.33662174930953</v>
      </c>
      <c r="AE7" s="523">
        <f t="shared" si="2"/>
        <v>429.37454735992782</v>
      </c>
      <c r="AJ7" s="167">
        <f t="shared" si="1"/>
        <v>218.31384435445796</v>
      </c>
    </row>
    <row r="8" spans="1:36" x14ac:dyDescent="0.2">
      <c r="A8" s="342">
        <f t="shared" ref="A8:A29" si="3">+A7+1</f>
        <v>2009</v>
      </c>
      <c r="B8" s="478">
        <f>+'FCSTG INPUT'!B13</f>
        <v>443.57724002390904</v>
      </c>
      <c r="C8" s="479">
        <f>+'FCSTG INPUT'!C13</f>
        <v>215.92261346402648</v>
      </c>
      <c r="D8" s="479">
        <f>+'FCSTG INPUT'!D13</f>
        <v>23.42526569661549</v>
      </c>
      <c r="E8" s="480">
        <f>+'FCSTG INPUT'!E13</f>
        <v>682.92511918455102</v>
      </c>
      <c r="F8" s="481"/>
      <c r="G8" s="479">
        <f>+'FCSTG INPUT'!G13</f>
        <v>514.00197824676286</v>
      </c>
      <c r="H8" s="479">
        <f>+'FCSTG INPUT'!H13</f>
        <v>148.60203992337759</v>
      </c>
      <c r="I8" s="482"/>
      <c r="J8" s="478">
        <f>+'FCSTG INPUT'!J13</f>
        <v>160.69956241912757</v>
      </c>
      <c r="K8" s="480">
        <f>+'FCSTG INPUT'!K13</f>
        <v>134.23170097746103</v>
      </c>
      <c r="L8" s="483"/>
      <c r="M8" s="479">
        <f>+'FCSTG INPUT'!M13</f>
        <v>674.70154066589043</v>
      </c>
      <c r="N8" s="480">
        <f>+'FCSTG INPUT'!N13</f>
        <v>282.83374090083862</v>
      </c>
      <c r="R8" s="543"/>
      <c r="S8" s="530"/>
      <c r="T8" s="536"/>
      <c r="U8" s="530"/>
      <c r="V8" s="530"/>
      <c r="W8" s="536"/>
      <c r="X8" s="536"/>
      <c r="Y8" s="532"/>
      <c r="Z8" s="533"/>
      <c r="AA8" s="536"/>
      <c r="AB8" s="530"/>
      <c r="AC8" s="536"/>
      <c r="AD8" s="533"/>
      <c r="AE8" s="530"/>
      <c r="AJ8" s="167">
        <f t="shared" si="1"/>
        <v>239.34787916064198</v>
      </c>
    </row>
    <row r="9" spans="1:36" x14ac:dyDescent="0.2">
      <c r="A9" s="342">
        <f t="shared" si="3"/>
        <v>2010</v>
      </c>
      <c r="B9" s="478">
        <f>+'FCSTG INPUT'!B14</f>
        <v>458.240093353909</v>
      </c>
      <c r="C9" s="479">
        <f>+'FCSTG INPUT'!C14</f>
        <v>227.64765147392654</v>
      </c>
      <c r="D9" s="479">
        <f>+'FCSTG INPUT'!D14</f>
        <v>24.617394299048833</v>
      </c>
      <c r="E9" s="480">
        <f>+'FCSTG INPUT'!E14</f>
        <v>710.50513912688439</v>
      </c>
      <c r="F9" s="481"/>
      <c r="G9" s="479">
        <f>+'FCSTG INPUT'!G14</f>
        <v>524.38564726276286</v>
      </c>
      <c r="H9" s="479">
        <f>+'FCSTG INPUT'!H14</f>
        <v>158.41719807137758</v>
      </c>
      <c r="I9" s="482"/>
      <c r="J9" s="478">
        <f>+'FCSTG INPUT'!J14</f>
        <v>188.64699768513549</v>
      </c>
      <c r="K9" s="480">
        <f>+'FCSTG INPUT'!K14</f>
        <v>129.4777189143021</v>
      </c>
      <c r="L9" s="483"/>
      <c r="M9" s="479">
        <f>+'FCSTG INPUT'!M14</f>
        <v>713.03264494789835</v>
      </c>
      <c r="N9" s="480">
        <f>+'FCSTG INPUT'!N14</f>
        <v>287.89491698567969</v>
      </c>
      <c r="R9" s="542" t="s">
        <v>262</v>
      </c>
      <c r="S9" s="522"/>
      <c r="T9" s="176"/>
      <c r="U9" s="522"/>
      <c r="V9" s="522"/>
      <c r="W9" s="176"/>
      <c r="X9" s="176"/>
      <c r="Y9" s="348"/>
      <c r="Z9" s="525"/>
      <c r="AA9" s="429"/>
      <c r="AB9" s="523"/>
      <c r="AC9" s="429"/>
      <c r="AD9" s="525"/>
      <c r="AE9" s="523"/>
      <c r="AJ9" s="167">
        <f t="shared" si="1"/>
        <v>252.26504577297538</v>
      </c>
    </row>
    <row r="10" spans="1:36" x14ac:dyDescent="0.2">
      <c r="A10" s="342">
        <f t="shared" si="3"/>
        <v>2011</v>
      </c>
      <c r="B10" s="478">
        <f>+'FCSTG INPUT'!B15</f>
        <v>474.3381278539091</v>
      </c>
      <c r="C10" s="479">
        <f>+'FCSTG INPUT'!C15</f>
        <v>240.93566346762648</v>
      </c>
      <c r="D10" s="479">
        <f>+'FCSTG INPUT'!D15</f>
        <v>26.018024266348824</v>
      </c>
      <c r="E10" s="480">
        <f>+'FCSTG INPUT'!E15</f>
        <v>741.29181558788434</v>
      </c>
      <c r="F10" s="481"/>
      <c r="G10" s="479">
        <f>+'FCSTG INPUT'!G15</f>
        <v>533.34753707276286</v>
      </c>
      <c r="H10" s="479">
        <f>+'FCSTG INPUT'!H15</f>
        <v>168.01794310137757</v>
      </c>
      <c r="I10" s="482"/>
      <c r="J10" s="478">
        <f>+'FCSTG INPUT'!J15</f>
        <v>171.71433623228688</v>
      </c>
      <c r="K10" s="480">
        <f>+'FCSTG INPUT'!K15</f>
        <v>131.3860288136074</v>
      </c>
      <c r="L10" s="483"/>
      <c r="M10" s="479">
        <f>+'FCSTG INPUT'!M15</f>
        <v>705.06187330504974</v>
      </c>
      <c r="N10" s="480">
        <f>+'FCSTG INPUT'!N15</f>
        <v>299.40397191498494</v>
      </c>
      <c r="R10" s="542">
        <f t="shared" ref="R10:AE10" si="4">A46</f>
        <v>2017</v>
      </c>
      <c r="S10" s="523">
        <f t="shared" si="4"/>
        <v>597.16796908627987</v>
      </c>
      <c r="T10" s="523">
        <f t="shared" si="4"/>
        <v>317.43985039288009</v>
      </c>
      <c r="U10" s="523">
        <f t="shared" si="4"/>
        <v>33.980262514902925</v>
      </c>
      <c r="V10" s="523">
        <f t="shared" si="4"/>
        <v>948.58808199406292</v>
      </c>
      <c r="W10" s="523">
        <f t="shared" si="4"/>
        <v>0</v>
      </c>
      <c r="X10" s="523">
        <f t="shared" si="4"/>
        <v>591.60203433152651</v>
      </c>
      <c r="Y10" s="523">
        <f t="shared" si="4"/>
        <v>237.61872611044774</v>
      </c>
      <c r="Z10" s="523">
        <f t="shared" si="4"/>
        <v>0</v>
      </c>
      <c r="AA10" s="523">
        <f t="shared" si="4"/>
        <v>115.06654011815716</v>
      </c>
      <c r="AB10" s="523">
        <f t="shared" si="4"/>
        <v>113.91598231858015</v>
      </c>
      <c r="AC10" s="523">
        <f t="shared" si="4"/>
        <v>0</v>
      </c>
      <c r="AD10" s="523">
        <f t="shared" si="4"/>
        <v>706.66857444968366</v>
      </c>
      <c r="AE10" s="523">
        <f t="shared" si="4"/>
        <v>351.53470842902789</v>
      </c>
      <c r="AJ10" s="167">
        <f t="shared" si="1"/>
        <v>266.9536877339753</v>
      </c>
    </row>
    <row r="11" spans="1:36" x14ac:dyDescent="0.2">
      <c r="A11" s="342">
        <f t="shared" si="3"/>
        <v>2012</v>
      </c>
      <c r="B11" s="478">
        <f>+'FCSTG INPUT'!B16</f>
        <v>493.149727373909</v>
      </c>
      <c r="C11" s="479">
        <f>+'FCSTG INPUT'!C16</f>
        <v>254.74016508742645</v>
      </c>
      <c r="D11" s="479">
        <f>+'FCSTG INPUT'!D16</f>
        <v>27.518562108215487</v>
      </c>
      <c r="E11" s="480">
        <f>+'FCSTG INPUT'!E16</f>
        <v>775.40845456955094</v>
      </c>
      <c r="F11" s="481"/>
      <c r="G11" s="479">
        <f>+'FCSTG INPUT'!G16</f>
        <v>539.77656330276295</v>
      </c>
      <c r="H11" s="479">
        <f>+'FCSTG INPUT'!H16</f>
        <v>179.34344138603279</v>
      </c>
      <c r="I11" s="482"/>
      <c r="J11" s="478">
        <f>+'FCSTG INPUT'!J16</f>
        <v>179.1726759810725</v>
      </c>
      <c r="K11" s="480">
        <f>+'FCSTG INPUT'!K16</f>
        <v>141.28642990766031</v>
      </c>
      <c r="L11" s="483"/>
      <c r="M11" s="479">
        <f>+'FCSTG INPUT'!M16</f>
        <v>718.94923928383548</v>
      </c>
      <c r="N11" s="480">
        <f>+'FCSTG INPUT'!N16</f>
        <v>320.6298712936931</v>
      </c>
      <c r="R11" s="542">
        <f t="shared" ref="R11:AE11" si="5">A55</f>
        <v>2026</v>
      </c>
      <c r="S11" s="523">
        <f t="shared" si="5"/>
        <v>709.09845993427996</v>
      </c>
      <c r="T11" s="523">
        <f t="shared" si="5"/>
        <v>416.49489451293465</v>
      </c>
      <c r="U11" s="523">
        <f t="shared" si="5"/>
        <v>44.702022928242329</v>
      </c>
      <c r="V11" s="523">
        <f t="shared" si="5"/>
        <v>1170.2953773754568</v>
      </c>
      <c r="W11" s="523">
        <f t="shared" si="5"/>
        <v>0</v>
      </c>
      <c r="X11" s="523">
        <f t="shared" si="5"/>
        <v>639.03346773752628</v>
      </c>
      <c r="Y11" s="523">
        <f t="shared" si="5"/>
        <v>299.22291437444767</v>
      </c>
      <c r="Z11" s="523">
        <f t="shared" si="5"/>
        <v>0</v>
      </c>
      <c r="AA11" s="523">
        <f t="shared" si="5"/>
        <v>156.92614170906626</v>
      </c>
      <c r="AB11" s="523">
        <f t="shared" si="5"/>
        <v>143.08219981858016</v>
      </c>
      <c r="AC11" s="523">
        <f t="shared" si="5"/>
        <v>0</v>
      </c>
      <c r="AD11" s="523">
        <f t="shared" si="5"/>
        <v>795.95960944659259</v>
      </c>
      <c r="AE11" s="523">
        <f t="shared" si="5"/>
        <v>442.30511419302786</v>
      </c>
      <c r="AJ11" s="167">
        <f t="shared" si="1"/>
        <v>282.25872719564194</v>
      </c>
    </row>
    <row r="12" spans="1:36" x14ac:dyDescent="0.2">
      <c r="A12" s="342">
        <f t="shared" si="3"/>
        <v>2013</v>
      </c>
      <c r="B12" s="478">
        <f>+'FCSTG INPUT'!B17</f>
        <v>513.42413408285427</v>
      </c>
      <c r="C12" s="479">
        <f>+'FCSTG INPUT'!C17</f>
        <v>273.96178857347974</v>
      </c>
      <c r="D12" s="479">
        <f>+'FCSTG INPUT'!D17</f>
        <v>29.61420889144015</v>
      </c>
      <c r="E12" s="480">
        <f>+'FCSTG INPUT'!E17</f>
        <v>817.00013154777423</v>
      </c>
      <c r="F12" s="481"/>
      <c r="G12" s="479">
        <f>+'FCSTG INPUT'!G17</f>
        <v>555.61456521251262</v>
      </c>
      <c r="H12" s="479">
        <f>+'FCSTG INPUT'!H17</f>
        <v>195.31549665572354</v>
      </c>
      <c r="I12" s="482"/>
      <c r="J12" s="478">
        <f>+'FCSTG INPUT'!J17</f>
        <v>168.13863611805101</v>
      </c>
      <c r="K12" s="480">
        <f>+'FCSTG INPUT'!K17</f>
        <v>136.14877457584498</v>
      </c>
      <c r="L12" s="483"/>
      <c r="M12" s="479">
        <f>+'FCSTG INPUT'!M17</f>
        <v>723.75320133056357</v>
      </c>
      <c r="N12" s="480">
        <f>+'FCSTG INPUT'!N17</f>
        <v>331.46427123156855</v>
      </c>
      <c r="R12" s="543"/>
      <c r="S12" s="530"/>
      <c r="T12" s="536"/>
      <c r="U12" s="530"/>
      <c r="V12" s="530"/>
      <c r="W12" s="536"/>
      <c r="X12" s="536"/>
      <c r="Y12" s="534"/>
      <c r="Z12" s="535"/>
      <c r="AA12" s="536"/>
      <c r="AB12" s="530"/>
      <c r="AC12" s="536"/>
      <c r="AD12" s="533"/>
      <c r="AE12" s="530"/>
      <c r="AJ12" s="167">
        <f t="shared" si="1"/>
        <v>303.57599746491991</v>
      </c>
    </row>
    <row r="13" spans="1:36" x14ac:dyDescent="0.2">
      <c r="A13" s="342">
        <f t="shared" si="3"/>
        <v>2014</v>
      </c>
      <c r="B13" s="478">
        <f>+'FCSTG INPUT'!B18</f>
        <v>546.68364060500437</v>
      </c>
      <c r="C13" s="479">
        <f>+'FCSTG INPUT'!C18</f>
        <v>284.4799983390094</v>
      </c>
      <c r="D13" s="479">
        <f>+'FCSTG INPUT'!D18</f>
        <v>30.731115451165678</v>
      </c>
      <c r="E13" s="480">
        <f>+'FCSTG INPUT'!E18</f>
        <v>861.89475439517946</v>
      </c>
      <c r="F13" s="481"/>
      <c r="G13" s="479">
        <f>+'FCSTG INPUT'!G18</f>
        <v>569.66278499847454</v>
      </c>
      <c r="H13" s="479">
        <f>+'FCSTG INPUT'!H18</f>
        <v>210.6182069513431</v>
      </c>
      <c r="I13" s="482"/>
      <c r="J13" s="478">
        <f>+'FCSTG INPUT'!J18</f>
        <v>170.88106933853697</v>
      </c>
      <c r="K13" s="480">
        <f>+'FCSTG INPUT'!K18</f>
        <v>137.92677507038331</v>
      </c>
      <c r="L13" s="483"/>
      <c r="M13" s="479">
        <f>+'FCSTG INPUT'!M18</f>
        <v>740.54385433701145</v>
      </c>
      <c r="N13" s="480">
        <f>+'FCSTG INPUT'!N18</f>
        <v>348.54498202172641</v>
      </c>
      <c r="R13" s="542" t="s">
        <v>264</v>
      </c>
      <c r="S13" s="522"/>
      <c r="T13" s="176"/>
      <c r="U13" s="522"/>
      <c r="V13" s="522"/>
      <c r="W13" s="176"/>
      <c r="X13" s="176"/>
      <c r="Y13" s="527"/>
      <c r="Z13" s="525"/>
      <c r="AA13" s="429"/>
      <c r="AB13" s="523"/>
      <c r="AC13" s="429"/>
      <c r="AD13" s="525"/>
      <c r="AE13" s="523"/>
      <c r="AJ13" s="167">
        <f t="shared" si="1"/>
        <v>315.21111379017509</v>
      </c>
    </row>
    <row r="14" spans="1:36" x14ac:dyDescent="0.2">
      <c r="A14" s="342">
        <f t="shared" si="3"/>
        <v>2015</v>
      </c>
      <c r="B14" s="478">
        <f>+'FCSTG INPUT'!B19</f>
        <v>568.45487131027994</v>
      </c>
      <c r="C14" s="479">
        <f>+'FCSTG INPUT'!C19</f>
        <v>294.39200280688391</v>
      </c>
      <c r="D14" s="479">
        <f>+'FCSTG INPUT'!D19</f>
        <v>31.503749388903351</v>
      </c>
      <c r="E14" s="480">
        <f>+'FCSTG INPUT'!E19</f>
        <v>894.35062350606722</v>
      </c>
      <c r="F14" s="481"/>
      <c r="G14" s="479">
        <f>+'FCSTG INPUT'!G19</f>
        <v>576.37179320252619</v>
      </c>
      <c r="H14" s="479">
        <f>+'FCSTG INPUT'!H19</f>
        <v>223.56808009944771</v>
      </c>
      <c r="I14" s="482"/>
      <c r="J14" s="478">
        <f>+'FCSTG INPUT'!J19</f>
        <v>156.90348299912685</v>
      </c>
      <c r="K14" s="480">
        <f>+'FCSTG INPUT'!K19</f>
        <v>131.23281093017519</v>
      </c>
      <c r="L14" s="483"/>
      <c r="M14" s="479">
        <f>+'FCSTG INPUT'!M19</f>
        <v>733.27527620165301</v>
      </c>
      <c r="N14" s="480">
        <f>+'FCSTG INPUT'!N19</f>
        <v>354.8008910296229</v>
      </c>
      <c r="R14" s="542">
        <f>R6</f>
        <v>2017</v>
      </c>
      <c r="S14" s="523">
        <f>S6-S10</f>
        <v>2.7274579200001199</v>
      </c>
      <c r="T14" s="429">
        <f t="shared" ref="T14:AE14" si="6">T6-T10</f>
        <v>-0.68968158111994171</v>
      </c>
      <c r="U14" s="523">
        <f t="shared" si="6"/>
        <v>-3.5254198124427205E-2</v>
      </c>
      <c r="V14" s="523">
        <f t="shared" si="6"/>
        <v>2.0025221407557865</v>
      </c>
      <c r="W14" s="429"/>
      <c r="X14" s="429">
        <f t="shared" si="6"/>
        <v>2.0247910109997065</v>
      </c>
      <c r="Y14" s="519">
        <f t="shared" si="6"/>
        <v>0.72156031599993753</v>
      </c>
      <c r="Z14" s="525"/>
      <c r="AA14" s="429">
        <f t="shared" si="6"/>
        <v>-3.2179032082828343</v>
      </c>
      <c r="AB14" s="523">
        <f t="shared" si="6"/>
        <v>-2.3585232491001165</v>
      </c>
      <c r="AC14" s="429"/>
      <c r="AD14" s="525">
        <f t="shared" si="6"/>
        <v>-1.1931121972830852</v>
      </c>
      <c r="AE14" s="523">
        <f t="shared" si="6"/>
        <v>-1.6369629331001647</v>
      </c>
      <c r="AJ14" s="167">
        <f t="shared" si="1"/>
        <v>325.89575219578728</v>
      </c>
    </row>
    <row r="15" spans="1:36" ht="13.5" thickBot="1" x14ac:dyDescent="0.25">
      <c r="A15" s="342">
        <f t="shared" si="3"/>
        <v>2016</v>
      </c>
      <c r="B15" s="478">
        <f>+'FCSTG INPUT'!B20</f>
        <v>587.63827449428004</v>
      </c>
      <c r="C15" s="479">
        <f>+'FCSTG INPUT'!C20</f>
        <v>307.1585605940657</v>
      </c>
      <c r="D15" s="479">
        <f>+'FCSTG INPUT'!D20</f>
        <v>32.896493381701326</v>
      </c>
      <c r="E15" s="480">
        <f>+'FCSTG INPUT'!E20</f>
        <v>927.69332847004705</v>
      </c>
      <c r="F15" s="481"/>
      <c r="G15" s="479">
        <f>+'FCSTG INPUT'!G20</f>
        <v>585.95222733752621</v>
      </c>
      <c r="H15" s="479">
        <f>+'FCSTG INPUT'!H20</f>
        <v>232.03831808994769</v>
      </c>
      <c r="I15" s="482"/>
      <c r="J15" s="478">
        <f>+'FCSTG INPUT'!J20</f>
        <v>132.89848942479102</v>
      </c>
      <c r="K15" s="480">
        <f>+'FCSTG INPUT'!K20</f>
        <v>110.97754325596846</v>
      </c>
      <c r="L15" s="483"/>
      <c r="M15" s="479">
        <f>+'FCSTG INPUT'!M20</f>
        <v>718.85071676231723</v>
      </c>
      <c r="N15" s="480">
        <f>+'FCSTG INPUT'!N20</f>
        <v>343.01586134591616</v>
      </c>
      <c r="R15" s="542">
        <f>R7</f>
        <v>2026</v>
      </c>
      <c r="S15" s="523">
        <f>S7-S11</f>
        <v>2.7274579200001199</v>
      </c>
      <c r="T15" s="429">
        <f t="shared" ref="T15:AE15" si="7">T7-T11</f>
        <v>-51.609294734319974</v>
      </c>
      <c r="U15" s="523">
        <f t="shared" si="7"/>
        <v>-5.692988992924441</v>
      </c>
      <c r="V15" s="523">
        <f t="shared" si="7"/>
        <v>-54.574825807244224</v>
      </c>
      <c r="W15" s="429"/>
      <c r="X15" s="429">
        <f t="shared" si="7"/>
        <v>-3.4050844890001599</v>
      </c>
      <c r="Y15" s="519">
        <f t="shared" si="7"/>
        <v>-8.7664185839998936</v>
      </c>
      <c r="Z15" s="525"/>
      <c r="AA15" s="429">
        <f t="shared" si="7"/>
        <v>-3.2179032082828485</v>
      </c>
      <c r="AB15" s="523">
        <f t="shared" si="7"/>
        <v>-4.1641482491001227</v>
      </c>
      <c r="AC15" s="429"/>
      <c r="AD15" s="525">
        <f t="shared" si="7"/>
        <v>-6.6229876972830652</v>
      </c>
      <c r="AE15" s="523">
        <f t="shared" si="7"/>
        <v>-12.930566833100045</v>
      </c>
      <c r="AJ15" s="167">
        <f t="shared" si="1"/>
        <v>340.05505397576701</v>
      </c>
    </row>
    <row r="16" spans="1:36" ht="13.5" thickBot="1" x14ac:dyDescent="0.25">
      <c r="A16" s="813">
        <f t="shared" si="3"/>
        <v>2017</v>
      </c>
      <c r="B16" s="513">
        <f>+'FCSTG INPUT'!B21</f>
        <v>599.89542700627999</v>
      </c>
      <c r="C16" s="514">
        <f>+'FCSTG INPUT'!C21</f>
        <v>316.75016881176015</v>
      </c>
      <c r="D16" s="514">
        <f>+'FCSTG INPUT'!D21</f>
        <v>33.945008316778498</v>
      </c>
      <c r="E16" s="515">
        <f>+'FCSTG INPUT'!E21</f>
        <v>950.5906041348187</v>
      </c>
      <c r="F16" s="516"/>
      <c r="G16" s="514">
        <f>+'FCSTG INPUT'!G21</f>
        <v>593.62682534252622</v>
      </c>
      <c r="H16" s="514">
        <f>+'FCSTG INPUT'!H21</f>
        <v>238.34028642644768</v>
      </c>
      <c r="I16" s="517"/>
      <c r="J16" s="513">
        <f>+'FCSTG INPUT'!J21</f>
        <v>111.84863690987433</v>
      </c>
      <c r="K16" s="515">
        <f>+'FCSTG INPUT'!K21</f>
        <v>111.55745906948003</v>
      </c>
      <c r="L16" s="518"/>
      <c r="M16" s="514">
        <f>+'FCSTG INPUT'!M21</f>
        <v>705.47546225240058</v>
      </c>
      <c r="N16" s="515">
        <f>+'FCSTG INPUT'!N21</f>
        <v>349.89774549592772</v>
      </c>
      <c r="R16" s="532"/>
      <c r="S16" s="530"/>
      <c r="T16" s="536"/>
      <c r="U16" s="530"/>
      <c r="V16" s="530"/>
      <c r="W16" s="536"/>
      <c r="X16" s="536"/>
      <c r="Y16" s="534"/>
      <c r="Z16" s="535"/>
      <c r="AA16" s="536"/>
      <c r="AB16" s="530"/>
      <c r="AC16" s="536"/>
      <c r="AD16" s="533"/>
      <c r="AE16" s="530"/>
      <c r="AJ16" s="167">
        <f t="shared" si="1"/>
        <v>350.69517712853866</v>
      </c>
    </row>
    <row r="17" spans="1:36" x14ac:dyDescent="0.2">
      <c r="A17" s="342">
        <f t="shared" si="3"/>
        <v>2018</v>
      </c>
      <c r="B17" s="478">
        <f>+'FCSTG INPUT'!B22</f>
        <v>611.48530895828014</v>
      </c>
      <c r="C17" s="479">
        <f>+'FCSTG INPUT'!C22</f>
        <v>321.08515900889944</v>
      </c>
      <c r="D17" s="479">
        <f>+'FCSTG INPUT'!D22</f>
        <v>34.395078827571744</v>
      </c>
      <c r="E17" s="480">
        <f>+'FCSTG INPUT'!E22</f>
        <v>966.96554679475139</v>
      </c>
      <c r="F17" s="481"/>
      <c r="G17" s="479">
        <f>+'FCSTG INPUT'!G22</f>
        <v>597.83280902652621</v>
      </c>
      <c r="H17" s="479">
        <f>+'FCSTG INPUT'!H22</f>
        <v>243.5491963274477</v>
      </c>
      <c r="I17" s="482"/>
      <c r="J17" s="478">
        <f>+'FCSTG INPUT'!J22</f>
        <v>115.84582947553089</v>
      </c>
      <c r="K17" s="480">
        <f>+'FCSTG INPUT'!K22</f>
        <v>114.14775906948006</v>
      </c>
      <c r="L17" s="483"/>
      <c r="M17" s="479">
        <f>+'FCSTG INPUT'!M22</f>
        <v>713.67863850205708</v>
      </c>
      <c r="N17" s="480">
        <f>+'FCSTG INPUT'!N22</f>
        <v>357.69695539692776</v>
      </c>
      <c r="R17" s="542" t="s">
        <v>265</v>
      </c>
      <c r="S17" s="522"/>
      <c r="T17" s="176"/>
      <c r="U17" s="522"/>
      <c r="V17" s="522"/>
      <c r="W17" s="176"/>
      <c r="X17" s="176"/>
      <c r="Y17" s="527"/>
      <c r="Z17" s="529"/>
      <c r="AA17" s="176"/>
      <c r="AB17" s="522"/>
      <c r="AC17" s="176"/>
      <c r="AD17" s="168"/>
      <c r="AE17" s="522"/>
      <c r="AJ17" s="167">
        <f t="shared" si="1"/>
        <v>355.48023783647119</v>
      </c>
    </row>
    <row r="18" spans="1:36" x14ac:dyDescent="0.2">
      <c r="A18" s="342">
        <f t="shared" si="3"/>
        <v>2019</v>
      </c>
      <c r="B18" s="478">
        <f>+'FCSTG INPUT'!B23</f>
        <v>623.76988579027989</v>
      </c>
      <c r="C18" s="479">
        <f>+'FCSTG INPUT'!C23</f>
        <v>325.94185304843899</v>
      </c>
      <c r="D18" s="479">
        <f>+'FCSTG INPUT'!D23</f>
        <v>34.903116431965024</v>
      </c>
      <c r="E18" s="480">
        <f>+'FCSTG INPUT'!E23</f>
        <v>984.61485527068396</v>
      </c>
      <c r="F18" s="481"/>
      <c r="G18" s="479">
        <f>+'FCSTG INPUT'!G23</f>
        <v>602.20401325052626</v>
      </c>
      <c r="H18" s="479">
        <f>+'FCSTG INPUT'!H23</f>
        <v>249.21878269844768</v>
      </c>
      <c r="I18" s="482"/>
      <c r="J18" s="478">
        <f>+'FCSTG INPUT'!J23</f>
        <v>119.84302204118747</v>
      </c>
      <c r="K18" s="480">
        <f>+'FCSTG INPUT'!K23</f>
        <v>117.00791856948004</v>
      </c>
      <c r="L18" s="483"/>
      <c r="M18" s="479">
        <f>+'FCSTG INPUT'!M23</f>
        <v>722.04703529171377</v>
      </c>
      <c r="N18" s="480">
        <f>+'FCSTG INPUT'!N23</f>
        <v>366.22670126792775</v>
      </c>
      <c r="R18" s="542">
        <f>R14</f>
        <v>2017</v>
      </c>
      <c r="S18" s="524">
        <f>S6/S10-1</f>
        <v>4.5673211913448419E-3</v>
      </c>
      <c r="T18" s="544">
        <f t="shared" ref="T18:AE18" si="8">T6/T10-1</f>
        <v>-2.172637053181381E-3</v>
      </c>
      <c r="U18" s="524">
        <f t="shared" si="8"/>
        <v>-1.0374904581436084E-3</v>
      </c>
      <c r="V18" s="524">
        <f t="shared" si="8"/>
        <v>2.1110555559018529E-3</v>
      </c>
      <c r="W18" s="544"/>
      <c r="X18" s="544">
        <f t="shared" si="8"/>
        <v>3.4225558627221098E-3</v>
      </c>
      <c r="Y18" s="520">
        <f t="shared" si="8"/>
        <v>3.0366306890499128E-3</v>
      </c>
      <c r="Z18" s="526"/>
      <c r="AA18" s="544">
        <f t="shared" si="8"/>
        <v>-2.7965585868650389E-2</v>
      </c>
      <c r="AB18" s="524">
        <f t="shared" si="8"/>
        <v>-2.0704059264521901E-2</v>
      </c>
      <c r="AC18" s="544"/>
      <c r="AD18" s="526">
        <f t="shared" si="8"/>
        <v>-1.6883617588516753E-3</v>
      </c>
      <c r="AE18" s="524">
        <f t="shared" si="8"/>
        <v>-4.6566182338454443E-3</v>
      </c>
      <c r="AJ18" s="167">
        <f t="shared" si="1"/>
        <v>360.84496948040402</v>
      </c>
    </row>
    <row r="19" spans="1:36" x14ac:dyDescent="0.2">
      <c r="A19" s="342">
        <f t="shared" si="3"/>
        <v>2020</v>
      </c>
      <c r="B19" s="478">
        <f>+'FCSTG INPUT'!B24</f>
        <v>636.43327094227982</v>
      </c>
      <c r="C19" s="479">
        <f>+'FCSTG INPUT'!C24</f>
        <v>331.41014106917834</v>
      </c>
      <c r="D19" s="479">
        <f>+'FCSTG INPUT'!D24</f>
        <v>35.479108923158286</v>
      </c>
      <c r="E19" s="480">
        <f>+'FCSTG INPUT'!E24</f>
        <v>1003.3225209346165</v>
      </c>
      <c r="F19" s="481"/>
      <c r="G19" s="479">
        <f>+'FCSTG INPUT'!G24</f>
        <v>606.99426242452626</v>
      </c>
      <c r="H19" s="479">
        <f>+'FCSTG INPUT'!H24</f>
        <v>255.11203526444768</v>
      </c>
      <c r="I19" s="482"/>
      <c r="J19" s="478">
        <f>+'FCSTG INPUT'!J24</f>
        <v>124.68091010684402</v>
      </c>
      <c r="K19" s="480">
        <f>+'FCSTG INPUT'!K24</f>
        <v>120.13793756948004</v>
      </c>
      <c r="L19" s="483"/>
      <c r="M19" s="479">
        <f>+'FCSTG INPUT'!M24</f>
        <v>731.67517253137032</v>
      </c>
      <c r="N19" s="480">
        <f>+'FCSTG INPUT'!N24</f>
        <v>375.2499728339277</v>
      </c>
      <c r="O19" s="167"/>
      <c r="R19" s="545">
        <f>R15</f>
        <v>2026</v>
      </c>
      <c r="S19" s="537">
        <f>S7/S11-1</f>
        <v>3.8463740567888927E-3</v>
      </c>
      <c r="T19" s="538">
        <f t="shared" ref="T19:AE19" si="9">T7/T11-1</f>
        <v>-0.1239133910505047</v>
      </c>
      <c r="U19" s="537">
        <f t="shared" si="9"/>
        <v>-0.12735416922994913</v>
      </c>
      <c r="V19" s="537">
        <f t="shared" si="9"/>
        <v>-4.6633377233049944E-2</v>
      </c>
      <c r="W19" s="538"/>
      <c r="X19" s="538">
        <f t="shared" si="9"/>
        <v>-5.3284916376222791E-3</v>
      </c>
      <c r="Y19" s="539">
        <f t="shared" si="9"/>
        <v>-2.9297283606527502E-2</v>
      </c>
      <c r="Z19" s="540"/>
      <c r="AA19" s="538">
        <f t="shared" si="9"/>
        <v>-2.0505845445742854E-2</v>
      </c>
      <c r="AB19" s="537">
        <f t="shared" si="9"/>
        <v>-2.9103188617312425E-2</v>
      </c>
      <c r="AC19" s="538"/>
      <c r="AD19" s="540">
        <f t="shared" si="9"/>
        <v>-8.3207585142264229E-3</v>
      </c>
      <c r="AE19" s="537">
        <f t="shared" si="9"/>
        <v>-2.9234495415436212E-2</v>
      </c>
      <c r="AJ19" s="167">
        <f t="shared" si="1"/>
        <v>366.8892499923366</v>
      </c>
    </row>
    <row r="20" spans="1:36" x14ac:dyDescent="0.2">
      <c r="A20" s="342">
        <f t="shared" si="3"/>
        <v>2021</v>
      </c>
      <c r="B20" s="478">
        <f>+'FCSTG INPUT'!B25</f>
        <v>649.09665609428032</v>
      </c>
      <c r="C20" s="479">
        <f>+'FCSTG INPUT'!C25</f>
        <v>336.98653944791778</v>
      </c>
      <c r="D20" s="479">
        <f>+'FCSTG INPUT'!D25</f>
        <v>36.067113676351561</v>
      </c>
      <c r="E20" s="480">
        <f>+'FCSTG INPUT'!E25</f>
        <v>1022.1503092185498</v>
      </c>
      <c r="F20" s="481"/>
      <c r="G20" s="479">
        <f>+'FCSTG INPUT'!G25</f>
        <v>611.84309409852631</v>
      </c>
      <c r="H20" s="479">
        <f>+'FCSTG INPUT'!H25</f>
        <v>261.0294965804477</v>
      </c>
      <c r="I20" s="482"/>
      <c r="J20" s="478">
        <f>+'FCSTG INPUT'!J25</f>
        <v>129.5187981725006</v>
      </c>
      <c r="K20" s="480">
        <f>+'FCSTG INPUT'!K25</f>
        <v>123.26795656948003</v>
      </c>
      <c r="L20" s="483"/>
      <c r="M20" s="479">
        <f>+'FCSTG INPUT'!M25</f>
        <v>741.36189227102693</v>
      </c>
      <c r="N20" s="480">
        <f>+'FCSTG INPUT'!N25</f>
        <v>384.29745314992772</v>
      </c>
      <c r="R20" s="531"/>
      <c r="S20" s="531"/>
      <c r="T20" s="531"/>
      <c r="U20" s="531"/>
      <c r="V20" s="531"/>
      <c r="W20" s="531"/>
      <c r="X20" s="531"/>
      <c r="Y20" s="531"/>
      <c r="Z20" s="531"/>
      <c r="AA20" s="531"/>
      <c r="AB20" s="531"/>
      <c r="AC20" s="531"/>
      <c r="AD20" s="531"/>
      <c r="AE20" s="531"/>
      <c r="AJ20" s="167">
        <f t="shared" si="1"/>
        <v>373.05365312426932</v>
      </c>
    </row>
    <row r="21" spans="1:36" x14ac:dyDescent="0.2">
      <c r="A21" s="342">
        <f t="shared" si="3"/>
        <v>2022</v>
      </c>
      <c r="B21" s="478">
        <f>+'FCSTG INPUT'!B26</f>
        <v>661.72086364628012</v>
      </c>
      <c r="C21" s="479">
        <f>+'FCSTG INPUT'!C26</f>
        <v>342.5690603088571</v>
      </c>
      <c r="D21" s="479">
        <f>+'FCSTG INPUT'!D26</f>
        <v>36.655798705344822</v>
      </c>
      <c r="E21" s="480">
        <f>+'FCSTG INPUT'!E26</f>
        <v>1040.945722660482</v>
      </c>
      <c r="F21" s="481"/>
      <c r="G21" s="479">
        <f>+'FCSTG INPUT'!G26</f>
        <v>616.69192577252625</v>
      </c>
      <c r="H21" s="479">
        <f>+'FCSTG INPUT'!H26</f>
        <v>266.93644236644769</v>
      </c>
      <c r="I21" s="482"/>
      <c r="J21" s="478">
        <f>+'FCSTG INPUT'!J26</f>
        <v>134.35668623815715</v>
      </c>
      <c r="K21" s="480">
        <f>+'FCSTG INPUT'!K26</f>
        <v>126.39797556948004</v>
      </c>
      <c r="L21" s="483"/>
      <c r="M21" s="479">
        <f>+'FCSTG INPUT'!M26</f>
        <v>751.04861201068343</v>
      </c>
      <c r="N21" s="480">
        <f>+'FCSTG INPUT'!N26</f>
        <v>393.33441793592772</v>
      </c>
      <c r="R21" s="379"/>
      <c r="AJ21" s="167">
        <f t="shared" si="1"/>
        <v>379.22485901420191</v>
      </c>
    </row>
    <row r="22" spans="1:36" x14ac:dyDescent="0.2">
      <c r="A22" s="342">
        <f t="shared" si="3"/>
        <v>2023</v>
      </c>
      <c r="B22" s="478">
        <f>+'FCSTG INPUT'!B27</f>
        <v>674.28630479828007</v>
      </c>
      <c r="C22" s="479">
        <f>+'FCSTG INPUT'!C27</f>
        <v>348.1577036519966</v>
      </c>
      <c r="D22" s="479">
        <f>+'FCSTG INPUT'!D27</f>
        <v>37.24516401013809</v>
      </c>
      <c r="E22" s="480">
        <f>+'FCSTG INPUT'!E27</f>
        <v>1059.6891724604147</v>
      </c>
      <c r="F22" s="481"/>
      <c r="G22" s="479">
        <f>+'FCSTG INPUT'!G27</f>
        <v>621.47070376652619</v>
      </c>
      <c r="H22" s="479">
        <f>+'FCSTG INPUT'!H27</f>
        <v>272.82740032244772</v>
      </c>
      <c r="I22" s="482"/>
      <c r="J22" s="478">
        <f>+'FCSTG INPUT'!J27</f>
        <v>139.19457430381374</v>
      </c>
      <c r="K22" s="480">
        <f>+'FCSTG INPUT'!K27</f>
        <v>129.52799456948006</v>
      </c>
      <c r="L22" s="483"/>
      <c r="M22" s="479">
        <f>+'FCSTG INPUT'!M27</f>
        <v>760.66527807033992</v>
      </c>
      <c r="N22" s="480">
        <f>+'FCSTG INPUT'!N27</f>
        <v>402.35539489192774</v>
      </c>
      <c r="AJ22" s="167">
        <f t="shared" si="1"/>
        <v>385.40286766213467</v>
      </c>
    </row>
    <row r="23" spans="1:36" x14ac:dyDescent="0.2">
      <c r="A23" s="342">
        <f t="shared" si="3"/>
        <v>2024</v>
      </c>
      <c r="B23" s="478">
        <f>+'FCSTG INPUT'!B28</f>
        <v>686.81256835028012</v>
      </c>
      <c r="C23" s="479">
        <f>+'FCSTG INPUT'!C28</f>
        <v>353.74634699513592</v>
      </c>
      <c r="D23" s="479">
        <f>+'FCSTG INPUT'!D28</f>
        <v>37.834529314931352</v>
      </c>
      <c r="E23" s="480">
        <f>+'FCSTG INPUT'!E28</f>
        <v>1078.3934446603475</v>
      </c>
      <c r="F23" s="481"/>
      <c r="G23" s="479">
        <f>+'FCSTG INPUT'!G28</f>
        <v>626.21375086052626</v>
      </c>
      <c r="H23" s="479">
        <f>+'FCSTG INPUT'!H28</f>
        <v>278.70741367844772</v>
      </c>
      <c r="I23" s="482"/>
      <c r="J23" s="478">
        <f>+'FCSTG INPUT'!J28</f>
        <v>144.0324623694703</v>
      </c>
      <c r="K23" s="480">
        <f>+'FCSTG INPUT'!K28</f>
        <v>132.65801356948003</v>
      </c>
      <c r="L23" s="483"/>
      <c r="M23" s="479">
        <f>+'FCSTG INPUT'!M28</f>
        <v>770.24621322999656</v>
      </c>
      <c r="N23" s="480">
        <f>+'FCSTG INPUT'!N28</f>
        <v>411.36542724792776</v>
      </c>
      <c r="AJ23" s="167">
        <f t="shared" si="1"/>
        <v>391.58087631006725</v>
      </c>
    </row>
    <row r="24" spans="1:36" ht="13.5" thickBot="1" x14ac:dyDescent="0.25">
      <c r="A24" s="342">
        <f t="shared" si="3"/>
        <v>2025</v>
      </c>
      <c r="B24" s="478">
        <f>+'FCSTG INPUT'!B29</f>
        <v>699.3192431022801</v>
      </c>
      <c r="C24" s="479">
        <f>+'FCSTG INPUT'!C29</f>
        <v>359.33499033827536</v>
      </c>
      <c r="D24" s="479">
        <f>+'FCSTG INPUT'!D29</f>
        <v>38.423894619724621</v>
      </c>
      <c r="E24" s="480">
        <f>+'FCSTG INPUT'!E29</f>
        <v>1097.0781280602801</v>
      </c>
      <c r="F24" s="481"/>
      <c r="G24" s="479">
        <f>+'FCSTG INPUT'!G29</f>
        <v>630.92106705452602</v>
      </c>
      <c r="H24" s="479">
        <f>+'FCSTG INPUT'!H29</f>
        <v>284.58195473444772</v>
      </c>
      <c r="I24" s="482"/>
      <c r="J24" s="478">
        <f>+'FCSTG INPUT'!J29</f>
        <v>148.87035043512685</v>
      </c>
      <c r="K24" s="480">
        <f>+'FCSTG INPUT'!K29</f>
        <v>135.78803256948007</v>
      </c>
      <c r="L24" s="483"/>
      <c r="M24" s="479">
        <f>+'FCSTG INPUT'!M29</f>
        <v>779.79141748965287</v>
      </c>
      <c r="N24" s="480">
        <f>+'FCSTG INPUT'!N29</f>
        <v>420.36998730392781</v>
      </c>
      <c r="AJ24" s="167">
        <f t="shared" si="1"/>
        <v>397.75888495799995</v>
      </c>
    </row>
    <row r="25" spans="1:36" ht="13.5" thickBot="1" x14ac:dyDescent="0.25">
      <c r="A25" s="813">
        <f t="shared" si="3"/>
        <v>2026</v>
      </c>
      <c r="B25" s="513">
        <f>+'FCSTG INPUT'!B30</f>
        <v>711.82591785428008</v>
      </c>
      <c r="C25" s="514">
        <f>+'FCSTG INPUT'!C30</f>
        <v>364.88559977861468</v>
      </c>
      <c r="D25" s="514">
        <f>+'FCSTG INPUT'!D30</f>
        <v>39.009033935317888</v>
      </c>
      <c r="E25" s="515">
        <f>+'FCSTG INPUT'!E30</f>
        <v>1115.7205515682126</v>
      </c>
      <c r="F25" s="516"/>
      <c r="G25" s="514">
        <f>+'FCSTG INPUT'!G30</f>
        <v>635.62838324852612</v>
      </c>
      <c r="H25" s="514">
        <f>+'FCSTG INPUT'!H30</f>
        <v>290.45649579044778</v>
      </c>
      <c r="I25" s="517"/>
      <c r="J25" s="513">
        <f>+'FCSTG INPUT'!J30</f>
        <v>153.70823850078341</v>
      </c>
      <c r="K25" s="515">
        <f>+'FCSTG INPUT'!K30</f>
        <v>138.91805156948004</v>
      </c>
      <c r="L25" s="518"/>
      <c r="M25" s="514">
        <f>+'FCSTG INPUT'!M30</f>
        <v>789.33662174930953</v>
      </c>
      <c r="N25" s="515">
        <f>+'FCSTG INPUT'!N30</f>
        <v>429.37454735992782</v>
      </c>
      <c r="AJ25" s="167">
        <f t="shared" si="1"/>
        <v>403.89463371393254</v>
      </c>
    </row>
    <row r="26" spans="1:36" x14ac:dyDescent="0.2">
      <c r="A26" s="342">
        <f>+A25+1</f>
        <v>2027</v>
      </c>
      <c r="B26" s="478">
        <f>+'FCSTG INPUT'!B31</f>
        <v>724.33259260627995</v>
      </c>
      <c r="C26" s="479">
        <f>+'FCSTG INPUT'!C31</f>
        <v>370.47424312175417</v>
      </c>
      <c r="D26" s="479">
        <f>+'FCSTG INPUT'!D31</f>
        <v>39.598399240111156</v>
      </c>
      <c r="E26" s="480">
        <f>+'FCSTG INPUT'!E31</f>
        <v>1134.4052349681451</v>
      </c>
      <c r="F26" s="481"/>
      <c r="G26" s="479">
        <f>+'FCSTG INPUT'!G31</f>
        <v>640.33569944252611</v>
      </c>
      <c r="H26" s="479">
        <f>+'FCSTG INPUT'!H31</f>
        <v>296.33103684644766</v>
      </c>
      <c r="I26" s="482"/>
      <c r="J26" s="478">
        <f>+'FCSTG INPUT'!J31</f>
        <v>158.54612656643997</v>
      </c>
      <c r="K26" s="480">
        <f>+'FCSTG INPUT'!K31</f>
        <v>142.04807056948005</v>
      </c>
      <c r="L26" s="483"/>
      <c r="M26" s="479">
        <f>+'FCSTG INPUT'!M31</f>
        <v>798.88182600896607</v>
      </c>
      <c r="N26" s="480">
        <f>+'FCSTG INPUT'!N31</f>
        <v>438.37910741592771</v>
      </c>
      <c r="AJ26" s="167">
        <f t="shared" si="1"/>
        <v>410.07264236186535</v>
      </c>
    </row>
    <row r="27" spans="1:36" x14ac:dyDescent="0.2">
      <c r="A27" s="342">
        <f t="shared" si="3"/>
        <v>2028</v>
      </c>
      <c r="B27" s="478">
        <f>+'FCSTG INPUT'!B32</f>
        <v>736.83926735827981</v>
      </c>
      <c r="C27" s="479">
        <f>+'FCSTG INPUT'!C32</f>
        <v>376.0628864648935</v>
      </c>
      <c r="D27" s="479">
        <f>+'FCSTG INPUT'!D32</f>
        <v>40.187764544904425</v>
      </c>
      <c r="E27" s="480">
        <f>+'FCSTG INPUT'!E32</f>
        <v>1153.0899183680776</v>
      </c>
      <c r="F27" s="481"/>
      <c r="G27" s="479">
        <f>+'FCSTG INPUT'!G32</f>
        <v>645.04301563652598</v>
      </c>
      <c r="H27" s="479">
        <f>+'FCSTG INPUT'!H32</f>
        <v>302.20557790244766</v>
      </c>
      <c r="I27" s="482"/>
      <c r="J27" s="478">
        <f>+'FCSTG INPUT'!J32</f>
        <v>163.38401463209652</v>
      </c>
      <c r="K27" s="480">
        <f>+'FCSTG INPUT'!K32</f>
        <v>145.17808956948005</v>
      </c>
      <c r="L27" s="483"/>
      <c r="M27" s="479">
        <f>+'FCSTG INPUT'!M32</f>
        <v>808.4270302686225</v>
      </c>
      <c r="N27" s="480">
        <f>+'FCSTG INPUT'!N32</f>
        <v>447.38366747192771</v>
      </c>
      <c r="AJ27" s="167">
        <f t="shared" si="1"/>
        <v>416.25065100979793</v>
      </c>
    </row>
    <row r="28" spans="1:36" x14ac:dyDescent="0.2">
      <c r="A28" s="342">
        <f t="shared" si="3"/>
        <v>2029</v>
      </c>
      <c r="B28" s="478">
        <f>+'FCSTG INPUT'!B33</f>
        <v>749.34594211028025</v>
      </c>
      <c r="C28" s="479">
        <f>+'FCSTG INPUT'!C33</f>
        <v>381.65152980803288</v>
      </c>
      <c r="D28" s="479">
        <f>+'FCSTG INPUT'!D33</f>
        <v>40.777129849697687</v>
      </c>
      <c r="E28" s="480">
        <f>+'FCSTG INPUT'!E33</f>
        <v>1171.7746017680108</v>
      </c>
      <c r="F28" s="481"/>
      <c r="G28" s="479">
        <f>+'FCSTG INPUT'!G33</f>
        <v>649.75033183052608</v>
      </c>
      <c r="H28" s="479">
        <f>+'FCSTG INPUT'!H33</f>
        <v>308.08011895844771</v>
      </c>
      <c r="I28" s="482"/>
      <c r="J28" s="478">
        <f>+'FCSTG INPUT'!J33</f>
        <v>168.22190269775308</v>
      </c>
      <c r="K28" s="480">
        <f>+'FCSTG INPUT'!K33</f>
        <v>148.30810856948005</v>
      </c>
      <c r="L28" s="483"/>
      <c r="M28" s="479">
        <f>+'FCSTG INPUT'!M33</f>
        <v>817.97223452827916</v>
      </c>
      <c r="N28" s="480">
        <f>+'FCSTG INPUT'!N33</f>
        <v>456.38822752792777</v>
      </c>
      <c r="AJ28" s="167">
        <f t="shared" si="1"/>
        <v>422.42865965773058</v>
      </c>
    </row>
    <row r="29" spans="1:36" ht="13.5" customHeight="1" x14ac:dyDescent="0.2">
      <c r="A29" s="343">
        <f t="shared" si="3"/>
        <v>2030</v>
      </c>
      <c r="B29" s="484">
        <f>+'FCSTG INPUT'!B34</f>
        <v>761.85261686228012</v>
      </c>
      <c r="C29" s="485">
        <f>+'FCSTG INPUT'!C34</f>
        <v>387.24017315117226</v>
      </c>
      <c r="D29" s="485">
        <f>+'FCSTG INPUT'!D34</f>
        <v>41.366495154490948</v>
      </c>
      <c r="E29" s="486">
        <f>+'FCSTG INPUT'!E34</f>
        <v>1190.4592851679433</v>
      </c>
      <c r="F29" s="487"/>
      <c r="G29" s="485">
        <f>+'FCSTG INPUT'!G34</f>
        <v>654.45764802452607</v>
      </c>
      <c r="H29" s="485">
        <f>+'FCSTG INPUT'!H34</f>
        <v>313.95466001444777</v>
      </c>
      <c r="I29" s="488"/>
      <c r="J29" s="484">
        <f>+'FCSTG INPUT'!J34</f>
        <v>173.05979076340967</v>
      </c>
      <c r="K29" s="486">
        <f>+'FCSTG INPUT'!K34</f>
        <v>151.43812756948006</v>
      </c>
      <c r="L29" s="489"/>
      <c r="M29" s="485">
        <f>+'FCSTG INPUT'!M34</f>
        <v>827.5174387879357</v>
      </c>
      <c r="N29" s="486">
        <f>+'FCSTG INPUT'!N34</f>
        <v>465.39278758392783</v>
      </c>
      <c r="AJ29" s="167">
        <f t="shared" si="1"/>
        <v>428.60666830566322</v>
      </c>
    </row>
    <row r="30" spans="1:36" x14ac:dyDescent="0.2">
      <c r="A30" s="306"/>
      <c r="B30" s="479"/>
      <c r="C30" s="479"/>
      <c r="D30" s="479"/>
      <c r="E30" s="479"/>
      <c r="F30" s="575"/>
      <c r="G30" s="479"/>
      <c r="H30" s="479"/>
      <c r="I30" s="482"/>
      <c r="J30" s="479"/>
      <c r="K30" s="479"/>
      <c r="L30" s="482"/>
      <c r="M30" s="479"/>
      <c r="N30" s="479"/>
      <c r="S30" s="303"/>
      <c r="T30" s="303"/>
    </row>
    <row r="31" spans="1:36" x14ac:dyDescent="0.2">
      <c r="S31" s="305"/>
      <c r="T31" s="305"/>
      <c r="V31" s="167"/>
      <c r="W31" s="167"/>
    </row>
    <row r="32" spans="1:36" ht="20.25" x14ac:dyDescent="0.3">
      <c r="A32" s="1451" t="s">
        <v>401</v>
      </c>
      <c r="B32" s="1452"/>
      <c r="C32" s="1452"/>
      <c r="D32" s="1452"/>
      <c r="E32" s="1452"/>
      <c r="F32" s="1452"/>
      <c r="G32" s="1452"/>
      <c r="H32" s="1452"/>
      <c r="I32" s="1452"/>
      <c r="J32" s="1452"/>
      <c r="K32" s="1452"/>
      <c r="L32" s="1452"/>
      <c r="M32" s="1452"/>
      <c r="N32" s="1453"/>
      <c r="S32" s="305"/>
      <c r="T32" s="305"/>
      <c r="V32" s="167"/>
      <c r="W32" s="167"/>
    </row>
    <row r="33" spans="1:36" ht="27.75" customHeight="1" x14ac:dyDescent="0.2">
      <c r="A33" s="344"/>
      <c r="B33" s="1454" t="s">
        <v>403</v>
      </c>
      <c r="C33" s="1455"/>
      <c r="D33" s="1455"/>
      <c r="E33" s="1456"/>
      <c r="F33" s="345"/>
      <c r="G33" s="1455" t="s">
        <v>164</v>
      </c>
      <c r="H33" s="1455"/>
      <c r="I33" s="346"/>
      <c r="J33" s="1454" t="s">
        <v>165</v>
      </c>
      <c r="K33" s="1456"/>
      <c r="L33" s="347"/>
      <c r="M33" s="1455" t="s">
        <v>404</v>
      </c>
      <c r="N33" s="1456"/>
      <c r="S33" s="305"/>
      <c r="T33" s="305"/>
      <c r="V33" s="167"/>
      <c r="W33" s="167"/>
    </row>
    <row r="34" spans="1:36" ht="38.25" x14ac:dyDescent="0.2">
      <c r="A34" s="340" t="s">
        <v>0</v>
      </c>
      <c r="B34" s="349" t="s">
        <v>166</v>
      </c>
      <c r="C34" s="350" t="s">
        <v>80</v>
      </c>
      <c r="D34" s="350" t="s">
        <v>81</v>
      </c>
      <c r="E34" s="351" t="s">
        <v>187</v>
      </c>
      <c r="F34" s="349"/>
      <c r="G34" s="350" t="s">
        <v>167</v>
      </c>
      <c r="H34" s="350" t="s">
        <v>168</v>
      </c>
      <c r="I34" s="352"/>
      <c r="J34" s="349" t="s">
        <v>167</v>
      </c>
      <c r="K34" s="351" t="s">
        <v>168</v>
      </c>
      <c r="L34" s="353"/>
      <c r="M34" s="350" t="s">
        <v>167</v>
      </c>
      <c r="N34" s="351" t="s">
        <v>168</v>
      </c>
      <c r="S34" s="305"/>
      <c r="T34" s="305"/>
      <c r="V34" s="167"/>
      <c r="W34" s="167"/>
      <c r="AJ34" s="681" t="s">
        <v>274</v>
      </c>
    </row>
    <row r="35" spans="1:36" x14ac:dyDescent="0.2">
      <c r="A35" s="341">
        <v>2006</v>
      </c>
      <c r="B35" s="478">
        <v>412.03406345044323</v>
      </c>
      <c r="C35" s="479">
        <v>173.53360967378711</v>
      </c>
      <c r="D35" s="479">
        <v>18.968755807737509</v>
      </c>
      <c r="E35" s="480">
        <v>604.53642893196786</v>
      </c>
      <c r="F35" s="481"/>
      <c r="G35" s="479">
        <v>497.34361354459668</v>
      </c>
      <c r="H35" s="479">
        <v>127.57029957076068</v>
      </c>
      <c r="I35" s="482"/>
      <c r="J35" s="478">
        <v>146.45200000000003</v>
      </c>
      <c r="K35" s="480">
        <v>94.897316750000016</v>
      </c>
      <c r="L35" s="483"/>
      <c r="M35" s="479">
        <v>643.79561354459668</v>
      </c>
      <c r="N35" s="480">
        <v>222.4676163207607</v>
      </c>
      <c r="S35" s="305"/>
      <c r="T35" s="305"/>
      <c r="V35" s="167"/>
      <c r="W35" s="167"/>
      <c r="AJ35" s="167">
        <f>+C35+D35</f>
        <v>192.50236548152463</v>
      </c>
    </row>
    <row r="36" spans="1:36" x14ac:dyDescent="0.2">
      <c r="A36" s="342">
        <v>2007</v>
      </c>
      <c r="B36" s="478">
        <v>420.61748659044326</v>
      </c>
      <c r="C36" s="479">
        <v>182.71635102348708</v>
      </c>
      <c r="D36" s="479">
        <v>19.901668661704175</v>
      </c>
      <c r="E36" s="480">
        <v>623.23550627563452</v>
      </c>
      <c r="F36" s="481"/>
      <c r="G36" s="479">
        <v>502.66284023459662</v>
      </c>
      <c r="H36" s="479">
        <v>133.71267099076067</v>
      </c>
      <c r="I36" s="482"/>
      <c r="J36" s="478">
        <v>114.15170000000001</v>
      </c>
      <c r="K36" s="480">
        <v>87.527057500000012</v>
      </c>
      <c r="L36" s="483"/>
      <c r="M36" s="479">
        <v>616.81454023459662</v>
      </c>
      <c r="N36" s="480">
        <v>221.23972849076068</v>
      </c>
      <c r="S36" s="305"/>
      <c r="T36" s="305"/>
      <c r="V36" s="167"/>
      <c r="W36" s="167"/>
      <c r="AJ36" s="167">
        <f t="shared" ref="AJ36:AJ59" si="10">+C36+D36</f>
        <v>202.61801968519126</v>
      </c>
    </row>
    <row r="37" spans="1:36" x14ac:dyDescent="0.2">
      <c r="A37" s="342">
        <v>2008</v>
      </c>
      <c r="B37" s="478">
        <v>430.65923218306881</v>
      </c>
      <c r="C37" s="479">
        <v>196.8879446074271</v>
      </c>
      <c r="D37" s="479">
        <v>21.42589974703084</v>
      </c>
      <c r="E37" s="480">
        <v>648.97307653752671</v>
      </c>
      <c r="F37" s="481"/>
      <c r="G37" s="479">
        <v>507.8611413410149</v>
      </c>
      <c r="H37" s="479">
        <v>139.94628613717884</v>
      </c>
      <c r="I37" s="482"/>
      <c r="J37" s="478">
        <v>190.94729512500001</v>
      </c>
      <c r="K37" s="480">
        <v>124.22911914597043</v>
      </c>
      <c r="L37" s="483"/>
      <c r="M37" s="479">
        <v>698.80843646601488</v>
      </c>
      <c r="N37" s="480">
        <v>264.1754052831493</v>
      </c>
      <c r="S37" s="305"/>
      <c r="T37" s="305"/>
      <c r="V37" s="167"/>
      <c r="W37" s="167"/>
      <c r="AJ37" s="167">
        <f t="shared" si="10"/>
        <v>218.31384435445796</v>
      </c>
    </row>
    <row r="38" spans="1:36" x14ac:dyDescent="0.2">
      <c r="A38" s="342">
        <v>2009</v>
      </c>
      <c r="B38" s="478">
        <v>443.57724002390904</v>
      </c>
      <c r="C38" s="479">
        <v>215.92261346402648</v>
      </c>
      <c r="D38" s="479">
        <v>23.42526569661549</v>
      </c>
      <c r="E38" s="480">
        <v>682.92511918455102</v>
      </c>
      <c r="F38" s="481"/>
      <c r="G38" s="479">
        <v>514.00197824676286</v>
      </c>
      <c r="H38" s="479">
        <v>148.60203992337759</v>
      </c>
      <c r="I38" s="482"/>
      <c r="J38" s="478">
        <v>160.69956241912757</v>
      </c>
      <c r="K38" s="480">
        <v>134.23170097746103</v>
      </c>
      <c r="L38" s="483"/>
      <c r="M38" s="479">
        <v>674.70154066589043</v>
      </c>
      <c r="N38" s="480">
        <v>282.83374090083862</v>
      </c>
      <c r="S38" s="305"/>
      <c r="T38" s="305"/>
      <c r="V38" s="167"/>
      <c r="W38" s="167"/>
      <c r="AJ38" s="167">
        <f t="shared" si="10"/>
        <v>239.34787916064198</v>
      </c>
    </row>
    <row r="39" spans="1:36" x14ac:dyDescent="0.2">
      <c r="A39" s="342">
        <v>2010</v>
      </c>
      <c r="B39" s="478">
        <v>458.240093353909</v>
      </c>
      <c r="C39" s="479">
        <v>227.64765147392654</v>
      </c>
      <c r="D39" s="479">
        <v>24.617394299048833</v>
      </c>
      <c r="E39" s="480">
        <v>710.50513912688439</v>
      </c>
      <c r="F39" s="481"/>
      <c r="G39" s="479">
        <v>524.38564726276286</v>
      </c>
      <c r="H39" s="479">
        <v>158.41719807137758</v>
      </c>
      <c r="I39" s="482"/>
      <c r="J39" s="478">
        <v>188.64699768513549</v>
      </c>
      <c r="K39" s="480">
        <v>129.4777189143021</v>
      </c>
      <c r="L39" s="483"/>
      <c r="M39" s="479">
        <v>713.03264494789835</v>
      </c>
      <c r="N39" s="480">
        <v>287.89491698567969</v>
      </c>
      <c r="S39" s="305"/>
      <c r="T39" s="305"/>
      <c r="V39" s="167"/>
      <c r="W39" s="167"/>
      <c r="AJ39" s="167">
        <f t="shared" si="10"/>
        <v>252.26504577297538</v>
      </c>
    </row>
    <row r="40" spans="1:36" x14ac:dyDescent="0.2">
      <c r="A40" s="342">
        <v>2011</v>
      </c>
      <c r="B40" s="478">
        <v>474.3381278539091</v>
      </c>
      <c r="C40" s="479">
        <v>240.93566346762648</v>
      </c>
      <c r="D40" s="479">
        <v>26.018024266348824</v>
      </c>
      <c r="E40" s="480">
        <v>741.29181558788434</v>
      </c>
      <c r="F40" s="481"/>
      <c r="G40" s="479">
        <v>533.34753707276286</v>
      </c>
      <c r="H40" s="479">
        <v>168.01794310137757</v>
      </c>
      <c r="I40" s="482"/>
      <c r="J40" s="478">
        <v>171.71433623228688</v>
      </c>
      <c r="K40" s="480">
        <v>131.3860288136074</v>
      </c>
      <c r="L40" s="483"/>
      <c r="M40" s="479">
        <v>705.06187330504974</v>
      </c>
      <c r="N40" s="480">
        <v>299.40397191498494</v>
      </c>
      <c r="S40" s="305"/>
      <c r="T40" s="305"/>
      <c r="V40" s="167"/>
      <c r="W40" s="167"/>
      <c r="AJ40" s="167">
        <f t="shared" si="10"/>
        <v>266.9536877339753</v>
      </c>
    </row>
    <row r="41" spans="1:36" x14ac:dyDescent="0.2">
      <c r="A41" s="342">
        <v>2012</v>
      </c>
      <c r="B41" s="478">
        <v>493.149727373909</v>
      </c>
      <c r="C41" s="479">
        <v>254.74016508742645</v>
      </c>
      <c r="D41" s="479">
        <v>27.518562108215487</v>
      </c>
      <c r="E41" s="480">
        <v>775.40845456955094</v>
      </c>
      <c r="F41" s="481"/>
      <c r="G41" s="479">
        <v>539.77656330276295</v>
      </c>
      <c r="H41" s="479">
        <v>179.34344138603279</v>
      </c>
      <c r="I41" s="482"/>
      <c r="J41" s="478">
        <v>179.1726759810725</v>
      </c>
      <c r="K41" s="480">
        <v>141.28642990766031</v>
      </c>
      <c r="L41" s="483"/>
      <c r="M41" s="479">
        <v>718.94923928383548</v>
      </c>
      <c r="N41" s="480">
        <v>320.6298712936931</v>
      </c>
      <c r="S41" s="305"/>
      <c r="T41" s="305"/>
      <c r="V41" s="167"/>
      <c r="W41" s="167"/>
      <c r="AJ41" s="167">
        <f t="shared" si="10"/>
        <v>282.25872719564194</v>
      </c>
    </row>
    <row r="42" spans="1:36" x14ac:dyDescent="0.2">
      <c r="A42" s="342">
        <v>2013</v>
      </c>
      <c r="B42" s="478">
        <v>513.42413408285427</v>
      </c>
      <c r="C42" s="479">
        <v>273.96178857347974</v>
      </c>
      <c r="D42" s="479">
        <v>29.61420889144015</v>
      </c>
      <c r="E42" s="480">
        <v>817.00013154777423</v>
      </c>
      <c r="F42" s="481"/>
      <c r="G42" s="479">
        <v>555.61456521251262</v>
      </c>
      <c r="H42" s="479">
        <v>195.31549665572354</v>
      </c>
      <c r="I42" s="482"/>
      <c r="J42" s="478">
        <v>168.13863611805101</v>
      </c>
      <c r="K42" s="480">
        <v>136.14877457584498</v>
      </c>
      <c r="L42" s="483"/>
      <c r="M42" s="479">
        <v>723.75320133056357</v>
      </c>
      <c r="N42" s="480">
        <v>331.46427123156855</v>
      </c>
      <c r="S42" s="305"/>
      <c r="T42" s="305"/>
      <c r="V42" s="167"/>
      <c r="W42" s="167"/>
      <c r="AJ42" s="167">
        <f t="shared" si="10"/>
        <v>303.57599746491991</v>
      </c>
    </row>
    <row r="43" spans="1:36" x14ac:dyDescent="0.2">
      <c r="A43" s="342">
        <v>2014</v>
      </c>
      <c r="B43" s="478">
        <v>546.68364060500437</v>
      </c>
      <c r="C43" s="479">
        <v>284.4799983390094</v>
      </c>
      <c r="D43" s="479">
        <v>30.731115451165678</v>
      </c>
      <c r="E43" s="480">
        <v>861.89475439517946</v>
      </c>
      <c r="F43" s="481"/>
      <c r="G43" s="479">
        <v>569.66278499847454</v>
      </c>
      <c r="H43" s="479">
        <v>210.6182069513431</v>
      </c>
      <c r="I43" s="482"/>
      <c r="J43" s="478">
        <v>170.88106933853697</v>
      </c>
      <c r="K43" s="480">
        <v>137.92677507038331</v>
      </c>
      <c r="L43" s="483"/>
      <c r="M43" s="479">
        <v>740.54385433701145</v>
      </c>
      <c r="N43" s="480">
        <v>348.54498202172641</v>
      </c>
      <c r="S43" s="305"/>
      <c r="T43" s="305"/>
      <c r="V43" s="167"/>
      <c r="W43" s="167"/>
      <c r="AJ43" s="167">
        <f t="shared" si="10"/>
        <v>315.21111379017509</v>
      </c>
    </row>
    <row r="44" spans="1:36" x14ac:dyDescent="0.2">
      <c r="A44" s="342">
        <v>2015</v>
      </c>
      <c r="B44" s="478">
        <v>568.45487131027994</v>
      </c>
      <c r="C44" s="479">
        <v>294.39200280688391</v>
      </c>
      <c r="D44" s="479">
        <v>31.503749388903351</v>
      </c>
      <c r="E44" s="480">
        <v>894.35062350606722</v>
      </c>
      <c r="F44" s="481"/>
      <c r="G44" s="479">
        <v>576.37179320252619</v>
      </c>
      <c r="H44" s="479">
        <v>223.56808009944771</v>
      </c>
      <c r="I44" s="482"/>
      <c r="J44" s="478">
        <v>156.90348299912685</v>
      </c>
      <c r="K44" s="480">
        <v>131.23281093017519</v>
      </c>
      <c r="L44" s="483"/>
      <c r="M44" s="479">
        <v>733.27527620165301</v>
      </c>
      <c r="N44" s="480">
        <v>354.8008910296229</v>
      </c>
      <c r="S44" s="305"/>
      <c r="T44" s="305"/>
      <c r="V44" s="167"/>
      <c r="W44" s="167"/>
      <c r="AJ44" s="167">
        <f t="shared" si="10"/>
        <v>325.89575219578728</v>
      </c>
    </row>
    <row r="45" spans="1:36" ht="13.5" thickBot="1" x14ac:dyDescent="0.25">
      <c r="A45" s="342">
        <v>2016</v>
      </c>
      <c r="B45" s="478">
        <v>586.27454553427992</v>
      </c>
      <c r="C45" s="479">
        <v>308.8249700925407</v>
      </c>
      <c r="D45" s="479">
        <v>33.054648659309656</v>
      </c>
      <c r="E45" s="480">
        <v>928.15416428613037</v>
      </c>
      <c r="F45" s="481"/>
      <c r="G45" s="479">
        <v>587.19920747752622</v>
      </c>
      <c r="H45" s="479">
        <v>231.99262002944772</v>
      </c>
      <c r="I45" s="482"/>
      <c r="J45" s="478">
        <v>132.32827885913446</v>
      </c>
      <c r="K45" s="480">
        <v>111.12505731858012</v>
      </c>
      <c r="L45" s="483"/>
      <c r="M45" s="479">
        <v>719.52748633666067</v>
      </c>
      <c r="N45" s="480">
        <v>343.11767734802783</v>
      </c>
      <c r="S45" s="305"/>
      <c r="T45" s="305"/>
      <c r="V45" s="167"/>
      <c r="W45" s="167"/>
      <c r="AJ45" s="167">
        <f t="shared" si="10"/>
        <v>341.87961875185033</v>
      </c>
    </row>
    <row r="46" spans="1:36" ht="13.5" thickBot="1" x14ac:dyDescent="0.25">
      <c r="A46" s="813">
        <v>2017</v>
      </c>
      <c r="B46" s="513">
        <v>597.16796908627987</v>
      </c>
      <c r="C46" s="514">
        <v>317.43985039288009</v>
      </c>
      <c r="D46" s="514">
        <v>33.980262514902925</v>
      </c>
      <c r="E46" s="515">
        <v>948.58808199406292</v>
      </c>
      <c r="F46" s="516"/>
      <c r="G46" s="514">
        <v>591.60203433152651</v>
      </c>
      <c r="H46" s="514">
        <v>237.61872611044774</v>
      </c>
      <c r="I46" s="517"/>
      <c r="J46" s="513">
        <v>115.06654011815716</v>
      </c>
      <c r="K46" s="515">
        <v>113.91598231858015</v>
      </c>
      <c r="L46" s="518"/>
      <c r="M46" s="514">
        <v>706.66857444968366</v>
      </c>
      <c r="N46" s="515">
        <v>351.53470842902789</v>
      </c>
      <c r="S46" s="305"/>
      <c r="T46" s="305"/>
      <c r="V46" s="167"/>
      <c r="W46" s="167"/>
      <c r="AJ46" s="167">
        <f t="shared" si="10"/>
        <v>351.42011290778299</v>
      </c>
    </row>
    <row r="47" spans="1:36" x14ac:dyDescent="0.2">
      <c r="A47" s="342">
        <v>2018</v>
      </c>
      <c r="B47" s="478">
        <v>608.75785103827991</v>
      </c>
      <c r="C47" s="479">
        <v>326.08818350421956</v>
      </c>
      <c r="D47" s="479">
        <v>34.909593349496198</v>
      </c>
      <c r="E47" s="480">
        <v>969.75562789199557</v>
      </c>
      <c r="F47" s="481"/>
      <c r="G47" s="479">
        <v>596.19701651552634</v>
      </c>
      <c r="H47" s="479">
        <v>243.68249111144766</v>
      </c>
      <c r="I47" s="482"/>
      <c r="J47" s="478">
        <v>119.06373268381373</v>
      </c>
      <c r="K47" s="480">
        <v>116.70690731858015</v>
      </c>
      <c r="L47" s="483"/>
      <c r="M47" s="479">
        <v>715.26074919934013</v>
      </c>
      <c r="N47" s="480">
        <v>360.38939843002782</v>
      </c>
      <c r="S47" s="305"/>
      <c r="T47" s="305"/>
      <c r="V47" s="167"/>
      <c r="W47" s="167"/>
      <c r="AJ47" s="167">
        <f t="shared" si="10"/>
        <v>360.99777685371578</v>
      </c>
    </row>
    <row r="48" spans="1:36" x14ac:dyDescent="0.2">
      <c r="A48" s="342">
        <v>2019</v>
      </c>
      <c r="B48" s="478">
        <v>621.04242787027988</v>
      </c>
      <c r="C48" s="479">
        <v>335.46443349795885</v>
      </c>
      <c r="D48" s="479">
        <v>35.919803837689464</v>
      </c>
      <c r="E48" s="480">
        <v>992.4266652059282</v>
      </c>
      <c r="F48" s="481"/>
      <c r="G48" s="479">
        <v>600.95721923952635</v>
      </c>
      <c r="H48" s="479">
        <v>250.26078033244769</v>
      </c>
      <c r="I48" s="482"/>
      <c r="J48" s="478">
        <v>123.0609252494703</v>
      </c>
      <c r="K48" s="480">
        <v>119.76769181858015</v>
      </c>
      <c r="L48" s="483"/>
      <c r="M48" s="479">
        <v>724.01814448899665</v>
      </c>
      <c r="N48" s="480">
        <v>370.02847215102781</v>
      </c>
      <c r="S48" s="305"/>
      <c r="T48" s="305"/>
      <c r="V48" s="167"/>
      <c r="W48" s="167"/>
      <c r="AJ48" s="167">
        <f t="shared" si="10"/>
        <v>371.38423733564832</v>
      </c>
    </row>
    <row r="49" spans="1:36" x14ac:dyDescent="0.2">
      <c r="A49" s="342">
        <v>2020</v>
      </c>
      <c r="B49" s="478">
        <v>633.70581302227993</v>
      </c>
      <c r="C49" s="479">
        <v>346.35233158989826</v>
      </c>
      <c r="D49" s="479">
        <v>37.097975225682724</v>
      </c>
      <c r="E49" s="480">
        <v>1017.156119837861</v>
      </c>
      <c r="F49" s="481"/>
      <c r="G49" s="479">
        <v>606.22024791352646</v>
      </c>
      <c r="H49" s="479">
        <v>257.1924732484477</v>
      </c>
      <c r="I49" s="482"/>
      <c r="J49" s="478">
        <v>127.89881331512686</v>
      </c>
      <c r="K49" s="480">
        <v>123.09833581858015</v>
      </c>
      <c r="L49" s="483"/>
      <c r="M49" s="479">
        <v>734.11906122865332</v>
      </c>
      <c r="N49" s="480">
        <v>380.29080906702785</v>
      </c>
      <c r="S49" s="305"/>
      <c r="T49" s="305"/>
      <c r="V49" s="167"/>
      <c r="W49" s="167"/>
      <c r="AJ49" s="167">
        <f t="shared" si="10"/>
        <v>383.45030681558097</v>
      </c>
    </row>
    <row r="50" spans="1:36" x14ac:dyDescent="0.2">
      <c r="A50" s="342">
        <v>2021</v>
      </c>
      <c r="B50" s="478">
        <v>646.36919817428009</v>
      </c>
      <c r="C50" s="479">
        <v>358.04218111683775</v>
      </c>
      <c r="D50" s="479">
        <v>38.365252328676</v>
      </c>
      <c r="E50" s="480">
        <v>1042.7766316197938</v>
      </c>
      <c r="F50" s="481"/>
      <c r="G50" s="479">
        <v>611.76559608752632</v>
      </c>
      <c r="H50" s="479">
        <v>264.22426466444767</v>
      </c>
      <c r="I50" s="482"/>
      <c r="J50" s="478">
        <v>132.73670138078342</v>
      </c>
      <c r="K50" s="480">
        <v>126.42897981858016</v>
      </c>
      <c r="L50" s="483"/>
      <c r="M50" s="479">
        <v>744.50229746830973</v>
      </c>
      <c r="N50" s="480">
        <v>390.65324448302783</v>
      </c>
      <c r="S50" s="305"/>
      <c r="T50" s="305"/>
      <c r="V50" s="167"/>
      <c r="W50" s="167"/>
      <c r="AJ50" s="167">
        <f t="shared" si="10"/>
        <v>396.40743344551373</v>
      </c>
    </row>
    <row r="51" spans="1:36" x14ac:dyDescent="0.2">
      <c r="A51" s="342">
        <v>2022</v>
      </c>
      <c r="B51" s="478">
        <v>658.99340572628012</v>
      </c>
      <c r="C51" s="479">
        <v>369.73815312597714</v>
      </c>
      <c r="D51" s="479">
        <v>39.633209707469263</v>
      </c>
      <c r="E51" s="480">
        <v>1068.3647685597264</v>
      </c>
      <c r="F51" s="481"/>
      <c r="G51" s="479">
        <v>617.31094426152606</v>
      </c>
      <c r="H51" s="479">
        <v>271.24554055044769</v>
      </c>
      <c r="I51" s="482"/>
      <c r="J51" s="478">
        <v>137.57458944644</v>
      </c>
      <c r="K51" s="480">
        <v>129.75962381858014</v>
      </c>
      <c r="L51" s="483"/>
      <c r="M51" s="479">
        <v>754.88553370796603</v>
      </c>
      <c r="N51" s="480">
        <v>401.00516436902785</v>
      </c>
      <c r="S51" s="305"/>
      <c r="T51" s="305"/>
      <c r="V51" s="167"/>
      <c r="W51" s="167"/>
      <c r="AJ51" s="167">
        <f t="shared" si="10"/>
        <v>409.37136283344637</v>
      </c>
    </row>
    <row r="52" spans="1:36" x14ac:dyDescent="0.2">
      <c r="A52" s="342">
        <v>2023</v>
      </c>
      <c r="B52" s="478">
        <v>671.55884687827995</v>
      </c>
      <c r="C52" s="479">
        <v>381.44024761731646</v>
      </c>
      <c r="D52" s="479">
        <v>40.901847362062533</v>
      </c>
      <c r="E52" s="480">
        <v>1093.9009418576588</v>
      </c>
      <c r="F52" s="481"/>
      <c r="G52" s="479">
        <v>622.78623875552603</v>
      </c>
      <c r="H52" s="479">
        <v>278.25082860644773</v>
      </c>
      <c r="I52" s="482"/>
      <c r="J52" s="478">
        <v>142.41247751209656</v>
      </c>
      <c r="K52" s="480">
        <v>133.09026781858014</v>
      </c>
      <c r="L52" s="483"/>
      <c r="M52" s="479">
        <v>765.19871626762256</v>
      </c>
      <c r="N52" s="480">
        <v>411.3410964250279</v>
      </c>
      <c r="S52" s="305"/>
      <c r="T52" s="305"/>
      <c r="U52" s="167"/>
      <c r="V52" s="167"/>
      <c r="W52" s="167"/>
      <c r="X52" s="167"/>
      <c r="AJ52" s="167">
        <f t="shared" si="10"/>
        <v>422.342094979379</v>
      </c>
    </row>
    <row r="53" spans="1:36" x14ac:dyDescent="0.2">
      <c r="A53" s="342">
        <v>2024</v>
      </c>
      <c r="B53" s="478">
        <v>684.08511043028022</v>
      </c>
      <c r="C53" s="479">
        <v>393.14234210865584</v>
      </c>
      <c r="D53" s="479">
        <v>42.170485016655789</v>
      </c>
      <c r="E53" s="480">
        <v>1119.3979375555919</v>
      </c>
      <c r="F53" s="481"/>
      <c r="G53" s="479">
        <v>628.22580234952602</v>
      </c>
      <c r="H53" s="479">
        <v>285.24517206244769</v>
      </c>
      <c r="I53" s="482"/>
      <c r="J53" s="478">
        <v>147.25036557775312</v>
      </c>
      <c r="K53" s="480">
        <v>136.42091181858015</v>
      </c>
      <c r="L53" s="483"/>
      <c r="M53" s="479">
        <v>775.47616792727911</v>
      </c>
      <c r="N53" s="480">
        <v>421.66608388102782</v>
      </c>
      <c r="AJ53" s="167">
        <f t="shared" si="10"/>
        <v>435.31282712531163</v>
      </c>
    </row>
    <row r="54" spans="1:36" ht="13.5" thickBot="1" x14ac:dyDescent="0.25">
      <c r="A54" s="342">
        <v>2025</v>
      </c>
      <c r="B54" s="478">
        <v>696.59178518227998</v>
      </c>
      <c r="C54" s="479">
        <v>404.84443659999528</v>
      </c>
      <c r="D54" s="479">
        <v>43.439122671249059</v>
      </c>
      <c r="E54" s="480">
        <v>1144.8753444535243</v>
      </c>
      <c r="F54" s="481"/>
      <c r="G54" s="479">
        <v>633.62963504352626</v>
      </c>
      <c r="H54" s="479">
        <v>292.23404321844771</v>
      </c>
      <c r="I54" s="482"/>
      <c r="J54" s="478">
        <v>152.08825364340967</v>
      </c>
      <c r="K54" s="480">
        <v>139.75155581858016</v>
      </c>
      <c r="L54" s="483"/>
      <c r="M54" s="479">
        <v>785.71788868693591</v>
      </c>
      <c r="N54" s="480">
        <v>431.9855990370279</v>
      </c>
      <c r="AJ54" s="167">
        <f t="shared" si="10"/>
        <v>448.28355927124431</v>
      </c>
    </row>
    <row r="55" spans="1:36" ht="12" customHeight="1" thickBot="1" x14ac:dyDescent="0.25">
      <c r="A55" s="813">
        <v>2026</v>
      </c>
      <c r="B55" s="513">
        <v>709.09845993427996</v>
      </c>
      <c r="C55" s="514">
        <v>416.49489451293465</v>
      </c>
      <c r="D55" s="514">
        <v>44.702022928242329</v>
      </c>
      <c r="E55" s="515">
        <v>1170.2953773754568</v>
      </c>
      <c r="F55" s="516"/>
      <c r="G55" s="514">
        <v>639.03346773752628</v>
      </c>
      <c r="H55" s="514">
        <v>299.22291437444767</v>
      </c>
      <c r="I55" s="517"/>
      <c r="J55" s="513">
        <v>156.92614170906626</v>
      </c>
      <c r="K55" s="515">
        <v>143.08219981858016</v>
      </c>
      <c r="L55" s="518"/>
      <c r="M55" s="514">
        <v>795.95960944659259</v>
      </c>
      <c r="N55" s="515">
        <v>442.30511419302786</v>
      </c>
      <c r="AJ55" s="167">
        <f t="shared" si="10"/>
        <v>461.19691744117699</v>
      </c>
    </row>
    <row r="56" spans="1:36" x14ac:dyDescent="0.2">
      <c r="A56" s="342">
        <v>2027</v>
      </c>
      <c r="B56" s="478">
        <v>721.60513468627983</v>
      </c>
      <c r="C56" s="479">
        <v>428.19698900427414</v>
      </c>
      <c r="D56" s="479">
        <v>45.970660582835599</v>
      </c>
      <c r="E56" s="480">
        <v>1195.7727842733896</v>
      </c>
      <c r="F56" s="481"/>
      <c r="G56" s="479">
        <v>644.43730043152618</v>
      </c>
      <c r="H56" s="479">
        <v>306.21178553044768</v>
      </c>
      <c r="I56" s="482"/>
      <c r="J56" s="478">
        <v>161.76402977472281</v>
      </c>
      <c r="K56" s="480">
        <v>146.41284381858014</v>
      </c>
      <c r="L56" s="483"/>
      <c r="M56" s="479">
        <v>806.20133020624894</v>
      </c>
      <c r="N56" s="480">
        <v>452.62462934902783</v>
      </c>
      <c r="S56" s="303"/>
      <c r="T56" s="303"/>
      <c r="AJ56" s="167">
        <f t="shared" si="10"/>
        <v>474.16764958710974</v>
      </c>
    </row>
    <row r="57" spans="1:36" x14ac:dyDescent="0.2">
      <c r="A57" s="342">
        <v>2028</v>
      </c>
      <c r="B57" s="478">
        <v>734.11180943827992</v>
      </c>
      <c r="C57" s="479">
        <v>439.89908349561347</v>
      </c>
      <c r="D57" s="479">
        <v>47.239298237428862</v>
      </c>
      <c r="E57" s="479">
        <v>1221.2501911713223</v>
      </c>
      <c r="F57" s="481"/>
      <c r="G57" s="479">
        <v>649.8411331255262</v>
      </c>
      <c r="H57" s="479">
        <v>313.2006566864477</v>
      </c>
      <c r="I57" s="482"/>
      <c r="J57" s="478">
        <v>166.60191784037937</v>
      </c>
      <c r="K57" s="479">
        <v>149.74348781858018</v>
      </c>
      <c r="L57" s="483"/>
      <c r="M57" s="479">
        <v>816.44305096590551</v>
      </c>
      <c r="N57" s="480">
        <v>462.94414450502791</v>
      </c>
      <c r="S57" s="303"/>
      <c r="T57" s="303"/>
      <c r="AJ57" s="167">
        <f t="shared" si="10"/>
        <v>487.13838173304231</v>
      </c>
    </row>
    <row r="58" spans="1:36" x14ac:dyDescent="0.2">
      <c r="A58" s="342">
        <v>2029</v>
      </c>
      <c r="B58" s="478">
        <v>746.61848419028001</v>
      </c>
      <c r="C58" s="479">
        <v>451.60117798695285</v>
      </c>
      <c r="D58" s="479">
        <v>48.507935892022118</v>
      </c>
      <c r="E58" s="479">
        <v>1246.7275980692548</v>
      </c>
      <c r="F58" s="481"/>
      <c r="G58" s="479">
        <v>655.24496581952621</v>
      </c>
      <c r="H58" s="479">
        <v>320.18952784244772</v>
      </c>
      <c r="I58" s="482"/>
      <c r="J58" s="478">
        <v>171.43980590603593</v>
      </c>
      <c r="K58" s="479">
        <v>153.07413181858016</v>
      </c>
      <c r="L58" s="483"/>
      <c r="M58" s="479">
        <v>826.68477172556209</v>
      </c>
      <c r="N58" s="480">
        <v>473.26365966102787</v>
      </c>
      <c r="S58" s="303"/>
      <c r="T58" s="303"/>
      <c r="AJ58" s="167">
        <f t="shared" si="10"/>
        <v>500.10911387897499</v>
      </c>
    </row>
    <row r="59" spans="1:36" x14ac:dyDescent="0.2">
      <c r="A59" s="343">
        <v>2030</v>
      </c>
      <c r="B59" s="484">
        <v>759.12515894228011</v>
      </c>
      <c r="C59" s="485">
        <v>463.30327247829217</v>
      </c>
      <c r="D59" s="485">
        <v>49.776573546615388</v>
      </c>
      <c r="E59" s="485">
        <v>1272.2050049671875</v>
      </c>
      <c r="F59" s="487"/>
      <c r="G59" s="485">
        <v>660.648798513526</v>
      </c>
      <c r="H59" s="485">
        <v>327.17839899844773</v>
      </c>
      <c r="I59" s="488"/>
      <c r="J59" s="484">
        <v>176.27769397169249</v>
      </c>
      <c r="K59" s="485">
        <v>156.40477581858019</v>
      </c>
      <c r="L59" s="489"/>
      <c r="M59" s="485">
        <v>836.92649248521843</v>
      </c>
      <c r="N59" s="486">
        <v>483.58317481702795</v>
      </c>
      <c r="S59" s="303"/>
      <c r="T59" s="303"/>
      <c r="AJ59" s="167">
        <f t="shared" si="10"/>
        <v>513.07984602490751</v>
      </c>
    </row>
    <row r="60" spans="1:36" x14ac:dyDescent="0.2">
      <c r="S60" s="305"/>
      <c r="T60" s="305"/>
    </row>
    <row r="61" spans="1:36" ht="20.25" x14ac:dyDescent="0.3">
      <c r="A61" s="1451" t="s">
        <v>191</v>
      </c>
      <c r="B61" s="1452"/>
      <c r="C61" s="1452"/>
      <c r="D61" s="1452"/>
      <c r="E61" s="1452"/>
      <c r="F61" s="1452"/>
      <c r="G61" s="1452"/>
      <c r="H61" s="1452"/>
      <c r="I61" s="1452"/>
      <c r="J61" s="1452"/>
      <c r="K61" s="1452"/>
      <c r="L61" s="1452"/>
      <c r="M61" s="1452"/>
      <c r="N61" s="1453"/>
      <c r="S61" s="305"/>
      <c r="T61" s="305"/>
    </row>
    <row r="62" spans="1:36" ht="24" customHeight="1" x14ac:dyDescent="0.2">
      <c r="A62" s="344"/>
      <c r="B62" s="1454" t="s">
        <v>402</v>
      </c>
      <c r="C62" s="1455"/>
      <c r="D62" s="1455"/>
      <c r="E62" s="1456"/>
      <c r="F62" s="345"/>
      <c r="G62" s="1455" t="s">
        <v>164</v>
      </c>
      <c r="H62" s="1455"/>
      <c r="I62" s="346"/>
      <c r="J62" s="1454" t="s">
        <v>165</v>
      </c>
      <c r="K62" s="1456"/>
      <c r="L62" s="1136"/>
      <c r="M62" s="1455" t="s">
        <v>304</v>
      </c>
      <c r="N62" s="1456"/>
      <c r="S62" s="305"/>
      <c r="T62" s="305"/>
    </row>
    <row r="63" spans="1:36" ht="38.25" x14ac:dyDescent="0.2">
      <c r="A63" s="340" t="s">
        <v>0</v>
      </c>
      <c r="B63" s="349" t="s">
        <v>166</v>
      </c>
      <c r="C63" s="350" t="s">
        <v>80</v>
      </c>
      <c r="D63" s="350" t="s">
        <v>81</v>
      </c>
      <c r="E63" s="351" t="s">
        <v>187</v>
      </c>
      <c r="F63" s="349"/>
      <c r="G63" s="350" t="s">
        <v>167</v>
      </c>
      <c r="H63" s="350" t="s">
        <v>168</v>
      </c>
      <c r="I63" s="528"/>
      <c r="J63" s="349" t="s">
        <v>167</v>
      </c>
      <c r="K63" s="351" t="s">
        <v>168</v>
      </c>
      <c r="L63" s="352"/>
      <c r="M63" s="350" t="s">
        <v>167</v>
      </c>
      <c r="N63" s="351" t="s">
        <v>168</v>
      </c>
      <c r="S63" s="305"/>
      <c r="T63" s="305"/>
    </row>
    <row r="64" spans="1:36" x14ac:dyDescent="0.2">
      <c r="A64" s="341">
        <v>2006</v>
      </c>
      <c r="B64" s="814">
        <f t="shared" ref="B64:E83" si="11">+B5-B35</f>
        <v>0</v>
      </c>
      <c r="C64" s="815">
        <f t="shared" si="11"/>
        <v>0</v>
      </c>
      <c r="D64" s="815">
        <f t="shared" si="11"/>
        <v>0</v>
      </c>
      <c r="E64" s="816">
        <f t="shared" si="11"/>
        <v>0</v>
      </c>
      <c r="F64" s="817"/>
      <c r="G64" s="815">
        <f t="shared" ref="G64:H83" si="12">+G5-G35</f>
        <v>0</v>
      </c>
      <c r="H64" s="815">
        <f t="shared" si="12"/>
        <v>0</v>
      </c>
      <c r="I64" s="1133"/>
      <c r="J64" s="814">
        <f t="shared" ref="J64:K83" si="13">+J5-J35</f>
        <v>0</v>
      </c>
      <c r="K64" s="816">
        <f t="shared" si="13"/>
        <v>0</v>
      </c>
      <c r="L64" s="818"/>
      <c r="M64" s="815">
        <f t="shared" ref="M64:N83" si="14">+M5-M35</f>
        <v>0</v>
      </c>
      <c r="N64" s="816">
        <f t="shared" si="14"/>
        <v>0</v>
      </c>
      <c r="S64" s="305"/>
      <c r="T64" s="305"/>
    </row>
    <row r="65" spans="1:20" x14ac:dyDescent="0.2">
      <c r="A65" s="342">
        <f>+A64+1</f>
        <v>2007</v>
      </c>
      <c r="B65" s="814">
        <f t="shared" si="11"/>
        <v>0</v>
      </c>
      <c r="C65" s="815">
        <f t="shared" si="11"/>
        <v>0</v>
      </c>
      <c r="D65" s="815">
        <f t="shared" si="11"/>
        <v>0</v>
      </c>
      <c r="E65" s="816">
        <f t="shared" si="11"/>
        <v>0</v>
      </c>
      <c r="F65" s="817"/>
      <c r="G65" s="815">
        <f t="shared" si="12"/>
        <v>0</v>
      </c>
      <c r="H65" s="815">
        <f t="shared" si="12"/>
        <v>0</v>
      </c>
      <c r="I65" s="1133"/>
      <c r="J65" s="814">
        <f t="shared" si="13"/>
        <v>0</v>
      </c>
      <c r="K65" s="816">
        <f t="shared" si="13"/>
        <v>0</v>
      </c>
      <c r="L65" s="818"/>
      <c r="M65" s="815">
        <f t="shared" si="14"/>
        <v>0</v>
      </c>
      <c r="N65" s="816">
        <f t="shared" si="14"/>
        <v>0</v>
      </c>
      <c r="S65" s="305"/>
      <c r="T65" s="305"/>
    </row>
    <row r="66" spans="1:20" x14ac:dyDescent="0.2">
      <c r="A66" s="1049">
        <f>+A65+1</f>
        <v>2008</v>
      </c>
      <c r="B66" s="814">
        <f t="shared" si="11"/>
        <v>0</v>
      </c>
      <c r="C66" s="815">
        <f t="shared" si="11"/>
        <v>0</v>
      </c>
      <c r="D66" s="815">
        <f t="shared" si="11"/>
        <v>0</v>
      </c>
      <c r="E66" s="816">
        <f t="shared" si="11"/>
        <v>0</v>
      </c>
      <c r="F66" s="817"/>
      <c r="G66" s="815">
        <f t="shared" si="12"/>
        <v>0</v>
      </c>
      <c r="H66" s="815">
        <f t="shared" si="12"/>
        <v>0</v>
      </c>
      <c r="I66" s="1133"/>
      <c r="J66" s="814">
        <f t="shared" si="13"/>
        <v>0</v>
      </c>
      <c r="K66" s="816">
        <f t="shared" si="13"/>
        <v>0</v>
      </c>
      <c r="L66" s="818"/>
      <c r="M66" s="815">
        <f t="shared" si="14"/>
        <v>0</v>
      </c>
      <c r="N66" s="816">
        <f t="shared" si="14"/>
        <v>0</v>
      </c>
      <c r="S66" s="305"/>
      <c r="T66" s="305"/>
    </row>
    <row r="67" spans="1:20" x14ac:dyDescent="0.2">
      <c r="A67" s="1049">
        <f t="shared" ref="A67:A88" si="15">+A66+1</f>
        <v>2009</v>
      </c>
      <c r="B67" s="814">
        <f t="shared" si="11"/>
        <v>0</v>
      </c>
      <c r="C67" s="815">
        <f t="shared" si="11"/>
        <v>0</v>
      </c>
      <c r="D67" s="815">
        <f t="shared" si="11"/>
        <v>0</v>
      </c>
      <c r="E67" s="816">
        <f t="shared" si="11"/>
        <v>0</v>
      </c>
      <c r="F67" s="817"/>
      <c r="G67" s="815">
        <f t="shared" si="12"/>
        <v>0</v>
      </c>
      <c r="H67" s="815">
        <f t="shared" si="12"/>
        <v>0</v>
      </c>
      <c r="I67" s="1133"/>
      <c r="J67" s="814">
        <f t="shared" si="13"/>
        <v>0</v>
      </c>
      <c r="K67" s="816">
        <f t="shared" si="13"/>
        <v>0</v>
      </c>
      <c r="L67" s="818"/>
      <c r="M67" s="815">
        <f t="shared" si="14"/>
        <v>0</v>
      </c>
      <c r="N67" s="816">
        <f t="shared" si="14"/>
        <v>0</v>
      </c>
      <c r="S67" s="305"/>
      <c r="T67" s="305"/>
    </row>
    <row r="68" spans="1:20" x14ac:dyDescent="0.2">
      <c r="A68" s="1049">
        <f t="shared" si="15"/>
        <v>2010</v>
      </c>
      <c r="B68" s="814">
        <f t="shared" si="11"/>
        <v>0</v>
      </c>
      <c r="C68" s="815">
        <f t="shared" si="11"/>
        <v>0</v>
      </c>
      <c r="D68" s="815">
        <f t="shared" si="11"/>
        <v>0</v>
      </c>
      <c r="E68" s="816">
        <f t="shared" si="11"/>
        <v>0</v>
      </c>
      <c r="F68" s="817"/>
      <c r="G68" s="815">
        <f t="shared" si="12"/>
        <v>0</v>
      </c>
      <c r="H68" s="815">
        <f t="shared" si="12"/>
        <v>0</v>
      </c>
      <c r="I68" s="1133"/>
      <c r="J68" s="814">
        <f t="shared" si="13"/>
        <v>0</v>
      </c>
      <c r="K68" s="816">
        <f t="shared" si="13"/>
        <v>0</v>
      </c>
      <c r="L68" s="818"/>
      <c r="M68" s="815">
        <f t="shared" si="14"/>
        <v>0</v>
      </c>
      <c r="N68" s="816">
        <f t="shared" si="14"/>
        <v>0</v>
      </c>
      <c r="S68" s="305"/>
      <c r="T68" s="305"/>
    </row>
    <row r="69" spans="1:20" x14ac:dyDescent="0.2">
      <c r="A69" s="1049">
        <f t="shared" si="15"/>
        <v>2011</v>
      </c>
      <c r="B69" s="814">
        <f t="shared" si="11"/>
        <v>0</v>
      </c>
      <c r="C69" s="815">
        <f t="shared" si="11"/>
        <v>0</v>
      </c>
      <c r="D69" s="815">
        <f t="shared" si="11"/>
        <v>0</v>
      </c>
      <c r="E69" s="816">
        <f t="shared" si="11"/>
        <v>0</v>
      </c>
      <c r="F69" s="817"/>
      <c r="G69" s="815">
        <f t="shared" si="12"/>
        <v>0</v>
      </c>
      <c r="H69" s="815">
        <f t="shared" si="12"/>
        <v>0</v>
      </c>
      <c r="I69" s="1133"/>
      <c r="J69" s="814">
        <f t="shared" si="13"/>
        <v>0</v>
      </c>
      <c r="K69" s="816">
        <f t="shared" si="13"/>
        <v>0</v>
      </c>
      <c r="L69" s="818"/>
      <c r="M69" s="815">
        <f t="shared" si="14"/>
        <v>0</v>
      </c>
      <c r="N69" s="816">
        <f t="shared" si="14"/>
        <v>0</v>
      </c>
      <c r="S69" s="305"/>
      <c r="T69" s="305"/>
    </row>
    <row r="70" spans="1:20" x14ac:dyDescent="0.2">
      <c r="A70" s="1049">
        <f t="shared" si="15"/>
        <v>2012</v>
      </c>
      <c r="B70" s="814">
        <f t="shared" si="11"/>
        <v>0</v>
      </c>
      <c r="C70" s="815">
        <f t="shared" si="11"/>
        <v>0</v>
      </c>
      <c r="D70" s="815">
        <f t="shared" si="11"/>
        <v>0</v>
      </c>
      <c r="E70" s="816">
        <f t="shared" si="11"/>
        <v>0</v>
      </c>
      <c r="F70" s="817"/>
      <c r="G70" s="815">
        <f t="shared" si="12"/>
        <v>0</v>
      </c>
      <c r="H70" s="815">
        <f t="shared" si="12"/>
        <v>0</v>
      </c>
      <c r="I70" s="1133"/>
      <c r="J70" s="814">
        <f t="shared" si="13"/>
        <v>0</v>
      </c>
      <c r="K70" s="816">
        <f t="shared" si="13"/>
        <v>0</v>
      </c>
      <c r="L70" s="818"/>
      <c r="M70" s="815">
        <f t="shared" si="14"/>
        <v>0</v>
      </c>
      <c r="N70" s="816">
        <f t="shared" si="14"/>
        <v>0</v>
      </c>
      <c r="S70" s="305"/>
      <c r="T70" s="305"/>
    </row>
    <row r="71" spans="1:20" x14ac:dyDescent="0.2">
      <c r="A71" s="1049">
        <f t="shared" si="15"/>
        <v>2013</v>
      </c>
      <c r="B71" s="814">
        <f t="shared" si="11"/>
        <v>0</v>
      </c>
      <c r="C71" s="815">
        <f t="shared" si="11"/>
        <v>0</v>
      </c>
      <c r="D71" s="815">
        <f t="shared" si="11"/>
        <v>0</v>
      </c>
      <c r="E71" s="816">
        <f t="shared" si="11"/>
        <v>0</v>
      </c>
      <c r="F71" s="817"/>
      <c r="G71" s="815">
        <f t="shared" si="12"/>
        <v>0</v>
      </c>
      <c r="H71" s="815">
        <f t="shared" si="12"/>
        <v>0</v>
      </c>
      <c r="I71" s="1133"/>
      <c r="J71" s="814">
        <f t="shared" si="13"/>
        <v>0</v>
      </c>
      <c r="K71" s="816">
        <f t="shared" si="13"/>
        <v>0</v>
      </c>
      <c r="L71" s="818"/>
      <c r="M71" s="815">
        <f t="shared" si="14"/>
        <v>0</v>
      </c>
      <c r="N71" s="816">
        <f t="shared" si="14"/>
        <v>0</v>
      </c>
      <c r="S71" s="305"/>
      <c r="T71" s="305"/>
    </row>
    <row r="72" spans="1:20" x14ac:dyDescent="0.2">
      <c r="A72" s="1049">
        <f t="shared" si="15"/>
        <v>2014</v>
      </c>
      <c r="B72" s="814">
        <f t="shared" si="11"/>
        <v>0</v>
      </c>
      <c r="C72" s="815">
        <f t="shared" si="11"/>
        <v>0</v>
      </c>
      <c r="D72" s="815">
        <f t="shared" si="11"/>
        <v>0</v>
      </c>
      <c r="E72" s="816">
        <f t="shared" si="11"/>
        <v>0</v>
      </c>
      <c r="F72" s="817"/>
      <c r="G72" s="815">
        <f t="shared" si="12"/>
        <v>0</v>
      </c>
      <c r="H72" s="815">
        <f t="shared" si="12"/>
        <v>0</v>
      </c>
      <c r="I72" s="1133"/>
      <c r="J72" s="814">
        <f t="shared" si="13"/>
        <v>0</v>
      </c>
      <c r="K72" s="816">
        <f t="shared" si="13"/>
        <v>0</v>
      </c>
      <c r="L72" s="818"/>
      <c r="M72" s="815">
        <f t="shared" si="14"/>
        <v>0</v>
      </c>
      <c r="N72" s="816">
        <f t="shared" si="14"/>
        <v>0</v>
      </c>
      <c r="S72" s="305"/>
      <c r="T72" s="305"/>
    </row>
    <row r="73" spans="1:20" x14ac:dyDescent="0.2">
      <c r="A73" s="1049">
        <f t="shared" si="15"/>
        <v>2015</v>
      </c>
      <c r="B73" s="814">
        <f t="shared" si="11"/>
        <v>0</v>
      </c>
      <c r="C73" s="815">
        <f t="shared" si="11"/>
        <v>0</v>
      </c>
      <c r="D73" s="815">
        <f t="shared" si="11"/>
        <v>0</v>
      </c>
      <c r="E73" s="816">
        <f t="shared" si="11"/>
        <v>0</v>
      </c>
      <c r="F73" s="817"/>
      <c r="G73" s="815">
        <f t="shared" si="12"/>
        <v>0</v>
      </c>
      <c r="H73" s="815">
        <f t="shared" si="12"/>
        <v>0</v>
      </c>
      <c r="I73" s="1133"/>
      <c r="J73" s="814">
        <f t="shared" si="13"/>
        <v>0</v>
      </c>
      <c r="K73" s="816">
        <f t="shared" si="13"/>
        <v>0</v>
      </c>
      <c r="L73" s="818"/>
      <c r="M73" s="815">
        <f t="shared" si="14"/>
        <v>0</v>
      </c>
      <c r="N73" s="816">
        <f t="shared" si="14"/>
        <v>0</v>
      </c>
      <c r="S73" s="305"/>
      <c r="T73" s="305"/>
    </row>
    <row r="74" spans="1:20" x14ac:dyDescent="0.2">
      <c r="A74" s="1049">
        <f t="shared" si="15"/>
        <v>2016</v>
      </c>
      <c r="B74" s="814">
        <f t="shared" si="11"/>
        <v>1.3637289600001168</v>
      </c>
      <c r="C74" s="815">
        <f t="shared" si="11"/>
        <v>-1.6664094984749909</v>
      </c>
      <c r="D74" s="815">
        <f t="shared" si="11"/>
        <v>-0.15815527760832992</v>
      </c>
      <c r="E74" s="816">
        <f t="shared" si="11"/>
        <v>-0.4608358160833177</v>
      </c>
      <c r="F74" s="817"/>
      <c r="G74" s="815">
        <f t="shared" si="12"/>
        <v>-1.2469801400000051</v>
      </c>
      <c r="H74" s="815">
        <f t="shared" si="12"/>
        <v>4.5698060499972826E-2</v>
      </c>
      <c r="I74" s="1133"/>
      <c r="J74" s="814">
        <f t="shared" si="13"/>
        <v>0.57021056565656636</v>
      </c>
      <c r="K74" s="816">
        <f t="shared" si="13"/>
        <v>-0.14751406261166267</v>
      </c>
      <c r="L74" s="818"/>
      <c r="M74" s="815">
        <f t="shared" si="14"/>
        <v>-0.67676957434343876</v>
      </c>
      <c r="N74" s="816">
        <f t="shared" si="14"/>
        <v>-0.10181600211166142</v>
      </c>
      <c r="S74" s="305"/>
      <c r="T74" s="305"/>
    </row>
    <row r="75" spans="1:20" x14ac:dyDescent="0.2">
      <c r="A75" s="1137">
        <f t="shared" si="15"/>
        <v>2017</v>
      </c>
      <c r="B75" s="1138">
        <f t="shared" si="11"/>
        <v>2.7274579200001199</v>
      </c>
      <c r="C75" s="1139">
        <f t="shared" si="11"/>
        <v>-0.68968158111994171</v>
      </c>
      <c r="D75" s="1139">
        <f t="shared" si="11"/>
        <v>-3.5254198124427205E-2</v>
      </c>
      <c r="E75" s="1140">
        <f t="shared" si="11"/>
        <v>2.0025221407557865</v>
      </c>
      <c r="F75" s="1141"/>
      <c r="G75" s="1139">
        <f t="shared" si="12"/>
        <v>2.0247910109997065</v>
      </c>
      <c r="H75" s="1139">
        <f t="shared" si="12"/>
        <v>0.72156031599993753</v>
      </c>
      <c r="I75" s="1142"/>
      <c r="J75" s="1138">
        <f t="shared" si="13"/>
        <v>-3.2179032082828343</v>
      </c>
      <c r="K75" s="1140">
        <f t="shared" si="13"/>
        <v>-2.3585232491001165</v>
      </c>
      <c r="L75" s="1143"/>
      <c r="M75" s="1139">
        <f t="shared" si="14"/>
        <v>-1.1931121972830852</v>
      </c>
      <c r="N75" s="1140">
        <f t="shared" si="14"/>
        <v>-1.6369629331001647</v>
      </c>
      <c r="S75" s="305"/>
      <c r="T75" s="305"/>
    </row>
    <row r="76" spans="1:20" x14ac:dyDescent="0.2">
      <c r="A76" s="1049">
        <f t="shared" si="15"/>
        <v>2018</v>
      </c>
      <c r="B76" s="814">
        <f t="shared" si="11"/>
        <v>2.7274579200002336</v>
      </c>
      <c r="C76" s="815">
        <f t="shared" si="11"/>
        <v>-5.0030244953201191</v>
      </c>
      <c r="D76" s="815">
        <f t="shared" si="11"/>
        <v>-0.51451452192445402</v>
      </c>
      <c r="E76" s="816">
        <f t="shared" si="11"/>
        <v>-2.7900810972441832</v>
      </c>
      <c r="F76" s="814"/>
      <c r="G76" s="815">
        <f t="shared" si="12"/>
        <v>1.6357925109998632</v>
      </c>
      <c r="H76" s="815">
        <f t="shared" si="12"/>
        <v>-0.13329478399995764</v>
      </c>
      <c r="I76" s="1134"/>
      <c r="J76" s="814">
        <f t="shared" si="13"/>
        <v>-3.2179032082828343</v>
      </c>
      <c r="K76" s="816">
        <f t="shared" si="13"/>
        <v>-2.5591482491000903</v>
      </c>
      <c r="L76" s="819"/>
      <c r="M76" s="815">
        <f t="shared" si="14"/>
        <v>-1.5821106972830421</v>
      </c>
      <c r="N76" s="816">
        <f t="shared" si="14"/>
        <v>-2.6924430331000622</v>
      </c>
      <c r="S76" s="305"/>
      <c r="T76" s="305"/>
    </row>
    <row r="77" spans="1:20" x14ac:dyDescent="0.2">
      <c r="A77" s="1049">
        <f t="shared" si="15"/>
        <v>2019</v>
      </c>
      <c r="B77" s="814">
        <f t="shared" si="11"/>
        <v>2.7274579200000062</v>
      </c>
      <c r="C77" s="815">
        <f t="shared" si="11"/>
        <v>-9.5225804495198645</v>
      </c>
      <c r="D77" s="815">
        <f t="shared" si="11"/>
        <v>-1.0166874057244399</v>
      </c>
      <c r="E77" s="816">
        <f t="shared" si="11"/>
        <v>-7.8118099352442414</v>
      </c>
      <c r="F77" s="814"/>
      <c r="G77" s="815">
        <f t="shared" si="12"/>
        <v>1.2467940109999063</v>
      </c>
      <c r="H77" s="815">
        <f t="shared" si="12"/>
        <v>-1.0419976340000119</v>
      </c>
      <c r="I77" s="1134"/>
      <c r="J77" s="814">
        <f t="shared" si="13"/>
        <v>-3.2179032082828343</v>
      </c>
      <c r="K77" s="816">
        <f t="shared" si="13"/>
        <v>-2.7597732491001068</v>
      </c>
      <c r="L77" s="819"/>
      <c r="M77" s="815">
        <f t="shared" si="14"/>
        <v>-1.9711091972828854</v>
      </c>
      <c r="N77" s="816">
        <f t="shared" si="14"/>
        <v>-3.8017708831000618</v>
      </c>
      <c r="S77" s="305"/>
      <c r="T77" s="305"/>
    </row>
    <row r="78" spans="1:20" x14ac:dyDescent="0.2">
      <c r="A78" s="1049">
        <f t="shared" si="15"/>
        <v>2020</v>
      </c>
      <c r="B78" s="814">
        <f t="shared" si="11"/>
        <v>2.7274579199998925</v>
      </c>
      <c r="C78" s="815">
        <f t="shared" si="11"/>
        <v>-14.942190520719919</v>
      </c>
      <c r="D78" s="815">
        <f t="shared" si="11"/>
        <v>-1.6188663025244381</v>
      </c>
      <c r="E78" s="816">
        <f t="shared" si="11"/>
        <v>-13.833598903244479</v>
      </c>
      <c r="F78" s="814"/>
      <c r="G78" s="815">
        <f t="shared" si="12"/>
        <v>0.77401451099979113</v>
      </c>
      <c r="H78" s="815">
        <f t="shared" si="12"/>
        <v>-2.0804379840000138</v>
      </c>
      <c r="I78" s="1134"/>
      <c r="J78" s="814">
        <f t="shared" si="13"/>
        <v>-3.2179032082828343</v>
      </c>
      <c r="K78" s="816">
        <f t="shared" si="13"/>
        <v>-2.9603982491001091</v>
      </c>
      <c r="L78" s="819"/>
      <c r="M78" s="815">
        <f t="shared" si="14"/>
        <v>-2.4438886972830005</v>
      </c>
      <c r="N78" s="816">
        <f t="shared" si="14"/>
        <v>-5.0408362331001513</v>
      </c>
      <c r="S78" s="305"/>
      <c r="T78" s="305"/>
    </row>
    <row r="79" spans="1:20" x14ac:dyDescent="0.2">
      <c r="A79" s="1049">
        <f t="shared" si="15"/>
        <v>2021</v>
      </c>
      <c r="B79" s="814">
        <f t="shared" si="11"/>
        <v>2.7274579200002336</v>
      </c>
      <c r="C79" s="815">
        <f t="shared" si="11"/>
        <v>-21.055641668919975</v>
      </c>
      <c r="D79" s="815">
        <f t="shared" si="11"/>
        <v>-2.2981386523244396</v>
      </c>
      <c r="E79" s="816">
        <f t="shared" si="11"/>
        <v>-20.626322401244011</v>
      </c>
      <c r="F79" s="814"/>
      <c r="G79" s="815">
        <f t="shared" si="12"/>
        <v>7.7498010999988765E-2</v>
      </c>
      <c r="H79" s="815">
        <f t="shared" si="12"/>
        <v>-3.1947680839999748</v>
      </c>
      <c r="I79" s="1134"/>
      <c r="J79" s="814">
        <f t="shared" si="13"/>
        <v>-3.2179032082828201</v>
      </c>
      <c r="K79" s="816">
        <f t="shared" si="13"/>
        <v>-3.1610232491001256</v>
      </c>
      <c r="L79" s="819"/>
      <c r="M79" s="815">
        <f t="shared" si="14"/>
        <v>-3.1404051972828029</v>
      </c>
      <c r="N79" s="816">
        <f t="shared" si="14"/>
        <v>-6.3557913331001146</v>
      </c>
      <c r="S79" s="305"/>
      <c r="T79" s="305"/>
    </row>
    <row r="80" spans="1:20" x14ac:dyDescent="0.2">
      <c r="A80" s="1049">
        <f t="shared" si="15"/>
        <v>2022</v>
      </c>
      <c r="B80" s="814">
        <f t="shared" si="11"/>
        <v>2.7274579200000062</v>
      </c>
      <c r="C80" s="815">
        <f t="shared" si="11"/>
        <v>-27.169092817120031</v>
      </c>
      <c r="D80" s="815">
        <f t="shared" si="11"/>
        <v>-2.9774110021244411</v>
      </c>
      <c r="E80" s="816">
        <f t="shared" si="11"/>
        <v>-27.419045899244338</v>
      </c>
      <c r="F80" s="814"/>
      <c r="G80" s="815">
        <f t="shared" si="12"/>
        <v>-0.6190184889998136</v>
      </c>
      <c r="H80" s="815">
        <f t="shared" si="12"/>
        <v>-4.3090981839999927</v>
      </c>
      <c r="I80" s="1134"/>
      <c r="J80" s="814">
        <f t="shared" si="13"/>
        <v>-3.2179032082828485</v>
      </c>
      <c r="K80" s="816">
        <f t="shared" si="13"/>
        <v>-3.3616482491000994</v>
      </c>
      <c r="L80" s="819"/>
      <c r="M80" s="815">
        <f t="shared" si="14"/>
        <v>-3.8369216972826052</v>
      </c>
      <c r="N80" s="816">
        <f t="shared" si="14"/>
        <v>-7.6707464331001347</v>
      </c>
      <c r="S80" s="305"/>
      <c r="T80" s="490"/>
    </row>
    <row r="81" spans="1:20" x14ac:dyDescent="0.2">
      <c r="A81" s="1049">
        <f t="shared" si="15"/>
        <v>2023</v>
      </c>
      <c r="B81" s="814">
        <f t="shared" si="11"/>
        <v>2.7274579200001199</v>
      </c>
      <c r="C81" s="815">
        <f t="shared" si="11"/>
        <v>-33.28254396531986</v>
      </c>
      <c r="D81" s="815">
        <f t="shared" si="11"/>
        <v>-3.6566833519244426</v>
      </c>
      <c r="E81" s="816">
        <f t="shared" si="11"/>
        <v>-34.211769397244097</v>
      </c>
      <c r="F81" s="814"/>
      <c r="G81" s="815">
        <f t="shared" si="12"/>
        <v>-1.3155349889998433</v>
      </c>
      <c r="H81" s="815">
        <f t="shared" si="12"/>
        <v>-5.4234282840000105</v>
      </c>
      <c r="I81" s="1134"/>
      <c r="J81" s="814">
        <f t="shared" si="13"/>
        <v>-3.2179032082828201</v>
      </c>
      <c r="K81" s="816">
        <f t="shared" si="13"/>
        <v>-3.5622732491000875</v>
      </c>
      <c r="L81" s="819"/>
      <c r="M81" s="815">
        <f t="shared" si="14"/>
        <v>-4.533438197282635</v>
      </c>
      <c r="N81" s="816">
        <f t="shared" si="14"/>
        <v>-8.9857015331001548</v>
      </c>
      <c r="S81" s="305"/>
      <c r="T81" s="305"/>
    </row>
    <row r="82" spans="1:20" x14ac:dyDescent="0.2">
      <c r="A82" s="1049">
        <f t="shared" si="15"/>
        <v>2024</v>
      </c>
      <c r="B82" s="814">
        <f t="shared" si="11"/>
        <v>2.7274579199998925</v>
      </c>
      <c r="C82" s="815">
        <f t="shared" si="11"/>
        <v>-39.395995113519916</v>
      </c>
      <c r="D82" s="815">
        <f t="shared" si="11"/>
        <v>-4.335955701724437</v>
      </c>
      <c r="E82" s="816">
        <f t="shared" si="11"/>
        <v>-41.004492895244312</v>
      </c>
      <c r="F82" s="814"/>
      <c r="G82" s="815">
        <f t="shared" si="12"/>
        <v>-2.0120514889997594</v>
      </c>
      <c r="H82" s="815">
        <f t="shared" si="12"/>
        <v>-6.5377583839999716</v>
      </c>
      <c r="I82" s="1134"/>
      <c r="J82" s="814">
        <f t="shared" si="13"/>
        <v>-3.2179032082828201</v>
      </c>
      <c r="K82" s="816">
        <f t="shared" si="13"/>
        <v>-3.7628982491001182</v>
      </c>
      <c r="L82" s="819"/>
      <c r="M82" s="815">
        <f t="shared" si="14"/>
        <v>-5.229954697282551</v>
      </c>
      <c r="N82" s="816">
        <f t="shared" si="14"/>
        <v>-10.300656633100061</v>
      </c>
      <c r="S82" s="305"/>
      <c r="T82" s="305"/>
    </row>
    <row r="83" spans="1:20" x14ac:dyDescent="0.2">
      <c r="A83" s="1049">
        <f t="shared" si="15"/>
        <v>2025</v>
      </c>
      <c r="B83" s="814">
        <f t="shared" si="11"/>
        <v>2.7274579200001199</v>
      </c>
      <c r="C83" s="815">
        <f t="shared" si="11"/>
        <v>-45.509446261719916</v>
      </c>
      <c r="D83" s="815">
        <f t="shared" si="11"/>
        <v>-5.0152280515244385</v>
      </c>
      <c r="E83" s="816">
        <f t="shared" si="11"/>
        <v>-47.797216393244298</v>
      </c>
      <c r="F83" s="814"/>
      <c r="G83" s="815">
        <f t="shared" si="12"/>
        <v>-2.7085679890002439</v>
      </c>
      <c r="H83" s="815">
        <f t="shared" si="12"/>
        <v>-7.6520884839999894</v>
      </c>
      <c r="I83" s="1134"/>
      <c r="J83" s="814">
        <f t="shared" si="13"/>
        <v>-3.2179032082828201</v>
      </c>
      <c r="K83" s="816">
        <f t="shared" si="13"/>
        <v>-3.963523249100092</v>
      </c>
      <c r="L83" s="819"/>
      <c r="M83" s="815">
        <f t="shared" si="14"/>
        <v>-5.9264711972830355</v>
      </c>
      <c r="N83" s="816">
        <f t="shared" si="14"/>
        <v>-11.615611733100081</v>
      </c>
      <c r="S83" s="305"/>
      <c r="T83" s="305"/>
    </row>
    <row r="84" spans="1:20" x14ac:dyDescent="0.2">
      <c r="A84" s="1049">
        <f t="shared" si="15"/>
        <v>2026</v>
      </c>
      <c r="B84" s="814">
        <f t="shared" ref="B84:E84" si="16">+B25-B55</f>
        <v>2.7274579200001199</v>
      </c>
      <c r="C84" s="815">
        <f t="shared" si="16"/>
        <v>-51.609294734319974</v>
      </c>
      <c r="D84" s="815">
        <f t="shared" si="16"/>
        <v>-5.692988992924441</v>
      </c>
      <c r="E84" s="816">
        <f t="shared" si="16"/>
        <v>-54.574825807244224</v>
      </c>
      <c r="F84" s="814"/>
      <c r="G84" s="815">
        <f t="shared" ref="G84:H84" si="17">+G25-G55</f>
        <v>-3.4050844890001599</v>
      </c>
      <c r="H84" s="815">
        <f t="shared" si="17"/>
        <v>-8.7664185839998936</v>
      </c>
      <c r="I84" s="1134"/>
      <c r="J84" s="814">
        <f t="shared" ref="J84:K84" si="18">+J25-J55</f>
        <v>-3.2179032082828485</v>
      </c>
      <c r="K84" s="816">
        <f t="shared" si="18"/>
        <v>-4.1641482491001227</v>
      </c>
      <c r="L84" s="819"/>
      <c r="M84" s="815">
        <f t="shared" ref="M84:N84" si="19">+M25-M55</f>
        <v>-6.6229876972830652</v>
      </c>
      <c r="N84" s="816">
        <f t="shared" si="19"/>
        <v>-12.930566833100045</v>
      </c>
    </row>
    <row r="85" spans="1:20" x14ac:dyDescent="0.2">
      <c r="A85" s="1049">
        <f t="shared" si="15"/>
        <v>2027</v>
      </c>
      <c r="B85" s="814">
        <f t="shared" ref="B85:E85" si="20">+B26-B56</f>
        <v>2.7274579200001199</v>
      </c>
      <c r="C85" s="815">
        <f t="shared" si="20"/>
        <v>-57.722745882519973</v>
      </c>
      <c r="D85" s="815">
        <f t="shared" si="20"/>
        <v>-6.3722613427244426</v>
      </c>
      <c r="E85" s="816">
        <f t="shared" si="20"/>
        <v>-61.367549305244438</v>
      </c>
      <c r="F85" s="814"/>
      <c r="G85" s="815">
        <f t="shared" ref="G85:H85" si="21">+G26-G56</f>
        <v>-4.101600989000076</v>
      </c>
      <c r="H85" s="815">
        <f t="shared" si="21"/>
        <v>-9.8807486840000252</v>
      </c>
      <c r="I85" s="1134"/>
      <c r="J85" s="814">
        <f t="shared" ref="J85:K85" si="22">+J26-J56</f>
        <v>-3.2179032082828485</v>
      </c>
      <c r="K85" s="816">
        <f t="shared" si="22"/>
        <v>-4.3647732491000966</v>
      </c>
      <c r="L85" s="819"/>
      <c r="M85" s="815">
        <f t="shared" ref="M85:N85" si="23">+M26-M56</f>
        <v>-7.3195041972828676</v>
      </c>
      <c r="N85" s="816">
        <f t="shared" si="23"/>
        <v>-14.245521933100122</v>
      </c>
    </row>
    <row r="86" spans="1:20" x14ac:dyDescent="0.2">
      <c r="A86" s="342">
        <f t="shared" si="15"/>
        <v>2028</v>
      </c>
      <c r="B86" s="814">
        <f t="shared" ref="B86:E86" si="24">+B27-B57</f>
        <v>2.7274579199998925</v>
      </c>
      <c r="C86" s="815">
        <f t="shared" si="24"/>
        <v>-63.836197030719973</v>
      </c>
      <c r="D86" s="815">
        <f t="shared" si="24"/>
        <v>-7.051533692524437</v>
      </c>
      <c r="E86" s="816">
        <f t="shared" si="24"/>
        <v>-68.160272803244652</v>
      </c>
      <c r="F86" s="814"/>
      <c r="G86" s="815">
        <f t="shared" ref="G86:H86" si="25">+G27-G57</f>
        <v>-4.7981174890002194</v>
      </c>
      <c r="H86" s="815">
        <f t="shared" si="25"/>
        <v>-10.995078784000043</v>
      </c>
      <c r="I86" s="1134"/>
      <c r="J86" s="814">
        <f t="shared" ref="J86:K86" si="26">+J27-J57</f>
        <v>-3.2179032082828485</v>
      </c>
      <c r="K86" s="816">
        <f t="shared" si="26"/>
        <v>-4.5653982491001273</v>
      </c>
      <c r="L86" s="819"/>
      <c r="M86" s="815">
        <f t="shared" ref="M86:N86" si="27">+M27-M57</f>
        <v>-8.016020697283011</v>
      </c>
      <c r="N86" s="816">
        <f t="shared" si="27"/>
        <v>-15.560477033100199</v>
      </c>
    </row>
    <row r="87" spans="1:20" x14ac:dyDescent="0.2">
      <c r="A87" s="342">
        <f t="shared" si="15"/>
        <v>2029</v>
      </c>
      <c r="B87" s="814">
        <f t="shared" ref="B87:E87" si="28">+B28-B58</f>
        <v>2.7274579200002336</v>
      </c>
      <c r="C87" s="815">
        <f t="shared" si="28"/>
        <v>-69.949648178919972</v>
      </c>
      <c r="D87" s="815">
        <f t="shared" si="28"/>
        <v>-7.7308060423244314</v>
      </c>
      <c r="E87" s="816">
        <f t="shared" si="28"/>
        <v>-74.952996301243957</v>
      </c>
      <c r="F87" s="814"/>
      <c r="G87" s="815">
        <f t="shared" ref="G87:H87" si="29">+G28-G58</f>
        <v>-5.4946339890001354</v>
      </c>
      <c r="H87" s="815">
        <f t="shared" si="29"/>
        <v>-12.109408884000004</v>
      </c>
      <c r="I87" s="1134"/>
      <c r="J87" s="814">
        <f t="shared" ref="J87:K87" si="30">+J28-J58</f>
        <v>-3.2179032082828485</v>
      </c>
      <c r="K87" s="816">
        <f t="shared" si="30"/>
        <v>-4.7660232491001011</v>
      </c>
      <c r="L87" s="819"/>
      <c r="M87" s="815">
        <f t="shared" ref="M87:N87" si="31">+M28-M58</f>
        <v>-8.7125371972829271</v>
      </c>
      <c r="N87" s="816">
        <f t="shared" si="31"/>
        <v>-16.875432133100105</v>
      </c>
    </row>
    <row r="88" spans="1:20" x14ac:dyDescent="0.2">
      <c r="A88" s="342">
        <f t="shared" si="15"/>
        <v>2030</v>
      </c>
      <c r="B88" s="1129">
        <f t="shared" ref="B88:E88" si="32">+B29-B59</f>
        <v>2.7274579200000062</v>
      </c>
      <c r="C88" s="1130">
        <f t="shared" si="32"/>
        <v>-76.063099327119915</v>
      </c>
      <c r="D88" s="1130">
        <f t="shared" si="32"/>
        <v>-8.41007839212444</v>
      </c>
      <c r="E88" s="1131">
        <f t="shared" si="32"/>
        <v>-81.745719799244171</v>
      </c>
      <c r="F88" s="1129"/>
      <c r="G88" s="1130">
        <f t="shared" ref="G88:H88" si="33">+G29-G59</f>
        <v>-6.1911504889999378</v>
      </c>
      <c r="H88" s="1130">
        <f t="shared" si="33"/>
        <v>-13.223738983999965</v>
      </c>
      <c r="I88" s="1135"/>
      <c r="J88" s="1129">
        <f t="shared" ref="J88:K88" si="34">+J29-J59</f>
        <v>-3.2179032082828201</v>
      </c>
      <c r="K88" s="1131">
        <f t="shared" si="34"/>
        <v>-4.9666482491001318</v>
      </c>
      <c r="L88" s="1132"/>
      <c r="M88" s="1130">
        <f t="shared" ref="M88:N88" si="35">+M29-M59</f>
        <v>-9.4090536972827294</v>
      </c>
      <c r="N88" s="1131">
        <f t="shared" si="35"/>
        <v>-18.190387233100125</v>
      </c>
    </row>
    <row r="91" spans="1:20" ht="20.25" x14ac:dyDescent="0.3">
      <c r="A91" s="1451" t="s">
        <v>191</v>
      </c>
      <c r="B91" s="1452"/>
      <c r="C91" s="1452"/>
      <c r="D91" s="1452"/>
      <c r="E91" s="1452"/>
      <c r="F91" s="1452"/>
      <c r="G91" s="1452"/>
      <c r="H91" s="1452"/>
      <c r="I91" s="1452"/>
      <c r="J91" s="1452"/>
      <c r="K91" s="1452"/>
      <c r="L91" s="1452"/>
      <c r="M91" s="1452"/>
      <c r="N91" s="1453"/>
    </row>
    <row r="92" spans="1:20" x14ac:dyDescent="0.2">
      <c r="A92" s="344"/>
      <c r="B92" s="1454" t="s">
        <v>193</v>
      </c>
      <c r="C92" s="1455"/>
      <c r="D92" s="1455"/>
      <c r="E92" s="1456"/>
      <c r="F92" s="345"/>
      <c r="G92" s="1455" t="s">
        <v>164</v>
      </c>
      <c r="H92" s="1455"/>
      <c r="I92" s="346"/>
      <c r="J92" s="1454" t="s">
        <v>165</v>
      </c>
      <c r="K92" s="1456"/>
      <c r="L92" s="347"/>
      <c r="M92" s="1455" t="s">
        <v>192</v>
      </c>
      <c r="N92" s="1456"/>
    </row>
    <row r="93" spans="1:20" ht="38.25" x14ac:dyDescent="0.2">
      <c r="A93" s="340" t="s">
        <v>0</v>
      </c>
      <c r="B93" s="349" t="s">
        <v>166</v>
      </c>
      <c r="C93" s="350" t="s">
        <v>80</v>
      </c>
      <c r="D93" s="350" t="s">
        <v>81</v>
      </c>
      <c r="E93" s="351" t="s">
        <v>187</v>
      </c>
      <c r="F93" s="349"/>
      <c r="G93" s="350" t="s">
        <v>167</v>
      </c>
      <c r="H93" s="350" t="s">
        <v>168</v>
      </c>
      <c r="I93" s="352"/>
      <c r="J93" s="349" t="s">
        <v>167</v>
      </c>
      <c r="K93" s="351" t="s">
        <v>168</v>
      </c>
      <c r="L93" s="353"/>
      <c r="M93" s="350" t="s">
        <v>167</v>
      </c>
      <c r="N93" s="351" t="s">
        <v>168</v>
      </c>
    </row>
    <row r="94" spans="1:20" x14ac:dyDescent="0.2">
      <c r="A94" s="341">
        <v>2006</v>
      </c>
      <c r="B94" s="506">
        <f t="shared" ref="B94:E111" si="36">+B5/B35-1</f>
        <v>0</v>
      </c>
      <c r="C94" s="507">
        <f t="shared" si="36"/>
        <v>0</v>
      </c>
      <c r="D94" s="507">
        <f t="shared" si="36"/>
        <v>0</v>
      </c>
      <c r="E94" s="508">
        <f t="shared" si="36"/>
        <v>0</v>
      </c>
      <c r="F94" s="509"/>
      <c r="G94" s="507">
        <f t="shared" ref="G94:H111" si="37">+G5/G35-1</f>
        <v>0</v>
      </c>
      <c r="H94" s="507">
        <f t="shared" si="37"/>
        <v>0</v>
      </c>
      <c r="I94" s="510"/>
      <c r="J94" s="506">
        <f t="shared" ref="J94:K111" si="38">+J5/J35-1</f>
        <v>0</v>
      </c>
      <c r="K94" s="508">
        <f t="shared" si="38"/>
        <v>0</v>
      </c>
      <c r="L94" s="511"/>
      <c r="M94" s="507">
        <f t="shared" ref="M94:N111" si="39">+M5/M35-1</f>
        <v>0</v>
      </c>
      <c r="N94" s="508">
        <f t="shared" si="39"/>
        <v>0</v>
      </c>
    </row>
    <row r="95" spans="1:20" x14ac:dyDescent="0.2">
      <c r="A95" s="342">
        <f>+A94+1</f>
        <v>2007</v>
      </c>
      <c r="B95" s="506">
        <f t="shared" si="36"/>
        <v>0</v>
      </c>
      <c r="C95" s="507">
        <f t="shared" si="36"/>
        <v>0</v>
      </c>
      <c r="D95" s="507">
        <f t="shared" si="36"/>
        <v>0</v>
      </c>
      <c r="E95" s="508">
        <f t="shared" si="36"/>
        <v>0</v>
      </c>
      <c r="F95" s="509"/>
      <c r="G95" s="507">
        <f t="shared" si="37"/>
        <v>0</v>
      </c>
      <c r="H95" s="507">
        <f t="shared" si="37"/>
        <v>0</v>
      </c>
      <c r="I95" s="510"/>
      <c r="J95" s="506">
        <f t="shared" si="38"/>
        <v>0</v>
      </c>
      <c r="K95" s="508">
        <f t="shared" si="38"/>
        <v>0</v>
      </c>
      <c r="L95" s="511"/>
      <c r="M95" s="507">
        <f t="shared" si="39"/>
        <v>0</v>
      </c>
      <c r="N95" s="508">
        <f t="shared" si="39"/>
        <v>0</v>
      </c>
    </row>
    <row r="96" spans="1:20" x14ac:dyDescent="0.2">
      <c r="A96" s="342">
        <f>+A95+1</f>
        <v>2008</v>
      </c>
      <c r="B96" s="506">
        <f t="shared" si="36"/>
        <v>0</v>
      </c>
      <c r="C96" s="507">
        <f t="shared" si="36"/>
        <v>0</v>
      </c>
      <c r="D96" s="507">
        <f t="shared" si="36"/>
        <v>0</v>
      </c>
      <c r="E96" s="508">
        <f t="shared" si="36"/>
        <v>0</v>
      </c>
      <c r="F96" s="509"/>
      <c r="G96" s="507">
        <f t="shared" si="37"/>
        <v>0</v>
      </c>
      <c r="H96" s="507">
        <f t="shared" si="37"/>
        <v>0</v>
      </c>
      <c r="I96" s="510"/>
      <c r="J96" s="506">
        <f t="shared" si="38"/>
        <v>0</v>
      </c>
      <c r="K96" s="508">
        <f t="shared" si="38"/>
        <v>0</v>
      </c>
      <c r="L96" s="511"/>
      <c r="M96" s="507">
        <f t="shared" si="39"/>
        <v>0</v>
      </c>
      <c r="N96" s="508">
        <f t="shared" si="39"/>
        <v>0</v>
      </c>
    </row>
    <row r="97" spans="1:14" x14ac:dyDescent="0.2">
      <c r="A97" s="342">
        <f t="shared" ref="A97:A118" si="40">+A96+1</f>
        <v>2009</v>
      </c>
      <c r="B97" s="506">
        <f t="shared" si="36"/>
        <v>0</v>
      </c>
      <c r="C97" s="507">
        <f t="shared" si="36"/>
        <v>0</v>
      </c>
      <c r="D97" s="507">
        <f t="shared" si="36"/>
        <v>0</v>
      </c>
      <c r="E97" s="508">
        <f t="shared" si="36"/>
        <v>0</v>
      </c>
      <c r="F97" s="509"/>
      <c r="G97" s="507">
        <f t="shared" si="37"/>
        <v>0</v>
      </c>
      <c r="H97" s="507">
        <f t="shared" si="37"/>
        <v>0</v>
      </c>
      <c r="I97" s="510"/>
      <c r="J97" s="506">
        <f t="shared" si="38"/>
        <v>0</v>
      </c>
      <c r="K97" s="508">
        <f t="shared" si="38"/>
        <v>0</v>
      </c>
      <c r="L97" s="511"/>
      <c r="M97" s="507">
        <f t="shared" si="39"/>
        <v>0</v>
      </c>
      <c r="N97" s="508">
        <f t="shared" si="39"/>
        <v>0</v>
      </c>
    </row>
    <row r="98" spans="1:14" x14ac:dyDescent="0.2">
      <c r="A98" s="342">
        <f t="shared" si="40"/>
        <v>2010</v>
      </c>
      <c r="B98" s="506">
        <f t="shared" si="36"/>
        <v>0</v>
      </c>
      <c r="C98" s="507">
        <f t="shared" si="36"/>
        <v>0</v>
      </c>
      <c r="D98" s="507">
        <f t="shared" si="36"/>
        <v>0</v>
      </c>
      <c r="E98" s="508">
        <f t="shared" si="36"/>
        <v>0</v>
      </c>
      <c r="F98" s="509"/>
      <c r="G98" s="507">
        <f t="shared" si="37"/>
        <v>0</v>
      </c>
      <c r="H98" s="507">
        <f t="shared" si="37"/>
        <v>0</v>
      </c>
      <c r="I98" s="510"/>
      <c r="J98" s="506">
        <f t="shared" si="38"/>
        <v>0</v>
      </c>
      <c r="K98" s="508">
        <f t="shared" si="38"/>
        <v>0</v>
      </c>
      <c r="L98" s="511"/>
      <c r="M98" s="507">
        <f t="shared" si="39"/>
        <v>0</v>
      </c>
      <c r="N98" s="508">
        <f t="shared" si="39"/>
        <v>0</v>
      </c>
    </row>
    <row r="99" spans="1:14" x14ac:dyDescent="0.2">
      <c r="A99" s="342">
        <f t="shared" si="40"/>
        <v>2011</v>
      </c>
      <c r="B99" s="506">
        <f t="shared" si="36"/>
        <v>0</v>
      </c>
      <c r="C99" s="507">
        <f t="shared" si="36"/>
        <v>0</v>
      </c>
      <c r="D99" s="507">
        <f t="shared" si="36"/>
        <v>0</v>
      </c>
      <c r="E99" s="508">
        <f t="shared" si="36"/>
        <v>0</v>
      </c>
      <c r="F99" s="509"/>
      <c r="G99" s="507">
        <f t="shared" si="37"/>
        <v>0</v>
      </c>
      <c r="H99" s="507">
        <f t="shared" si="37"/>
        <v>0</v>
      </c>
      <c r="I99" s="510"/>
      <c r="J99" s="506">
        <f t="shared" si="38"/>
        <v>0</v>
      </c>
      <c r="K99" s="508">
        <f t="shared" si="38"/>
        <v>0</v>
      </c>
      <c r="L99" s="511"/>
      <c r="M99" s="507">
        <f t="shared" si="39"/>
        <v>0</v>
      </c>
      <c r="N99" s="508">
        <f t="shared" si="39"/>
        <v>0</v>
      </c>
    </row>
    <row r="100" spans="1:14" x14ac:dyDescent="0.2">
      <c r="A100" s="342">
        <f t="shared" si="40"/>
        <v>2012</v>
      </c>
      <c r="B100" s="506">
        <f t="shared" si="36"/>
        <v>0</v>
      </c>
      <c r="C100" s="507">
        <f t="shared" si="36"/>
        <v>0</v>
      </c>
      <c r="D100" s="507">
        <f t="shared" si="36"/>
        <v>0</v>
      </c>
      <c r="E100" s="508">
        <f t="shared" si="36"/>
        <v>0</v>
      </c>
      <c r="F100" s="509"/>
      <c r="G100" s="507">
        <f t="shared" si="37"/>
        <v>0</v>
      </c>
      <c r="H100" s="507">
        <f t="shared" si="37"/>
        <v>0</v>
      </c>
      <c r="I100" s="510"/>
      <c r="J100" s="506">
        <f t="shared" si="38"/>
        <v>0</v>
      </c>
      <c r="K100" s="508">
        <f t="shared" si="38"/>
        <v>0</v>
      </c>
      <c r="L100" s="511"/>
      <c r="M100" s="507">
        <f t="shared" si="39"/>
        <v>0</v>
      </c>
      <c r="N100" s="508">
        <f t="shared" si="39"/>
        <v>0</v>
      </c>
    </row>
    <row r="101" spans="1:14" x14ac:dyDescent="0.2">
      <c r="A101" s="342">
        <f t="shared" si="40"/>
        <v>2013</v>
      </c>
      <c r="B101" s="506">
        <f t="shared" si="36"/>
        <v>0</v>
      </c>
      <c r="C101" s="507">
        <f t="shared" si="36"/>
        <v>0</v>
      </c>
      <c r="D101" s="507">
        <f t="shared" si="36"/>
        <v>0</v>
      </c>
      <c r="E101" s="508">
        <f t="shared" si="36"/>
        <v>0</v>
      </c>
      <c r="F101" s="506"/>
      <c r="G101" s="507">
        <f t="shared" si="37"/>
        <v>0</v>
      </c>
      <c r="H101" s="507">
        <f t="shared" si="37"/>
        <v>0</v>
      </c>
      <c r="I101" s="820"/>
      <c r="J101" s="506">
        <f t="shared" si="38"/>
        <v>0</v>
      </c>
      <c r="K101" s="508">
        <f t="shared" si="38"/>
        <v>0</v>
      </c>
      <c r="L101" s="821"/>
      <c r="M101" s="507">
        <f t="shared" si="39"/>
        <v>0</v>
      </c>
      <c r="N101" s="508">
        <f t="shared" si="39"/>
        <v>0</v>
      </c>
    </row>
    <row r="102" spans="1:14" x14ac:dyDescent="0.2">
      <c r="A102" s="342">
        <f t="shared" si="40"/>
        <v>2014</v>
      </c>
      <c r="B102" s="506">
        <f t="shared" si="36"/>
        <v>0</v>
      </c>
      <c r="C102" s="507">
        <f t="shared" si="36"/>
        <v>0</v>
      </c>
      <c r="D102" s="507">
        <f t="shared" si="36"/>
        <v>0</v>
      </c>
      <c r="E102" s="508">
        <f t="shared" si="36"/>
        <v>0</v>
      </c>
      <c r="F102" s="506"/>
      <c r="G102" s="507">
        <f t="shared" si="37"/>
        <v>0</v>
      </c>
      <c r="H102" s="507">
        <f t="shared" si="37"/>
        <v>0</v>
      </c>
      <c r="I102" s="820"/>
      <c r="J102" s="506">
        <f t="shared" si="38"/>
        <v>0</v>
      </c>
      <c r="K102" s="508">
        <f t="shared" si="38"/>
        <v>0</v>
      </c>
      <c r="L102" s="821"/>
      <c r="M102" s="507">
        <f t="shared" si="39"/>
        <v>0</v>
      </c>
      <c r="N102" s="508">
        <f t="shared" si="39"/>
        <v>0</v>
      </c>
    </row>
    <row r="103" spans="1:14" x14ac:dyDescent="0.2">
      <c r="A103" s="342">
        <f t="shared" si="40"/>
        <v>2015</v>
      </c>
      <c r="B103" s="506">
        <f t="shared" si="36"/>
        <v>0</v>
      </c>
      <c r="C103" s="507">
        <f t="shared" si="36"/>
        <v>0</v>
      </c>
      <c r="D103" s="507">
        <f t="shared" si="36"/>
        <v>0</v>
      </c>
      <c r="E103" s="508">
        <f t="shared" si="36"/>
        <v>0</v>
      </c>
      <c r="F103" s="506"/>
      <c r="G103" s="507">
        <f t="shared" si="37"/>
        <v>0</v>
      </c>
      <c r="H103" s="507">
        <f t="shared" si="37"/>
        <v>0</v>
      </c>
      <c r="I103" s="820"/>
      <c r="J103" s="506">
        <f t="shared" si="38"/>
        <v>0</v>
      </c>
      <c r="K103" s="508">
        <f t="shared" si="38"/>
        <v>0</v>
      </c>
      <c r="L103" s="821"/>
      <c r="M103" s="507">
        <f t="shared" si="39"/>
        <v>0</v>
      </c>
      <c r="N103" s="508">
        <f t="shared" si="39"/>
        <v>0</v>
      </c>
    </row>
    <row r="104" spans="1:14" x14ac:dyDescent="0.2">
      <c r="A104" s="342">
        <f t="shared" si="40"/>
        <v>2016</v>
      </c>
      <c r="B104" s="506">
        <f t="shared" si="36"/>
        <v>2.3260927331534287E-3</v>
      </c>
      <c r="C104" s="507">
        <f t="shared" si="36"/>
        <v>-5.3959674892080089E-3</v>
      </c>
      <c r="D104" s="507">
        <f t="shared" si="36"/>
        <v>-4.7846606762763644E-3</v>
      </c>
      <c r="E104" s="508">
        <f t="shared" si="36"/>
        <v>-4.9650783653787389E-4</v>
      </c>
      <c r="F104" s="506"/>
      <c r="G104" s="507">
        <f t="shared" si="37"/>
        <v>-2.1236066468085513E-3</v>
      </c>
      <c r="H104" s="507">
        <f t="shared" si="37"/>
        <v>1.9698066470463793E-4</v>
      </c>
      <c r="I104" s="820"/>
      <c r="J104" s="506">
        <f t="shared" si="38"/>
        <v>4.3090605467903664E-3</v>
      </c>
      <c r="K104" s="508">
        <f t="shared" si="38"/>
        <v>-1.3274599462186343E-3</v>
      </c>
      <c r="L104" s="821"/>
      <c r="M104" s="507">
        <f t="shared" si="39"/>
        <v>-9.4057501234467988E-4</v>
      </c>
      <c r="N104" s="508">
        <f t="shared" si="39"/>
        <v>-2.9673785069483927E-4</v>
      </c>
    </row>
    <row r="105" spans="1:14" x14ac:dyDescent="0.2">
      <c r="A105" s="1137">
        <f t="shared" si="40"/>
        <v>2017</v>
      </c>
      <c r="B105" s="1144">
        <f t="shared" si="36"/>
        <v>4.5673211913448419E-3</v>
      </c>
      <c r="C105" s="1145">
        <f t="shared" si="36"/>
        <v>-2.172637053181381E-3</v>
      </c>
      <c r="D105" s="1145">
        <f t="shared" si="36"/>
        <v>-1.0374904581436084E-3</v>
      </c>
      <c r="E105" s="1146">
        <f t="shared" si="36"/>
        <v>2.1110555559018529E-3</v>
      </c>
      <c r="F105" s="1144"/>
      <c r="G105" s="1145">
        <f t="shared" si="37"/>
        <v>3.4225558627221098E-3</v>
      </c>
      <c r="H105" s="1145">
        <f t="shared" si="37"/>
        <v>3.0366306890499128E-3</v>
      </c>
      <c r="I105" s="1147"/>
      <c r="J105" s="1144">
        <f t="shared" si="38"/>
        <v>-2.7965585868650389E-2</v>
      </c>
      <c r="K105" s="1146">
        <f t="shared" si="38"/>
        <v>-2.0704059264521901E-2</v>
      </c>
      <c r="L105" s="1148"/>
      <c r="M105" s="1145">
        <f t="shared" si="39"/>
        <v>-1.6883617588516753E-3</v>
      </c>
      <c r="N105" s="1146">
        <f t="shared" si="39"/>
        <v>-4.6566182338454443E-3</v>
      </c>
    </row>
    <row r="106" spans="1:14" x14ac:dyDescent="0.2">
      <c r="A106" s="342">
        <f t="shared" si="40"/>
        <v>2018</v>
      </c>
      <c r="B106" s="506">
        <f t="shared" si="36"/>
        <v>4.4803659046834809E-3</v>
      </c>
      <c r="C106" s="507">
        <f t="shared" si="36"/>
        <v>-1.5342550722189485E-2</v>
      </c>
      <c r="D106" s="507">
        <f t="shared" si="36"/>
        <v>-1.4738485114203725E-2</v>
      </c>
      <c r="E106" s="508">
        <f t="shared" si="36"/>
        <v>-2.877097092294445E-3</v>
      </c>
      <c r="F106" s="506"/>
      <c r="G106" s="507">
        <f t="shared" si="37"/>
        <v>2.7437113331432172E-3</v>
      </c>
      <c r="H106" s="507">
        <f t="shared" si="37"/>
        <v>-5.4700189329148774E-4</v>
      </c>
      <c r="I106" s="820"/>
      <c r="J106" s="506">
        <f t="shared" si="38"/>
        <v>-2.7026728759027896E-2</v>
      </c>
      <c r="K106" s="508">
        <f t="shared" si="38"/>
        <v>-2.1927993020278258E-2</v>
      </c>
      <c r="L106" s="821"/>
      <c r="M106" s="507">
        <f t="shared" si="39"/>
        <v>-2.2119355760176207E-3</v>
      </c>
      <c r="N106" s="508">
        <f t="shared" si="39"/>
        <v>-7.4709274047161101E-3</v>
      </c>
    </row>
    <row r="107" spans="1:14" x14ac:dyDescent="0.2">
      <c r="A107" s="342">
        <f t="shared" si="40"/>
        <v>2019</v>
      </c>
      <c r="B107" s="506">
        <f t="shared" si="36"/>
        <v>4.3917416872034654E-3</v>
      </c>
      <c r="C107" s="507">
        <f t="shared" si="36"/>
        <v>-2.8386259461922414E-2</v>
      </c>
      <c r="D107" s="507">
        <f t="shared" si="36"/>
        <v>-2.830436965409211E-2</v>
      </c>
      <c r="E107" s="508">
        <f t="shared" si="36"/>
        <v>-7.8714228558371957E-3</v>
      </c>
      <c r="F107" s="506"/>
      <c r="G107" s="507">
        <f t="shared" si="37"/>
        <v>2.0746801454147867E-3</v>
      </c>
      <c r="H107" s="507">
        <f t="shared" si="37"/>
        <v>-4.1636473466429846E-3</v>
      </c>
      <c r="I107" s="820"/>
      <c r="J107" s="506">
        <f t="shared" si="38"/>
        <v>-2.6148862457839206E-2</v>
      </c>
      <c r="K107" s="508">
        <f t="shared" si="38"/>
        <v>-2.3042718843413246E-2</v>
      </c>
      <c r="L107" s="821"/>
      <c r="M107" s="507">
        <f t="shared" si="39"/>
        <v>-2.7224582868349279E-3</v>
      </c>
      <c r="N107" s="508">
        <f t="shared" si="39"/>
        <v>-1.0274265817978412E-2</v>
      </c>
    </row>
    <row r="108" spans="1:14" x14ac:dyDescent="0.2">
      <c r="A108" s="342">
        <f t="shared" si="40"/>
        <v>2020</v>
      </c>
      <c r="B108" s="506">
        <f t="shared" si="36"/>
        <v>4.3039812227569918E-3</v>
      </c>
      <c r="C108" s="507">
        <f t="shared" si="36"/>
        <v>-4.3141590680591535E-2</v>
      </c>
      <c r="D108" s="507">
        <f t="shared" si="36"/>
        <v>-4.3637591881394822E-2</v>
      </c>
      <c r="E108" s="508">
        <f t="shared" si="36"/>
        <v>-1.3600271023733956E-2</v>
      </c>
      <c r="F108" s="509"/>
      <c r="G108" s="507">
        <f t="shared" si="37"/>
        <v>1.2767876257246957E-3</v>
      </c>
      <c r="H108" s="507">
        <f t="shared" si="37"/>
        <v>-8.0890313690880067E-3</v>
      </c>
      <c r="I108" s="510"/>
      <c r="J108" s="506">
        <f t="shared" si="38"/>
        <v>-2.5159758131252707E-2</v>
      </c>
      <c r="K108" s="508">
        <f t="shared" si="38"/>
        <v>-2.4049051755363204E-2</v>
      </c>
      <c r="L108" s="511"/>
      <c r="M108" s="507">
        <f t="shared" si="39"/>
        <v>-3.3290086395424412E-3</v>
      </c>
      <c r="N108" s="508">
        <f t="shared" si="39"/>
        <v>-1.3255214464601206E-2</v>
      </c>
    </row>
    <row r="109" spans="1:14" x14ac:dyDescent="0.2">
      <c r="A109" s="342">
        <f t="shared" si="40"/>
        <v>2021</v>
      </c>
      <c r="B109" s="506">
        <f t="shared" si="36"/>
        <v>4.2196594882679683E-3</v>
      </c>
      <c r="C109" s="507">
        <f t="shared" si="36"/>
        <v>-5.8807712552865432E-2</v>
      </c>
      <c r="D109" s="507">
        <f t="shared" si="36"/>
        <v>-5.9901564901391313E-2</v>
      </c>
      <c r="E109" s="508">
        <f t="shared" si="36"/>
        <v>-1.9780192397679808E-2</v>
      </c>
      <c r="F109" s="506"/>
      <c r="G109" s="507">
        <f t="shared" si="37"/>
        <v>1.2667925672116276E-4</v>
      </c>
      <c r="H109" s="507">
        <f t="shared" si="37"/>
        <v>-1.2091123001353288E-2</v>
      </c>
      <c r="I109" s="820"/>
      <c r="J109" s="506">
        <f t="shared" si="38"/>
        <v>-2.4242754074862649E-2</v>
      </c>
      <c r="K109" s="508">
        <f t="shared" si="38"/>
        <v>-2.5002363015473539E-2</v>
      </c>
      <c r="L109" s="821"/>
      <c r="M109" s="507">
        <f t="shared" si="39"/>
        <v>-4.2181269392476128E-3</v>
      </c>
      <c r="N109" s="508">
        <f t="shared" si="39"/>
        <v>-1.6269649421473686E-2</v>
      </c>
    </row>
    <row r="110" spans="1:14" x14ac:dyDescent="0.2">
      <c r="A110" s="342">
        <f t="shared" si="40"/>
        <v>2022</v>
      </c>
      <c r="B110" s="506">
        <f t="shared" si="36"/>
        <v>4.1388242982403067E-3</v>
      </c>
      <c r="C110" s="507">
        <f t="shared" si="36"/>
        <v>-7.3481983364218739E-2</v>
      </c>
      <c r="D110" s="507">
        <f t="shared" si="36"/>
        <v>-7.5124145233266826E-2</v>
      </c>
      <c r="E110" s="508">
        <f t="shared" si="36"/>
        <v>-2.5664498405547631E-2</v>
      </c>
      <c r="F110" s="506"/>
      <c r="G110" s="507">
        <f t="shared" si="37"/>
        <v>-1.0027661015151734E-3</v>
      </c>
      <c r="H110" s="507">
        <f t="shared" si="37"/>
        <v>-1.5886337431595732E-2</v>
      </c>
      <c r="I110" s="820"/>
      <c r="J110" s="506">
        <f t="shared" si="38"/>
        <v>-2.3390243948615441E-2</v>
      </c>
      <c r="K110" s="508">
        <f t="shared" si="38"/>
        <v>-2.5906735471120768E-2</v>
      </c>
      <c r="L110" s="821"/>
      <c r="M110" s="507">
        <f t="shared" si="39"/>
        <v>-5.0827860992855856E-3</v>
      </c>
      <c r="N110" s="508">
        <f t="shared" si="39"/>
        <v>-1.9128797119533081E-2</v>
      </c>
    </row>
    <row r="111" spans="1:14" x14ac:dyDescent="0.2">
      <c r="A111" s="342">
        <f t="shared" si="40"/>
        <v>2023</v>
      </c>
      <c r="B111" s="506">
        <f t="shared" si="36"/>
        <v>4.0613833511071729E-3</v>
      </c>
      <c r="C111" s="507">
        <f t="shared" si="36"/>
        <v>-8.7254934877010859E-2</v>
      </c>
      <c r="D111" s="507">
        <f t="shared" si="36"/>
        <v>-8.9401422863753188E-2</v>
      </c>
      <c r="E111" s="508">
        <f t="shared" si="36"/>
        <v>-3.1275015943533102E-2</v>
      </c>
      <c r="F111" s="506"/>
      <c r="G111" s="507">
        <f t="shared" si="37"/>
        <v>-2.112337921320484E-3</v>
      </c>
      <c r="H111" s="507">
        <f t="shared" si="37"/>
        <v>-1.9491148727793339E-2</v>
      </c>
      <c r="I111" s="820"/>
      <c r="J111" s="506">
        <f t="shared" si="38"/>
        <v>-2.2595654991041658E-2</v>
      </c>
      <c r="K111" s="508">
        <f t="shared" si="38"/>
        <v>-2.6765843269291101E-2</v>
      </c>
      <c r="L111" s="821"/>
      <c r="M111" s="507">
        <f t="shared" si="39"/>
        <v>-5.9245240496419438E-3</v>
      </c>
      <c r="N111" s="508">
        <f t="shared" si="39"/>
        <v>-2.1844891286562529E-2</v>
      </c>
    </row>
    <row r="112" spans="1:14" x14ac:dyDescent="0.2">
      <c r="A112" s="342">
        <f t="shared" si="40"/>
        <v>2024</v>
      </c>
      <c r="B112" s="506">
        <f t="shared" ref="B112:E112" si="41">+B23/B53-1</f>
        <v>3.9870154728032237E-3</v>
      </c>
      <c r="C112" s="507">
        <f t="shared" si="41"/>
        <v>-0.10020796768472151</v>
      </c>
      <c r="D112" s="507">
        <f t="shared" si="41"/>
        <v>-0.10281967826577987</v>
      </c>
      <c r="E112" s="508">
        <f t="shared" si="41"/>
        <v>-3.6630845492519937E-2</v>
      </c>
      <c r="F112" s="506"/>
      <c r="G112" s="507">
        <f t="shared" ref="G112:H112" si="42">+G23/G53-1</f>
        <v>-3.2027520701550793E-3</v>
      </c>
      <c r="H112" s="507">
        <f t="shared" si="42"/>
        <v>-2.2919786290260813E-2</v>
      </c>
      <c r="I112" s="820"/>
      <c r="J112" s="506">
        <f t="shared" ref="J112:K112" si="43">+J23/J53-1</f>
        <v>-2.185327822893357E-2</v>
      </c>
      <c r="K112" s="508">
        <f t="shared" si="43"/>
        <v>-2.7583001747592983E-2</v>
      </c>
      <c r="L112" s="821"/>
      <c r="M112" s="507">
        <f t="shared" ref="M112:N112" si="44">+M23/M53-1</f>
        <v>-6.7441849454398239E-3</v>
      </c>
      <c r="N112" s="508">
        <f t="shared" si="44"/>
        <v>-2.442846846559843E-2</v>
      </c>
    </row>
    <row r="113" spans="1:14" x14ac:dyDescent="0.2">
      <c r="A113" s="342">
        <f t="shared" si="40"/>
        <v>2025</v>
      </c>
      <c r="B113" s="506">
        <f t="shared" ref="B113:E113" si="45">+B24/B54-1</f>
        <v>3.9154322201579994E-3</v>
      </c>
      <c r="C113" s="507">
        <f t="shared" si="45"/>
        <v>-0.11241218143917664</v>
      </c>
      <c r="D113" s="507">
        <f t="shared" si="45"/>
        <v>-0.11545417455780838</v>
      </c>
      <c r="E113" s="508">
        <f t="shared" si="45"/>
        <v>-4.174883896731918E-2</v>
      </c>
      <c r="F113" s="506"/>
      <c r="G113" s="507">
        <f t="shared" ref="G113:H113" si="46">+G24/G54-1</f>
        <v>-4.2746864085897451E-3</v>
      </c>
      <c r="H113" s="507">
        <f t="shared" si="46"/>
        <v>-2.6184794898382102E-2</v>
      </c>
      <c r="I113" s="820"/>
      <c r="J113" s="506">
        <f t="shared" ref="J113:K113" si="47">+J24/J54-1</f>
        <v>-2.1158131092935073E-2</v>
      </c>
      <c r="K113" s="508">
        <f t="shared" si="47"/>
        <v>-2.8361210191072073E-2</v>
      </c>
      <c r="L113" s="821"/>
      <c r="M113" s="507">
        <f t="shared" ref="M113:N113" si="48">+M24/M54-1</f>
        <v>-7.5427469357827182E-3</v>
      </c>
      <c r="N113" s="508">
        <f t="shared" si="48"/>
        <v>-2.688888647907095E-2</v>
      </c>
    </row>
    <row r="114" spans="1:14" x14ac:dyDescent="0.2">
      <c r="A114" s="342">
        <f t="shared" si="40"/>
        <v>2026</v>
      </c>
      <c r="B114" s="506">
        <f t="shared" ref="B114:E114" si="49">+B25/B55-1</f>
        <v>3.8463740567888927E-3</v>
      </c>
      <c r="C114" s="507">
        <f t="shared" si="49"/>
        <v>-0.1239133910505047</v>
      </c>
      <c r="D114" s="507">
        <f t="shared" si="49"/>
        <v>-0.12735416922994913</v>
      </c>
      <c r="E114" s="508">
        <f t="shared" si="49"/>
        <v>-4.6633377233049944E-2</v>
      </c>
      <c r="F114" s="506"/>
      <c r="G114" s="507">
        <f t="shared" ref="G114:H114" si="50">+G25/G55-1</f>
        <v>-5.3284916376222791E-3</v>
      </c>
      <c r="H114" s="507">
        <f t="shared" si="50"/>
        <v>-2.9297283606527502E-2</v>
      </c>
      <c r="I114" s="820"/>
      <c r="J114" s="506">
        <f t="shared" ref="J114:K114" si="51">+J25/J55-1</f>
        <v>-2.0505845445742854E-2</v>
      </c>
      <c r="K114" s="508">
        <f t="shared" si="51"/>
        <v>-2.9103188617312425E-2</v>
      </c>
      <c r="L114" s="821"/>
      <c r="M114" s="507">
        <f t="shared" ref="M114:N114" si="52">+M25/M55-1</f>
        <v>-8.3207585142264229E-3</v>
      </c>
      <c r="N114" s="508">
        <f t="shared" si="52"/>
        <v>-2.9234495415436212E-2</v>
      </c>
    </row>
    <row r="115" spans="1:14" x14ac:dyDescent="0.2">
      <c r="A115" s="342">
        <f t="shared" si="40"/>
        <v>2027</v>
      </c>
      <c r="B115" s="506">
        <f t="shared" ref="B115:E115" si="53">+B26/B56-1</f>
        <v>3.7797096901006633E-3</v>
      </c>
      <c r="C115" s="507">
        <f t="shared" si="53"/>
        <v>-0.13480418444031561</v>
      </c>
      <c r="D115" s="507">
        <f t="shared" si="53"/>
        <v>-0.13861583153111579</v>
      </c>
      <c r="E115" s="508">
        <f t="shared" si="53"/>
        <v>-5.1320409790505783E-2</v>
      </c>
      <c r="F115" s="506"/>
      <c r="G115" s="507">
        <f t="shared" ref="G115:H115" si="54">+G26/G56-1</f>
        <v>-6.3646238140678824E-3</v>
      </c>
      <c r="H115" s="507">
        <f t="shared" si="54"/>
        <v>-3.2267695597946067E-2</v>
      </c>
      <c r="I115" s="820"/>
      <c r="J115" s="506">
        <f t="shared" ref="J115:K115" si="55">+J26/J56-1</f>
        <v>-1.9892575702794901E-2</v>
      </c>
      <c r="K115" s="508">
        <f t="shared" si="55"/>
        <v>-2.9811409540740019E-2</v>
      </c>
      <c r="L115" s="821"/>
      <c r="M115" s="507">
        <f t="shared" ref="M115:N115" si="56">+M26/M56-1</f>
        <v>-9.0790028781152499E-3</v>
      </c>
      <c r="N115" s="508">
        <f t="shared" si="56"/>
        <v>-3.1473147967198023E-2</v>
      </c>
    </row>
    <row r="116" spans="1:14" x14ac:dyDescent="0.2">
      <c r="A116" s="342">
        <f t="shared" si="40"/>
        <v>2028</v>
      </c>
      <c r="B116" s="506">
        <f t="shared" ref="B116:E116" si="57">+B27/B57-1</f>
        <v>3.7153167745480609E-3</v>
      </c>
      <c r="C116" s="507">
        <f t="shared" si="57"/>
        <v>-0.14511554905605195</v>
      </c>
      <c r="D116" s="507">
        <f t="shared" si="57"/>
        <v>-0.14927261741025044</v>
      </c>
      <c r="E116" s="508">
        <f t="shared" si="57"/>
        <v>-5.5811883016264607E-2</v>
      </c>
      <c r="F116" s="506"/>
      <c r="G116" s="507">
        <f t="shared" ref="G116:H116" si="58">+G27/G57-1</f>
        <v>-7.383523825158389E-3</v>
      </c>
      <c r="H116" s="507">
        <f t="shared" si="58"/>
        <v>-3.5105541924222328E-2</v>
      </c>
      <c r="I116" s="820"/>
      <c r="J116" s="506">
        <f t="shared" ref="J116:K116" si="59">+J27/J57-1</f>
        <v>-1.9314922961246483E-2</v>
      </c>
      <c r="K116" s="508">
        <f t="shared" si="59"/>
        <v>-3.0488125497859953E-2</v>
      </c>
      <c r="L116" s="821"/>
      <c r="M116" s="507">
        <f t="shared" ref="M116:N116" si="60">+M27/M57-1</f>
        <v>-9.8182239260895532E-3</v>
      </c>
      <c r="N116" s="508">
        <f t="shared" si="60"/>
        <v>-3.3611996647537667E-2</v>
      </c>
    </row>
    <row r="117" spans="1:14" x14ac:dyDescent="0.2">
      <c r="A117" s="342">
        <f t="shared" si="40"/>
        <v>2029</v>
      </c>
      <c r="B117" s="506">
        <f t="shared" ref="B117:E117" si="61">+B28/B58-1</f>
        <v>3.6530811622728088E-3</v>
      </c>
      <c r="C117" s="507">
        <f t="shared" si="61"/>
        <v>-0.15489252816107768</v>
      </c>
      <c r="D117" s="507">
        <f t="shared" si="61"/>
        <v>-0.15937198522594487</v>
      </c>
      <c r="E117" s="508">
        <f t="shared" si="61"/>
        <v>-6.0119785923821611E-2</v>
      </c>
      <c r="F117" s="506"/>
      <c r="G117" s="507">
        <f t="shared" ref="G117:H117" si="62">+G28/G58-1</f>
        <v>-8.385618014062679E-3</v>
      </c>
      <c r="H117" s="507">
        <f t="shared" si="62"/>
        <v>-3.7819503234842067E-2</v>
      </c>
      <c r="I117" s="820"/>
      <c r="J117" s="506">
        <f t="shared" ref="J117:K117" si="63">+J28/J58-1</f>
        <v>-1.8769871975044983E-2</v>
      </c>
      <c r="K117" s="508">
        <f t="shared" si="63"/>
        <v>-3.1135392979061094E-2</v>
      </c>
      <c r="L117" s="821"/>
      <c r="M117" s="507">
        <f t="shared" ref="M117:N117" si="64">+M28/M58-1</f>
        <v>-1.0539128692424127E-2</v>
      </c>
      <c r="N117" s="508">
        <f t="shared" si="64"/>
        <v>-3.5657570127372584E-2</v>
      </c>
    </row>
    <row r="118" spans="1:14" x14ac:dyDescent="0.2">
      <c r="A118" s="343">
        <f t="shared" si="40"/>
        <v>2030</v>
      </c>
      <c r="B118" s="506">
        <f t="shared" ref="B118:E118" si="65">+B29/B59-1</f>
        <v>3.5928962278108934E-3</v>
      </c>
      <c r="C118" s="507">
        <f t="shared" si="65"/>
        <v>-0.16417561421538163</v>
      </c>
      <c r="D118" s="507">
        <f t="shared" si="65"/>
        <v>-0.16895655512022068</v>
      </c>
      <c r="E118" s="508">
        <f t="shared" si="65"/>
        <v>-6.4255147150087288E-2</v>
      </c>
      <c r="F118" s="506"/>
      <c r="G118" s="507">
        <f t="shared" ref="G118:H118" si="66">+G29/G59-1</f>
        <v>-9.3713187747107574E-3</v>
      </c>
      <c r="H118" s="507">
        <f t="shared" si="66"/>
        <v>-4.0417518468456981E-2</v>
      </c>
      <c r="I118" s="820"/>
      <c r="J118" s="506">
        <f t="shared" ref="J118:K118" si="67">+J29/J59-1</f>
        <v>-1.8254738508206025E-2</v>
      </c>
      <c r="K118" s="508">
        <f t="shared" si="67"/>
        <v>-3.1755093302656801E-2</v>
      </c>
      <c r="L118" s="821"/>
      <c r="M118" s="507">
        <f t="shared" ref="M118:N118" si="68">+M29/M59-1</f>
        <v>-1.1242389602631575E-2</v>
      </c>
      <c r="N118" s="508">
        <f t="shared" si="68"/>
        <v>-3.7615839798361028E-2</v>
      </c>
    </row>
  </sheetData>
  <mergeCells count="24">
    <mergeCell ref="S3:V3"/>
    <mergeCell ref="X3:Y3"/>
    <mergeCell ref="AA3:AB3"/>
    <mergeCell ref="AD3:AE3"/>
    <mergeCell ref="A2:N2"/>
    <mergeCell ref="B3:E3"/>
    <mergeCell ref="G3:H3"/>
    <mergeCell ref="J3:K3"/>
    <mergeCell ref="M3:N3"/>
    <mergeCell ref="A61:N61"/>
    <mergeCell ref="B62:E62"/>
    <mergeCell ref="G62:H62"/>
    <mergeCell ref="J62:K62"/>
    <mergeCell ref="M62:N62"/>
    <mergeCell ref="M33:N33"/>
    <mergeCell ref="B33:E33"/>
    <mergeCell ref="G33:H33"/>
    <mergeCell ref="J33:K33"/>
    <mergeCell ref="A32:N32"/>
    <mergeCell ref="A91:N91"/>
    <mergeCell ref="B92:E92"/>
    <mergeCell ref="G92:H92"/>
    <mergeCell ref="J92:K92"/>
    <mergeCell ref="M92:N92"/>
  </mergeCells>
  <phoneticPr fontId="7" type="noConversion"/>
  <conditionalFormatting sqref="B94:N96 B102:N107 B109:N118 F100:N101 F97:N98">
    <cfRule type="colorScale" priority="5">
      <colorScale>
        <cfvo type="min"/>
        <cfvo type="percentile" val="50"/>
        <cfvo type="max"/>
        <color rgb="FFF8696B"/>
        <color rgb="FFFFEB84"/>
        <color rgb="FF63BE7B"/>
      </colorScale>
    </cfRule>
  </conditionalFormatting>
  <conditionalFormatting sqref="F99:N99">
    <cfRule type="colorScale" priority="4">
      <colorScale>
        <cfvo type="min"/>
        <cfvo type="percentile" val="50"/>
        <cfvo type="max"/>
        <color rgb="FFF8696B"/>
        <color rgb="FFFFEB84"/>
        <color rgb="FF63BE7B"/>
      </colorScale>
    </cfRule>
  </conditionalFormatting>
  <conditionalFormatting sqref="B108:N108">
    <cfRule type="colorScale" priority="3">
      <colorScale>
        <cfvo type="min"/>
        <cfvo type="percentile" val="50"/>
        <cfvo type="max"/>
        <color rgb="FFF8696B"/>
        <color rgb="FFFFEB84"/>
        <color rgb="FF63BE7B"/>
      </colorScale>
    </cfRule>
  </conditionalFormatting>
  <conditionalFormatting sqref="B97:E101">
    <cfRule type="colorScale" priority="2">
      <colorScale>
        <cfvo type="min"/>
        <cfvo type="percentile" val="50"/>
        <cfvo type="max"/>
        <color rgb="FFF8696B"/>
        <color rgb="FFFFEB84"/>
        <color rgb="FF63BE7B"/>
      </colorScale>
    </cfRule>
  </conditionalFormatting>
  <conditionalFormatting sqref="B94:N118">
    <cfRule type="colorScale" priority="1">
      <colorScale>
        <cfvo type="min"/>
        <cfvo type="percentile" val="50"/>
        <cfvo type="max"/>
        <color rgb="FFF8696B"/>
        <color rgb="FFFFEB84"/>
        <color rgb="FF63BE7B"/>
      </colorScale>
    </cfRule>
  </conditionalFormatting>
  <pageMargins left="0.64" right="0.5" top="0.33" bottom="0.51" header="0.18" footer="0.24"/>
  <pageSetup scale="81" orientation="landscape" horizontalDpi="300" verticalDpi="300" r:id="rId1"/>
  <headerFooter alignWithMargins="0">
    <oddHeader>&amp;CDSM_FORE.xls Forcst15 vs. Forcst14</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1"/>
    <pageSetUpPr fitToPage="1"/>
  </sheetPr>
  <dimension ref="A1:Q61"/>
  <sheetViews>
    <sheetView workbookViewId="0">
      <selection activeCell="K16" sqref="K16"/>
    </sheetView>
  </sheetViews>
  <sheetFormatPr defaultRowHeight="12.75" x14ac:dyDescent="0.2"/>
  <cols>
    <col min="5" max="5" width="2.5703125" customWidth="1"/>
    <col min="8" max="8" width="14.5703125" customWidth="1"/>
    <col min="9" max="9" width="3" customWidth="1"/>
    <col min="10" max="10" width="1.7109375" customWidth="1"/>
    <col min="11" max="11" width="13.28515625" customWidth="1"/>
    <col min="12" max="12" width="12.42578125" customWidth="1"/>
    <col min="16" max="16" width="10.28515625" customWidth="1"/>
    <col min="17" max="17" width="9.42578125" customWidth="1"/>
  </cols>
  <sheetData>
    <row r="1" spans="1:17" ht="15.75" x14ac:dyDescent="0.25">
      <c r="B1" s="1457" t="s">
        <v>169</v>
      </c>
      <c r="C1" s="1458"/>
      <c r="D1" s="1459"/>
      <c r="F1" s="1457" t="s">
        <v>170</v>
      </c>
      <c r="G1" s="1458"/>
      <c r="H1" s="1459"/>
    </row>
    <row r="2" spans="1:17" ht="24" thickBot="1" x14ac:dyDescent="0.4">
      <c r="A2" s="26"/>
      <c r="B2" s="1460" t="s">
        <v>73</v>
      </c>
      <c r="C2" s="1461"/>
      <c r="D2" s="1462"/>
      <c r="F2" s="1460" t="s">
        <v>73</v>
      </c>
      <c r="G2" s="1461"/>
      <c r="H2" s="1462"/>
      <c r="K2" s="759" t="s">
        <v>289</v>
      </c>
      <c r="L2" s="760"/>
      <c r="M2" s="760"/>
      <c r="N2" s="760"/>
      <c r="O2" s="760"/>
      <c r="P2" s="760"/>
      <c r="Q2" s="760"/>
    </row>
    <row r="3" spans="1:17" ht="13.5" thickBot="1" x14ac:dyDescent="0.25">
      <c r="A3" s="316" t="s">
        <v>0</v>
      </c>
      <c r="B3" s="317" t="s">
        <v>50</v>
      </c>
      <c r="C3" s="318" t="s">
        <v>51</v>
      </c>
      <c r="D3" s="319" t="s">
        <v>52</v>
      </c>
      <c r="F3" s="323" t="s">
        <v>50</v>
      </c>
      <c r="G3" s="312" t="s">
        <v>51</v>
      </c>
      <c r="H3" s="313" t="s">
        <v>52</v>
      </c>
      <c r="K3" s="751" t="s">
        <v>287</v>
      </c>
      <c r="L3" s="751"/>
      <c r="M3" s="751"/>
      <c r="N3" s="751"/>
      <c r="O3" s="751"/>
      <c r="P3" s="751"/>
      <c r="Q3" s="750"/>
    </row>
    <row r="4" spans="1:17" ht="27" x14ac:dyDescent="0.25">
      <c r="A4" s="322" t="s">
        <v>37</v>
      </c>
      <c r="B4" s="320" t="s">
        <v>74</v>
      </c>
      <c r="C4" s="314" t="s">
        <v>74</v>
      </c>
      <c r="D4" s="315" t="s">
        <v>74</v>
      </c>
      <c r="F4" s="324" t="s">
        <v>74</v>
      </c>
      <c r="G4" s="129" t="s">
        <v>74</v>
      </c>
      <c r="H4" s="130" t="s">
        <v>74</v>
      </c>
      <c r="K4" s="758" t="s">
        <v>468</v>
      </c>
      <c r="L4" s="751"/>
      <c r="M4" s="751"/>
      <c r="N4" s="751"/>
      <c r="O4" s="751"/>
      <c r="P4" s="751"/>
      <c r="Q4" s="750"/>
    </row>
    <row r="5" spans="1:17" ht="27" x14ac:dyDescent="0.2">
      <c r="A5" s="68" t="s">
        <v>63</v>
      </c>
      <c r="B5" s="321">
        <v>0.08</v>
      </c>
      <c r="C5" s="169">
        <v>0.08</v>
      </c>
      <c r="D5" s="170">
        <v>0.05</v>
      </c>
      <c r="F5" s="325">
        <v>0.06</v>
      </c>
      <c r="G5" s="169">
        <v>0.06</v>
      </c>
      <c r="H5" s="170">
        <v>0.05</v>
      </c>
      <c r="K5" s="751" t="s">
        <v>290</v>
      </c>
      <c r="L5" s="751"/>
      <c r="M5" s="751"/>
      <c r="N5" s="751"/>
      <c r="O5" s="751"/>
      <c r="P5" s="751"/>
      <c r="Q5" s="750"/>
    </row>
    <row r="6" spans="1:17" x14ac:dyDescent="0.2">
      <c r="A6" s="33">
        <v>1995</v>
      </c>
      <c r="B6" s="289">
        <v>0.08</v>
      </c>
      <c r="C6" s="131">
        <v>0.08</v>
      </c>
      <c r="D6" s="132">
        <v>0.05</v>
      </c>
      <c r="F6" s="291">
        <v>0.06</v>
      </c>
      <c r="G6" s="131">
        <v>0.06</v>
      </c>
      <c r="H6" s="132">
        <v>0.05</v>
      </c>
      <c r="K6" s="752"/>
      <c r="L6" s="752" t="s">
        <v>288</v>
      </c>
      <c r="M6" s="752" t="s">
        <v>52</v>
      </c>
      <c r="N6" s="751"/>
      <c r="O6" s="751"/>
      <c r="P6" s="751"/>
      <c r="Q6" s="750"/>
    </row>
    <row r="7" spans="1:17" x14ac:dyDescent="0.2">
      <c r="A7" s="33">
        <v>1996</v>
      </c>
      <c r="B7" s="289">
        <v>6.2E-2</v>
      </c>
      <c r="C7" s="131">
        <v>6.2E-2</v>
      </c>
      <c r="D7" s="132">
        <v>5.0999999999999997E-2</v>
      </c>
      <c r="F7" s="291">
        <v>3.4000000000000002E-2</v>
      </c>
      <c r="G7" s="131">
        <v>3.4000000000000002E-2</v>
      </c>
      <c r="H7" s="132">
        <v>2.7E-2</v>
      </c>
      <c r="K7" s="752" t="s">
        <v>79</v>
      </c>
      <c r="L7" s="753">
        <v>7.2999999999999995E-2</v>
      </c>
      <c r="M7" s="753">
        <v>5.6000000000000001E-2</v>
      </c>
      <c r="N7" s="751"/>
      <c r="O7" s="751"/>
      <c r="P7" s="751"/>
      <c r="Q7" s="750"/>
    </row>
    <row r="8" spans="1:17" x14ac:dyDescent="0.2">
      <c r="A8" s="33">
        <v>1997</v>
      </c>
      <c r="B8" s="289">
        <v>6.2E-2</v>
      </c>
      <c r="C8" s="131">
        <v>6.2E-2</v>
      </c>
      <c r="D8" s="132">
        <v>5.0999999999999997E-2</v>
      </c>
      <c r="F8" s="291">
        <v>3.4000000000000002E-2</v>
      </c>
      <c r="G8" s="131">
        <v>3.4000000000000002E-2</v>
      </c>
      <c r="H8" s="132">
        <v>2.7E-2</v>
      </c>
      <c r="K8" s="752" t="s">
        <v>286</v>
      </c>
      <c r="L8" s="753">
        <v>7.0000000000000007E-2</v>
      </c>
      <c r="M8" s="753">
        <v>5.1999999999999998E-2</v>
      </c>
      <c r="N8" s="751"/>
      <c r="O8" s="751"/>
      <c r="P8" s="751"/>
      <c r="Q8" s="750"/>
    </row>
    <row r="9" spans="1:17" x14ac:dyDescent="0.2">
      <c r="A9" s="33">
        <v>1998</v>
      </c>
      <c r="B9" s="289">
        <v>6.2E-2</v>
      </c>
      <c r="C9" s="131">
        <v>6.2E-2</v>
      </c>
      <c r="D9" s="132">
        <v>5.0999999999999997E-2</v>
      </c>
      <c r="F9" s="291">
        <v>3.4000000000000002E-2</v>
      </c>
      <c r="G9" s="131">
        <v>3.4000000000000002E-2</v>
      </c>
      <c r="H9" s="132">
        <v>2.7E-2</v>
      </c>
    </row>
    <row r="10" spans="1:17" x14ac:dyDescent="0.2">
      <c r="A10" s="33">
        <v>1999</v>
      </c>
      <c r="B10" s="289">
        <v>6.2E-2</v>
      </c>
      <c r="C10" s="131">
        <v>6.2E-2</v>
      </c>
      <c r="D10" s="132">
        <v>5.0999999999999997E-2</v>
      </c>
      <c r="F10" s="291">
        <v>3.4000000000000002E-2</v>
      </c>
      <c r="G10" s="131">
        <v>3.4000000000000002E-2</v>
      </c>
      <c r="H10" s="132">
        <v>2.7E-2</v>
      </c>
    </row>
    <row r="11" spans="1:17" x14ac:dyDescent="0.2">
      <c r="A11" s="33">
        <v>2000</v>
      </c>
      <c r="B11" s="289">
        <v>6.6000000000000003E-2</v>
      </c>
      <c r="C11" s="131">
        <v>6.6000000000000003E-2</v>
      </c>
      <c r="D11" s="132">
        <v>0.06</v>
      </c>
      <c r="F11" s="291">
        <v>6.5000000000000002E-2</v>
      </c>
      <c r="G11" s="131">
        <v>6.5000000000000002E-2</v>
      </c>
      <c r="H11" s="132">
        <v>5.8000000000000003E-2</v>
      </c>
    </row>
    <row r="12" spans="1:17" x14ac:dyDescent="0.2">
      <c r="A12" s="33">
        <v>2001</v>
      </c>
      <c r="B12" s="289">
        <v>6.6000000000000003E-2</v>
      </c>
      <c r="C12" s="131">
        <v>6.6000000000000003E-2</v>
      </c>
      <c r="D12" s="132">
        <v>0.06</v>
      </c>
      <c r="F12" s="291">
        <v>6.5000000000000002E-2</v>
      </c>
      <c r="G12" s="131">
        <v>6.5000000000000002E-2</v>
      </c>
      <c r="H12" s="132">
        <v>5.8000000000000003E-2</v>
      </c>
      <c r="K12" s="956" t="s">
        <v>469</v>
      </c>
    </row>
    <row r="13" spans="1:17" x14ac:dyDescent="0.2">
      <c r="A13" s="33">
        <v>2002</v>
      </c>
      <c r="B13" s="289">
        <v>6.6000000000000003E-2</v>
      </c>
      <c r="C13" s="131">
        <v>6.6000000000000003E-2</v>
      </c>
      <c r="D13" s="132">
        <v>0.06</v>
      </c>
      <c r="F13" s="291">
        <v>6.5000000000000002E-2</v>
      </c>
      <c r="G13" s="131">
        <v>6.5000000000000002E-2</v>
      </c>
      <c r="H13" s="132">
        <v>5.8000000000000003E-2</v>
      </c>
      <c r="K13" s="956" t="s">
        <v>470</v>
      </c>
    </row>
    <row r="14" spans="1:17" x14ac:dyDescent="0.2">
      <c r="A14" s="33">
        <v>2003</v>
      </c>
      <c r="B14" s="289">
        <v>6.6000000000000003E-2</v>
      </c>
      <c r="C14" s="131">
        <v>6.6000000000000003E-2</v>
      </c>
      <c r="D14" s="132">
        <v>0.06</v>
      </c>
      <c r="F14" s="291">
        <v>6.5000000000000002E-2</v>
      </c>
      <c r="G14" s="131">
        <v>6.5000000000000002E-2</v>
      </c>
      <c r="H14" s="132">
        <v>5.8000000000000003E-2</v>
      </c>
      <c r="K14" s="956" t="s">
        <v>471</v>
      </c>
    </row>
    <row r="15" spans="1:17" x14ac:dyDescent="0.2">
      <c r="A15" s="33">
        <f>+A14+1</f>
        <v>2004</v>
      </c>
      <c r="B15" s="289">
        <v>6.6000000000000003E-2</v>
      </c>
      <c r="C15" s="131">
        <v>6.6000000000000003E-2</v>
      </c>
      <c r="D15" s="132">
        <v>0.06</v>
      </c>
      <c r="F15" s="291">
        <v>6.5000000000000002E-2</v>
      </c>
      <c r="G15" s="131">
        <v>6.5000000000000002E-2</v>
      </c>
      <c r="H15" s="132">
        <v>5.8000000000000003E-2</v>
      </c>
    </row>
    <row r="16" spans="1:17" x14ac:dyDescent="0.2">
      <c r="A16" s="33">
        <f t="shared" ref="A16:A36" si="0">+A15+1</f>
        <v>2005</v>
      </c>
      <c r="B16" s="289">
        <v>6.6000000000000003E-2</v>
      </c>
      <c r="C16" s="131">
        <v>6.6000000000000003E-2</v>
      </c>
      <c r="D16" s="132">
        <v>0.06</v>
      </c>
      <c r="F16" s="291">
        <v>6.5000000000000002E-2</v>
      </c>
      <c r="G16" s="131">
        <v>6.5000000000000002E-2</v>
      </c>
      <c r="H16" s="132">
        <v>5.8000000000000003E-2</v>
      </c>
      <c r="K16" s="45" t="s">
        <v>498</v>
      </c>
    </row>
    <row r="17" spans="1:8" x14ac:dyDescent="0.2">
      <c r="A17" s="33">
        <f t="shared" si="0"/>
        <v>2006</v>
      </c>
      <c r="B17" s="289">
        <v>6.6000000000000003E-2</v>
      </c>
      <c r="C17" s="131">
        <v>6.6000000000000003E-2</v>
      </c>
      <c r="D17" s="132">
        <v>0.06</v>
      </c>
      <c r="F17" s="291">
        <v>6.5000000000000002E-2</v>
      </c>
      <c r="G17" s="131">
        <v>6.5000000000000002E-2</v>
      </c>
      <c r="H17" s="132">
        <v>5.8000000000000003E-2</v>
      </c>
    </row>
    <row r="18" spans="1:8" x14ac:dyDescent="0.2">
      <c r="A18" s="33">
        <f t="shared" si="0"/>
        <v>2007</v>
      </c>
      <c r="B18" s="289">
        <v>6.6000000000000003E-2</v>
      </c>
      <c r="C18" s="131">
        <v>6.6000000000000003E-2</v>
      </c>
      <c r="D18" s="132">
        <v>0.06</v>
      </c>
      <c r="F18" s="291">
        <v>6.5000000000000002E-2</v>
      </c>
      <c r="G18" s="131">
        <v>6.5000000000000002E-2</v>
      </c>
      <c r="H18" s="132">
        <v>5.8000000000000003E-2</v>
      </c>
    </row>
    <row r="19" spans="1:8" x14ac:dyDescent="0.2">
      <c r="A19" s="33">
        <f t="shared" si="0"/>
        <v>2008</v>
      </c>
      <c r="B19" s="289">
        <v>6.6000000000000003E-2</v>
      </c>
      <c r="C19" s="131">
        <v>6.6000000000000003E-2</v>
      </c>
      <c r="D19" s="132">
        <v>0.06</v>
      </c>
      <c r="F19" s="291">
        <v>6.5000000000000002E-2</v>
      </c>
      <c r="G19" s="131">
        <v>6.5000000000000002E-2</v>
      </c>
      <c r="H19" s="132">
        <v>5.8000000000000003E-2</v>
      </c>
    </row>
    <row r="20" spans="1:8" x14ac:dyDescent="0.2">
      <c r="A20" s="33">
        <f t="shared" si="0"/>
        <v>2009</v>
      </c>
      <c r="B20" s="289">
        <v>6.6000000000000003E-2</v>
      </c>
      <c r="C20" s="131">
        <v>6.6000000000000003E-2</v>
      </c>
      <c r="D20" s="132">
        <v>0.06</v>
      </c>
      <c r="F20" s="291">
        <v>6.5000000000000002E-2</v>
      </c>
      <c r="G20" s="131">
        <v>6.5000000000000002E-2</v>
      </c>
      <c r="H20" s="132">
        <v>5.8000000000000003E-2</v>
      </c>
    </row>
    <row r="21" spans="1:8" x14ac:dyDescent="0.2">
      <c r="A21" s="33">
        <f t="shared" si="0"/>
        <v>2010</v>
      </c>
      <c r="B21" s="289">
        <v>6.6000000000000003E-2</v>
      </c>
      <c r="C21" s="131">
        <v>6.6000000000000003E-2</v>
      </c>
      <c r="D21" s="132">
        <v>0.06</v>
      </c>
      <c r="F21" s="291">
        <v>6.5000000000000002E-2</v>
      </c>
      <c r="G21" s="131">
        <v>6.5000000000000002E-2</v>
      </c>
      <c r="H21" s="132">
        <v>5.8000000000000003E-2</v>
      </c>
    </row>
    <row r="22" spans="1:8" x14ac:dyDescent="0.2">
      <c r="A22" s="33">
        <f t="shared" si="0"/>
        <v>2011</v>
      </c>
      <c r="B22" s="289">
        <v>6.6000000000000003E-2</v>
      </c>
      <c r="C22" s="131">
        <v>6.6000000000000003E-2</v>
      </c>
      <c r="D22" s="132">
        <v>0.06</v>
      </c>
      <c r="F22" s="291">
        <v>6.5000000000000002E-2</v>
      </c>
      <c r="G22" s="131">
        <v>6.5000000000000002E-2</v>
      </c>
      <c r="H22" s="132">
        <v>5.8000000000000003E-2</v>
      </c>
    </row>
    <row r="23" spans="1:8" ht="13.5" thickBot="1" x14ac:dyDescent="0.25">
      <c r="A23" s="34">
        <f t="shared" si="0"/>
        <v>2012</v>
      </c>
      <c r="B23" s="754">
        <v>6.6000000000000003E-2</v>
      </c>
      <c r="C23" s="755">
        <v>6.6000000000000003E-2</v>
      </c>
      <c r="D23" s="756">
        <v>0.06</v>
      </c>
      <c r="E23" s="376"/>
      <c r="F23" s="757">
        <v>6.5000000000000002E-2</v>
      </c>
      <c r="G23" s="755">
        <v>6.5000000000000002E-2</v>
      </c>
      <c r="H23" s="756">
        <v>5.8000000000000003E-2</v>
      </c>
    </row>
    <row r="24" spans="1:8" x14ac:dyDescent="0.2">
      <c r="A24" s="283">
        <f t="shared" si="0"/>
        <v>2013</v>
      </c>
      <c r="B24" s="180">
        <f>L7</f>
        <v>7.2999999999999995E-2</v>
      </c>
      <c r="C24" s="135">
        <f>L7</f>
        <v>7.2999999999999995E-2</v>
      </c>
      <c r="D24" s="290">
        <f>M7</f>
        <v>5.6000000000000001E-2</v>
      </c>
      <c r="F24" s="181">
        <f>L8</f>
        <v>7.0000000000000007E-2</v>
      </c>
      <c r="G24" s="135">
        <f>L8</f>
        <v>7.0000000000000007E-2</v>
      </c>
      <c r="H24" s="326">
        <f>M8</f>
        <v>5.1999999999999998E-2</v>
      </c>
    </row>
    <row r="25" spans="1:8" x14ac:dyDescent="0.2">
      <c r="A25" s="33">
        <f t="shared" si="0"/>
        <v>2014</v>
      </c>
      <c r="B25" s="180">
        <f>B24</f>
        <v>7.2999999999999995E-2</v>
      </c>
      <c r="C25" s="133">
        <f>C24</f>
        <v>7.2999999999999995E-2</v>
      </c>
      <c r="D25" s="134">
        <f>D24</f>
        <v>5.6000000000000001E-2</v>
      </c>
      <c r="F25" s="181">
        <f>F24</f>
        <v>7.0000000000000007E-2</v>
      </c>
      <c r="G25" s="135">
        <f>G24</f>
        <v>7.0000000000000007E-2</v>
      </c>
      <c r="H25" s="290">
        <f>H24</f>
        <v>5.1999999999999998E-2</v>
      </c>
    </row>
    <row r="26" spans="1:8" x14ac:dyDescent="0.2">
      <c r="A26" s="33">
        <f t="shared" si="0"/>
        <v>2015</v>
      </c>
      <c r="B26" s="180">
        <f t="shared" ref="B26:B61" si="1">B25</f>
        <v>7.2999999999999995E-2</v>
      </c>
      <c r="C26" s="133">
        <f t="shared" ref="C26:C61" si="2">C25</f>
        <v>7.2999999999999995E-2</v>
      </c>
      <c r="D26" s="134">
        <f t="shared" ref="D26:D61" si="3">D25</f>
        <v>5.6000000000000001E-2</v>
      </c>
      <c r="F26" s="181">
        <f t="shared" ref="F26:F61" si="4">F25</f>
        <v>7.0000000000000007E-2</v>
      </c>
      <c r="G26" s="135">
        <f t="shared" ref="G26:G61" si="5">G25</f>
        <v>7.0000000000000007E-2</v>
      </c>
      <c r="H26" s="290">
        <f t="shared" ref="H26:H61" si="6">H25</f>
        <v>5.1999999999999998E-2</v>
      </c>
    </row>
    <row r="27" spans="1:8" x14ac:dyDescent="0.2">
      <c r="A27" s="33">
        <f t="shared" si="0"/>
        <v>2016</v>
      </c>
      <c r="B27" s="180">
        <f t="shared" si="1"/>
        <v>7.2999999999999995E-2</v>
      </c>
      <c r="C27" s="133">
        <f t="shared" si="2"/>
        <v>7.2999999999999995E-2</v>
      </c>
      <c r="D27" s="134">
        <f t="shared" si="3"/>
        <v>5.6000000000000001E-2</v>
      </c>
      <c r="F27" s="181">
        <f t="shared" si="4"/>
        <v>7.0000000000000007E-2</v>
      </c>
      <c r="G27" s="135">
        <f t="shared" si="5"/>
        <v>7.0000000000000007E-2</v>
      </c>
      <c r="H27" s="290">
        <f t="shared" si="6"/>
        <v>5.1999999999999998E-2</v>
      </c>
    </row>
    <row r="28" spans="1:8" x14ac:dyDescent="0.2">
      <c r="A28" s="33">
        <f t="shared" si="0"/>
        <v>2017</v>
      </c>
      <c r="B28" s="180">
        <f t="shared" si="1"/>
        <v>7.2999999999999995E-2</v>
      </c>
      <c r="C28" s="133">
        <f t="shared" si="2"/>
        <v>7.2999999999999995E-2</v>
      </c>
      <c r="D28" s="134">
        <f t="shared" si="3"/>
        <v>5.6000000000000001E-2</v>
      </c>
      <c r="F28" s="181">
        <f t="shared" si="4"/>
        <v>7.0000000000000007E-2</v>
      </c>
      <c r="G28" s="135">
        <f t="shared" si="5"/>
        <v>7.0000000000000007E-2</v>
      </c>
      <c r="H28" s="290">
        <f t="shared" si="6"/>
        <v>5.1999999999999998E-2</v>
      </c>
    </row>
    <row r="29" spans="1:8" x14ac:dyDescent="0.2">
      <c r="A29" s="33">
        <f t="shared" si="0"/>
        <v>2018</v>
      </c>
      <c r="B29" s="180">
        <f t="shared" si="1"/>
        <v>7.2999999999999995E-2</v>
      </c>
      <c r="C29" s="133">
        <f t="shared" si="2"/>
        <v>7.2999999999999995E-2</v>
      </c>
      <c r="D29" s="134">
        <f t="shared" si="3"/>
        <v>5.6000000000000001E-2</v>
      </c>
      <c r="F29" s="181">
        <f t="shared" si="4"/>
        <v>7.0000000000000007E-2</v>
      </c>
      <c r="G29" s="135">
        <f t="shared" si="5"/>
        <v>7.0000000000000007E-2</v>
      </c>
      <c r="H29" s="290">
        <f t="shared" si="6"/>
        <v>5.1999999999999998E-2</v>
      </c>
    </row>
    <row r="30" spans="1:8" x14ac:dyDescent="0.2">
      <c r="A30" s="33">
        <f t="shared" si="0"/>
        <v>2019</v>
      </c>
      <c r="B30" s="180">
        <f t="shared" si="1"/>
        <v>7.2999999999999995E-2</v>
      </c>
      <c r="C30" s="133">
        <f t="shared" si="2"/>
        <v>7.2999999999999995E-2</v>
      </c>
      <c r="D30" s="134">
        <f t="shared" si="3"/>
        <v>5.6000000000000001E-2</v>
      </c>
      <c r="F30" s="181">
        <f t="shared" si="4"/>
        <v>7.0000000000000007E-2</v>
      </c>
      <c r="G30" s="135">
        <f t="shared" si="5"/>
        <v>7.0000000000000007E-2</v>
      </c>
      <c r="H30" s="290">
        <f t="shared" si="6"/>
        <v>5.1999999999999998E-2</v>
      </c>
    </row>
    <row r="31" spans="1:8" x14ac:dyDescent="0.2">
      <c r="A31" s="33">
        <f t="shared" si="0"/>
        <v>2020</v>
      </c>
      <c r="B31" s="180">
        <f t="shared" si="1"/>
        <v>7.2999999999999995E-2</v>
      </c>
      <c r="C31" s="133">
        <f t="shared" si="2"/>
        <v>7.2999999999999995E-2</v>
      </c>
      <c r="D31" s="134">
        <f t="shared" si="3"/>
        <v>5.6000000000000001E-2</v>
      </c>
      <c r="F31" s="181">
        <f t="shared" si="4"/>
        <v>7.0000000000000007E-2</v>
      </c>
      <c r="G31" s="135">
        <f t="shared" si="5"/>
        <v>7.0000000000000007E-2</v>
      </c>
      <c r="H31" s="290">
        <f t="shared" si="6"/>
        <v>5.1999999999999998E-2</v>
      </c>
    </row>
    <row r="32" spans="1:8" x14ac:dyDescent="0.2">
      <c r="A32" s="33">
        <f t="shared" si="0"/>
        <v>2021</v>
      </c>
      <c r="B32" s="180">
        <f t="shared" si="1"/>
        <v>7.2999999999999995E-2</v>
      </c>
      <c r="C32" s="133">
        <f t="shared" si="2"/>
        <v>7.2999999999999995E-2</v>
      </c>
      <c r="D32" s="134">
        <f t="shared" si="3"/>
        <v>5.6000000000000001E-2</v>
      </c>
      <c r="F32" s="181">
        <f t="shared" si="4"/>
        <v>7.0000000000000007E-2</v>
      </c>
      <c r="G32" s="135">
        <f t="shared" si="5"/>
        <v>7.0000000000000007E-2</v>
      </c>
      <c r="H32" s="290">
        <f t="shared" si="6"/>
        <v>5.1999999999999998E-2</v>
      </c>
    </row>
    <row r="33" spans="1:8" x14ac:dyDescent="0.2">
      <c r="A33" s="33">
        <f t="shared" si="0"/>
        <v>2022</v>
      </c>
      <c r="B33" s="180">
        <f t="shared" si="1"/>
        <v>7.2999999999999995E-2</v>
      </c>
      <c r="C33" s="133">
        <f t="shared" si="2"/>
        <v>7.2999999999999995E-2</v>
      </c>
      <c r="D33" s="134">
        <f t="shared" si="3"/>
        <v>5.6000000000000001E-2</v>
      </c>
      <c r="F33" s="181">
        <f t="shared" si="4"/>
        <v>7.0000000000000007E-2</v>
      </c>
      <c r="G33" s="135">
        <f t="shared" si="5"/>
        <v>7.0000000000000007E-2</v>
      </c>
      <c r="H33" s="290">
        <f t="shared" si="6"/>
        <v>5.1999999999999998E-2</v>
      </c>
    </row>
    <row r="34" spans="1:8" x14ac:dyDescent="0.2">
      <c r="A34" s="33">
        <f t="shared" si="0"/>
        <v>2023</v>
      </c>
      <c r="B34" s="180">
        <f t="shared" si="1"/>
        <v>7.2999999999999995E-2</v>
      </c>
      <c r="C34" s="133">
        <f t="shared" si="2"/>
        <v>7.2999999999999995E-2</v>
      </c>
      <c r="D34" s="134">
        <f t="shared" si="3"/>
        <v>5.6000000000000001E-2</v>
      </c>
      <c r="F34" s="181">
        <f t="shared" si="4"/>
        <v>7.0000000000000007E-2</v>
      </c>
      <c r="G34" s="135">
        <f t="shared" si="5"/>
        <v>7.0000000000000007E-2</v>
      </c>
      <c r="H34" s="290">
        <f t="shared" si="6"/>
        <v>5.1999999999999998E-2</v>
      </c>
    </row>
    <row r="35" spans="1:8" x14ac:dyDescent="0.2">
      <c r="A35" s="33">
        <f t="shared" si="0"/>
        <v>2024</v>
      </c>
      <c r="B35" s="180">
        <f t="shared" si="1"/>
        <v>7.2999999999999995E-2</v>
      </c>
      <c r="C35" s="133">
        <f t="shared" si="2"/>
        <v>7.2999999999999995E-2</v>
      </c>
      <c r="D35" s="134">
        <f t="shared" si="3"/>
        <v>5.6000000000000001E-2</v>
      </c>
      <c r="F35" s="181">
        <f t="shared" si="4"/>
        <v>7.0000000000000007E-2</v>
      </c>
      <c r="G35" s="135">
        <f t="shared" si="5"/>
        <v>7.0000000000000007E-2</v>
      </c>
      <c r="H35" s="290">
        <f t="shared" si="6"/>
        <v>5.1999999999999998E-2</v>
      </c>
    </row>
    <row r="36" spans="1:8" x14ac:dyDescent="0.2">
      <c r="A36" s="33">
        <f t="shared" si="0"/>
        <v>2025</v>
      </c>
      <c r="B36" s="180">
        <f t="shared" si="1"/>
        <v>7.2999999999999995E-2</v>
      </c>
      <c r="C36" s="133">
        <f t="shared" si="2"/>
        <v>7.2999999999999995E-2</v>
      </c>
      <c r="D36" s="134">
        <f t="shared" si="3"/>
        <v>5.6000000000000001E-2</v>
      </c>
      <c r="F36" s="181">
        <f t="shared" si="4"/>
        <v>7.0000000000000007E-2</v>
      </c>
      <c r="G36" s="135">
        <f t="shared" si="5"/>
        <v>7.0000000000000007E-2</v>
      </c>
      <c r="H36" s="290">
        <f t="shared" si="6"/>
        <v>5.1999999999999998E-2</v>
      </c>
    </row>
    <row r="37" spans="1:8" x14ac:dyDescent="0.2">
      <c r="A37" s="33">
        <f t="shared" ref="A37:A61" si="7">+A36+1</f>
        <v>2026</v>
      </c>
      <c r="B37" s="180">
        <f t="shared" si="1"/>
        <v>7.2999999999999995E-2</v>
      </c>
      <c r="C37" s="133">
        <f t="shared" si="2"/>
        <v>7.2999999999999995E-2</v>
      </c>
      <c r="D37" s="134">
        <f t="shared" si="3"/>
        <v>5.6000000000000001E-2</v>
      </c>
      <c r="F37" s="181">
        <f t="shared" si="4"/>
        <v>7.0000000000000007E-2</v>
      </c>
      <c r="G37" s="135">
        <f t="shared" si="5"/>
        <v>7.0000000000000007E-2</v>
      </c>
      <c r="H37" s="290">
        <f t="shared" si="6"/>
        <v>5.1999999999999998E-2</v>
      </c>
    </row>
    <row r="38" spans="1:8" x14ac:dyDescent="0.2">
      <c r="A38" s="33">
        <f t="shared" si="7"/>
        <v>2027</v>
      </c>
      <c r="B38" s="180">
        <f t="shared" si="1"/>
        <v>7.2999999999999995E-2</v>
      </c>
      <c r="C38" s="133">
        <f t="shared" si="2"/>
        <v>7.2999999999999995E-2</v>
      </c>
      <c r="D38" s="134">
        <f t="shared" si="3"/>
        <v>5.6000000000000001E-2</v>
      </c>
      <c r="F38" s="181">
        <f t="shared" si="4"/>
        <v>7.0000000000000007E-2</v>
      </c>
      <c r="G38" s="135">
        <f t="shared" si="5"/>
        <v>7.0000000000000007E-2</v>
      </c>
      <c r="H38" s="290">
        <f t="shared" si="6"/>
        <v>5.1999999999999998E-2</v>
      </c>
    </row>
    <row r="39" spans="1:8" x14ac:dyDescent="0.2">
      <c r="A39" s="33">
        <f t="shared" si="7"/>
        <v>2028</v>
      </c>
      <c r="B39" s="180">
        <f t="shared" si="1"/>
        <v>7.2999999999999995E-2</v>
      </c>
      <c r="C39" s="133">
        <f t="shared" si="2"/>
        <v>7.2999999999999995E-2</v>
      </c>
      <c r="D39" s="134">
        <f t="shared" si="3"/>
        <v>5.6000000000000001E-2</v>
      </c>
      <c r="F39" s="181">
        <f t="shared" si="4"/>
        <v>7.0000000000000007E-2</v>
      </c>
      <c r="G39" s="135">
        <f t="shared" si="5"/>
        <v>7.0000000000000007E-2</v>
      </c>
      <c r="H39" s="290">
        <f t="shared" si="6"/>
        <v>5.1999999999999998E-2</v>
      </c>
    </row>
    <row r="40" spans="1:8" x14ac:dyDescent="0.2">
      <c r="A40" s="33">
        <f t="shared" si="7"/>
        <v>2029</v>
      </c>
      <c r="B40" s="180">
        <f t="shared" si="1"/>
        <v>7.2999999999999995E-2</v>
      </c>
      <c r="C40" s="133">
        <f t="shared" si="2"/>
        <v>7.2999999999999995E-2</v>
      </c>
      <c r="D40" s="134">
        <f t="shared" si="3"/>
        <v>5.6000000000000001E-2</v>
      </c>
      <c r="F40" s="181">
        <f t="shared" si="4"/>
        <v>7.0000000000000007E-2</v>
      </c>
      <c r="G40" s="135">
        <f t="shared" si="5"/>
        <v>7.0000000000000007E-2</v>
      </c>
      <c r="H40" s="290">
        <f t="shared" si="6"/>
        <v>5.1999999999999998E-2</v>
      </c>
    </row>
    <row r="41" spans="1:8" x14ac:dyDescent="0.2">
      <c r="A41" s="33">
        <f t="shared" si="7"/>
        <v>2030</v>
      </c>
      <c r="B41" s="180">
        <f t="shared" si="1"/>
        <v>7.2999999999999995E-2</v>
      </c>
      <c r="C41" s="133">
        <f t="shared" si="2"/>
        <v>7.2999999999999995E-2</v>
      </c>
      <c r="D41" s="134">
        <f t="shared" si="3"/>
        <v>5.6000000000000001E-2</v>
      </c>
      <c r="F41" s="181">
        <f t="shared" si="4"/>
        <v>7.0000000000000007E-2</v>
      </c>
      <c r="G41" s="135">
        <f t="shared" si="5"/>
        <v>7.0000000000000007E-2</v>
      </c>
      <c r="H41" s="290">
        <f t="shared" si="6"/>
        <v>5.1999999999999998E-2</v>
      </c>
    </row>
    <row r="42" spans="1:8" x14ac:dyDescent="0.2">
      <c r="A42" s="33">
        <f t="shared" si="7"/>
        <v>2031</v>
      </c>
      <c r="B42" s="180">
        <f t="shared" si="1"/>
        <v>7.2999999999999995E-2</v>
      </c>
      <c r="C42" s="133">
        <f t="shared" si="2"/>
        <v>7.2999999999999995E-2</v>
      </c>
      <c r="D42" s="134">
        <f t="shared" si="3"/>
        <v>5.6000000000000001E-2</v>
      </c>
      <c r="F42" s="181">
        <f t="shared" si="4"/>
        <v>7.0000000000000007E-2</v>
      </c>
      <c r="G42" s="135">
        <f t="shared" si="5"/>
        <v>7.0000000000000007E-2</v>
      </c>
      <c r="H42" s="290">
        <f t="shared" si="6"/>
        <v>5.1999999999999998E-2</v>
      </c>
    </row>
    <row r="43" spans="1:8" x14ac:dyDescent="0.2">
      <c r="A43" s="33">
        <f t="shared" si="7"/>
        <v>2032</v>
      </c>
      <c r="B43" s="180">
        <f t="shared" si="1"/>
        <v>7.2999999999999995E-2</v>
      </c>
      <c r="C43" s="133">
        <f t="shared" si="2"/>
        <v>7.2999999999999995E-2</v>
      </c>
      <c r="D43" s="134">
        <f t="shared" si="3"/>
        <v>5.6000000000000001E-2</v>
      </c>
      <c r="F43" s="181">
        <f t="shared" si="4"/>
        <v>7.0000000000000007E-2</v>
      </c>
      <c r="G43" s="135">
        <f t="shared" si="5"/>
        <v>7.0000000000000007E-2</v>
      </c>
      <c r="H43" s="290">
        <f t="shared" si="6"/>
        <v>5.1999999999999998E-2</v>
      </c>
    </row>
    <row r="44" spans="1:8" x14ac:dyDescent="0.2">
      <c r="A44" s="33">
        <f t="shared" si="7"/>
        <v>2033</v>
      </c>
      <c r="B44" s="180">
        <f t="shared" si="1"/>
        <v>7.2999999999999995E-2</v>
      </c>
      <c r="C44" s="133">
        <f t="shared" si="2"/>
        <v>7.2999999999999995E-2</v>
      </c>
      <c r="D44" s="134">
        <f t="shared" si="3"/>
        <v>5.6000000000000001E-2</v>
      </c>
      <c r="F44" s="181">
        <f t="shared" si="4"/>
        <v>7.0000000000000007E-2</v>
      </c>
      <c r="G44" s="135">
        <f t="shared" si="5"/>
        <v>7.0000000000000007E-2</v>
      </c>
      <c r="H44" s="290">
        <f t="shared" si="6"/>
        <v>5.1999999999999998E-2</v>
      </c>
    </row>
    <row r="45" spans="1:8" x14ac:dyDescent="0.2">
      <c r="A45" s="33">
        <f t="shared" si="7"/>
        <v>2034</v>
      </c>
      <c r="B45" s="180">
        <f t="shared" si="1"/>
        <v>7.2999999999999995E-2</v>
      </c>
      <c r="C45" s="133">
        <f t="shared" si="2"/>
        <v>7.2999999999999995E-2</v>
      </c>
      <c r="D45" s="134">
        <f t="shared" si="3"/>
        <v>5.6000000000000001E-2</v>
      </c>
      <c r="F45" s="181">
        <f t="shared" si="4"/>
        <v>7.0000000000000007E-2</v>
      </c>
      <c r="G45" s="135">
        <f t="shared" si="5"/>
        <v>7.0000000000000007E-2</v>
      </c>
      <c r="H45" s="290">
        <f t="shared" si="6"/>
        <v>5.1999999999999998E-2</v>
      </c>
    </row>
    <row r="46" spans="1:8" x14ac:dyDescent="0.2">
      <c r="A46" s="33">
        <f t="shared" si="7"/>
        <v>2035</v>
      </c>
      <c r="B46" s="180">
        <f t="shared" si="1"/>
        <v>7.2999999999999995E-2</v>
      </c>
      <c r="C46" s="133">
        <f t="shared" si="2"/>
        <v>7.2999999999999995E-2</v>
      </c>
      <c r="D46" s="134">
        <f t="shared" si="3"/>
        <v>5.6000000000000001E-2</v>
      </c>
      <c r="F46" s="181">
        <f t="shared" si="4"/>
        <v>7.0000000000000007E-2</v>
      </c>
      <c r="G46" s="135">
        <f t="shared" si="5"/>
        <v>7.0000000000000007E-2</v>
      </c>
      <c r="H46" s="290">
        <f t="shared" si="6"/>
        <v>5.1999999999999998E-2</v>
      </c>
    </row>
    <row r="47" spans="1:8" x14ac:dyDescent="0.2">
      <c r="A47" s="33">
        <f t="shared" si="7"/>
        <v>2036</v>
      </c>
      <c r="B47" s="180">
        <f t="shared" si="1"/>
        <v>7.2999999999999995E-2</v>
      </c>
      <c r="C47" s="133">
        <f t="shared" si="2"/>
        <v>7.2999999999999995E-2</v>
      </c>
      <c r="D47" s="134">
        <f t="shared" si="3"/>
        <v>5.6000000000000001E-2</v>
      </c>
      <c r="F47" s="181">
        <f t="shared" si="4"/>
        <v>7.0000000000000007E-2</v>
      </c>
      <c r="G47" s="135">
        <f t="shared" si="5"/>
        <v>7.0000000000000007E-2</v>
      </c>
      <c r="H47" s="290">
        <f t="shared" si="6"/>
        <v>5.1999999999999998E-2</v>
      </c>
    </row>
    <row r="48" spans="1:8" x14ac:dyDescent="0.2">
      <c r="A48" s="33">
        <f t="shared" si="7"/>
        <v>2037</v>
      </c>
      <c r="B48" s="180">
        <f t="shared" si="1"/>
        <v>7.2999999999999995E-2</v>
      </c>
      <c r="C48" s="133">
        <f t="shared" si="2"/>
        <v>7.2999999999999995E-2</v>
      </c>
      <c r="D48" s="134">
        <f t="shared" si="3"/>
        <v>5.6000000000000001E-2</v>
      </c>
      <c r="F48" s="181">
        <f t="shared" si="4"/>
        <v>7.0000000000000007E-2</v>
      </c>
      <c r="G48" s="135">
        <f t="shared" si="5"/>
        <v>7.0000000000000007E-2</v>
      </c>
      <c r="H48" s="290">
        <f t="shared" si="6"/>
        <v>5.1999999999999998E-2</v>
      </c>
    </row>
    <row r="49" spans="1:8" x14ac:dyDescent="0.2">
      <c r="A49" s="33">
        <f t="shared" si="7"/>
        <v>2038</v>
      </c>
      <c r="B49" s="180">
        <f t="shared" si="1"/>
        <v>7.2999999999999995E-2</v>
      </c>
      <c r="C49" s="133">
        <f t="shared" si="2"/>
        <v>7.2999999999999995E-2</v>
      </c>
      <c r="D49" s="134">
        <f t="shared" si="3"/>
        <v>5.6000000000000001E-2</v>
      </c>
      <c r="F49" s="181">
        <f t="shared" si="4"/>
        <v>7.0000000000000007E-2</v>
      </c>
      <c r="G49" s="135">
        <f t="shared" si="5"/>
        <v>7.0000000000000007E-2</v>
      </c>
      <c r="H49" s="290">
        <f t="shared" si="6"/>
        <v>5.1999999999999998E-2</v>
      </c>
    </row>
    <row r="50" spans="1:8" x14ac:dyDescent="0.2">
      <c r="A50" s="33">
        <f t="shared" si="7"/>
        <v>2039</v>
      </c>
      <c r="B50" s="180">
        <f t="shared" si="1"/>
        <v>7.2999999999999995E-2</v>
      </c>
      <c r="C50" s="133">
        <f t="shared" si="2"/>
        <v>7.2999999999999995E-2</v>
      </c>
      <c r="D50" s="134">
        <f t="shared" si="3"/>
        <v>5.6000000000000001E-2</v>
      </c>
      <c r="F50" s="181">
        <f t="shared" si="4"/>
        <v>7.0000000000000007E-2</v>
      </c>
      <c r="G50" s="135">
        <f t="shared" si="5"/>
        <v>7.0000000000000007E-2</v>
      </c>
      <c r="H50" s="290">
        <f t="shared" si="6"/>
        <v>5.1999999999999998E-2</v>
      </c>
    </row>
    <row r="51" spans="1:8" x14ac:dyDescent="0.2">
      <c r="A51" s="33">
        <f t="shared" si="7"/>
        <v>2040</v>
      </c>
      <c r="B51" s="180">
        <f t="shared" si="1"/>
        <v>7.2999999999999995E-2</v>
      </c>
      <c r="C51" s="133">
        <f t="shared" si="2"/>
        <v>7.2999999999999995E-2</v>
      </c>
      <c r="D51" s="134">
        <f t="shared" si="3"/>
        <v>5.6000000000000001E-2</v>
      </c>
      <c r="F51" s="181">
        <f t="shared" si="4"/>
        <v>7.0000000000000007E-2</v>
      </c>
      <c r="G51" s="135">
        <f t="shared" si="5"/>
        <v>7.0000000000000007E-2</v>
      </c>
      <c r="H51" s="290">
        <f t="shared" si="6"/>
        <v>5.1999999999999998E-2</v>
      </c>
    </row>
    <row r="52" spans="1:8" x14ac:dyDescent="0.2">
      <c r="A52" s="33">
        <f t="shared" si="7"/>
        <v>2041</v>
      </c>
      <c r="B52" s="180">
        <f t="shared" si="1"/>
        <v>7.2999999999999995E-2</v>
      </c>
      <c r="C52" s="133">
        <f t="shared" si="2"/>
        <v>7.2999999999999995E-2</v>
      </c>
      <c r="D52" s="134">
        <f t="shared" si="3"/>
        <v>5.6000000000000001E-2</v>
      </c>
      <c r="F52" s="181">
        <f t="shared" si="4"/>
        <v>7.0000000000000007E-2</v>
      </c>
      <c r="G52" s="135">
        <f t="shared" si="5"/>
        <v>7.0000000000000007E-2</v>
      </c>
      <c r="H52" s="290">
        <f t="shared" si="6"/>
        <v>5.1999999999999998E-2</v>
      </c>
    </row>
    <row r="53" spans="1:8" x14ac:dyDescent="0.2">
      <c r="A53" s="33">
        <f t="shared" si="7"/>
        <v>2042</v>
      </c>
      <c r="B53" s="180">
        <f t="shared" si="1"/>
        <v>7.2999999999999995E-2</v>
      </c>
      <c r="C53" s="133">
        <f t="shared" si="2"/>
        <v>7.2999999999999995E-2</v>
      </c>
      <c r="D53" s="134">
        <f t="shared" si="3"/>
        <v>5.6000000000000001E-2</v>
      </c>
      <c r="F53" s="181">
        <f t="shared" si="4"/>
        <v>7.0000000000000007E-2</v>
      </c>
      <c r="G53" s="135">
        <f t="shared" si="5"/>
        <v>7.0000000000000007E-2</v>
      </c>
      <c r="H53" s="290">
        <f t="shared" si="6"/>
        <v>5.1999999999999998E-2</v>
      </c>
    </row>
    <row r="54" spans="1:8" x14ac:dyDescent="0.2">
      <c r="A54" s="33">
        <f t="shared" si="7"/>
        <v>2043</v>
      </c>
      <c r="B54" s="180">
        <f t="shared" si="1"/>
        <v>7.2999999999999995E-2</v>
      </c>
      <c r="C54" s="133">
        <f t="shared" si="2"/>
        <v>7.2999999999999995E-2</v>
      </c>
      <c r="D54" s="134">
        <f t="shared" si="3"/>
        <v>5.6000000000000001E-2</v>
      </c>
      <c r="F54" s="181">
        <f t="shared" si="4"/>
        <v>7.0000000000000007E-2</v>
      </c>
      <c r="G54" s="135">
        <f t="shared" si="5"/>
        <v>7.0000000000000007E-2</v>
      </c>
      <c r="H54" s="290">
        <f t="shared" si="6"/>
        <v>5.1999999999999998E-2</v>
      </c>
    </row>
    <row r="55" spans="1:8" x14ac:dyDescent="0.2">
      <c r="A55" s="33">
        <f t="shared" si="7"/>
        <v>2044</v>
      </c>
      <c r="B55" s="180">
        <f t="shared" si="1"/>
        <v>7.2999999999999995E-2</v>
      </c>
      <c r="C55" s="133">
        <f t="shared" si="2"/>
        <v>7.2999999999999995E-2</v>
      </c>
      <c r="D55" s="134">
        <f t="shared" si="3"/>
        <v>5.6000000000000001E-2</v>
      </c>
      <c r="F55" s="181">
        <f t="shared" si="4"/>
        <v>7.0000000000000007E-2</v>
      </c>
      <c r="G55" s="135">
        <f t="shared" si="5"/>
        <v>7.0000000000000007E-2</v>
      </c>
      <c r="H55" s="290">
        <f t="shared" si="6"/>
        <v>5.1999999999999998E-2</v>
      </c>
    </row>
    <row r="56" spans="1:8" x14ac:dyDescent="0.2">
      <c r="A56" s="33">
        <f t="shared" si="7"/>
        <v>2045</v>
      </c>
      <c r="B56" s="180">
        <f t="shared" si="1"/>
        <v>7.2999999999999995E-2</v>
      </c>
      <c r="C56" s="133">
        <f t="shared" si="2"/>
        <v>7.2999999999999995E-2</v>
      </c>
      <c r="D56" s="134">
        <f t="shared" si="3"/>
        <v>5.6000000000000001E-2</v>
      </c>
      <c r="F56" s="181">
        <f t="shared" si="4"/>
        <v>7.0000000000000007E-2</v>
      </c>
      <c r="G56" s="135">
        <f t="shared" si="5"/>
        <v>7.0000000000000007E-2</v>
      </c>
      <c r="H56" s="290">
        <f t="shared" si="6"/>
        <v>5.1999999999999998E-2</v>
      </c>
    </row>
    <row r="57" spans="1:8" x14ac:dyDescent="0.2">
      <c r="A57" s="33">
        <f t="shared" si="7"/>
        <v>2046</v>
      </c>
      <c r="B57" s="180">
        <f t="shared" si="1"/>
        <v>7.2999999999999995E-2</v>
      </c>
      <c r="C57" s="133">
        <f t="shared" si="2"/>
        <v>7.2999999999999995E-2</v>
      </c>
      <c r="D57" s="134">
        <f t="shared" si="3"/>
        <v>5.6000000000000001E-2</v>
      </c>
      <c r="F57" s="181">
        <f t="shared" si="4"/>
        <v>7.0000000000000007E-2</v>
      </c>
      <c r="G57" s="135">
        <f t="shared" si="5"/>
        <v>7.0000000000000007E-2</v>
      </c>
      <c r="H57" s="290">
        <f t="shared" si="6"/>
        <v>5.1999999999999998E-2</v>
      </c>
    </row>
    <row r="58" spans="1:8" x14ac:dyDescent="0.2">
      <c r="A58" s="33">
        <f t="shared" si="7"/>
        <v>2047</v>
      </c>
      <c r="B58" s="180">
        <f t="shared" si="1"/>
        <v>7.2999999999999995E-2</v>
      </c>
      <c r="C58" s="133">
        <f t="shared" si="2"/>
        <v>7.2999999999999995E-2</v>
      </c>
      <c r="D58" s="134">
        <f t="shared" si="3"/>
        <v>5.6000000000000001E-2</v>
      </c>
      <c r="F58" s="181">
        <f t="shared" si="4"/>
        <v>7.0000000000000007E-2</v>
      </c>
      <c r="G58" s="135">
        <f t="shared" si="5"/>
        <v>7.0000000000000007E-2</v>
      </c>
      <c r="H58" s="290">
        <f t="shared" si="6"/>
        <v>5.1999999999999998E-2</v>
      </c>
    </row>
    <row r="59" spans="1:8" x14ac:dyDescent="0.2">
      <c r="A59" s="33">
        <f t="shared" si="7"/>
        <v>2048</v>
      </c>
      <c r="B59" s="180">
        <f t="shared" si="1"/>
        <v>7.2999999999999995E-2</v>
      </c>
      <c r="C59" s="133">
        <f t="shared" si="2"/>
        <v>7.2999999999999995E-2</v>
      </c>
      <c r="D59" s="134">
        <f t="shared" si="3"/>
        <v>5.6000000000000001E-2</v>
      </c>
      <c r="F59" s="181">
        <f t="shared" si="4"/>
        <v>7.0000000000000007E-2</v>
      </c>
      <c r="G59" s="135">
        <f t="shared" si="5"/>
        <v>7.0000000000000007E-2</v>
      </c>
      <c r="H59" s="290">
        <f t="shared" si="6"/>
        <v>5.1999999999999998E-2</v>
      </c>
    </row>
    <row r="60" spans="1:8" x14ac:dyDescent="0.2">
      <c r="A60" s="33">
        <f t="shared" si="7"/>
        <v>2049</v>
      </c>
      <c r="B60" s="180">
        <f t="shared" si="1"/>
        <v>7.2999999999999995E-2</v>
      </c>
      <c r="C60" s="133">
        <f t="shared" si="2"/>
        <v>7.2999999999999995E-2</v>
      </c>
      <c r="D60" s="134">
        <f t="shared" si="3"/>
        <v>5.6000000000000001E-2</v>
      </c>
      <c r="F60" s="181">
        <f t="shared" si="4"/>
        <v>7.0000000000000007E-2</v>
      </c>
      <c r="G60" s="135">
        <f t="shared" si="5"/>
        <v>7.0000000000000007E-2</v>
      </c>
      <c r="H60" s="290">
        <f t="shared" si="6"/>
        <v>5.1999999999999998E-2</v>
      </c>
    </row>
    <row r="61" spans="1:8" x14ac:dyDescent="0.2">
      <c r="A61" s="33">
        <f t="shared" si="7"/>
        <v>2050</v>
      </c>
      <c r="B61" s="180">
        <f t="shared" si="1"/>
        <v>7.2999999999999995E-2</v>
      </c>
      <c r="C61" s="133">
        <f t="shared" si="2"/>
        <v>7.2999999999999995E-2</v>
      </c>
      <c r="D61" s="134">
        <f t="shared" si="3"/>
        <v>5.6000000000000001E-2</v>
      </c>
      <c r="F61" s="181">
        <f t="shared" si="4"/>
        <v>7.0000000000000007E-2</v>
      </c>
      <c r="G61" s="135">
        <f t="shared" si="5"/>
        <v>7.0000000000000007E-2</v>
      </c>
      <c r="H61" s="290">
        <f t="shared" si="6"/>
        <v>5.1999999999999998E-2</v>
      </c>
    </row>
  </sheetData>
  <mergeCells count="4">
    <mergeCell ref="F1:H1"/>
    <mergeCell ref="B1:D1"/>
    <mergeCell ref="B2:D2"/>
    <mergeCell ref="F2:H2"/>
  </mergeCells>
  <phoneticPr fontId="7" type="noConversion"/>
  <pageMargins left="0.36" right="0.2" top="0.69" bottom="0.45" header="0.5" footer="0.33"/>
  <pageSetup scale="90"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00FFFF"/>
    <pageSetUpPr fitToPage="1"/>
  </sheetPr>
  <dimension ref="A1:X71"/>
  <sheetViews>
    <sheetView zoomScaleNormal="100" workbookViewId="0">
      <pane xSplit="1" ySplit="5" topLeftCell="B18" activePane="bottomRight" state="frozen"/>
      <selection activeCell="B36" sqref="B36"/>
      <selection pane="topRight" activeCell="B36" sqref="B36"/>
      <selection pane="bottomLeft" activeCell="B36" sqref="B36"/>
      <selection pane="bottomRight" activeCell="B30" sqref="B30"/>
    </sheetView>
  </sheetViews>
  <sheetFormatPr defaultRowHeight="12.75" x14ac:dyDescent="0.2"/>
  <cols>
    <col min="1" max="2" width="11.7109375" customWidth="1"/>
    <col min="3" max="3" width="10.28515625" customWidth="1"/>
    <col min="4" max="4" width="10" customWidth="1"/>
    <col min="5" max="5" width="10.28515625" customWidth="1"/>
    <col min="6" max="6" width="10" customWidth="1"/>
    <col min="7" max="7" width="11.28515625" customWidth="1"/>
    <col min="8" max="9" width="10.42578125" customWidth="1"/>
    <col min="10" max="10" width="12.28515625" customWidth="1"/>
    <col min="11" max="11" width="11.42578125" customWidth="1"/>
    <col min="12" max="13" width="10.42578125" customWidth="1"/>
    <col min="14" max="15" width="11.28515625" customWidth="1"/>
    <col min="16" max="17" width="11" customWidth="1"/>
    <col min="18" max="19" width="12.28515625" customWidth="1"/>
    <col min="20" max="20" width="11.42578125" customWidth="1"/>
    <col min="21" max="21" width="11.28515625" customWidth="1"/>
    <col min="22" max="22" width="17" style="2" customWidth="1"/>
  </cols>
  <sheetData>
    <row r="1" spans="1:24" ht="15.75" x14ac:dyDescent="0.25">
      <c r="A1" s="4" t="s">
        <v>2</v>
      </c>
      <c r="B1" s="4"/>
      <c r="C1" s="4"/>
      <c r="D1" s="4"/>
      <c r="E1" s="4"/>
      <c r="F1" s="4"/>
      <c r="G1" s="4"/>
      <c r="H1" s="249"/>
      <c r="I1" s="249"/>
      <c r="J1" s="249"/>
      <c r="K1" s="4"/>
      <c r="L1" s="4"/>
      <c r="M1" s="4"/>
      <c r="N1" s="4"/>
    </row>
    <row r="2" spans="1:24" ht="16.5" thickBot="1" x14ac:dyDescent="0.3">
      <c r="A2" s="5" t="s">
        <v>1</v>
      </c>
      <c r="B2" s="27" t="s">
        <v>22</v>
      </c>
      <c r="C2" s="27"/>
      <c r="D2" s="27"/>
      <c r="E2" s="27"/>
      <c r="F2" s="23"/>
      <c r="J2" s="4"/>
      <c r="K2" s="4"/>
      <c r="L2" s="4"/>
      <c r="M2" s="4"/>
      <c r="N2" s="4"/>
    </row>
    <row r="3" spans="1:24" ht="16.5" thickBot="1" x14ac:dyDescent="0.3">
      <c r="A3" s="4"/>
      <c r="B3" s="451" t="s">
        <v>215</v>
      </c>
      <c r="C3" s="4"/>
      <c r="D3" s="4"/>
      <c r="E3" s="4"/>
      <c r="F3" s="410"/>
      <c r="G3" s="1463" t="s">
        <v>20</v>
      </c>
      <c r="H3" s="1464"/>
      <c r="I3" s="1465"/>
      <c r="J3" s="4"/>
      <c r="K3" s="4"/>
      <c r="L3" s="4"/>
      <c r="M3" s="4"/>
      <c r="N3" s="4"/>
    </row>
    <row r="4" spans="1:24" ht="16.5" thickBot="1" x14ac:dyDescent="0.3">
      <c r="A4" s="26"/>
      <c r="B4" s="1466" t="s">
        <v>26</v>
      </c>
      <c r="C4" s="1467"/>
      <c r="D4" s="1467"/>
      <c r="E4" s="1467"/>
      <c r="F4" s="1467"/>
      <c r="G4" s="1467"/>
      <c r="H4" s="1467"/>
      <c r="I4" s="1468"/>
      <c r="J4" s="1466" t="s">
        <v>27</v>
      </c>
      <c r="K4" s="1467"/>
      <c r="L4" s="1467"/>
      <c r="M4" s="1468"/>
      <c r="N4" s="1466" t="s">
        <v>29</v>
      </c>
      <c r="O4" s="1467"/>
      <c r="P4" s="1467"/>
      <c r="Q4" s="1468"/>
      <c r="R4" s="1466" t="s">
        <v>28</v>
      </c>
      <c r="S4" s="1467"/>
      <c r="T4" s="1467"/>
      <c r="U4" s="1468"/>
    </row>
    <row r="5" spans="1:24" s="19" customFormat="1" ht="61.5" customHeight="1" x14ac:dyDescent="0.2">
      <c r="A5" s="32" t="s">
        <v>0</v>
      </c>
      <c r="B5" s="28" t="s">
        <v>35</v>
      </c>
      <c r="C5" s="658" t="s">
        <v>36</v>
      </c>
      <c r="D5" s="627" t="s">
        <v>21</v>
      </c>
      <c r="E5" s="17" t="s">
        <v>23</v>
      </c>
      <c r="F5" s="29" t="s">
        <v>24</v>
      </c>
      <c r="G5" s="646" t="s">
        <v>17</v>
      </c>
      <c r="H5" s="17" t="s">
        <v>18</v>
      </c>
      <c r="I5" s="29" t="s">
        <v>19</v>
      </c>
      <c r="J5" s="35" t="s">
        <v>54</v>
      </c>
      <c r="K5" s="16" t="s">
        <v>10</v>
      </c>
      <c r="L5" s="16" t="s">
        <v>12</v>
      </c>
      <c r="M5" s="36" t="s">
        <v>13</v>
      </c>
      <c r="N5" s="38" t="s">
        <v>56</v>
      </c>
      <c r="O5" s="17" t="s">
        <v>11</v>
      </c>
      <c r="P5" s="17" t="s">
        <v>14</v>
      </c>
      <c r="Q5" s="39" t="s">
        <v>33</v>
      </c>
      <c r="R5" s="42" t="s">
        <v>55</v>
      </c>
      <c r="S5" s="18" t="s">
        <v>25</v>
      </c>
      <c r="T5" s="18" t="s">
        <v>16</v>
      </c>
      <c r="U5" s="29" t="s">
        <v>15</v>
      </c>
      <c r="V5" s="20"/>
    </row>
    <row r="6" spans="1:24" s="19" customFormat="1" ht="15" customHeight="1" x14ac:dyDescent="0.2">
      <c r="A6" s="68" t="s">
        <v>37</v>
      </c>
      <c r="B6" s="48"/>
      <c r="C6" s="659">
        <v>119074</v>
      </c>
      <c r="D6" s="628"/>
      <c r="E6" s="15"/>
      <c r="F6" s="31"/>
      <c r="G6" s="208"/>
      <c r="H6" s="15"/>
      <c r="I6" s="31"/>
      <c r="J6" s="37"/>
      <c r="K6" s="59">
        <f>+M6/C6*1000</f>
        <v>7.0040479029846989E-2</v>
      </c>
      <c r="L6" s="6"/>
      <c r="M6" s="46">
        <v>8.34</v>
      </c>
      <c r="N6" s="40"/>
      <c r="O6" s="670">
        <f>+Q6/C6*1000</f>
        <v>9.9937853771604218E-2</v>
      </c>
      <c r="P6" s="57"/>
      <c r="Q6" s="41">
        <v>11.9</v>
      </c>
      <c r="R6" s="43"/>
      <c r="S6" s="24">
        <f>+U6/C6*1000000</f>
        <v>239.01103515460974</v>
      </c>
      <c r="T6" s="21"/>
      <c r="U6" s="47">
        <v>28.46</v>
      </c>
      <c r="V6" s="3"/>
    </row>
    <row r="7" spans="1:24" s="1" customFormat="1" ht="15.75" customHeight="1" x14ac:dyDescent="0.2">
      <c r="A7" s="68" t="s">
        <v>63</v>
      </c>
      <c r="B7" s="30"/>
      <c r="C7" s="659">
        <f>28041+C6</f>
        <v>147115</v>
      </c>
      <c r="D7" s="628"/>
      <c r="E7" s="15"/>
      <c r="F7" s="31"/>
      <c r="G7" s="208"/>
      <c r="H7" s="15"/>
      <c r="I7" s="31"/>
      <c r="J7" s="37"/>
      <c r="K7" s="59">
        <f>+(M7-M6)/($C7-$C6)*1000</f>
        <v>4.9926892764166765E-2</v>
      </c>
      <c r="L7" s="6"/>
      <c r="M7" s="46">
        <f>+M6+1.4</f>
        <v>9.74</v>
      </c>
      <c r="N7" s="40"/>
      <c r="O7" s="670">
        <f>+(Q7-Q6)/($C7-$C6)*1000</f>
        <v>7.0254270532434659E-2</v>
      </c>
      <c r="P7" s="57"/>
      <c r="Q7" s="41">
        <f>+Q6+1.97</f>
        <v>13.870000000000001</v>
      </c>
      <c r="R7" s="43"/>
      <c r="S7" s="24">
        <f>+(U7-U6)/($C7-$C6)*1000000</f>
        <v>276.02439285332201</v>
      </c>
      <c r="T7" s="21"/>
      <c r="U7" s="47">
        <f>+U6+7.74</f>
        <v>36.200000000000003</v>
      </c>
      <c r="V7" s="3"/>
    </row>
    <row r="8" spans="1:24" x14ac:dyDescent="0.2">
      <c r="A8" s="33">
        <v>1995</v>
      </c>
      <c r="B8" s="30">
        <v>10600</v>
      </c>
      <c r="C8" s="660">
        <f>+C7+B8</f>
        <v>157715</v>
      </c>
      <c r="D8" s="662">
        <v>0.05</v>
      </c>
      <c r="E8" s="663">
        <v>7.0000000000000007E-2</v>
      </c>
      <c r="F8" s="617">
        <v>276</v>
      </c>
      <c r="G8" s="626">
        <f t="shared" ref="G8:G23" si="0">+$B8*D8/1000</f>
        <v>0.53</v>
      </c>
      <c r="H8" s="72">
        <f t="shared" ref="H8:H23" si="1">+$B8*E8/1000</f>
        <v>0.7420000000000001</v>
      </c>
      <c r="I8" s="630">
        <f t="shared" ref="I8:I23" si="2">+$B8*F8/1000000</f>
        <v>2.9256000000000002</v>
      </c>
      <c r="J8" s="61">
        <f>+(B8+N8)/2</f>
        <v>8686</v>
      </c>
      <c r="K8" s="188">
        <f>+D8</f>
        <v>0.05</v>
      </c>
      <c r="L8" s="188">
        <f>+J8*K8/1000</f>
        <v>0.43430000000000002</v>
      </c>
      <c r="M8" s="188">
        <f>+M7+L8</f>
        <v>10.174300000000001</v>
      </c>
      <c r="N8" s="51">
        <v>6772</v>
      </c>
      <c r="O8" s="670">
        <f>+E8</f>
        <v>7.0000000000000007E-2</v>
      </c>
      <c r="P8" s="670">
        <f>+N8*O8/1000</f>
        <v>0.47404000000000002</v>
      </c>
      <c r="Q8" s="670">
        <f>+Q7+P8</f>
        <v>14.344040000000001</v>
      </c>
      <c r="R8" s="247">
        <f>J8</f>
        <v>8686</v>
      </c>
      <c r="S8" s="24">
        <f>+F8</f>
        <v>276</v>
      </c>
      <c r="T8" s="25">
        <f>+R8*S8/1000000</f>
        <v>2.3973360000000001</v>
      </c>
      <c r="U8" s="654">
        <f>+U7+T8</f>
        <v>38.597336000000006</v>
      </c>
      <c r="V8" s="9"/>
      <c r="X8" s="1"/>
    </row>
    <row r="9" spans="1:24" x14ac:dyDescent="0.2">
      <c r="A9" s="33">
        <v>1996</v>
      </c>
      <c r="B9" s="30">
        <v>6282</v>
      </c>
      <c r="C9" s="660">
        <f t="shared" ref="C9:C37" si="3">+C8+B9</f>
        <v>163997</v>
      </c>
      <c r="D9" s="662">
        <v>0.04</v>
      </c>
      <c r="E9" s="663">
        <v>0.09</v>
      </c>
      <c r="F9" s="617">
        <v>332.99999999999994</v>
      </c>
      <c r="G9" s="626">
        <f t="shared" si="0"/>
        <v>0.25128</v>
      </c>
      <c r="H9" s="72">
        <f t="shared" si="1"/>
        <v>0.56537999999999999</v>
      </c>
      <c r="I9" s="630">
        <f t="shared" si="2"/>
        <v>2.0919059999999994</v>
      </c>
      <c r="J9" s="61">
        <f t="shared" ref="J9:J16" si="4">+(B9+B8)/2</f>
        <v>8441</v>
      </c>
      <c r="K9" s="188">
        <f t="shared" ref="K9:K16" si="5">+D9</f>
        <v>0.04</v>
      </c>
      <c r="L9" s="188">
        <f t="shared" ref="L9:L16" si="6">+J9*K9/1000</f>
        <v>0.33764</v>
      </c>
      <c r="M9" s="188">
        <f>+M8+L9</f>
        <v>10.511940000000001</v>
      </c>
      <c r="N9" s="54">
        <f>+B8</f>
        <v>10600</v>
      </c>
      <c r="O9" s="670">
        <f t="shared" ref="O9:O16" si="7">+E9</f>
        <v>0.09</v>
      </c>
      <c r="P9" s="670">
        <f t="shared" ref="P9:P16" si="8">+N9*O9/1000</f>
        <v>0.95399999999999996</v>
      </c>
      <c r="Q9" s="670">
        <f t="shared" ref="Q9:Q16" si="9">+Q8+P9</f>
        <v>15.298040000000002</v>
      </c>
      <c r="R9" s="247">
        <f t="shared" ref="R9:R16" si="10">+(B9+B8)/2</f>
        <v>8441</v>
      </c>
      <c r="S9" s="24">
        <f t="shared" ref="S9:S16" si="11">+F9</f>
        <v>332.99999999999994</v>
      </c>
      <c r="T9" s="25">
        <f t="shared" ref="T9:T16" si="12">+R9*S9/1000000</f>
        <v>2.8108529999999994</v>
      </c>
      <c r="U9" s="654">
        <f t="shared" ref="U9:U16" si="13">+U8+T9</f>
        <v>41.408189000000007</v>
      </c>
      <c r="V9" s="10"/>
      <c r="X9" s="1"/>
    </row>
    <row r="10" spans="1:24" x14ac:dyDescent="0.2">
      <c r="A10" s="33">
        <v>1997</v>
      </c>
      <c r="B10" s="30">
        <f>5501+1353</f>
        <v>6854</v>
      </c>
      <c r="C10" s="660">
        <f t="shared" si="3"/>
        <v>170851</v>
      </c>
      <c r="D10" s="662">
        <v>3.2103880945433323E-2</v>
      </c>
      <c r="E10" s="663">
        <v>7.2233732127224975E-2</v>
      </c>
      <c r="F10" s="617">
        <v>267.2648088707324</v>
      </c>
      <c r="G10" s="626">
        <f t="shared" si="0"/>
        <v>0.22003999999999999</v>
      </c>
      <c r="H10" s="72">
        <f t="shared" si="1"/>
        <v>0.49508999999999997</v>
      </c>
      <c r="I10" s="630">
        <f t="shared" si="2"/>
        <v>1.8318329999999998</v>
      </c>
      <c r="J10" s="61">
        <f t="shared" si="4"/>
        <v>6568</v>
      </c>
      <c r="K10" s="188">
        <f t="shared" si="5"/>
        <v>3.2103880945433323E-2</v>
      </c>
      <c r="L10" s="188">
        <f t="shared" si="6"/>
        <v>0.21085829004960607</v>
      </c>
      <c r="M10" s="188">
        <f>+M9+L10</f>
        <v>10.722798290049607</v>
      </c>
      <c r="N10" s="54">
        <f t="shared" ref="N10:N16" si="14">+B9</f>
        <v>6282</v>
      </c>
      <c r="O10" s="670">
        <f t="shared" si="7"/>
        <v>7.2233732127224975E-2</v>
      </c>
      <c r="P10" s="670">
        <f t="shared" si="8"/>
        <v>0.45377230522322731</v>
      </c>
      <c r="Q10" s="670">
        <f t="shared" si="9"/>
        <v>15.751812305223229</v>
      </c>
      <c r="R10" s="247">
        <f t="shared" si="10"/>
        <v>6568</v>
      </c>
      <c r="S10" s="24">
        <f t="shared" si="11"/>
        <v>267.2648088707324</v>
      </c>
      <c r="T10" s="25">
        <f t="shared" si="12"/>
        <v>1.7553952646629702</v>
      </c>
      <c r="U10" s="654">
        <f t="shared" si="13"/>
        <v>43.16358426466298</v>
      </c>
      <c r="V10" s="10"/>
      <c r="X10" s="1"/>
    </row>
    <row r="11" spans="1:24" x14ac:dyDescent="0.2">
      <c r="A11" s="33">
        <v>1998</v>
      </c>
      <c r="B11" s="30">
        <v>4644</v>
      </c>
      <c r="C11" s="660">
        <f t="shared" si="3"/>
        <v>175495</v>
      </c>
      <c r="D11" s="662">
        <v>0.04</v>
      </c>
      <c r="E11" s="663">
        <v>0.09</v>
      </c>
      <c r="F11" s="617">
        <v>333</v>
      </c>
      <c r="G11" s="626">
        <f t="shared" si="0"/>
        <v>0.18575999999999998</v>
      </c>
      <c r="H11" s="72">
        <f t="shared" si="1"/>
        <v>0.41796</v>
      </c>
      <c r="I11" s="630">
        <f t="shared" si="2"/>
        <v>1.5464519999999999</v>
      </c>
      <c r="J11" s="61">
        <f t="shared" si="4"/>
        <v>5749</v>
      </c>
      <c r="K11" s="188">
        <f t="shared" si="5"/>
        <v>0.04</v>
      </c>
      <c r="L11" s="188">
        <f t="shared" si="6"/>
        <v>0.22996</v>
      </c>
      <c r="M11" s="188">
        <f t="shared" ref="M11:M16" si="15">+M10+L11</f>
        <v>10.952758290049607</v>
      </c>
      <c r="N11" s="54">
        <f t="shared" si="14"/>
        <v>6854</v>
      </c>
      <c r="O11" s="670">
        <f t="shared" si="7"/>
        <v>0.09</v>
      </c>
      <c r="P11" s="670">
        <f t="shared" si="8"/>
        <v>0.61685999999999996</v>
      </c>
      <c r="Q11" s="670">
        <f t="shared" si="9"/>
        <v>16.368672305223228</v>
      </c>
      <c r="R11" s="247">
        <f t="shared" si="10"/>
        <v>5749</v>
      </c>
      <c r="S11" s="24">
        <f t="shared" si="11"/>
        <v>333</v>
      </c>
      <c r="T11" s="25">
        <f t="shared" si="12"/>
        <v>1.914417</v>
      </c>
      <c r="U11" s="654">
        <f t="shared" si="13"/>
        <v>45.07800126466298</v>
      </c>
      <c r="V11" s="10"/>
      <c r="X11" s="1"/>
    </row>
    <row r="12" spans="1:24" x14ac:dyDescent="0.2">
      <c r="A12" s="33">
        <v>1999</v>
      </c>
      <c r="B12" s="30">
        <v>4999</v>
      </c>
      <c r="C12" s="660">
        <f t="shared" si="3"/>
        <v>180494</v>
      </c>
      <c r="D12" s="662">
        <v>0.04</v>
      </c>
      <c r="E12" s="663">
        <v>9.0000000000000011E-2</v>
      </c>
      <c r="F12" s="617">
        <v>333</v>
      </c>
      <c r="G12" s="626">
        <f t="shared" si="0"/>
        <v>0.19996</v>
      </c>
      <c r="H12" s="72">
        <f t="shared" si="1"/>
        <v>0.44991000000000003</v>
      </c>
      <c r="I12" s="630">
        <f t="shared" si="2"/>
        <v>1.6646669999999999</v>
      </c>
      <c r="J12" s="61">
        <f t="shared" si="4"/>
        <v>4821.5</v>
      </c>
      <c r="K12" s="188">
        <f t="shared" si="5"/>
        <v>0.04</v>
      </c>
      <c r="L12" s="188">
        <f t="shared" si="6"/>
        <v>0.19286</v>
      </c>
      <c r="M12" s="188">
        <f t="shared" si="15"/>
        <v>11.145618290049606</v>
      </c>
      <c r="N12" s="54">
        <f t="shared" si="14"/>
        <v>4644</v>
      </c>
      <c r="O12" s="670">
        <f t="shared" si="7"/>
        <v>9.0000000000000011E-2</v>
      </c>
      <c r="P12" s="670">
        <f t="shared" si="8"/>
        <v>0.41796000000000005</v>
      </c>
      <c r="Q12" s="670">
        <f t="shared" si="9"/>
        <v>16.786632305223229</v>
      </c>
      <c r="R12" s="247">
        <f t="shared" si="10"/>
        <v>4821.5</v>
      </c>
      <c r="S12" s="24">
        <f t="shared" si="11"/>
        <v>333</v>
      </c>
      <c r="T12" s="25">
        <f t="shared" si="12"/>
        <v>1.6055595</v>
      </c>
      <c r="U12" s="654">
        <f t="shared" si="13"/>
        <v>46.683560764662978</v>
      </c>
      <c r="V12" s="10"/>
      <c r="X12" s="1"/>
    </row>
    <row r="13" spans="1:24" x14ac:dyDescent="0.2">
      <c r="A13" s="33">
        <v>2000</v>
      </c>
      <c r="B13" s="30">
        <v>6020</v>
      </c>
      <c r="C13" s="660">
        <f t="shared" si="3"/>
        <v>186514</v>
      </c>
      <c r="D13" s="662">
        <v>0.04</v>
      </c>
      <c r="E13" s="663">
        <v>0.09</v>
      </c>
      <c r="F13" s="617">
        <v>333</v>
      </c>
      <c r="G13" s="626">
        <f t="shared" si="0"/>
        <v>0.24080000000000001</v>
      </c>
      <c r="H13" s="72">
        <f t="shared" si="1"/>
        <v>0.54179999999999995</v>
      </c>
      <c r="I13" s="630">
        <f t="shared" si="2"/>
        <v>2.0046599999999999</v>
      </c>
      <c r="J13" s="61">
        <f t="shared" si="4"/>
        <v>5509.5</v>
      </c>
      <c r="K13" s="188">
        <f t="shared" si="5"/>
        <v>0.04</v>
      </c>
      <c r="L13" s="188">
        <f t="shared" si="6"/>
        <v>0.22037999999999999</v>
      </c>
      <c r="M13" s="188">
        <f t="shared" si="15"/>
        <v>11.365998290049607</v>
      </c>
      <c r="N13" s="54">
        <f t="shared" si="14"/>
        <v>4999</v>
      </c>
      <c r="O13" s="670">
        <f t="shared" si="7"/>
        <v>0.09</v>
      </c>
      <c r="P13" s="670">
        <f t="shared" si="8"/>
        <v>0.44990999999999998</v>
      </c>
      <c r="Q13" s="670">
        <f t="shared" si="9"/>
        <v>17.236542305223228</v>
      </c>
      <c r="R13" s="247">
        <f t="shared" si="10"/>
        <v>5509.5</v>
      </c>
      <c r="S13" s="24">
        <f t="shared" si="11"/>
        <v>333</v>
      </c>
      <c r="T13" s="25">
        <f t="shared" si="12"/>
        <v>1.8346635</v>
      </c>
      <c r="U13" s="654">
        <f t="shared" si="13"/>
        <v>48.518224264662976</v>
      </c>
      <c r="V13" s="9"/>
      <c r="X13" s="1"/>
    </row>
    <row r="14" spans="1:24" x14ac:dyDescent="0.2">
      <c r="A14" s="33">
        <v>2001</v>
      </c>
      <c r="B14" s="30">
        <v>7092</v>
      </c>
      <c r="C14" s="660">
        <f>+C13+B14</f>
        <v>193606</v>
      </c>
      <c r="D14" s="662">
        <v>0.04</v>
      </c>
      <c r="E14" s="663">
        <v>0.09</v>
      </c>
      <c r="F14" s="617">
        <v>333</v>
      </c>
      <c r="G14" s="626">
        <f t="shared" si="0"/>
        <v>0.28367999999999999</v>
      </c>
      <c r="H14" s="72">
        <f t="shared" si="1"/>
        <v>0.63827999999999996</v>
      </c>
      <c r="I14" s="630">
        <f t="shared" si="2"/>
        <v>2.3616359999999998</v>
      </c>
      <c r="J14" s="61">
        <f t="shared" si="4"/>
        <v>6556</v>
      </c>
      <c r="K14" s="188">
        <f t="shared" si="5"/>
        <v>0.04</v>
      </c>
      <c r="L14" s="188">
        <f t="shared" si="6"/>
        <v>0.26224000000000003</v>
      </c>
      <c r="M14" s="188">
        <f t="shared" si="15"/>
        <v>11.628238290049607</v>
      </c>
      <c r="N14" s="54">
        <f t="shared" si="14"/>
        <v>6020</v>
      </c>
      <c r="O14" s="670">
        <f t="shared" si="7"/>
        <v>0.09</v>
      </c>
      <c r="P14" s="670">
        <f t="shared" si="8"/>
        <v>0.54179999999999995</v>
      </c>
      <c r="Q14" s="670">
        <f t="shared" si="9"/>
        <v>17.778342305223227</v>
      </c>
      <c r="R14" s="247">
        <f t="shared" si="10"/>
        <v>6556</v>
      </c>
      <c r="S14" s="24">
        <f t="shared" si="11"/>
        <v>333</v>
      </c>
      <c r="T14" s="25">
        <f t="shared" si="12"/>
        <v>2.1831480000000001</v>
      </c>
      <c r="U14" s="654">
        <f t="shared" si="13"/>
        <v>50.701372264662979</v>
      </c>
      <c r="V14" s="9"/>
      <c r="X14" s="1"/>
    </row>
    <row r="15" spans="1:24" x14ac:dyDescent="0.2">
      <c r="A15" s="33">
        <v>2002</v>
      </c>
      <c r="B15" s="30">
        <v>8649</v>
      </c>
      <c r="C15" s="660">
        <f t="shared" si="3"/>
        <v>202255</v>
      </c>
      <c r="D15" s="662">
        <v>0.04</v>
      </c>
      <c r="E15" s="663">
        <v>0.09</v>
      </c>
      <c r="F15" s="617">
        <v>333</v>
      </c>
      <c r="G15" s="626">
        <f t="shared" si="0"/>
        <v>0.34595999999999999</v>
      </c>
      <c r="H15" s="72">
        <f t="shared" si="1"/>
        <v>0.77840999999999994</v>
      </c>
      <c r="I15" s="630">
        <f t="shared" si="2"/>
        <v>2.8801169999999998</v>
      </c>
      <c r="J15" s="61">
        <f t="shared" si="4"/>
        <v>7870.5</v>
      </c>
      <c r="K15" s="188">
        <f t="shared" si="5"/>
        <v>0.04</v>
      </c>
      <c r="L15" s="188">
        <f t="shared" si="6"/>
        <v>0.31481999999999999</v>
      </c>
      <c r="M15" s="188">
        <f t="shared" si="15"/>
        <v>11.943058290049606</v>
      </c>
      <c r="N15" s="54">
        <f t="shared" si="14"/>
        <v>7092</v>
      </c>
      <c r="O15" s="670">
        <f t="shared" si="7"/>
        <v>0.09</v>
      </c>
      <c r="P15" s="670">
        <f t="shared" si="8"/>
        <v>0.63827999999999996</v>
      </c>
      <c r="Q15" s="670">
        <f t="shared" si="9"/>
        <v>18.416622305223228</v>
      </c>
      <c r="R15" s="247">
        <f t="shared" si="10"/>
        <v>7870.5</v>
      </c>
      <c r="S15" s="24">
        <f t="shared" si="11"/>
        <v>333</v>
      </c>
      <c r="T15" s="25">
        <f t="shared" si="12"/>
        <v>2.6208765000000001</v>
      </c>
      <c r="U15" s="654">
        <f t="shared" si="13"/>
        <v>53.32224876466298</v>
      </c>
      <c r="V15" s="9"/>
      <c r="X15" s="1"/>
    </row>
    <row r="16" spans="1:24" x14ac:dyDescent="0.2">
      <c r="A16" s="33">
        <v>2003</v>
      </c>
      <c r="B16" s="30">
        <v>9654</v>
      </c>
      <c r="C16" s="660">
        <f t="shared" si="3"/>
        <v>211909</v>
      </c>
      <c r="D16" s="662">
        <v>0.04</v>
      </c>
      <c r="E16" s="663">
        <v>0.09</v>
      </c>
      <c r="F16" s="617">
        <v>333</v>
      </c>
      <c r="G16" s="626">
        <f t="shared" si="0"/>
        <v>0.38616</v>
      </c>
      <c r="H16" s="72">
        <f t="shared" si="1"/>
        <v>0.86885999999999997</v>
      </c>
      <c r="I16" s="630">
        <f t="shared" si="2"/>
        <v>3.214782</v>
      </c>
      <c r="J16" s="61">
        <f t="shared" si="4"/>
        <v>9151.5</v>
      </c>
      <c r="K16" s="188">
        <f t="shared" si="5"/>
        <v>0.04</v>
      </c>
      <c r="L16" s="188">
        <f t="shared" si="6"/>
        <v>0.36606</v>
      </c>
      <c r="M16" s="188">
        <f t="shared" si="15"/>
        <v>12.309118290049605</v>
      </c>
      <c r="N16" s="54">
        <f t="shared" si="14"/>
        <v>8649</v>
      </c>
      <c r="O16" s="670">
        <f t="shared" si="7"/>
        <v>0.09</v>
      </c>
      <c r="P16" s="670">
        <f t="shared" si="8"/>
        <v>0.77840999999999994</v>
      </c>
      <c r="Q16" s="670">
        <f t="shared" si="9"/>
        <v>19.195032305223229</v>
      </c>
      <c r="R16" s="247">
        <f t="shared" si="10"/>
        <v>9151.5</v>
      </c>
      <c r="S16" s="24">
        <f t="shared" si="11"/>
        <v>333</v>
      </c>
      <c r="T16" s="25">
        <f t="shared" si="12"/>
        <v>3.0474494999999999</v>
      </c>
      <c r="U16" s="654">
        <f t="shared" si="13"/>
        <v>56.369698264662979</v>
      </c>
      <c r="V16" s="9"/>
      <c r="X16" s="1"/>
    </row>
    <row r="17" spans="1:24" x14ac:dyDescent="0.2">
      <c r="A17" s="33">
        <f>+A16+1</f>
        <v>2004</v>
      </c>
      <c r="B17" s="30">
        <v>8365</v>
      </c>
      <c r="C17" s="660">
        <f t="shared" si="3"/>
        <v>220274</v>
      </c>
      <c r="D17" s="662">
        <v>0.04</v>
      </c>
      <c r="E17" s="663">
        <v>0.09</v>
      </c>
      <c r="F17" s="617">
        <v>333</v>
      </c>
      <c r="G17" s="626">
        <f t="shared" si="0"/>
        <v>0.33460000000000001</v>
      </c>
      <c r="H17" s="72">
        <f t="shared" si="1"/>
        <v>0.75285000000000002</v>
      </c>
      <c r="I17" s="630">
        <f t="shared" si="2"/>
        <v>2.7855449999999999</v>
      </c>
      <c r="J17" s="61">
        <f t="shared" ref="J17:J37" si="16">+(B17+B16)/2</f>
        <v>9009.5</v>
      </c>
      <c r="K17" s="188">
        <f t="shared" ref="K17:K37" si="17">+D17</f>
        <v>0.04</v>
      </c>
      <c r="L17" s="188">
        <f t="shared" ref="L17:L37" si="18">+J17*K17/1000</f>
        <v>0.36037999999999998</v>
      </c>
      <c r="M17" s="188">
        <f t="shared" ref="M17:M37" si="19">+M16+L17</f>
        <v>12.669498290049605</v>
      </c>
      <c r="N17" s="54">
        <f t="shared" ref="N17:N37" si="20">+B16</f>
        <v>9654</v>
      </c>
      <c r="O17" s="670">
        <f t="shared" ref="O17:O37" si="21">+E17</f>
        <v>0.09</v>
      </c>
      <c r="P17" s="670">
        <f t="shared" ref="P17:P37" si="22">+N17*O17/1000</f>
        <v>0.86885999999999997</v>
      </c>
      <c r="Q17" s="670">
        <f t="shared" ref="Q17:Q37" si="23">+Q16+P17</f>
        <v>20.063892305223231</v>
      </c>
      <c r="R17" s="247">
        <f t="shared" ref="R17:R37" si="24">+(B17+B16)/2</f>
        <v>9009.5</v>
      </c>
      <c r="S17" s="24">
        <f t="shared" ref="S17:S37" si="25">+F17</f>
        <v>333</v>
      </c>
      <c r="T17" s="25">
        <f t="shared" ref="T17:T37" si="26">+R17*S17/1000000</f>
        <v>3.0001635000000002</v>
      </c>
      <c r="U17" s="654">
        <f t="shared" ref="U17:U37" si="27">+U16+T17</f>
        <v>59.369861764662978</v>
      </c>
      <c r="V17" s="9"/>
      <c r="X17" s="1"/>
    </row>
    <row r="18" spans="1:24" x14ac:dyDescent="0.2">
      <c r="A18" s="33">
        <f t="shared" ref="A18:A24" si="28">+A17+1</f>
        <v>2005</v>
      </c>
      <c r="B18" s="30">
        <v>7349</v>
      </c>
      <c r="C18" s="660">
        <f t="shared" si="3"/>
        <v>227623</v>
      </c>
      <c r="D18" s="662">
        <v>0.03</v>
      </c>
      <c r="E18" s="663">
        <v>3.9999999999999994E-2</v>
      </c>
      <c r="F18" s="617">
        <v>137</v>
      </c>
      <c r="G18" s="626">
        <f t="shared" si="0"/>
        <v>0.22047</v>
      </c>
      <c r="H18" s="72">
        <f t="shared" si="1"/>
        <v>0.29396</v>
      </c>
      <c r="I18" s="630">
        <f t="shared" si="2"/>
        <v>1.006813</v>
      </c>
      <c r="J18" s="61">
        <f t="shared" si="16"/>
        <v>7857</v>
      </c>
      <c r="K18" s="188">
        <f t="shared" si="17"/>
        <v>0.03</v>
      </c>
      <c r="L18" s="188">
        <f t="shared" si="18"/>
        <v>0.23570999999999998</v>
      </c>
      <c r="M18" s="188">
        <f t="shared" si="19"/>
        <v>12.905208290049604</v>
      </c>
      <c r="N18" s="54">
        <f t="shared" si="20"/>
        <v>8365</v>
      </c>
      <c r="O18" s="670">
        <f t="shared" si="21"/>
        <v>3.9999999999999994E-2</v>
      </c>
      <c r="P18" s="670">
        <f t="shared" si="22"/>
        <v>0.33459999999999995</v>
      </c>
      <c r="Q18" s="670">
        <f t="shared" si="23"/>
        <v>20.398492305223229</v>
      </c>
      <c r="R18" s="247">
        <f t="shared" si="24"/>
        <v>7857</v>
      </c>
      <c r="S18" s="24">
        <f t="shared" si="25"/>
        <v>137</v>
      </c>
      <c r="T18" s="25">
        <f t="shared" si="26"/>
        <v>1.0764089999999999</v>
      </c>
      <c r="U18" s="654">
        <f t="shared" si="27"/>
        <v>60.446270764662977</v>
      </c>
      <c r="V18" s="9"/>
      <c r="X18" s="1"/>
    </row>
    <row r="19" spans="1:24" x14ac:dyDescent="0.2">
      <c r="A19" s="33">
        <f t="shared" si="28"/>
        <v>2006</v>
      </c>
      <c r="B19" s="30">
        <v>6686</v>
      </c>
      <c r="C19" s="660">
        <f t="shared" si="3"/>
        <v>234309</v>
      </c>
      <c r="D19" s="662">
        <v>3.0000000000000002E-2</v>
      </c>
      <c r="E19" s="663">
        <v>0.04</v>
      </c>
      <c r="F19" s="617">
        <v>137</v>
      </c>
      <c r="G19" s="626">
        <f t="shared" si="0"/>
        <v>0.20058000000000001</v>
      </c>
      <c r="H19" s="72">
        <f t="shared" si="1"/>
        <v>0.26744000000000001</v>
      </c>
      <c r="I19" s="630">
        <f t="shared" si="2"/>
        <v>0.91598199999999996</v>
      </c>
      <c r="J19" s="61">
        <f t="shared" si="16"/>
        <v>7017.5</v>
      </c>
      <c r="K19" s="188">
        <f t="shared" si="17"/>
        <v>3.0000000000000002E-2</v>
      </c>
      <c r="L19" s="188">
        <f t="shared" si="18"/>
        <v>0.21052500000000002</v>
      </c>
      <c r="M19" s="188">
        <f t="shared" si="19"/>
        <v>13.115733290049604</v>
      </c>
      <c r="N19" s="54">
        <f t="shared" si="20"/>
        <v>7349</v>
      </c>
      <c r="O19" s="670">
        <f t="shared" si="21"/>
        <v>0.04</v>
      </c>
      <c r="P19" s="670">
        <f t="shared" si="22"/>
        <v>0.29396</v>
      </c>
      <c r="Q19" s="670">
        <f t="shared" si="23"/>
        <v>20.692452305223227</v>
      </c>
      <c r="R19" s="247">
        <f t="shared" si="24"/>
        <v>7017.5</v>
      </c>
      <c r="S19" s="24">
        <f t="shared" si="25"/>
        <v>137</v>
      </c>
      <c r="T19" s="25">
        <f t="shared" si="26"/>
        <v>0.96139750000000002</v>
      </c>
      <c r="U19" s="654">
        <f t="shared" si="27"/>
        <v>61.407668264662973</v>
      </c>
      <c r="V19" s="8"/>
      <c r="X19" s="1"/>
    </row>
    <row r="20" spans="1:24" x14ac:dyDescent="0.2">
      <c r="A20" s="33">
        <f t="shared" si="28"/>
        <v>2007</v>
      </c>
      <c r="B20" s="30">
        <v>6512</v>
      </c>
      <c r="C20" s="660">
        <f t="shared" si="3"/>
        <v>240821</v>
      </c>
      <c r="D20" s="662">
        <v>3.0000000000000002E-2</v>
      </c>
      <c r="E20" s="663">
        <v>3.9999999999999994E-2</v>
      </c>
      <c r="F20" s="617">
        <v>137</v>
      </c>
      <c r="G20" s="626">
        <f t="shared" si="0"/>
        <v>0.19536000000000001</v>
      </c>
      <c r="H20" s="72">
        <f t="shared" si="1"/>
        <v>0.26047999999999993</v>
      </c>
      <c r="I20" s="630">
        <f t="shared" si="2"/>
        <v>0.89214400000000005</v>
      </c>
      <c r="J20" s="61">
        <f t="shared" si="16"/>
        <v>6599</v>
      </c>
      <c r="K20" s="188">
        <f t="shared" si="17"/>
        <v>3.0000000000000002E-2</v>
      </c>
      <c r="L20" s="188">
        <f t="shared" si="18"/>
        <v>0.19797000000000003</v>
      </c>
      <c r="M20" s="188">
        <f>+M19+L20</f>
        <v>13.313703290049604</v>
      </c>
      <c r="N20" s="54">
        <f>+B19</f>
        <v>6686</v>
      </c>
      <c r="O20" s="670">
        <f t="shared" si="21"/>
        <v>3.9999999999999994E-2</v>
      </c>
      <c r="P20" s="670">
        <f t="shared" si="22"/>
        <v>0.26743999999999996</v>
      </c>
      <c r="Q20" s="670">
        <f t="shared" si="23"/>
        <v>20.959892305223228</v>
      </c>
      <c r="R20" s="247">
        <f t="shared" si="24"/>
        <v>6599</v>
      </c>
      <c r="S20" s="24">
        <f t="shared" si="25"/>
        <v>137</v>
      </c>
      <c r="T20" s="25">
        <f t="shared" si="26"/>
        <v>0.90406299999999995</v>
      </c>
      <c r="U20" s="654">
        <f t="shared" si="27"/>
        <v>62.311731264662974</v>
      </c>
    </row>
    <row r="21" spans="1:24" x14ac:dyDescent="0.2">
      <c r="A21" s="33">
        <f t="shared" si="28"/>
        <v>2008</v>
      </c>
      <c r="B21" s="30">
        <v>5807</v>
      </c>
      <c r="C21" s="660">
        <f t="shared" si="3"/>
        <v>246628</v>
      </c>
      <c r="D21" s="662">
        <v>0.03</v>
      </c>
      <c r="E21" s="663">
        <v>0.04</v>
      </c>
      <c r="F21" s="617">
        <v>137</v>
      </c>
      <c r="G21" s="626">
        <f t="shared" si="0"/>
        <v>0.17420999999999998</v>
      </c>
      <c r="H21" s="72">
        <f t="shared" si="1"/>
        <v>0.23228000000000001</v>
      </c>
      <c r="I21" s="630">
        <f t="shared" si="2"/>
        <v>0.79555900000000002</v>
      </c>
      <c r="J21" s="61">
        <f t="shared" si="16"/>
        <v>6159.5</v>
      </c>
      <c r="K21" s="188">
        <f t="shared" si="17"/>
        <v>0.03</v>
      </c>
      <c r="L21" s="188">
        <f t="shared" si="18"/>
        <v>0.184785</v>
      </c>
      <c r="M21" s="188">
        <f>+M20+L21</f>
        <v>13.498488290049604</v>
      </c>
      <c r="N21" s="54">
        <f t="shared" si="20"/>
        <v>6512</v>
      </c>
      <c r="O21" s="670">
        <f t="shared" si="21"/>
        <v>0.04</v>
      </c>
      <c r="P21" s="670">
        <f t="shared" si="22"/>
        <v>0.26048000000000004</v>
      </c>
      <c r="Q21" s="670">
        <f t="shared" si="23"/>
        <v>21.220372305223229</v>
      </c>
      <c r="R21" s="247">
        <f t="shared" si="24"/>
        <v>6159.5</v>
      </c>
      <c r="S21" s="24">
        <f t="shared" si="25"/>
        <v>137</v>
      </c>
      <c r="T21" s="25">
        <f t="shared" si="26"/>
        <v>0.84385149999999998</v>
      </c>
      <c r="U21" s="654">
        <f t="shared" si="27"/>
        <v>63.155582764662974</v>
      </c>
    </row>
    <row r="22" spans="1:24" x14ac:dyDescent="0.2">
      <c r="A22" s="33">
        <f t="shared" si="28"/>
        <v>2009</v>
      </c>
      <c r="B22" s="30">
        <v>8681</v>
      </c>
      <c r="C22" s="660">
        <f t="shared" si="3"/>
        <v>255309</v>
      </c>
      <c r="D22" s="662">
        <v>0.03</v>
      </c>
      <c r="E22" s="663">
        <v>0.04</v>
      </c>
      <c r="F22" s="617">
        <v>137</v>
      </c>
      <c r="G22" s="626">
        <f t="shared" si="0"/>
        <v>0.26042999999999999</v>
      </c>
      <c r="H22" s="72">
        <f t="shared" si="1"/>
        <v>0.34723999999999999</v>
      </c>
      <c r="I22" s="630">
        <f t="shared" si="2"/>
        <v>1.189297</v>
      </c>
      <c r="J22" s="61">
        <f t="shared" si="16"/>
        <v>7244</v>
      </c>
      <c r="K22" s="188">
        <f t="shared" si="17"/>
        <v>0.03</v>
      </c>
      <c r="L22" s="188">
        <f t="shared" si="18"/>
        <v>0.21731999999999999</v>
      </c>
      <c r="M22" s="188">
        <f>+M21+L22</f>
        <v>13.715808290049605</v>
      </c>
      <c r="N22" s="54">
        <f t="shared" si="20"/>
        <v>5807</v>
      </c>
      <c r="O22" s="670">
        <f t="shared" si="21"/>
        <v>0.04</v>
      </c>
      <c r="P22" s="670">
        <f t="shared" si="22"/>
        <v>0.23228000000000001</v>
      </c>
      <c r="Q22" s="670">
        <f t="shared" si="23"/>
        <v>21.452652305223229</v>
      </c>
      <c r="R22" s="247">
        <f t="shared" si="24"/>
        <v>7244</v>
      </c>
      <c r="S22" s="24">
        <f t="shared" si="25"/>
        <v>137</v>
      </c>
      <c r="T22" s="25">
        <f t="shared" si="26"/>
        <v>0.99242799999999998</v>
      </c>
      <c r="U22" s="654">
        <f t="shared" si="27"/>
        <v>64.14801076466297</v>
      </c>
    </row>
    <row r="23" spans="1:24" x14ac:dyDescent="0.2">
      <c r="A23" s="33">
        <f t="shared" si="28"/>
        <v>2010</v>
      </c>
      <c r="B23" s="30">
        <v>10291</v>
      </c>
      <c r="C23" s="661">
        <f t="shared" si="3"/>
        <v>265600</v>
      </c>
      <c r="D23" s="662">
        <v>0.03</v>
      </c>
      <c r="E23" s="663">
        <v>0.04</v>
      </c>
      <c r="F23" s="617">
        <v>137</v>
      </c>
      <c r="G23" s="626">
        <f t="shared" si="0"/>
        <v>0.30872999999999995</v>
      </c>
      <c r="H23" s="72">
        <f t="shared" si="1"/>
        <v>0.41164000000000001</v>
      </c>
      <c r="I23" s="630">
        <f t="shared" si="2"/>
        <v>1.409867</v>
      </c>
      <c r="J23" s="61">
        <f t="shared" si="16"/>
        <v>9486</v>
      </c>
      <c r="K23" s="188">
        <f t="shared" si="17"/>
        <v>0.03</v>
      </c>
      <c r="L23" s="188">
        <f t="shared" si="18"/>
        <v>0.28458</v>
      </c>
      <c r="M23" s="188">
        <f t="shared" si="19"/>
        <v>14.000388290049605</v>
      </c>
      <c r="N23" s="54">
        <f t="shared" si="20"/>
        <v>8681</v>
      </c>
      <c r="O23" s="670">
        <f t="shared" si="21"/>
        <v>0.04</v>
      </c>
      <c r="P23" s="670">
        <f t="shared" si="22"/>
        <v>0.34723999999999999</v>
      </c>
      <c r="Q23" s="670">
        <f t="shared" si="23"/>
        <v>21.799892305223228</v>
      </c>
      <c r="R23" s="247">
        <f t="shared" si="24"/>
        <v>9486</v>
      </c>
      <c r="S23" s="24">
        <f t="shared" si="25"/>
        <v>137</v>
      </c>
      <c r="T23" s="25">
        <f t="shared" si="26"/>
        <v>1.299582</v>
      </c>
      <c r="U23" s="654">
        <f t="shared" si="27"/>
        <v>65.447592764662971</v>
      </c>
    </row>
    <row r="24" spans="1:24" x14ac:dyDescent="0.2">
      <c r="A24" s="33">
        <f t="shared" si="28"/>
        <v>2011</v>
      </c>
      <c r="B24" s="30">
        <v>8652</v>
      </c>
      <c r="C24" s="661">
        <f t="shared" si="3"/>
        <v>274252</v>
      </c>
      <c r="D24" s="662">
        <v>0.04</v>
      </c>
      <c r="E24" s="663">
        <v>0.06</v>
      </c>
      <c r="F24" s="617">
        <v>436</v>
      </c>
      <c r="G24" s="626">
        <f t="shared" ref="G24:G37" si="29">+$B24*D24/1000</f>
        <v>0.34608</v>
      </c>
      <c r="H24" s="72">
        <f t="shared" ref="H24:H37" si="30">+$B24*E24/1000</f>
        <v>0.51912000000000003</v>
      </c>
      <c r="I24" s="630">
        <f t="shared" ref="I24:I37" si="31">+$B24*F24/1000000</f>
        <v>3.7722720000000001</v>
      </c>
      <c r="J24" s="61">
        <f t="shared" si="16"/>
        <v>9471.5</v>
      </c>
      <c r="K24" s="188">
        <f t="shared" si="17"/>
        <v>0.04</v>
      </c>
      <c r="L24" s="188">
        <f t="shared" si="18"/>
        <v>0.37886000000000003</v>
      </c>
      <c r="M24" s="188">
        <f t="shared" si="19"/>
        <v>14.379248290049604</v>
      </c>
      <c r="N24" s="54">
        <f t="shared" si="20"/>
        <v>10291</v>
      </c>
      <c r="O24" s="670">
        <f t="shared" si="21"/>
        <v>0.06</v>
      </c>
      <c r="P24" s="670">
        <f t="shared" si="22"/>
        <v>0.6174599999999999</v>
      </c>
      <c r="Q24" s="670">
        <f t="shared" si="23"/>
        <v>22.417352305223229</v>
      </c>
      <c r="R24" s="247">
        <f t="shared" si="24"/>
        <v>9471.5</v>
      </c>
      <c r="S24" s="24">
        <f t="shared" si="25"/>
        <v>436</v>
      </c>
      <c r="T24" s="25">
        <f t="shared" si="26"/>
        <v>4.1295739999999999</v>
      </c>
      <c r="U24" s="654">
        <f t="shared" si="27"/>
        <v>69.577166764662977</v>
      </c>
    </row>
    <row r="25" spans="1:24" x14ac:dyDescent="0.2">
      <c r="A25" s="33">
        <f t="shared" ref="A25:A54" si="32">+A24+1</f>
        <v>2012</v>
      </c>
      <c r="B25" s="30">
        <v>7908</v>
      </c>
      <c r="C25" s="661">
        <f t="shared" si="3"/>
        <v>282160</v>
      </c>
      <c r="D25" s="662">
        <v>0.05</v>
      </c>
      <c r="E25" s="663">
        <v>7.0000000000000007E-2</v>
      </c>
      <c r="F25" s="617">
        <v>544</v>
      </c>
      <c r="G25" s="626">
        <f t="shared" si="29"/>
        <v>0.39540000000000003</v>
      </c>
      <c r="H25" s="72">
        <f t="shared" si="30"/>
        <v>0.55356000000000005</v>
      </c>
      <c r="I25" s="630">
        <f t="shared" si="31"/>
        <v>4.301952</v>
      </c>
      <c r="J25" s="61">
        <f t="shared" si="16"/>
        <v>8280</v>
      </c>
      <c r="K25" s="188">
        <f t="shared" si="17"/>
        <v>0.05</v>
      </c>
      <c r="L25" s="188">
        <f t="shared" si="18"/>
        <v>0.41399999999999998</v>
      </c>
      <c r="M25" s="188">
        <f t="shared" si="19"/>
        <v>14.793248290049604</v>
      </c>
      <c r="N25" s="54">
        <f t="shared" si="20"/>
        <v>8652</v>
      </c>
      <c r="O25" s="670">
        <f t="shared" si="21"/>
        <v>7.0000000000000007E-2</v>
      </c>
      <c r="P25" s="670">
        <f t="shared" si="22"/>
        <v>0.60564000000000007</v>
      </c>
      <c r="Q25" s="670">
        <f t="shared" si="23"/>
        <v>23.02299230522323</v>
      </c>
      <c r="R25" s="247">
        <f t="shared" si="24"/>
        <v>8280</v>
      </c>
      <c r="S25" s="24">
        <f t="shared" si="25"/>
        <v>544</v>
      </c>
      <c r="T25" s="25">
        <f t="shared" si="26"/>
        <v>4.5043199999999999</v>
      </c>
      <c r="U25" s="654">
        <f t="shared" si="27"/>
        <v>74.081486764662969</v>
      </c>
    </row>
    <row r="26" spans="1:24" s="176" customFormat="1" x14ac:dyDescent="0.2">
      <c r="A26" s="194">
        <f t="shared" si="32"/>
        <v>2013</v>
      </c>
      <c r="B26" s="1001">
        <v>7743</v>
      </c>
      <c r="C26" s="1002">
        <f t="shared" si="3"/>
        <v>289903</v>
      </c>
      <c r="D26" s="1003">
        <v>0.05</v>
      </c>
      <c r="E26" s="1004">
        <v>7.0000000000000007E-2</v>
      </c>
      <c r="F26" s="1005">
        <v>544</v>
      </c>
      <c r="G26" s="1006">
        <f t="shared" si="29"/>
        <v>0.38715000000000005</v>
      </c>
      <c r="H26" s="1007">
        <f t="shared" si="30"/>
        <v>0.5420100000000001</v>
      </c>
      <c r="I26" s="1008">
        <f t="shared" si="31"/>
        <v>4.2121919999999999</v>
      </c>
      <c r="J26" s="195">
        <f t="shared" si="16"/>
        <v>7825.5</v>
      </c>
      <c r="K26" s="592">
        <f t="shared" si="17"/>
        <v>0.05</v>
      </c>
      <c r="L26" s="592">
        <f t="shared" si="18"/>
        <v>0.39127500000000004</v>
      </c>
      <c r="M26" s="1009">
        <f t="shared" si="19"/>
        <v>15.184523290049604</v>
      </c>
      <c r="N26" s="609">
        <f t="shared" si="20"/>
        <v>7908</v>
      </c>
      <c r="O26" s="1010">
        <f t="shared" si="21"/>
        <v>7.0000000000000007E-2</v>
      </c>
      <c r="P26" s="1010">
        <f t="shared" si="22"/>
        <v>0.55356000000000005</v>
      </c>
      <c r="Q26" s="1011">
        <f t="shared" si="23"/>
        <v>23.576552305223231</v>
      </c>
      <c r="R26" s="610">
        <f t="shared" si="24"/>
        <v>7825.5</v>
      </c>
      <c r="S26" s="611">
        <f t="shared" si="25"/>
        <v>544</v>
      </c>
      <c r="T26" s="612">
        <f t="shared" si="26"/>
        <v>4.257072</v>
      </c>
      <c r="U26" s="1012">
        <f t="shared" si="27"/>
        <v>78.338558764662963</v>
      </c>
      <c r="V26" s="804"/>
    </row>
    <row r="27" spans="1:24" s="831" customFormat="1" x14ac:dyDescent="0.2">
      <c r="A27" s="33">
        <f t="shared" si="32"/>
        <v>2014</v>
      </c>
      <c r="B27" s="30">
        <v>9520</v>
      </c>
      <c r="C27" s="619">
        <f t="shared" si="3"/>
        <v>299423</v>
      </c>
      <c r="D27" s="807">
        <f t="shared" ref="D27:D47" si="33">D26</f>
        <v>0.05</v>
      </c>
      <c r="E27" s="808">
        <f t="shared" ref="E27:E47" si="34">E26</f>
        <v>7.0000000000000007E-2</v>
      </c>
      <c r="F27" s="806">
        <f t="shared" ref="F27:F47" si="35">F26</f>
        <v>544</v>
      </c>
      <c r="G27" s="626">
        <f t="shared" si="29"/>
        <v>0.47599999999999998</v>
      </c>
      <c r="H27" s="72">
        <f t="shared" si="30"/>
        <v>0.6664000000000001</v>
      </c>
      <c r="I27" s="630">
        <f t="shared" si="31"/>
        <v>5.1788800000000004</v>
      </c>
      <c r="J27" s="61">
        <f t="shared" si="16"/>
        <v>8631.5</v>
      </c>
      <c r="K27" s="188">
        <f t="shared" si="17"/>
        <v>0.05</v>
      </c>
      <c r="L27" s="188">
        <f t="shared" si="18"/>
        <v>0.43157500000000004</v>
      </c>
      <c r="M27" s="829">
        <f t="shared" si="19"/>
        <v>15.616098290049605</v>
      </c>
      <c r="N27" s="54">
        <f t="shared" si="20"/>
        <v>7743</v>
      </c>
      <c r="O27" s="670">
        <f t="shared" si="21"/>
        <v>7.0000000000000007E-2</v>
      </c>
      <c r="P27" s="670">
        <f t="shared" si="22"/>
        <v>0.5420100000000001</v>
      </c>
      <c r="Q27" s="671">
        <f t="shared" si="23"/>
        <v>24.118562305223232</v>
      </c>
      <c r="R27" s="247">
        <f t="shared" si="24"/>
        <v>8631.5</v>
      </c>
      <c r="S27" s="24">
        <f t="shared" si="25"/>
        <v>544</v>
      </c>
      <c r="T27" s="25">
        <f t="shared" si="26"/>
        <v>4.6955359999999997</v>
      </c>
      <c r="U27" s="654">
        <f t="shared" si="27"/>
        <v>83.034094764662967</v>
      </c>
      <c r="V27" s="830"/>
    </row>
    <row r="28" spans="1:24" s="831" customFormat="1" x14ac:dyDescent="0.2">
      <c r="A28" s="33">
        <f t="shared" si="32"/>
        <v>2015</v>
      </c>
      <c r="B28" s="30">
        <v>8304</v>
      </c>
      <c r="C28" s="619">
        <f t="shared" si="3"/>
        <v>307727</v>
      </c>
      <c r="D28" s="807">
        <v>0</v>
      </c>
      <c r="E28" s="808">
        <v>0</v>
      </c>
      <c r="F28" s="806">
        <v>0</v>
      </c>
      <c r="G28" s="626">
        <f t="shared" si="29"/>
        <v>0</v>
      </c>
      <c r="H28" s="72">
        <f t="shared" si="30"/>
        <v>0</v>
      </c>
      <c r="I28" s="630">
        <f t="shared" si="31"/>
        <v>0</v>
      </c>
      <c r="J28" s="61">
        <f t="shared" si="16"/>
        <v>8912</v>
      </c>
      <c r="K28" s="188">
        <f t="shared" si="17"/>
        <v>0</v>
      </c>
      <c r="L28" s="188">
        <f t="shared" si="18"/>
        <v>0</v>
      </c>
      <c r="M28" s="829">
        <f t="shared" si="19"/>
        <v>15.616098290049605</v>
      </c>
      <c r="N28" s="54">
        <f t="shared" si="20"/>
        <v>9520</v>
      </c>
      <c r="O28" s="670">
        <f t="shared" si="21"/>
        <v>0</v>
      </c>
      <c r="P28" s="670">
        <f t="shared" si="22"/>
        <v>0</v>
      </c>
      <c r="Q28" s="671">
        <f t="shared" si="23"/>
        <v>24.118562305223232</v>
      </c>
      <c r="R28" s="247">
        <f t="shared" si="24"/>
        <v>8912</v>
      </c>
      <c r="S28" s="24">
        <f t="shared" si="25"/>
        <v>0</v>
      </c>
      <c r="T28" s="25">
        <f t="shared" si="26"/>
        <v>0</v>
      </c>
      <c r="U28" s="654">
        <f t="shared" si="27"/>
        <v>83.034094764662967</v>
      </c>
      <c r="V28" s="830"/>
    </row>
    <row r="29" spans="1:24" ht="13.5" thickBot="1" x14ac:dyDescent="0.25">
      <c r="A29" s="701">
        <f t="shared" si="32"/>
        <v>2016</v>
      </c>
      <c r="B29" s="400">
        <v>6902</v>
      </c>
      <c r="C29" s="624">
        <f t="shared" si="3"/>
        <v>314629</v>
      </c>
      <c r="D29" s="664">
        <f t="shared" si="33"/>
        <v>0</v>
      </c>
      <c r="E29" s="665">
        <f t="shared" si="34"/>
        <v>0</v>
      </c>
      <c r="F29" s="640">
        <f t="shared" si="35"/>
        <v>0</v>
      </c>
      <c r="G29" s="823">
        <f t="shared" si="29"/>
        <v>0</v>
      </c>
      <c r="H29" s="707">
        <f t="shared" si="30"/>
        <v>0</v>
      </c>
      <c r="I29" s="824">
        <f t="shared" si="31"/>
        <v>0</v>
      </c>
      <c r="J29" s="708">
        <f t="shared" si="16"/>
        <v>7603</v>
      </c>
      <c r="K29" s="825">
        <f t="shared" si="17"/>
        <v>0</v>
      </c>
      <c r="L29" s="825">
        <f t="shared" si="18"/>
        <v>0</v>
      </c>
      <c r="M29" s="826">
        <f t="shared" si="19"/>
        <v>15.616098290049605</v>
      </c>
      <c r="N29" s="711">
        <f t="shared" si="20"/>
        <v>8304</v>
      </c>
      <c r="O29" s="827">
        <f t="shared" si="21"/>
        <v>0</v>
      </c>
      <c r="P29" s="827">
        <f t="shared" si="22"/>
        <v>0</v>
      </c>
      <c r="Q29" s="828">
        <f t="shared" si="23"/>
        <v>24.118562305223232</v>
      </c>
      <c r="R29" s="714">
        <f t="shared" si="24"/>
        <v>7603</v>
      </c>
      <c r="S29" s="715">
        <f t="shared" si="25"/>
        <v>0</v>
      </c>
      <c r="T29" s="716">
        <f t="shared" si="26"/>
        <v>0</v>
      </c>
      <c r="U29" s="717">
        <f t="shared" si="27"/>
        <v>83.034094764662967</v>
      </c>
    </row>
    <row r="30" spans="1:24" x14ac:dyDescent="0.2">
      <c r="A30" s="33">
        <f t="shared" si="32"/>
        <v>2017</v>
      </c>
      <c r="B30" s="793">
        <v>6000</v>
      </c>
      <c r="C30" s="647">
        <f t="shared" si="3"/>
        <v>320629</v>
      </c>
      <c r="D30" s="1050">
        <f t="shared" si="33"/>
        <v>0</v>
      </c>
      <c r="E30" s="1051">
        <f t="shared" si="34"/>
        <v>0</v>
      </c>
      <c r="F30" s="1052">
        <f t="shared" si="35"/>
        <v>0</v>
      </c>
      <c r="G30" s="473">
        <f t="shared" si="29"/>
        <v>0</v>
      </c>
      <c r="H30" s="474">
        <f t="shared" si="30"/>
        <v>0</v>
      </c>
      <c r="I30" s="474">
        <f t="shared" si="31"/>
        <v>0</v>
      </c>
      <c r="J30" s="61">
        <f t="shared" si="16"/>
        <v>6451</v>
      </c>
      <c r="K30" s="967">
        <f t="shared" si="17"/>
        <v>0</v>
      </c>
      <c r="L30" s="967">
        <f t="shared" si="18"/>
        <v>0</v>
      </c>
      <c r="M30" s="188">
        <f t="shared" si="19"/>
        <v>15.616098290049605</v>
      </c>
      <c r="N30" s="54">
        <f t="shared" si="20"/>
        <v>6902</v>
      </c>
      <c r="O30" s="968">
        <f t="shared" si="21"/>
        <v>0</v>
      </c>
      <c r="P30" s="968">
        <f t="shared" si="22"/>
        <v>0</v>
      </c>
      <c r="Q30" s="1059">
        <f t="shared" si="23"/>
        <v>24.118562305223232</v>
      </c>
      <c r="R30" s="247">
        <f t="shared" si="24"/>
        <v>6451</v>
      </c>
      <c r="S30" s="24">
        <f t="shared" si="25"/>
        <v>0</v>
      </c>
      <c r="T30" s="970">
        <f t="shared" si="26"/>
        <v>0</v>
      </c>
      <c r="U30" s="654">
        <f t="shared" si="27"/>
        <v>83.034094764662967</v>
      </c>
    </row>
    <row r="31" spans="1:24" x14ac:dyDescent="0.2">
      <c r="A31" s="33">
        <f t="shared" si="32"/>
        <v>2018</v>
      </c>
      <c r="B31" s="787">
        <v>6000</v>
      </c>
      <c r="C31" s="565">
        <f t="shared" si="3"/>
        <v>326629</v>
      </c>
      <c r="D31" s="1053">
        <f t="shared" si="33"/>
        <v>0</v>
      </c>
      <c r="E31" s="1054">
        <f t="shared" si="34"/>
        <v>0</v>
      </c>
      <c r="F31" s="1055">
        <f t="shared" si="35"/>
        <v>0</v>
      </c>
      <c r="G31" s="473">
        <f t="shared" si="29"/>
        <v>0</v>
      </c>
      <c r="H31" s="474">
        <f t="shared" si="30"/>
        <v>0</v>
      </c>
      <c r="I31" s="474">
        <f t="shared" si="31"/>
        <v>0</v>
      </c>
      <c r="J31" s="61">
        <f t="shared" si="16"/>
        <v>6000</v>
      </c>
      <c r="K31" s="967">
        <f t="shared" si="17"/>
        <v>0</v>
      </c>
      <c r="L31" s="967">
        <f t="shared" si="18"/>
        <v>0</v>
      </c>
      <c r="M31" s="188">
        <f t="shared" si="19"/>
        <v>15.616098290049605</v>
      </c>
      <c r="N31" s="54">
        <f t="shared" si="20"/>
        <v>6000</v>
      </c>
      <c r="O31" s="968">
        <f t="shared" si="21"/>
        <v>0</v>
      </c>
      <c r="P31" s="968">
        <f t="shared" si="22"/>
        <v>0</v>
      </c>
      <c r="Q31" s="1059">
        <f t="shared" si="23"/>
        <v>24.118562305223232</v>
      </c>
      <c r="R31" s="247">
        <f t="shared" si="24"/>
        <v>6000</v>
      </c>
      <c r="S31" s="24">
        <f t="shared" si="25"/>
        <v>0</v>
      </c>
      <c r="T31" s="970">
        <f t="shared" si="26"/>
        <v>0</v>
      </c>
      <c r="U31" s="654">
        <f t="shared" si="27"/>
        <v>83.034094764662967</v>
      </c>
    </row>
    <row r="32" spans="1:24" x14ac:dyDescent="0.2">
      <c r="A32" s="33">
        <f t="shared" si="32"/>
        <v>2019</v>
      </c>
      <c r="B32" s="787">
        <v>6000</v>
      </c>
      <c r="C32" s="565">
        <f t="shared" si="3"/>
        <v>332629</v>
      </c>
      <c r="D32" s="1053">
        <f t="shared" si="33"/>
        <v>0</v>
      </c>
      <c r="E32" s="1054">
        <f t="shared" si="34"/>
        <v>0</v>
      </c>
      <c r="F32" s="1055">
        <f t="shared" si="35"/>
        <v>0</v>
      </c>
      <c r="G32" s="473">
        <f t="shared" si="29"/>
        <v>0</v>
      </c>
      <c r="H32" s="474">
        <f t="shared" si="30"/>
        <v>0</v>
      </c>
      <c r="I32" s="474">
        <f t="shared" si="31"/>
        <v>0</v>
      </c>
      <c r="J32" s="61">
        <f t="shared" si="16"/>
        <v>6000</v>
      </c>
      <c r="K32" s="967">
        <f t="shared" si="17"/>
        <v>0</v>
      </c>
      <c r="L32" s="967">
        <f t="shared" si="18"/>
        <v>0</v>
      </c>
      <c r="M32" s="188">
        <f t="shared" si="19"/>
        <v>15.616098290049605</v>
      </c>
      <c r="N32" s="54">
        <f t="shared" si="20"/>
        <v>6000</v>
      </c>
      <c r="O32" s="968">
        <f t="shared" si="21"/>
        <v>0</v>
      </c>
      <c r="P32" s="968">
        <f t="shared" si="22"/>
        <v>0</v>
      </c>
      <c r="Q32" s="1059">
        <f t="shared" si="23"/>
        <v>24.118562305223232</v>
      </c>
      <c r="R32" s="247">
        <f t="shared" si="24"/>
        <v>6000</v>
      </c>
      <c r="S32" s="24">
        <f t="shared" si="25"/>
        <v>0</v>
      </c>
      <c r="T32" s="970">
        <f t="shared" si="26"/>
        <v>0</v>
      </c>
      <c r="U32" s="654">
        <f t="shared" si="27"/>
        <v>83.034094764662967</v>
      </c>
    </row>
    <row r="33" spans="1:21" x14ac:dyDescent="0.2">
      <c r="A33" s="33">
        <f t="shared" si="32"/>
        <v>2020</v>
      </c>
      <c r="B33" s="787">
        <v>6000</v>
      </c>
      <c r="C33" s="565">
        <f t="shared" si="3"/>
        <v>338629</v>
      </c>
      <c r="D33" s="1053">
        <f t="shared" si="33"/>
        <v>0</v>
      </c>
      <c r="E33" s="1054">
        <f t="shared" si="34"/>
        <v>0</v>
      </c>
      <c r="F33" s="1055">
        <f t="shared" si="35"/>
        <v>0</v>
      </c>
      <c r="G33" s="473">
        <f t="shared" si="29"/>
        <v>0</v>
      </c>
      <c r="H33" s="474">
        <f t="shared" si="30"/>
        <v>0</v>
      </c>
      <c r="I33" s="474">
        <f t="shared" si="31"/>
        <v>0</v>
      </c>
      <c r="J33" s="61">
        <f t="shared" si="16"/>
        <v>6000</v>
      </c>
      <c r="K33" s="967">
        <f t="shared" si="17"/>
        <v>0</v>
      </c>
      <c r="L33" s="967">
        <f t="shared" si="18"/>
        <v>0</v>
      </c>
      <c r="M33" s="188">
        <f t="shared" si="19"/>
        <v>15.616098290049605</v>
      </c>
      <c r="N33" s="54">
        <f t="shared" si="20"/>
        <v>6000</v>
      </c>
      <c r="O33" s="968">
        <f t="shared" si="21"/>
        <v>0</v>
      </c>
      <c r="P33" s="968">
        <f t="shared" si="22"/>
        <v>0</v>
      </c>
      <c r="Q33" s="1059">
        <f t="shared" si="23"/>
        <v>24.118562305223232</v>
      </c>
      <c r="R33" s="247">
        <f t="shared" si="24"/>
        <v>6000</v>
      </c>
      <c r="S33" s="24">
        <f t="shared" si="25"/>
        <v>0</v>
      </c>
      <c r="T33" s="970">
        <f t="shared" si="26"/>
        <v>0</v>
      </c>
      <c r="U33" s="654">
        <f t="shared" si="27"/>
        <v>83.034094764662967</v>
      </c>
    </row>
    <row r="34" spans="1:21" x14ac:dyDescent="0.2">
      <c r="A34" s="33">
        <f t="shared" si="32"/>
        <v>2021</v>
      </c>
      <c r="B34" s="787">
        <v>6000</v>
      </c>
      <c r="C34" s="565">
        <f t="shared" si="3"/>
        <v>344629</v>
      </c>
      <c r="D34" s="1053">
        <f t="shared" si="33"/>
        <v>0</v>
      </c>
      <c r="E34" s="1054">
        <f t="shared" si="34"/>
        <v>0</v>
      </c>
      <c r="F34" s="1055">
        <f t="shared" si="35"/>
        <v>0</v>
      </c>
      <c r="G34" s="473">
        <f t="shared" si="29"/>
        <v>0</v>
      </c>
      <c r="H34" s="474">
        <f t="shared" si="30"/>
        <v>0</v>
      </c>
      <c r="I34" s="474">
        <f t="shared" si="31"/>
        <v>0</v>
      </c>
      <c r="J34" s="61">
        <f t="shared" si="16"/>
        <v>6000</v>
      </c>
      <c r="K34" s="967">
        <f t="shared" si="17"/>
        <v>0</v>
      </c>
      <c r="L34" s="967">
        <f t="shared" si="18"/>
        <v>0</v>
      </c>
      <c r="M34" s="188">
        <f t="shared" si="19"/>
        <v>15.616098290049605</v>
      </c>
      <c r="N34" s="54">
        <f t="shared" si="20"/>
        <v>6000</v>
      </c>
      <c r="O34" s="968">
        <f t="shared" si="21"/>
        <v>0</v>
      </c>
      <c r="P34" s="968">
        <f t="shared" si="22"/>
        <v>0</v>
      </c>
      <c r="Q34" s="1059">
        <f t="shared" si="23"/>
        <v>24.118562305223232</v>
      </c>
      <c r="R34" s="247">
        <f t="shared" si="24"/>
        <v>6000</v>
      </c>
      <c r="S34" s="24">
        <f t="shared" si="25"/>
        <v>0</v>
      </c>
      <c r="T34" s="970">
        <f t="shared" si="26"/>
        <v>0</v>
      </c>
      <c r="U34" s="654">
        <f t="shared" si="27"/>
        <v>83.034094764662967</v>
      </c>
    </row>
    <row r="35" spans="1:21" x14ac:dyDescent="0.2">
      <c r="A35" s="33">
        <f t="shared" si="32"/>
        <v>2022</v>
      </c>
      <c r="B35" s="787">
        <v>6000</v>
      </c>
      <c r="C35" s="565">
        <f t="shared" si="3"/>
        <v>350629</v>
      </c>
      <c r="D35" s="1053">
        <f t="shared" si="33"/>
        <v>0</v>
      </c>
      <c r="E35" s="1054">
        <f t="shared" si="34"/>
        <v>0</v>
      </c>
      <c r="F35" s="1055">
        <f t="shared" si="35"/>
        <v>0</v>
      </c>
      <c r="G35" s="473">
        <f t="shared" si="29"/>
        <v>0</v>
      </c>
      <c r="H35" s="474">
        <f t="shared" si="30"/>
        <v>0</v>
      </c>
      <c r="I35" s="474">
        <f t="shared" si="31"/>
        <v>0</v>
      </c>
      <c r="J35" s="61">
        <f t="shared" si="16"/>
        <v>6000</v>
      </c>
      <c r="K35" s="967">
        <f t="shared" si="17"/>
        <v>0</v>
      </c>
      <c r="L35" s="967">
        <f t="shared" si="18"/>
        <v>0</v>
      </c>
      <c r="M35" s="188">
        <f t="shared" si="19"/>
        <v>15.616098290049605</v>
      </c>
      <c r="N35" s="54">
        <f t="shared" si="20"/>
        <v>6000</v>
      </c>
      <c r="O35" s="968">
        <f t="shared" si="21"/>
        <v>0</v>
      </c>
      <c r="P35" s="968">
        <f t="shared" si="22"/>
        <v>0</v>
      </c>
      <c r="Q35" s="1059">
        <f t="shared" si="23"/>
        <v>24.118562305223232</v>
      </c>
      <c r="R35" s="247">
        <f t="shared" si="24"/>
        <v>6000</v>
      </c>
      <c r="S35" s="24">
        <f t="shared" si="25"/>
        <v>0</v>
      </c>
      <c r="T35" s="970">
        <f t="shared" si="26"/>
        <v>0</v>
      </c>
      <c r="U35" s="654">
        <f t="shared" si="27"/>
        <v>83.034094764662967</v>
      </c>
    </row>
    <row r="36" spans="1:21" x14ac:dyDescent="0.2">
      <c r="A36" s="33">
        <f t="shared" si="32"/>
        <v>2023</v>
      </c>
      <c r="B36" s="787">
        <v>6000</v>
      </c>
      <c r="C36" s="565">
        <f t="shared" si="3"/>
        <v>356629</v>
      </c>
      <c r="D36" s="1053">
        <f t="shared" si="33"/>
        <v>0</v>
      </c>
      <c r="E36" s="1054">
        <f t="shared" si="34"/>
        <v>0</v>
      </c>
      <c r="F36" s="1055">
        <f t="shared" si="35"/>
        <v>0</v>
      </c>
      <c r="G36" s="473">
        <f t="shared" si="29"/>
        <v>0</v>
      </c>
      <c r="H36" s="474">
        <f t="shared" si="30"/>
        <v>0</v>
      </c>
      <c r="I36" s="474">
        <f t="shared" si="31"/>
        <v>0</v>
      </c>
      <c r="J36" s="61">
        <f t="shared" si="16"/>
        <v>6000</v>
      </c>
      <c r="K36" s="967">
        <f t="shared" si="17"/>
        <v>0</v>
      </c>
      <c r="L36" s="967">
        <f t="shared" si="18"/>
        <v>0</v>
      </c>
      <c r="M36" s="188">
        <f t="shared" si="19"/>
        <v>15.616098290049605</v>
      </c>
      <c r="N36" s="54">
        <f t="shared" si="20"/>
        <v>6000</v>
      </c>
      <c r="O36" s="968">
        <f t="shared" si="21"/>
        <v>0</v>
      </c>
      <c r="P36" s="968">
        <f t="shared" si="22"/>
        <v>0</v>
      </c>
      <c r="Q36" s="1059">
        <f t="shared" si="23"/>
        <v>24.118562305223232</v>
      </c>
      <c r="R36" s="247">
        <f t="shared" si="24"/>
        <v>6000</v>
      </c>
      <c r="S36" s="24">
        <f t="shared" si="25"/>
        <v>0</v>
      </c>
      <c r="T36" s="970">
        <f t="shared" si="26"/>
        <v>0</v>
      </c>
      <c r="U36" s="654">
        <f t="shared" si="27"/>
        <v>83.034094764662967</v>
      </c>
    </row>
    <row r="37" spans="1:21" x14ac:dyDescent="0.2">
      <c r="A37" s="33">
        <f t="shared" si="32"/>
        <v>2024</v>
      </c>
      <c r="B37" s="787">
        <v>6000</v>
      </c>
      <c r="C37" s="565">
        <f t="shared" si="3"/>
        <v>362629</v>
      </c>
      <c r="D37" s="1053">
        <f t="shared" si="33"/>
        <v>0</v>
      </c>
      <c r="E37" s="1054">
        <f t="shared" si="34"/>
        <v>0</v>
      </c>
      <c r="F37" s="1055">
        <f t="shared" si="35"/>
        <v>0</v>
      </c>
      <c r="G37" s="473">
        <f t="shared" si="29"/>
        <v>0</v>
      </c>
      <c r="H37" s="474">
        <f t="shared" si="30"/>
        <v>0</v>
      </c>
      <c r="I37" s="474">
        <f t="shared" si="31"/>
        <v>0</v>
      </c>
      <c r="J37" s="61">
        <f t="shared" si="16"/>
        <v>6000</v>
      </c>
      <c r="K37" s="967">
        <f t="shared" si="17"/>
        <v>0</v>
      </c>
      <c r="L37" s="967">
        <f t="shared" si="18"/>
        <v>0</v>
      </c>
      <c r="M37" s="188">
        <f t="shared" si="19"/>
        <v>15.616098290049605</v>
      </c>
      <c r="N37" s="54">
        <f t="shared" si="20"/>
        <v>6000</v>
      </c>
      <c r="O37" s="968">
        <f t="shared" si="21"/>
        <v>0</v>
      </c>
      <c r="P37" s="968">
        <f t="shared" si="22"/>
        <v>0</v>
      </c>
      <c r="Q37" s="1059">
        <f t="shared" si="23"/>
        <v>24.118562305223232</v>
      </c>
      <c r="R37" s="247">
        <f t="shared" si="24"/>
        <v>6000</v>
      </c>
      <c r="S37" s="24">
        <f t="shared" si="25"/>
        <v>0</v>
      </c>
      <c r="T37" s="970">
        <f t="shared" si="26"/>
        <v>0</v>
      </c>
      <c r="U37" s="654">
        <f t="shared" si="27"/>
        <v>83.034094764662967</v>
      </c>
    </row>
    <row r="38" spans="1:21" x14ac:dyDescent="0.2">
      <c r="A38" s="33">
        <f t="shared" si="32"/>
        <v>2025</v>
      </c>
      <c r="B38" s="787">
        <v>6000</v>
      </c>
      <c r="C38" s="565">
        <f t="shared" ref="C38:C47" si="36">+C37+B38</f>
        <v>368629</v>
      </c>
      <c r="D38" s="1053">
        <f t="shared" si="33"/>
        <v>0</v>
      </c>
      <c r="E38" s="1054">
        <f t="shared" si="34"/>
        <v>0</v>
      </c>
      <c r="F38" s="1055">
        <f t="shared" si="35"/>
        <v>0</v>
      </c>
      <c r="G38" s="473">
        <f t="shared" ref="G38:H40" si="37">+$B38*D38/1000</f>
        <v>0</v>
      </c>
      <c r="H38" s="474">
        <f t="shared" si="37"/>
        <v>0</v>
      </c>
      <c r="I38" s="474">
        <f t="shared" ref="I38:I42" si="38">+$B38*F38/1000000</f>
        <v>0</v>
      </c>
      <c r="J38" s="61">
        <f t="shared" ref="J38:J42" si="39">+(B38+B37)/2</f>
        <v>6000</v>
      </c>
      <c r="K38" s="967">
        <f t="shared" ref="K38:K42" si="40">+D38</f>
        <v>0</v>
      </c>
      <c r="L38" s="967">
        <f t="shared" ref="L38:L42" si="41">+J38*K38/1000</f>
        <v>0</v>
      </c>
      <c r="M38" s="188">
        <f t="shared" ref="M38:M42" si="42">+M37+L38</f>
        <v>15.616098290049605</v>
      </c>
      <c r="N38" s="54">
        <f t="shared" ref="N38:N42" si="43">+B37</f>
        <v>6000</v>
      </c>
      <c r="O38" s="968">
        <f t="shared" ref="O38:O42" si="44">+E38</f>
        <v>0</v>
      </c>
      <c r="P38" s="968">
        <f t="shared" ref="P38:P42" si="45">+N38*O38/1000</f>
        <v>0</v>
      </c>
      <c r="Q38" s="1059">
        <f t="shared" ref="Q38:Q42" si="46">+Q37+P38</f>
        <v>24.118562305223232</v>
      </c>
      <c r="R38" s="247">
        <f t="shared" ref="R38:R42" si="47">+(B38+B37)/2</f>
        <v>6000</v>
      </c>
      <c r="S38" s="24">
        <f t="shared" ref="S38:S42" si="48">+F38</f>
        <v>0</v>
      </c>
      <c r="T38" s="970">
        <f t="shared" ref="T38:T42" si="49">+R38*S38/1000000</f>
        <v>0</v>
      </c>
      <c r="U38" s="654">
        <f t="shared" ref="U38:U42" si="50">+U37+T38</f>
        <v>83.034094764662967</v>
      </c>
    </row>
    <row r="39" spans="1:21" x14ac:dyDescent="0.2">
      <c r="A39" s="33">
        <f t="shared" si="32"/>
        <v>2026</v>
      </c>
      <c r="B39" s="787">
        <v>6000</v>
      </c>
      <c r="C39" s="565">
        <f t="shared" si="36"/>
        <v>374629</v>
      </c>
      <c r="D39" s="1053">
        <f t="shared" si="33"/>
        <v>0</v>
      </c>
      <c r="E39" s="1054">
        <f t="shared" si="34"/>
        <v>0</v>
      </c>
      <c r="F39" s="1055">
        <f t="shared" si="35"/>
        <v>0</v>
      </c>
      <c r="G39" s="473">
        <f t="shared" si="37"/>
        <v>0</v>
      </c>
      <c r="H39" s="474">
        <f t="shared" si="37"/>
        <v>0</v>
      </c>
      <c r="I39" s="474">
        <f t="shared" si="38"/>
        <v>0</v>
      </c>
      <c r="J39" s="61">
        <f t="shared" si="39"/>
        <v>6000</v>
      </c>
      <c r="K39" s="967">
        <f t="shared" si="40"/>
        <v>0</v>
      </c>
      <c r="L39" s="967">
        <f t="shared" si="41"/>
        <v>0</v>
      </c>
      <c r="M39" s="188">
        <f t="shared" si="42"/>
        <v>15.616098290049605</v>
      </c>
      <c r="N39" s="54">
        <f t="shared" si="43"/>
        <v>6000</v>
      </c>
      <c r="O39" s="968">
        <f t="shared" si="44"/>
        <v>0</v>
      </c>
      <c r="P39" s="968">
        <f t="shared" si="45"/>
        <v>0</v>
      </c>
      <c r="Q39" s="1059">
        <f t="shared" si="46"/>
        <v>24.118562305223232</v>
      </c>
      <c r="R39" s="247">
        <f t="shared" si="47"/>
        <v>6000</v>
      </c>
      <c r="S39" s="24">
        <f t="shared" si="48"/>
        <v>0</v>
      </c>
      <c r="T39" s="970">
        <f t="shared" si="49"/>
        <v>0</v>
      </c>
      <c r="U39" s="654">
        <f t="shared" si="50"/>
        <v>83.034094764662967</v>
      </c>
    </row>
    <row r="40" spans="1:21" x14ac:dyDescent="0.2">
      <c r="A40" s="33">
        <f t="shared" si="32"/>
        <v>2027</v>
      </c>
      <c r="B40" s="787">
        <v>6000</v>
      </c>
      <c r="C40" s="565">
        <f t="shared" si="36"/>
        <v>380629</v>
      </c>
      <c r="D40" s="1053">
        <f t="shared" si="33"/>
        <v>0</v>
      </c>
      <c r="E40" s="1054">
        <f t="shared" si="34"/>
        <v>0</v>
      </c>
      <c r="F40" s="1055">
        <f t="shared" si="35"/>
        <v>0</v>
      </c>
      <c r="G40" s="473">
        <f t="shared" si="37"/>
        <v>0</v>
      </c>
      <c r="H40" s="474">
        <f t="shared" si="37"/>
        <v>0</v>
      </c>
      <c r="I40" s="474">
        <f t="shared" si="38"/>
        <v>0</v>
      </c>
      <c r="J40" s="61">
        <f t="shared" si="39"/>
        <v>6000</v>
      </c>
      <c r="K40" s="967">
        <f t="shared" si="40"/>
        <v>0</v>
      </c>
      <c r="L40" s="967">
        <f t="shared" si="41"/>
        <v>0</v>
      </c>
      <c r="M40" s="188">
        <f t="shared" si="42"/>
        <v>15.616098290049605</v>
      </c>
      <c r="N40" s="54">
        <f t="shared" si="43"/>
        <v>6000</v>
      </c>
      <c r="O40" s="968">
        <f t="shared" si="44"/>
        <v>0</v>
      </c>
      <c r="P40" s="968">
        <f t="shared" si="45"/>
        <v>0</v>
      </c>
      <c r="Q40" s="1059">
        <f t="shared" si="46"/>
        <v>24.118562305223232</v>
      </c>
      <c r="R40" s="247">
        <f t="shared" si="47"/>
        <v>6000</v>
      </c>
      <c r="S40" s="24">
        <f t="shared" si="48"/>
        <v>0</v>
      </c>
      <c r="T40" s="970">
        <f t="shared" si="49"/>
        <v>0</v>
      </c>
      <c r="U40" s="654">
        <f t="shared" si="50"/>
        <v>83.034094764662967</v>
      </c>
    </row>
    <row r="41" spans="1:21" x14ac:dyDescent="0.2">
      <c r="A41" s="33">
        <f t="shared" si="32"/>
        <v>2028</v>
      </c>
      <c r="B41" s="787">
        <v>6000</v>
      </c>
      <c r="C41" s="565">
        <f t="shared" si="36"/>
        <v>386629</v>
      </c>
      <c r="D41" s="1053">
        <f t="shared" si="33"/>
        <v>0</v>
      </c>
      <c r="E41" s="1054">
        <f t="shared" si="34"/>
        <v>0</v>
      </c>
      <c r="F41" s="1055">
        <f t="shared" si="35"/>
        <v>0</v>
      </c>
      <c r="G41" s="473">
        <f t="shared" ref="G41:H42" si="51">+$B41*D41/1000</f>
        <v>0</v>
      </c>
      <c r="H41" s="474">
        <f t="shared" si="51"/>
        <v>0</v>
      </c>
      <c r="I41" s="474">
        <f t="shared" si="38"/>
        <v>0</v>
      </c>
      <c r="J41" s="61">
        <f t="shared" si="39"/>
        <v>6000</v>
      </c>
      <c r="K41" s="967">
        <f t="shared" si="40"/>
        <v>0</v>
      </c>
      <c r="L41" s="967">
        <f t="shared" si="41"/>
        <v>0</v>
      </c>
      <c r="M41" s="188">
        <f t="shared" si="42"/>
        <v>15.616098290049605</v>
      </c>
      <c r="N41" s="54">
        <f t="shared" si="43"/>
        <v>6000</v>
      </c>
      <c r="O41" s="968">
        <f t="shared" si="44"/>
        <v>0</v>
      </c>
      <c r="P41" s="968">
        <f t="shared" si="45"/>
        <v>0</v>
      </c>
      <c r="Q41" s="1059">
        <f t="shared" si="46"/>
        <v>24.118562305223232</v>
      </c>
      <c r="R41" s="247">
        <f t="shared" si="47"/>
        <v>6000</v>
      </c>
      <c r="S41" s="24">
        <f t="shared" si="48"/>
        <v>0</v>
      </c>
      <c r="T41" s="970">
        <f t="shared" si="49"/>
        <v>0</v>
      </c>
      <c r="U41" s="654">
        <f t="shared" si="50"/>
        <v>83.034094764662967</v>
      </c>
    </row>
    <row r="42" spans="1:21" x14ac:dyDescent="0.2">
      <c r="A42" s="33">
        <f t="shared" si="32"/>
        <v>2029</v>
      </c>
      <c r="B42" s="787">
        <v>6000</v>
      </c>
      <c r="C42" s="565">
        <f t="shared" si="36"/>
        <v>392629</v>
      </c>
      <c r="D42" s="1053">
        <f t="shared" si="33"/>
        <v>0</v>
      </c>
      <c r="E42" s="1054">
        <f t="shared" si="34"/>
        <v>0</v>
      </c>
      <c r="F42" s="1055">
        <f t="shared" si="35"/>
        <v>0</v>
      </c>
      <c r="G42" s="473">
        <f t="shared" si="51"/>
        <v>0</v>
      </c>
      <c r="H42" s="474">
        <f t="shared" si="51"/>
        <v>0</v>
      </c>
      <c r="I42" s="474">
        <f t="shared" si="38"/>
        <v>0</v>
      </c>
      <c r="J42" s="61">
        <f t="shared" si="39"/>
        <v>6000</v>
      </c>
      <c r="K42" s="967">
        <f t="shared" si="40"/>
        <v>0</v>
      </c>
      <c r="L42" s="967">
        <f t="shared" si="41"/>
        <v>0</v>
      </c>
      <c r="M42" s="188">
        <f t="shared" si="42"/>
        <v>15.616098290049605</v>
      </c>
      <c r="N42" s="54">
        <f t="shared" si="43"/>
        <v>6000</v>
      </c>
      <c r="O42" s="968">
        <f t="shared" si="44"/>
        <v>0</v>
      </c>
      <c r="P42" s="968">
        <f t="shared" si="45"/>
        <v>0</v>
      </c>
      <c r="Q42" s="1059">
        <f t="shared" si="46"/>
        <v>24.118562305223232</v>
      </c>
      <c r="R42" s="247">
        <f t="shared" si="47"/>
        <v>6000</v>
      </c>
      <c r="S42" s="24">
        <f t="shared" si="48"/>
        <v>0</v>
      </c>
      <c r="T42" s="970">
        <f t="shared" si="49"/>
        <v>0</v>
      </c>
      <c r="U42" s="654">
        <f t="shared" si="50"/>
        <v>83.034094764662967</v>
      </c>
    </row>
    <row r="43" spans="1:21" x14ac:dyDescent="0.2">
      <c r="A43" s="33">
        <f t="shared" si="32"/>
        <v>2030</v>
      </c>
      <c r="B43" s="787">
        <v>6000</v>
      </c>
      <c r="C43" s="565">
        <f t="shared" si="36"/>
        <v>398629</v>
      </c>
      <c r="D43" s="1053">
        <f t="shared" si="33"/>
        <v>0</v>
      </c>
      <c r="E43" s="1054">
        <f t="shared" si="34"/>
        <v>0</v>
      </c>
      <c r="F43" s="1055">
        <f t="shared" si="35"/>
        <v>0</v>
      </c>
      <c r="G43" s="473">
        <f t="shared" ref="G43:G47" si="52">+$B43*D43/1000</f>
        <v>0</v>
      </c>
      <c r="H43" s="474">
        <f t="shared" ref="H43:H47" si="53">+$B43*E43/1000</f>
        <v>0</v>
      </c>
      <c r="I43" s="474">
        <f t="shared" ref="I43:I47" si="54">+$B43*F43/1000000</f>
        <v>0</v>
      </c>
      <c r="J43" s="61">
        <f t="shared" ref="J43:J47" si="55">+(B43+B42)/2</f>
        <v>6000</v>
      </c>
      <c r="K43" s="967">
        <f t="shared" ref="K43:K47" si="56">+D43</f>
        <v>0</v>
      </c>
      <c r="L43" s="967">
        <f t="shared" ref="L43:L47" si="57">+J43*K43/1000</f>
        <v>0</v>
      </c>
      <c r="M43" s="188">
        <f t="shared" ref="M43:M47" si="58">+M42+L43</f>
        <v>15.616098290049605</v>
      </c>
      <c r="N43" s="54">
        <f t="shared" ref="N43:N47" si="59">+B42</f>
        <v>6000</v>
      </c>
      <c r="O43" s="968">
        <f t="shared" ref="O43:O47" si="60">+E43</f>
        <v>0</v>
      </c>
      <c r="P43" s="968">
        <f t="shared" ref="P43:P47" si="61">+N43*O43/1000</f>
        <v>0</v>
      </c>
      <c r="Q43" s="1059">
        <f t="shared" ref="Q43:Q47" si="62">+Q42+P43</f>
        <v>24.118562305223232</v>
      </c>
      <c r="R43" s="247">
        <f t="shared" ref="R43:R47" si="63">+(B43+B42)/2</f>
        <v>6000</v>
      </c>
      <c r="S43" s="24">
        <f t="shared" ref="S43:S47" si="64">+F43</f>
        <v>0</v>
      </c>
      <c r="T43" s="970">
        <f t="shared" ref="T43:T47" si="65">+R43*S43/1000000</f>
        <v>0</v>
      </c>
      <c r="U43" s="654">
        <f t="shared" ref="U43:U47" si="66">+U42+T43</f>
        <v>83.034094764662967</v>
      </c>
    </row>
    <row r="44" spans="1:21" x14ac:dyDescent="0.2">
      <c r="A44" s="33">
        <f t="shared" si="32"/>
        <v>2031</v>
      </c>
      <c r="B44" s="787">
        <v>6000</v>
      </c>
      <c r="C44" s="565">
        <f t="shared" si="36"/>
        <v>404629</v>
      </c>
      <c r="D44" s="1053">
        <f t="shared" si="33"/>
        <v>0</v>
      </c>
      <c r="E44" s="1054">
        <f t="shared" si="34"/>
        <v>0</v>
      </c>
      <c r="F44" s="1055">
        <f t="shared" si="35"/>
        <v>0</v>
      </c>
      <c r="G44" s="473">
        <f t="shared" si="52"/>
        <v>0</v>
      </c>
      <c r="H44" s="474">
        <f t="shared" si="53"/>
        <v>0</v>
      </c>
      <c r="I44" s="474">
        <f t="shared" si="54"/>
        <v>0</v>
      </c>
      <c r="J44" s="61">
        <f t="shared" si="55"/>
        <v>6000</v>
      </c>
      <c r="K44" s="967">
        <f t="shared" si="56"/>
        <v>0</v>
      </c>
      <c r="L44" s="967">
        <f t="shared" si="57"/>
        <v>0</v>
      </c>
      <c r="M44" s="188">
        <f t="shared" si="58"/>
        <v>15.616098290049605</v>
      </c>
      <c r="N44" s="54">
        <f t="shared" si="59"/>
        <v>6000</v>
      </c>
      <c r="O44" s="968">
        <f t="shared" si="60"/>
        <v>0</v>
      </c>
      <c r="P44" s="968">
        <f t="shared" si="61"/>
        <v>0</v>
      </c>
      <c r="Q44" s="1059">
        <f t="shared" si="62"/>
        <v>24.118562305223232</v>
      </c>
      <c r="R44" s="247">
        <f t="shared" si="63"/>
        <v>6000</v>
      </c>
      <c r="S44" s="24">
        <f t="shared" si="64"/>
        <v>0</v>
      </c>
      <c r="T44" s="970">
        <f t="shared" si="65"/>
        <v>0</v>
      </c>
      <c r="U44" s="654">
        <f t="shared" si="66"/>
        <v>83.034094764662967</v>
      </c>
    </row>
    <row r="45" spans="1:21" x14ac:dyDescent="0.2">
      <c r="A45" s="33">
        <f t="shared" si="32"/>
        <v>2032</v>
      </c>
      <c r="B45" s="787">
        <v>6000</v>
      </c>
      <c r="C45" s="565">
        <f t="shared" si="36"/>
        <v>410629</v>
      </c>
      <c r="D45" s="1053">
        <f t="shared" si="33"/>
        <v>0</v>
      </c>
      <c r="E45" s="1054">
        <f t="shared" si="34"/>
        <v>0</v>
      </c>
      <c r="F45" s="1055">
        <f t="shared" si="35"/>
        <v>0</v>
      </c>
      <c r="G45" s="473">
        <f t="shared" si="52"/>
        <v>0</v>
      </c>
      <c r="H45" s="474">
        <f t="shared" si="53"/>
        <v>0</v>
      </c>
      <c r="I45" s="474">
        <f t="shared" si="54"/>
        <v>0</v>
      </c>
      <c r="J45" s="61">
        <f t="shared" si="55"/>
        <v>6000</v>
      </c>
      <c r="K45" s="967">
        <f t="shared" si="56"/>
        <v>0</v>
      </c>
      <c r="L45" s="967">
        <f t="shared" si="57"/>
        <v>0</v>
      </c>
      <c r="M45" s="188">
        <f t="shared" si="58"/>
        <v>15.616098290049605</v>
      </c>
      <c r="N45" s="54">
        <f t="shared" si="59"/>
        <v>6000</v>
      </c>
      <c r="O45" s="968">
        <f t="shared" si="60"/>
        <v>0</v>
      </c>
      <c r="P45" s="968">
        <f t="shared" si="61"/>
        <v>0</v>
      </c>
      <c r="Q45" s="1059">
        <f t="shared" si="62"/>
        <v>24.118562305223232</v>
      </c>
      <c r="R45" s="247">
        <f t="shared" si="63"/>
        <v>6000</v>
      </c>
      <c r="S45" s="24">
        <f t="shared" si="64"/>
        <v>0</v>
      </c>
      <c r="T45" s="970">
        <f t="shared" si="65"/>
        <v>0</v>
      </c>
      <c r="U45" s="654">
        <f t="shared" si="66"/>
        <v>83.034094764662967</v>
      </c>
    </row>
    <row r="46" spans="1:21" x14ac:dyDescent="0.2">
      <c r="A46" s="33">
        <f t="shared" si="32"/>
        <v>2033</v>
      </c>
      <c r="B46" s="787">
        <v>6000</v>
      </c>
      <c r="C46" s="565">
        <f t="shared" si="36"/>
        <v>416629</v>
      </c>
      <c r="D46" s="1053">
        <f t="shared" si="33"/>
        <v>0</v>
      </c>
      <c r="E46" s="1054">
        <f t="shared" si="34"/>
        <v>0</v>
      </c>
      <c r="F46" s="1055">
        <f t="shared" si="35"/>
        <v>0</v>
      </c>
      <c r="G46" s="473">
        <f t="shared" si="52"/>
        <v>0</v>
      </c>
      <c r="H46" s="474">
        <f t="shared" si="53"/>
        <v>0</v>
      </c>
      <c r="I46" s="474">
        <f t="shared" si="54"/>
        <v>0</v>
      </c>
      <c r="J46" s="61">
        <f t="shared" si="55"/>
        <v>6000</v>
      </c>
      <c r="K46" s="967">
        <f t="shared" si="56"/>
        <v>0</v>
      </c>
      <c r="L46" s="967">
        <f t="shared" si="57"/>
        <v>0</v>
      </c>
      <c r="M46" s="188">
        <f t="shared" si="58"/>
        <v>15.616098290049605</v>
      </c>
      <c r="N46" s="54">
        <f t="shared" si="59"/>
        <v>6000</v>
      </c>
      <c r="O46" s="968">
        <f t="shared" si="60"/>
        <v>0</v>
      </c>
      <c r="P46" s="968">
        <f t="shared" si="61"/>
        <v>0</v>
      </c>
      <c r="Q46" s="1059">
        <f t="shared" si="62"/>
        <v>24.118562305223232</v>
      </c>
      <c r="R46" s="247">
        <f t="shared" si="63"/>
        <v>6000</v>
      </c>
      <c r="S46" s="24">
        <f t="shared" si="64"/>
        <v>0</v>
      </c>
      <c r="T46" s="970">
        <f t="shared" si="65"/>
        <v>0</v>
      </c>
      <c r="U46" s="654">
        <f t="shared" si="66"/>
        <v>83.034094764662967</v>
      </c>
    </row>
    <row r="47" spans="1:21" x14ac:dyDescent="0.2">
      <c r="A47" s="33">
        <f t="shared" si="32"/>
        <v>2034</v>
      </c>
      <c r="B47" s="787">
        <v>6000</v>
      </c>
      <c r="C47" s="565">
        <f t="shared" si="36"/>
        <v>422629</v>
      </c>
      <c r="D47" s="1053">
        <f t="shared" si="33"/>
        <v>0</v>
      </c>
      <c r="E47" s="1054">
        <f t="shared" si="34"/>
        <v>0</v>
      </c>
      <c r="F47" s="1055">
        <f t="shared" si="35"/>
        <v>0</v>
      </c>
      <c r="G47" s="473">
        <f t="shared" si="52"/>
        <v>0</v>
      </c>
      <c r="H47" s="474">
        <f t="shared" si="53"/>
        <v>0</v>
      </c>
      <c r="I47" s="474">
        <f t="shared" si="54"/>
        <v>0</v>
      </c>
      <c r="J47" s="61">
        <f t="shared" si="55"/>
        <v>6000</v>
      </c>
      <c r="K47" s="967">
        <f t="shared" si="56"/>
        <v>0</v>
      </c>
      <c r="L47" s="967">
        <f t="shared" si="57"/>
        <v>0</v>
      </c>
      <c r="M47" s="188">
        <f t="shared" si="58"/>
        <v>15.616098290049605</v>
      </c>
      <c r="N47" s="54">
        <f t="shared" si="59"/>
        <v>6000</v>
      </c>
      <c r="O47" s="968">
        <f t="shared" si="60"/>
        <v>0</v>
      </c>
      <c r="P47" s="968">
        <f t="shared" si="61"/>
        <v>0</v>
      </c>
      <c r="Q47" s="1059">
        <f t="shared" si="62"/>
        <v>24.118562305223232</v>
      </c>
      <c r="R47" s="247">
        <f t="shared" si="63"/>
        <v>6000</v>
      </c>
      <c r="S47" s="24">
        <f t="shared" si="64"/>
        <v>0</v>
      </c>
      <c r="T47" s="970">
        <f t="shared" si="65"/>
        <v>0</v>
      </c>
      <c r="U47" s="654">
        <f t="shared" si="66"/>
        <v>83.034094764662967</v>
      </c>
    </row>
    <row r="48" spans="1:21" x14ac:dyDescent="0.2">
      <c r="A48" s="33">
        <f t="shared" si="32"/>
        <v>2035</v>
      </c>
      <c r="B48" s="787">
        <f>B47</f>
        <v>6000</v>
      </c>
      <c r="C48" s="565">
        <f t="shared" ref="C48:C54" si="67">+C47+B48</f>
        <v>428629</v>
      </c>
      <c r="D48" s="1053">
        <f t="shared" ref="D48:F48" si="68">D47</f>
        <v>0</v>
      </c>
      <c r="E48" s="1054">
        <f t="shared" si="68"/>
        <v>0</v>
      </c>
      <c r="F48" s="1055">
        <f t="shared" si="68"/>
        <v>0</v>
      </c>
      <c r="G48" s="473">
        <f t="shared" ref="G48:G54" si="69">+$B48*D48/1000</f>
        <v>0</v>
      </c>
      <c r="H48" s="474">
        <f t="shared" ref="H48:H54" si="70">+$B48*E48/1000</f>
        <v>0</v>
      </c>
      <c r="I48" s="474">
        <f t="shared" ref="I48:I54" si="71">+$B48*F48/1000000</f>
        <v>0</v>
      </c>
      <c r="J48" s="61">
        <f t="shared" ref="J48:J54" si="72">+(B48+B47)/2</f>
        <v>6000</v>
      </c>
      <c r="K48" s="967">
        <f t="shared" ref="K48:K54" si="73">+D48</f>
        <v>0</v>
      </c>
      <c r="L48" s="967">
        <f t="shared" ref="L48:L54" si="74">+J48*K48/1000</f>
        <v>0</v>
      </c>
      <c r="M48" s="188">
        <f t="shared" ref="M48:M54" si="75">+M47+L48</f>
        <v>15.616098290049605</v>
      </c>
      <c r="N48" s="54">
        <f t="shared" ref="N48:N54" si="76">+B47</f>
        <v>6000</v>
      </c>
      <c r="O48" s="968">
        <f t="shared" ref="O48:O54" si="77">+E48</f>
        <v>0</v>
      </c>
      <c r="P48" s="968">
        <f t="shared" ref="P48:P54" si="78">+N48*O48/1000</f>
        <v>0</v>
      </c>
      <c r="Q48" s="1059">
        <f t="shared" ref="Q48:Q54" si="79">+Q47+P48</f>
        <v>24.118562305223232</v>
      </c>
      <c r="R48" s="247">
        <f t="shared" ref="R48:R54" si="80">+(B48+B47)/2</f>
        <v>6000</v>
      </c>
      <c r="S48" s="24">
        <f t="shared" ref="S48:S54" si="81">+F48</f>
        <v>0</v>
      </c>
      <c r="T48" s="970">
        <f t="shared" ref="T48:T54" si="82">+R48*S48/1000000</f>
        <v>0</v>
      </c>
      <c r="U48" s="654">
        <f t="shared" ref="U48:U54" si="83">+U47+T48</f>
        <v>83.034094764662967</v>
      </c>
    </row>
    <row r="49" spans="1:21" x14ac:dyDescent="0.2">
      <c r="A49" s="33">
        <f t="shared" si="32"/>
        <v>2036</v>
      </c>
      <c r="B49" s="787">
        <f t="shared" ref="B49:B54" si="84">B48</f>
        <v>6000</v>
      </c>
      <c r="C49" s="565">
        <f t="shared" si="67"/>
        <v>434629</v>
      </c>
      <c r="D49" s="1053">
        <f t="shared" ref="D49:F49" si="85">D48</f>
        <v>0</v>
      </c>
      <c r="E49" s="1054">
        <f t="shared" si="85"/>
        <v>0</v>
      </c>
      <c r="F49" s="1055">
        <f t="shared" si="85"/>
        <v>0</v>
      </c>
      <c r="G49" s="473">
        <f t="shared" si="69"/>
        <v>0</v>
      </c>
      <c r="H49" s="474">
        <f t="shared" si="70"/>
        <v>0</v>
      </c>
      <c r="I49" s="474">
        <f t="shared" si="71"/>
        <v>0</v>
      </c>
      <c r="J49" s="61">
        <f t="shared" si="72"/>
        <v>6000</v>
      </c>
      <c r="K49" s="967">
        <f t="shared" si="73"/>
        <v>0</v>
      </c>
      <c r="L49" s="967">
        <f t="shared" si="74"/>
        <v>0</v>
      </c>
      <c r="M49" s="188">
        <f t="shared" si="75"/>
        <v>15.616098290049605</v>
      </c>
      <c r="N49" s="54">
        <f t="shared" si="76"/>
        <v>6000</v>
      </c>
      <c r="O49" s="968">
        <f t="shared" si="77"/>
        <v>0</v>
      </c>
      <c r="P49" s="968">
        <f t="shared" si="78"/>
        <v>0</v>
      </c>
      <c r="Q49" s="1059">
        <f t="shared" si="79"/>
        <v>24.118562305223232</v>
      </c>
      <c r="R49" s="247">
        <f t="shared" si="80"/>
        <v>6000</v>
      </c>
      <c r="S49" s="24">
        <f t="shared" si="81"/>
        <v>0</v>
      </c>
      <c r="T49" s="970">
        <f t="shared" si="82"/>
        <v>0</v>
      </c>
      <c r="U49" s="654">
        <f t="shared" si="83"/>
        <v>83.034094764662967</v>
      </c>
    </row>
    <row r="50" spans="1:21" x14ac:dyDescent="0.2">
      <c r="A50" s="33">
        <f t="shared" si="32"/>
        <v>2037</v>
      </c>
      <c r="B50" s="787">
        <f t="shared" si="84"/>
        <v>6000</v>
      </c>
      <c r="C50" s="565">
        <f t="shared" si="67"/>
        <v>440629</v>
      </c>
      <c r="D50" s="1053">
        <f t="shared" ref="D50:F50" si="86">D49</f>
        <v>0</v>
      </c>
      <c r="E50" s="1054">
        <f t="shared" si="86"/>
        <v>0</v>
      </c>
      <c r="F50" s="1055">
        <f t="shared" si="86"/>
        <v>0</v>
      </c>
      <c r="G50" s="473">
        <f t="shared" si="69"/>
        <v>0</v>
      </c>
      <c r="H50" s="474">
        <f t="shared" si="70"/>
        <v>0</v>
      </c>
      <c r="I50" s="474">
        <f t="shared" si="71"/>
        <v>0</v>
      </c>
      <c r="J50" s="61">
        <f t="shared" si="72"/>
        <v>6000</v>
      </c>
      <c r="K50" s="967">
        <f t="shared" si="73"/>
        <v>0</v>
      </c>
      <c r="L50" s="967">
        <f t="shared" si="74"/>
        <v>0</v>
      </c>
      <c r="M50" s="188">
        <f t="shared" si="75"/>
        <v>15.616098290049605</v>
      </c>
      <c r="N50" s="54">
        <f t="shared" si="76"/>
        <v>6000</v>
      </c>
      <c r="O50" s="968">
        <f t="shared" si="77"/>
        <v>0</v>
      </c>
      <c r="P50" s="968">
        <f t="shared" si="78"/>
        <v>0</v>
      </c>
      <c r="Q50" s="1059">
        <f t="shared" si="79"/>
        <v>24.118562305223232</v>
      </c>
      <c r="R50" s="247">
        <f t="shared" si="80"/>
        <v>6000</v>
      </c>
      <c r="S50" s="24">
        <f t="shared" si="81"/>
        <v>0</v>
      </c>
      <c r="T50" s="970">
        <f t="shared" si="82"/>
        <v>0</v>
      </c>
      <c r="U50" s="654">
        <f t="shared" si="83"/>
        <v>83.034094764662967</v>
      </c>
    </row>
    <row r="51" spans="1:21" x14ac:dyDescent="0.2">
      <c r="A51" s="33">
        <f t="shared" si="32"/>
        <v>2038</v>
      </c>
      <c r="B51" s="787">
        <f t="shared" si="84"/>
        <v>6000</v>
      </c>
      <c r="C51" s="565">
        <f t="shared" si="67"/>
        <v>446629</v>
      </c>
      <c r="D51" s="1053">
        <f t="shared" ref="D51:F51" si="87">D50</f>
        <v>0</v>
      </c>
      <c r="E51" s="1054">
        <f t="shared" si="87"/>
        <v>0</v>
      </c>
      <c r="F51" s="1055">
        <f t="shared" si="87"/>
        <v>0</v>
      </c>
      <c r="G51" s="473">
        <f t="shared" si="69"/>
        <v>0</v>
      </c>
      <c r="H51" s="474">
        <f t="shared" si="70"/>
        <v>0</v>
      </c>
      <c r="I51" s="474">
        <f t="shared" si="71"/>
        <v>0</v>
      </c>
      <c r="J51" s="61">
        <f t="shared" si="72"/>
        <v>6000</v>
      </c>
      <c r="K51" s="967">
        <f t="shared" si="73"/>
        <v>0</v>
      </c>
      <c r="L51" s="967">
        <f t="shared" si="74"/>
        <v>0</v>
      </c>
      <c r="M51" s="188">
        <f t="shared" si="75"/>
        <v>15.616098290049605</v>
      </c>
      <c r="N51" s="54">
        <f t="shared" si="76"/>
        <v>6000</v>
      </c>
      <c r="O51" s="968">
        <f t="shared" si="77"/>
        <v>0</v>
      </c>
      <c r="P51" s="968">
        <f t="shared" si="78"/>
        <v>0</v>
      </c>
      <c r="Q51" s="1059">
        <f t="shared" si="79"/>
        <v>24.118562305223232</v>
      </c>
      <c r="R51" s="247">
        <f t="shared" si="80"/>
        <v>6000</v>
      </c>
      <c r="S51" s="24">
        <f t="shared" si="81"/>
        <v>0</v>
      </c>
      <c r="T51" s="970">
        <f t="shared" si="82"/>
        <v>0</v>
      </c>
      <c r="U51" s="654">
        <f t="shared" si="83"/>
        <v>83.034094764662967</v>
      </c>
    </row>
    <row r="52" spans="1:21" x14ac:dyDescent="0.2">
      <c r="A52" s="33">
        <f t="shared" si="32"/>
        <v>2039</v>
      </c>
      <c r="B52" s="787">
        <f t="shared" si="84"/>
        <v>6000</v>
      </c>
      <c r="C52" s="565">
        <f t="shared" si="67"/>
        <v>452629</v>
      </c>
      <c r="D52" s="1053">
        <f t="shared" ref="D52:F52" si="88">D51</f>
        <v>0</v>
      </c>
      <c r="E52" s="1054">
        <f t="shared" si="88"/>
        <v>0</v>
      </c>
      <c r="F52" s="1055">
        <f t="shared" si="88"/>
        <v>0</v>
      </c>
      <c r="G52" s="473">
        <f t="shared" si="69"/>
        <v>0</v>
      </c>
      <c r="H52" s="474">
        <f t="shared" si="70"/>
        <v>0</v>
      </c>
      <c r="I52" s="474">
        <f t="shared" si="71"/>
        <v>0</v>
      </c>
      <c r="J52" s="61">
        <f t="shared" si="72"/>
        <v>6000</v>
      </c>
      <c r="K52" s="967">
        <f t="shared" si="73"/>
        <v>0</v>
      </c>
      <c r="L52" s="967">
        <f t="shared" si="74"/>
        <v>0</v>
      </c>
      <c r="M52" s="188">
        <f t="shared" si="75"/>
        <v>15.616098290049605</v>
      </c>
      <c r="N52" s="54">
        <f t="shared" si="76"/>
        <v>6000</v>
      </c>
      <c r="O52" s="968">
        <f t="shared" si="77"/>
        <v>0</v>
      </c>
      <c r="P52" s="968">
        <f t="shared" si="78"/>
        <v>0</v>
      </c>
      <c r="Q52" s="1059">
        <f t="shared" si="79"/>
        <v>24.118562305223232</v>
      </c>
      <c r="R52" s="247">
        <f t="shared" si="80"/>
        <v>6000</v>
      </c>
      <c r="S52" s="24">
        <f t="shared" si="81"/>
        <v>0</v>
      </c>
      <c r="T52" s="970">
        <f t="shared" si="82"/>
        <v>0</v>
      </c>
      <c r="U52" s="654">
        <f t="shared" si="83"/>
        <v>83.034094764662967</v>
      </c>
    </row>
    <row r="53" spans="1:21" x14ac:dyDescent="0.2">
      <c r="A53" s="33">
        <f t="shared" si="32"/>
        <v>2040</v>
      </c>
      <c r="B53" s="787">
        <f t="shared" si="84"/>
        <v>6000</v>
      </c>
      <c r="C53" s="565">
        <f t="shared" si="67"/>
        <v>458629</v>
      </c>
      <c r="D53" s="1053">
        <f t="shared" ref="D53:F53" si="89">D52</f>
        <v>0</v>
      </c>
      <c r="E53" s="1054">
        <f t="shared" si="89"/>
        <v>0</v>
      </c>
      <c r="F53" s="1055">
        <f t="shared" si="89"/>
        <v>0</v>
      </c>
      <c r="G53" s="473">
        <f t="shared" si="69"/>
        <v>0</v>
      </c>
      <c r="H53" s="474">
        <f t="shared" si="70"/>
        <v>0</v>
      </c>
      <c r="I53" s="474">
        <f t="shared" si="71"/>
        <v>0</v>
      </c>
      <c r="J53" s="61">
        <f t="shared" si="72"/>
        <v>6000</v>
      </c>
      <c r="K53" s="967">
        <f t="shared" si="73"/>
        <v>0</v>
      </c>
      <c r="L53" s="967">
        <f t="shared" si="74"/>
        <v>0</v>
      </c>
      <c r="M53" s="188">
        <f t="shared" si="75"/>
        <v>15.616098290049605</v>
      </c>
      <c r="N53" s="54">
        <f t="shared" si="76"/>
        <v>6000</v>
      </c>
      <c r="O53" s="968">
        <f t="shared" si="77"/>
        <v>0</v>
      </c>
      <c r="P53" s="968">
        <f t="shared" si="78"/>
        <v>0</v>
      </c>
      <c r="Q53" s="1059">
        <f t="shared" si="79"/>
        <v>24.118562305223232</v>
      </c>
      <c r="R53" s="247">
        <f t="shared" si="80"/>
        <v>6000</v>
      </c>
      <c r="S53" s="24">
        <f t="shared" si="81"/>
        <v>0</v>
      </c>
      <c r="T53" s="970">
        <f t="shared" si="82"/>
        <v>0</v>
      </c>
      <c r="U53" s="654">
        <f t="shared" si="83"/>
        <v>83.034094764662967</v>
      </c>
    </row>
    <row r="54" spans="1:21" x14ac:dyDescent="0.2">
      <c r="A54" s="33">
        <f t="shared" si="32"/>
        <v>2041</v>
      </c>
      <c r="B54" s="787">
        <f t="shared" si="84"/>
        <v>6000</v>
      </c>
      <c r="C54" s="565">
        <f t="shared" si="67"/>
        <v>464629</v>
      </c>
      <c r="D54" s="1053">
        <f t="shared" ref="D54:F54" si="90">D53</f>
        <v>0</v>
      </c>
      <c r="E54" s="1054">
        <f t="shared" si="90"/>
        <v>0</v>
      </c>
      <c r="F54" s="1055">
        <f t="shared" si="90"/>
        <v>0</v>
      </c>
      <c r="G54" s="473">
        <f t="shared" si="69"/>
        <v>0</v>
      </c>
      <c r="H54" s="474">
        <f t="shared" si="70"/>
        <v>0</v>
      </c>
      <c r="I54" s="474">
        <f t="shared" si="71"/>
        <v>0</v>
      </c>
      <c r="J54" s="61">
        <f t="shared" si="72"/>
        <v>6000</v>
      </c>
      <c r="K54" s="967">
        <f t="shared" si="73"/>
        <v>0</v>
      </c>
      <c r="L54" s="967">
        <f t="shared" si="74"/>
        <v>0</v>
      </c>
      <c r="M54" s="188">
        <f t="shared" si="75"/>
        <v>15.616098290049605</v>
      </c>
      <c r="N54" s="54">
        <f t="shared" si="76"/>
        <v>6000</v>
      </c>
      <c r="O54" s="968">
        <f t="shared" si="77"/>
        <v>0</v>
      </c>
      <c r="P54" s="968">
        <f t="shared" si="78"/>
        <v>0</v>
      </c>
      <c r="Q54" s="1059">
        <f t="shared" si="79"/>
        <v>24.118562305223232</v>
      </c>
      <c r="R54" s="247">
        <f t="shared" si="80"/>
        <v>6000</v>
      </c>
      <c r="S54" s="24">
        <f t="shared" si="81"/>
        <v>0</v>
      </c>
      <c r="T54" s="970">
        <f t="shared" si="82"/>
        <v>0</v>
      </c>
      <c r="U54" s="654">
        <f t="shared" si="83"/>
        <v>83.034094764662967</v>
      </c>
    </row>
    <row r="55" spans="1:21" x14ac:dyDescent="0.2">
      <c r="B55" s="260"/>
    </row>
    <row r="56" spans="1:21" x14ac:dyDescent="0.2">
      <c r="A56" s="69" t="s">
        <v>38</v>
      </c>
    </row>
    <row r="57" spans="1:21" x14ac:dyDescent="0.2">
      <c r="A57" s="69" t="s">
        <v>39</v>
      </c>
    </row>
    <row r="58" spans="1:21" x14ac:dyDescent="0.2">
      <c r="A58" s="86" t="s">
        <v>57</v>
      </c>
    </row>
    <row r="59" spans="1:21" x14ac:dyDescent="0.2">
      <c r="A59" s="86" t="s">
        <v>58</v>
      </c>
    </row>
    <row r="62" spans="1:21" ht="15" x14ac:dyDescent="0.2">
      <c r="B62" s="258"/>
    </row>
    <row r="63" spans="1:21" ht="15" x14ac:dyDescent="0.2">
      <c r="B63" s="258"/>
    </row>
    <row r="64" spans="1:21" ht="15" x14ac:dyDescent="0.2">
      <c r="B64" s="258"/>
    </row>
    <row r="65" spans="2:9" ht="15" x14ac:dyDescent="0.2">
      <c r="B65" s="258"/>
    </row>
    <row r="66" spans="2:9" ht="15" x14ac:dyDescent="0.2">
      <c r="B66" s="258"/>
    </row>
    <row r="67" spans="2:9" ht="15" x14ac:dyDescent="0.2">
      <c r="B67" s="258"/>
    </row>
    <row r="68" spans="2:9" x14ac:dyDescent="0.2">
      <c r="B68" s="176"/>
    </row>
    <row r="69" spans="2:9" x14ac:dyDescent="0.2">
      <c r="B69" s="176"/>
    </row>
    <row r="71" spans="2:9" x14ac:dyDescent="0.2">
      <c r="G71">
        <v>21475</v>
      </c>
      <c r="H71">
        <v>9937</v>
      </c>
      <c r="I71">
        <f>+G71+H71</f>
        <v>31412</v>
      </c>
    </row>
  </sheetData>
  <mergeCells count="5">
    <mergeCell ref="G3:I3"/>
    <mergeCell ref="B4:I4"/>
    <mergeCell ref="J4:M4"/>
    <mergeCell ref="R4:U4"/>
    <mergeCell ref="N4:Q4"/>
  </mergeCells>
  <phoneticPr fontId="7" type="noConversion"/>
  <pageMargins left="0.75" right="0.5" top="1" bottom="1" header="0.5" footer="0.5"/>
  <pageSetup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37</vt:i4>
      </vt:variant>
    </vt:vector>
  </HeadingPairs>
  <TitlesOfParts>
    <vt:vector size="97" baseType="lpstr">
      <vt:lpstr>README</vt:lpstr>
      <vt:lpstr>Mark</vt:lpstr>
      <vt:lpstr>FCSTG INPUT</vt:lpstr>
      <vt:lpstr>Res Summary</vt:lpstr>
      <vt:lpstr>ComInd Summary</vt:lpstr>
      <vt:lpstr>Savings Summary</vt:lpstr>
      <vt:lpstr>CompareFcsts</vt:lpstr>
      <vt:lpstr>Conversion Factors</vt:lpstr>
      <vt:lpstr>RES Audit Alt</vt:lpstr>
      <vt:lpstr>RES Assist.</vt:lpstr>
      <vt:lpstr>RES Audit RCS</vt:lpstr>
      <vt:lpstr>RES CI</vt:lpstr>
      <vt:lpstr>RES DR</vt:lpstr>
      <vt:lpstr>RES ECM</vt:lpstr>
      <vt:lpstr>RES Educ</vt:lpstr>
      <vt:lpstr>RES EnergyStar</vt:lpstr>
      <vt:lpstr>RES HC</vt:lpstr>
      <vt:lpstr>RES WEA</vt:lpstr>
      <vt:lpstr>RES WI</vt:lpstr>
      <vt:lpstr>RES WR</vt:lpstr>
      <vt:lpstr>C-I FREE</vt:lpstr>
      <vt:lpstr>C-I Paid</vt:lpstr>
      <vt:lpstr>COM CI</vt:lpstr>
      <vt:lpstr>COM Chillers</vt:lpstr>
      <vt:lpstr>COM CV</vt:lpstr>
      <vt:lpstr>COM Cool Roof</vt:lpstr>
      <vt:lpstr>COM Cooling</vt:lpstr>
      <vt:lpstr>COM Duct</vt:lpstr>
      <vt:lpstr>COM ECM</vt:lpstr>
      <vt:lpstr>COM Cond. Light</vt:lpstr>
      <vt:lpstr>COM Non Cond. Light</vt:lpstr>
      <vt:lpstr>COM Occ. Sens.</vt:lpstr>
      <vt:lpstr>COM Ref</vt:lpstr>
      <vt:lpstr>COM TES</vt:lpstr>
      <vt:lpstr>COM WI</vt:lpstr>
      <vt:lpstr>COM WH</vt:lpstr>
      <vt:lpstr>RES EP (RSVP)</vt:lpstr>
      <vt:lpstr>COM LM (ext)</vt:lpstr>
      <vt:lpstr>COM LM (cyc)</vt:lpstr>
      <vt:lpstr>COM SB Gen</vt:lpstr>
      <vt:lpstr>COM DMD Response</vt:lpstr>
      <vt:lpstr>RES Prime Time</vt:lpstr>
      <vt:lpstr>RES HVAC Re-com</vt:lpstr>
      <vt:lpstr>RES WF</vt:lpstr>
      <vt:lpstr>RES PV</vt:lpstr>
      <vt:lpstr>RES Solar DHW</vt:lpstr>
      <vt:lpstr>COM School PV</vt:lpstr>
      <vt:lpstr>COM Bldg Envel</vt:lpstr>
      <vt:lpstr>C-I Mail-In</vt:lpstr>
      <vt:lpstr>COM EEMotors</vt:lpstr>
      <vt:lpstr>COM Lighting</vt:lpstr>
      <vt:lpstr>COM HVAC ReCommissioning</vt:lpstr>
      <vt:lpstr>COM ERV</vt:lpstr>
      <vt:lpstr>COM ECM HVAC</vt:lpstr>
      <vt:lpstr>COM PV</vt:lpstr>
      <vt:lpstr>Street Light Conv</vt:lpstr>
      <vt:lpstr>IND Load Management</vt:lpstr>
      <vt:lpstr>TEMPLATE</vt:lpstr>
      <vt:lpstr>EIA861_InputforDSMgroup</vt:lpstr>
      <vt:lpstr>FCSTG INPUT @METER</vt:lpstr>
      <vt:lpstr>'C-I FREE'!Print_Area</vt:lpstr>
      <vt:lpstr>'C-I Mail-In'!Print_Area</vt:lpstr>
      <vt:lpstr>'C-I Paid'!Print_Area</vt:lpstr>
      <vt:lpstr>'COM Bldg Envel'!Print_Area</vt:lpstr>
      <vt:lpstr>'COM Chillers'!Print_Area</vt:lpstr>
      <vt:lpstr>'COM Cooling'!Print_Area</vt:lpstr>
      <vt:lpstr>'COM CV'!Print_Area</vt:lpstr>
      <vt:lpstr>'COM DMD Response'!Print_Area</vt:lpstr>
      <vt:lpstr>'COM Duct'!Print_Area</vt:lpstr>
      <vt:lpstr>'COM EEMotors'!Print_Area</vt:lpstr>
      <vt:lpstr>'COM Lighting'!Print_Area</vt:lpstr>
      <vt:lpstr>'COM LM (cyc)'!Print_Area</vt:lpstr>
      <vt:lpstr>'COM LM (ext)'!Print_Area</vt:lpstr>
      <vt:lpstr>'COM Occ. Sens.'!Print_Area</vt:lpstr>
      <vt:lpstr>'COM Ref'!Print_Area</vt:lpstr>
      <vt:lpstr>'COM SB Gen'!Print_Area</vt:lpstr>
      <vt:lpstr>'COM WH'!Print_Area</vt:lpstr>
      <vt:lpstr>'ComInd Summary'!Print_Area</vt:lpstr>
      <vt:lpstr>CompareFcsts!Print_Area</vt:lpstr>
      <vt:lpstr>'Conversion Factors'!Print_Area</vt:lpstr>
      <vt:lpstr>'FCSTG INPUT'!Print_Area</vt:lpstr>
      <vt:lpstr>'FCSTG INPUT @METER'!Print_Area</vt:lpstr>
      <vt:lpstr>README!Print_Area</vt:lpstr>
      <vt:lpstr>'RES Assist.'!Print_Area</vt:lpstr>
      <vt:lpstr>'RES Audit Alt'!Print_Area</vt:lpstr>
      <vt:lpstr>'RES Audit RCS'!Print_Area</vt:lpstr>
      <vt:lpstr>'RES DR'!Print_Area</vt:lpstr>
      <vt:lpstr>'RES EnergyStar'!Print_Area</vt:lpstr>
      <vt:lpstr>'RES EP (RSVP)'!Print_Area</vt:lpstr>
      <vt:lpstr>'RES HC'!Print_Area</vt:lpstr>
      <vt:lpstr>'RES Prime Time'!Print_Area</vt:lpstr>
      <vt:lpstr>'Res Summary'!Print_Area</vt:lpstr>
      <vt:lpstr>'RES WEA'!Print_Area</vt:lpstr>
      <vt:lpstr>'RES WF'!Print_Area</vt:lpstr>
      <vt:lpstr>'Savings Summary'!Print_Area</vt:lpstr>
      <vt:lpstr>'RES Prime Time'!Print_Titles</vt:lpstr>
      <vt:lpstr>'Res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2019-05-30T12:28:51Z</dcterms:created>
  <dcterms:modified xsi:type="dcterms:W3CDTF">2019-05-30T12:28:51Z</dcterms:modified>
</cp:coreProperties>
</file>